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Y:\Año 2026\Información circular 001 2026 Trasnsparencia\Ejecuciones 2024\"/>
    </mc:Choice>
  </mc:AlternateContent>
  <xr:revisionPtr revIDLastSave="0" documentId="13_ncr:1_{25EDAC19-C808-4B6B-B275-51FA38DF018C}" xr6:coauthVersionLast="47" xr6:coauthVersionMax="47" xr10:uidLastSave="{00000000-0000-0000-0000-000000000000}"/>
  <bookViews>
    <workbookView xWindow="-108" yWindow="-108" windowWidth="23256" windowHeight="12456" xr2:uid="{E5D954FD-4D0F-4891-9AE9-393F4D73ABB8}"/>
  </bookViews>
  <sheets>
    <sheet name="Anexo No. 8 Ejecución Ptal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_xlnm._FilterDatabase" hidden="1">#REF!</definedName>
    <definedName name="ANEXO" hidden="1">'[1]Inversión total en programas'!$A$50:$IV$50,'[1]Inversión total en programas'!$A$60:$IV$63</definedName>
    <definedName name="_xlnm.Print_Area">#REF!</definedName>
    <definedName name="AREAS">#REF!</definedName>
    <definedName name="ASISCALLCENTER">#REF!</definedName>
    <definedName name="ASISCONTABPPC">#REF!</definedName>
    <definedName name="ASISDESPACHOS">#REF!</definedName>
    <definedName name="ASISICA">#REF!</definedName>
    <definedName name="AUXBODEGA">#REF!</definedName>
    <definedName name="cabezas">'[2]Anexo 1 Minagricultura'!#REF!</definedName>
    <definedName name="CABEZAS_PROYEC">'[3]Anexo 1 Minagricultura'!#REF!</definedName>
    <definedName name="CONTRATOS">#REF!</definedName>
    <definedName name="CUOTAPPC2005">'[4]Anexo 1'!#REF!</definedName>
    <definedName name="CUOTAPPC2013">'[4]Anexo 1'!#REF!</definedName>
    <definedName name="CUOTAPPC203">'[4]Anexo 1'!#REF!</definedName>
    <definedName name="DIAG_PPC">#REF!</definedName>
    <definedName name="DIRECCION">[5]consecutivo!$M$9:$M$13</definedName>
    <definedName name="DISTRIBUIDOR">#REF!</definedName>
    <definedName name="Dólar">#REF!</definedName>
    <definedName name="eeeee">'[4]Ejecución ingresos 2023'!#REF!</definedName>
    <definedName name="EPPC">'[4]Anexo 1'!$C$50</definedName>
    <definedName name="Euro">#REF!</definedName>
    <definedName name="FDGFDG">#REF!</definedName>
    <definedName name="FECHA_DE_RECIBIDO">[6]BASE!$E$3:$E$177</definedName>
    <definedName name="FOMENTO">'[4]Anexo 1'!$C$49</definedName>
    <definedName name="FOMENTOS">'[7]Anexo 1 Minagricultura'!$C$51</definedName>
    <definedName name="fondo">#REF!</definedName>
    <definedName name="GTOSEPPC">#REF!</definedName>
    <definedName name="HONORAUDI_JURIDIC">#REF!</definedName>
    <definedName name="HONTOTAL">#REF!</definedName>
    <definedName name="Incremento">#REF!</definedName>
    <definedName name="Inflación">#REF!</definedName>
    <definedName name="JORTIZ">#REF!</definedName>
    <definedName name="LABORATORIOS">#REF!</definedName>
    <definedName name="NOMBDISTRI">#REF!</definedName>
    <definedName name="ojo">#REF!</definedName>
    <definedName name="Pasajes">#REF!</definedName>
    <definedName name="ppc">'[4]Anexo 1'!$D$11</definedName>
    <definedName name="RESERV_FUTU">#REF!</definedName>
    <definedName name="Resumeningresos" hidden="1">'[8]Inversión total en programas'!$A$50:$IV$50,'[8]Inversión total en programas'!$A$60:$IV$63</definedName>
    <definedName name="saldo">'[4]Ejecución ingresos 2023'!#REF!</definedName>
    <definedName name="saldos">'[4]Ejecución ingresos 2023'!#REF!</definedName>
    <definedName name="SUPERA2004">'[4]Anexo 1'!#REF!</definedName>
    <definedName name="SUPERA2005">'[4]Anexo 1'!#REF!</definedName>
    <definedName name="SUPERA2010">'[9]Anexo 1 Minagricultura'!$C$21</definedName>
    <definedName name="SUPERA2012">'[4]Anexo 1'!#REF!</definedName>
    <definedName name="SUPERAVIT">#REF!</definedName>
    <definedName name="SUPERAVIT2005_FNP">#REF!</definedName>
    <definedName name="SUPERAVITPPC_2005">#REF!</definedName>
    <definedName name="TIPOS">#REF!</definedName>
    <definedName name="_xlnm.Print_Titles">#REF!</definedName>
    <definedName name="VTAS2005">'[4]Anexo 1'!$D$28</definedName>
    <definedName name="xx">[10]Ingresos!$C$19</definedName>
    <definedName name="Z_4099E833_BB74_4680_85C9_A6CF399D1CE2_.wvu.Cols" hidden="1">#REF!,#REF!,#REF!,#REF!</definedName>
    <definedName name="Z_4099E833_BB74_4680_85C9_A6CF399D1CE2_.wvu.FilterData" hidden="1">#REF!</definedName>
    <definedName name="Z_4099E833_BB74_4680_85C9_A6CF399D1CE2_.wvu.PrintArea" hidden="1">#REF!</definedName>
    <definedName name="Z_4099E833_BB74_4680_85C9_A6CF399D1CE2_.wvu.PrintTitles" hidden="1">#REF!</definedName>
    <definedName name="Z_4099E833_BB74_4680_85C9_A6CF399D1CE2_.wvu.Rows" hidden="1">#REF!,#REF!</definedName>
    <definedName name="ZFRONTERA">'[11]Ingresos 2014'!#REF!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3" i="1" l="1"/>
  <c r="G143" i="1" s="1"/>
  <c r="C142" i="1"/>
  <c r="G142" i="1" s="1"/>
  <c r="I140" i="1"/>
  <c r="F140" i="1"/>
  <c r="D140" i="1"/>
  <c r="E140" i="1" s="1"/>
  <c r="I139" i="1"/>
  <c r="F139" i="1"/>
  <c r="D139" i="1"/>
  <c r="E139" i="1" s="1"/>
  <c r="H138" i="1"/>
  <c r="C138" i="1"/>
  <c r="I137" i="1"/>
  <c r="F137" i="1"/>
  <c r="D137" i="1"/>
  <c r="E137" i="1" s="1"/>
  <c r="I136" i="1"/>
  <c r="I135" i="1"/>
  <c r="H134" i="1"/>
  <c r="C134" i="1"/>
  <c r="I133" i="1"/>
  <c r="I132" i="1"/>
  <c r="H131" i="1"/>
  <c r="C131" i="1"/>
  <c r="I129" i="1"/>
  <c r="E129" i="1"/>
  <c r="I128" i="1"/>
  <c r="E128" i="1"/>
  <c r="H127" i="1"/>
  <c r="D127" i="1"/>
  <c r="C127" i="1"/>
  <c r="I126" i="1"/>
  <c r="I125" i="1"/>
  <c r="F125" i="1"/>
  <c r="E125" i="1"/>
  <c r="I124" i="1"/>
  <c r="H123" i="1"/>
  <c r="C123" i="1"/>
  <c r="I123" i="1" s="1"/>
  <c r="I122" i="1"/>
  <c r="I121" i="1"/>
  <c r="D121" i="1"/>
  <c r="E121" i="1" s="1"/>
  <c r="H120" i="1"/>
  <c r="C120" i="1"/>
  <c r="I119" i="1"/>
  <c r="H118" i="1"/>
  <c r="C118" i="1"/>
  <c r="C117" i="1" s="1"/>
  <c r="I116" i="1"/>
  <c r="H115" i="1"/>
  <c r="H111" i="1" s="1"/>
  <c r="C115" i="1"/>
  <c r="I115" i="1" s="1"/>
  <c r="I114" i="1"/>
  <c r="E114" i="1"/>
  <c r="I113" i="1"/>
  <c r="E113" i="1"/>
  <c r="I112" i="1"/>
  <c r="F112" i="1"/>
  <c r="E112" i="1"/>
  <c r="I110" i="1"/>
  <c r="I109" i="1"/>
  <c r="F109" i="1"/>
  <c r="D109" i="1"/>
  <c r="E109" i="1" s="1"/>
  <c r="I108" i="1"/>
  <c r="H107" i="1"/>
  <c r="H106" i="1" s="1"/>
  <c r="C107" i="1"/>
  <c r="C106" i="1" s="1"/>
  <c r="I105" i="1"/>
  <c r="G105" i="1"/>
  <c r="E105" i="1"/>
  <c r="I104" i="1"/>
  <c r="E104" i="1"/>
  <c r="I103" i="1"/>
  <c r="H102" i="1"/>
  <c r="C102" i="1"/>
  <c r="I101" i="1"/>
  <c r="E101" i="1"/>
  <c r="I100" i="1"/>
  <c r="G100" i="1"/>
  <c r="I99" i="1"/>
  <c r="E99" i="1"/>
  <c r="I98" i="1"/>
  <c r="E98" i="1"/>
  <c r="H97" i="1"/>
  <c r="D97" i="1"/>
  <c r="C97" i="1"/>
  <c r="I95" i="1"/>
  <c r="I94" i="1"/>
  <c r="G94" i="1"/>
  <c r="D94" i="1"/>
  <c r="I93" i="1"/>
  <c r="I92" i="1"/>
  <c r="G92" i="1"/>
  <c r="D92" i="1"/>
  <c r="I91" i="1"/>
  <c r="G91" i="1"/>
  <c r="D91" i="1"/>
  <c r="I90" i="1"/>
  <c r="G90" i="1"/>
  <c r="D90" i="1"/>
  <c r="H89" i="1"/>
  <c r="C89" i="1"/>
  <c r="C87" i="1"/>
  <c r="I87" i="1" s="1"/>
  <c r="C86" i="1"/>
  <c r="G86" i="1" s="1"/>
  <c r="C85" i="1"/>
  <c r="G85" i="1" s="1"/>
  <c r="C84" i="1"/>
  <c r="G84" i="1" s="1"/>
  <c r="C83" i="1"/>
  <c r="I83" i="1" s="1"/>
  <c r="H82" i="1"/>
  <c r="F82" i="1"/>
  <c r="E82" i="1"/>
  <c r="C74" i="1"/>
  <c r="C73" i="1"/>
  <c r="I73" i="1" s="1"/>
  <c r="C72" i="1"/>
  <c r="G72" i="1" s="1"/>
  <c r="C71" i="1"/>
  <c r="I71" i="1" s="1"/>
  <c r="C70" i="1"/>
  <c r="G70" i="1" s="1"/>
  <c r="C69" i="1"/>
  <c r="I69" i="1" s="1"/>
  <c r="H67" i="1"/>
  <c r="C67" i="1"/>
  <c r="E67" i="1" s="1"/>
  <c r="H66" i="1"/>
  <c r="C66" i="1"/>
  <c r="H65" i="1"/>
  <c r="C65" i="1"/>
  <c r="G65" i="1" s="1"/>
  <c r="H64" i="1"/>
  <c r="C64" i="1"/>
  <c r="G64" i="1" s="1"/>
  <c r="H63" i="1"/>
  <c r="G63" i="1"/>
  <c r="C63" i="1"/>
  <c r="E63" i="1" s="1"/>
  <c r="H62" i="1"/>
  <c r="C62" i="1"/>
  <c r="G62" i="1" s="1"/>
  <c r="H61" i="1"/>
  <c r="C61" i="1"/>
  <c r="G61" i="1" s="1"/>
  <c r="H60" i="1"/>
  <c r="C60" i="1"/>
  <c r="G60" i="1" s="1"/>
  <c r="H59" i="1"/>
  <c r="C59" i="1"/>
  <c r="G59" i="1" s="1"/>
  <c r="H58" i="1"/>
  <c r="C58" i="1"/>
  <c r="G58" i="1" s="1"/>
  <c r="H57" i="1"/>
  <c r="C57" i="1"/>
  <c r="F56" i="1"/>
  <c r="D56" i="1"/>
  <c r="F52" i="1"/>
  <c r="F51" i="1" s="1"/>
  <c r="C52" i="1"/>
  <c r="C51" i="1" s="1"/>
  <c r="B52" i="1"/>
  <c r="H51" i="1"/>
  <c r="D51" i="1"/>
  <c r="B49" i="1"/>
  <c r="I48" i="1"/>
  <c r="B48" i="1"/>
  <c r="C47" i="1"/>
  <c r="C46" i="1"/>
  <c r="G46" i="1" s="1"/>
  <c r="B46" i="1"/>
  <c r="H46" i="1" s="1"/>
  <c r="C45" i="1"/>
  <c r="G45" i="1" s="1"/>
  <c r="B45" i="1"/>
  <c r="C44" i="1"/>
  <c r="G44" i="1" s="1"/>
  <c r="B44" i="1"/>
  <c r="H44" i="1" s="1"/>
  <c r="C43" i="1"/>
  <c r="G43" i="1" s="1"/>
  <c r="B43" i="1"/>
  <c r="H43" i="1" s="1"/>
  <c r="I43" i="1" s="1"/>
  <c r="C42" i="1"/>
  <c r="G42" i="1" s="1"/>
  <c r="B42" i="1"/>
  <c r="H42" i="1" s="1"/>
  <c r="C41" i="1"/>
  <c r="G41" i="1" s="1"/>
  <c r="B41" i="1"/>
  <c r="H41" i="1" s="1"/>
  <c r="I41" i="1" s="1"/>
  <c r="C40" i="1"/>
  <c r="G40" i="1" s="1"/>
  <c r="B40" i="1"/>
  <c r="H40" i="1" s="1"/>
  <c r="C39" i="1"/>
  <c r="G39" i="1" s="1"/>
  <c r="B39" i="1"/>
  <c r="H39" i="1" s="1"/>
  <c r="E38" i="1"/>
  <c r="B38" i="1"/>
  <c r="C37" i="1"/>
  <c r="G37" i="1" s="1"/>
  <c r="B37" i="1"/>
  <c r="H37" i="1" s="1"/>
  <c r="I37" i="1" s="1"/>
  <c r="C36" i="1"/>
  <c r="E36" i="1" s="1"/>
  <c r="B36" i="1"/>
  <c r="C35" i="1"/>
  <c r="E35" i="1" s="1"/>
  <c r="B35" i="1"/>
  <c r="H35" i="1" s="1"/>
  <c r="I35" i="1" s="1"/>
  <c r="C34" i="1"/>
  <c r="G34" i="1" s="1"/>
  <c r="B34" i="1"/>
  <c r="H34" i="1" s="1"/>
  <c r="C33" i="1"/>
  <c r="E33" i="1" s="1"/>
  <c r="B33" i="1"/>
  <c r="H33" i="1" s="1"/>
  <c r="I33" i="1" s="1"/>
  <c r="C32" i="1"/>
  <c r="G32" i="1" s="1"/>
  <c r="B32" i="1"/>
  <c r="H32" i="1" s="1"/>
  <c r="C31" i="1"/>
  <c r="E31" i="1" s="1"/>
  <c r="B31" i="1"/>
  <c r="H31" i="1" s="1"/>
  <c r="D30" i="1"/>
  <c r="C29" i="1"/>
  <c r="G29" i="1" s="1"/>
  <c r="B29" i="1"/>
  <c r="H29" i="1" s="1"/>
  <c r="C28" i="1"/>
  <c r="G28" i="1" s="1"/>
  <c r="B28" i="1"/>
  <c r="H28" i="1" s="1"/>
  <c r="C27" i="1"/>
  <c r="G27" i="1" s="1"/>
  <c r="B27" i="1"/>
  <c r="H27" i="1" s="1"/>
  <c r="C26" i="1"/>
  <c r="G26" i="1" s="1"/>
  <c r="B26" i="1"/>
  <c r="H26" i="1" s="1"/>
  <c r="C25" i="1"/>
  <c r="G25" i="1" s="1"/>
  <c r="B25" i="1"/>
  <c r="H25" i="1" s="1"/>
  <c r="C24" i="1"/>
  <c r="G24" i="1" s="1"/>
  <c r="B24" i="1"/>
  <c r="H24" i="1" s="1"/>
  <c r="C23" i="1"/>
  <c r="G23" i="1" s="1"/>
  <c r="B23" i="1"/>
  <c r="H23" i="1" s="1"/>
  <c r="C22" i="1"/>
  <c r="G22" i="1" s="1"/>
  <c r="B22" i="1"/>
  <c r="H22" i="1" s="1"/>
  <c r="C21" i="1"/>
  <c r="G21" i="1" s="1"/>
  <c r="B21" i="1"/>
  <c r="H21" i="1" s="1"/>
  <c r="C20" i="1"/>
  <c r="E20" i="1" s="1"/>
  <c r="B20" i="1"/>
  <c r="H20" i="1" s="1"/>
  <c r="C19" i="1"/>
  <c r="G19" i="1" s="1"/>
  <c r="B19" i="1"/>
  <c r="H19" i="1" s="1"/>
  <c r="F18" i="1"/>
  <c r="D18" i="1"/>
  <c r="H77" i="1"/>
  <c r="F121" i="1"/>
  <c r="F38" i="1"/>
  <c r="F122" i="1"/>
  <c r="F129" i="1"/>
  <c r="F104" i="1"/>
  <c r="D115" i="1"/>
  <c r="F114" i="1"/>
  <c r="D133" i="1"/>
  <c r="F99" i="1"/>
  <c r="H79" i="1"/>
  <c r="H49" i="1"/>
  <c r="D103" i="1"/>
  <c r="H78" i="1"/>
  <c r="F95" i="1"/>
  <c r="D75" i="1"/>
  <c r="D48" i="1"/>
  <c r="F98" i="1"/>
  <c r="F132" i="1"/>
  <c r="D95" i="1"/>
  <c r="D76" i="1"/>
  <c r="H38" i="1"/>
  <c r="D81" i="1"/>
  <c r="F115" i="1"/>
  <c r="D126" i="1"/>
  <c r="D80" i="1"/>
  <c r="F48" i="1"/>
  <c r="F110" i="1"/>
  <c r="F124" i="1"/>
  <c r="F49" i="1"/>
  <c r="F119" i="1"/>
  <c r="D124" i="1"/>
  <c r="D122" i="1"/>
  <c r="H80" i="1"/>
  <c r="H36" i="1"/>
  <c r="D108" i="1"/>
  <c r="D135" i="1"/>
  <c r="F93" i="1"/>
  <c r="F77" i="1"/>
  <c r="F133" i="1"/>
  <c r="F79" i="1"/>
  <c r="D79" i="1"/>
  <c r="F81" i="1"/>
  <c r="F108" i="1"/>
  <c r="F128" i="1"/>
  <c r="H81" i="1"/>
  <c r="D49" i="1"/>
  <c r="F78" i="1"/>
  <c r="F113" i="1"/>
  <c r="F36" i="1"/>
  <c r="D110" i="1"/>
  <c r="F80" i="1"/>
  <c r="D136" i="1"/>
  <c r="D78" i="1"/>
  <c r="D119" i="1"/>
  <c r="F136" i="1"/>
  <c r="F126" i="1"/>
  <c r="F103" i="1"/>
  <c r="D77" i="1"/>
  <c r="F101" i="1"/>
  <c r="F135" i="1"/>
  <c r="D93" i="1"/>
  <c r="D132" i="1"/>
  <c r="H76" i="1"/>
  <c r="H75" i="1"/>
  <c r="F75" i="1"/>
  <c r="I97" i="1" l="1"/>
  <c r="I27" i="1"/>
  <c r="F138" i="1"/>
  <c r="C130" i="1"/>
  <c r="H130" i="1"/>
  <c r="I130" i="1" s="1"/>
  <c r="H96" i="1"/>
  <c r="H88" i="1" s="1"/>
  <c r="I102" i="1"/>
  <c r="E97" i="1"/>
  <c r="E92" i="1"/>
  <c r="I67" i="1"/>
  <c r="E143" i="1"/>
  <c r="E43" i="1"/>
  <c r="E39" i="1"/>
  <c r="G112" i="1"/>
  <c r="E44" i="1"/>
  <c r="E83" i="1"/>
  <c r="I51" i="1"/>
  <c r="E90" i="1"/>
  <c r="I134" i="1"/>
  <c r="I45" i="1"/>
  <c r="I107" i="1"/>
  <c r="I72" i="1"/>
  <c r="C96" i="1"/>
  <c r="C18" i="1"/>
  <c r="E18" i="1" s="1"/>
  <c r="E37" i="1"/>
  <c r="E26" i="1"/>
  <c r="E42" i="1"/>
  <c r="E127" i="1"/>
  <c r="H117" i="1"/>
  <c r="I117" i="1" s="1"/>
  <c r="I86" i="1"/>
  <c r="E22" i="1"/>
  <c r="I39" i="1"/>
  <c r="G31" i="1"/>
  <c r="G35" i="1"/>
  <c r="I63" i="1"/>
  <c r="E60" i="1"/>
  <c r="E69" i="1"/>
  <c r="C56" i="1"/>
  <c r="E56" i="1" s="1"/>
  <c r="I60" i="1"/>
  <c r="I64" i="1"/>
  <c r="G69" i="1"/>
  <c r="E85" i="1"/>
  <c r="E57" i="1"/>
  <c r="I85" i="1"/>
  <c r="E40" i="1"/>
  <c r="E24" i="1"/>
  <c r="E28" i="1"/>
  <c r="G109" i="1"/>
  <c r="G125" i="1"/>
  <c r="I65" i="1"/>
  <c r="G82" i="1"/>
  <c r="G33" i="1"/>
  <c r="E58" i="1"/>
  <c r="E41" i="1"/>
  <c r="E51" i="1"/>
  <c r="I66" i="1"/>
  <c r="I82" i="1"/>
  <c r="I58" i="1"/>
  <c r="E71" i="1"/>
  <c r="C30" i="1"/>
  <c r="E30" i="1" s="1"/>
  <c r="G83" i="1"/>
  <c r="G67" i="1"/>
  <c r="D134" i="1"/>
  <c r="E134" i="1" s="1"/>
  <c r="E135" i="1"/>
  <c r="D74" i="1"/>
  <c r="E103" i="1"/>
  <c r="D102" i="1"/>
  <c r="H47" i="1"/>
  <c r="I49" i="1"/>
  <c r="G114" i="1"/>
  <c r="F134" i="1"/>
  <c r="G135" i="1"/>
  <c r="G122" i="1"/>
  <c r="H74" i="1"/>
  <c r="F97" i="1"/>
  <c r="G98" i="1"/>
  <c r="G101" i="1"/>
  <c r="F102" i="1"/>
  <c r="G103" i="1"/>
  <c r="E110" i="1"/>
  <c r="D47" i="1"/>
  <c r="E47" i="1" s="1"/>
  <c r="E48" i="1"/>
  <c r="D107" i="1"/>
  <c r="E108" i="1"/>
  <c r="G110" i="1"/>
  <c r="F47" i="1"/>
  <c r="G48" i="1"/>
  <c r="D116" i="1"/>
  <c r="E116" i="1" s="1"/>
  <c r="D111" i="1"/>
  <c r="E115" i="1"/>
  <c r="F74" i="1"/>
  <c r="G38" i="1"/>
  <c r="F107" i="1"/>
  <c r="G108" i="1"/>
  <c r="E119" i="1"/>
  <c r="D118" i="1"/>
  <c r="E136" i="1"/>
  <c r="G36" i="1"/>
  <c r="F30" i="1"/>
  <c r="F116" i="1"/>
  <c r="G115" i="1"/>
  <c r="F123" i="1"/>
  <c r="G124" i="1"/>
  <c r="G133" i="1"/>
  <c r="I36" i="1"/>
  <c r="I38" i="1"/>
  <c r="E95" i="1"/>
  <c r="G99" i="1"/>
  <c r="G104" i="1"/>
  <c r="G119" i="1"/>
  <c r="F118" i="1"/>
  <c r="G121" i="1"/>
  <c r="F120" i="1"/>
  <c r="E132" i="1"/>
  <c r="D131" i="1"/>
  <c r="G136" i="1"/>
  <c r="G113" i="1"/>
  <c r="G95" i="1"/>
  <c r="E126" i="1"/>
  <c r="G132" i="1"/>
  <c r="F131" i="1"/>
  <c r="E133" i="1"/>
  <c r="G129" i="1"/>
  <c r="E49" i="1"/>
  <c r="E93" i="1"/>
  <c r="G128" i="1"/>
  <c r="F127" i="1"/>
  <c r="G126" i="1"/>
  <c r="G49" i="1"/>
  <c r="F89" i="1"/>
  <c r="G93" i="1"/>
  <c r="E122" i="1"/>
  <c r="D120" i="1"/>
  <c r="E120" i="1" s="1"/>
  <c r="E124" i="1"/>
  <c r="D123" i="1"/>
  <c r="E123" i="1" s="1"/>
  <c r="I32" i="1"/>
  <c r="G138" i="1"/>
  <c r="I46" i="1"/>
  <c r="I40" i="1"/>
  <c r="I28" i="1"/>
  <c r="D89" i="1"/>
  <c r="I106" i="1"/>
  <c r="I24" i="1"/>
  <c r="I34" i="1"/>
  <c r="I26" i="1"/>
  <c r="I20" i="1"/>
  <c r="I44" i="1"/>
  <c r="I22" i="1"/>
  <c r="I42" i="1"/>
  <c r="G51" i="1"/>
  <c r="F111" i="1"/>
  <c r="E52" i="1"/>
  <c r="E61" i="1"/>
  <c r="C68" i="1"/>
  <c r="E70" i="1"/>
  <c r="E84" i="1"/>
  <c r="E91" i="1"/>
  <c r="G137" i="1"/>
  <c r="G139" i="1"/>
  <c r="I23" i="1"/>
  <c r="G52" i="1"/>
  <c r="E59" i="1"/>
  <c r="I70" i="1"/>
  <c r="E73" i="1"/>
  <c r="I84" i="1"/>
  <c r="E87" i="1"/>
  <c r="I19" i="1"/>
  <c r="I31" i="1"/>
  <c r="E46" i="1"/>
  <c r="I52" i="1"/>
  <c r="I61" i="1"/>
  <c r="E66" i="1"/>
  <c r="G73" i="1"/>
  <c r="G87" i="1"/>
  <c r="E94" i="1"/>
  <c r="I118" i="1"/>
  <c r="I120" i="1"/>
  <c r="I25" i="1"/>
  <c r="G66" i="1"/>
  <c r="E32" i="1"/>
  <c r="G57" i="1"/>
  <c r="I59" i="1"/>
  <c r="E64" i="1"/>
  <c r="I131" i="1"/>
  <c r="D138" i="1"/>
  <c r="E138" i="1" s="1"/>
  <c r="E142" i="1"/>
  <c r="I89" i="1"/>
  <c r="G20" i="1"/>
  <c r="H30" i="1"/>
  <c r="I57" i="1"/>
  <c r="E62" i="1"/>
  <c r="G71" i="1"/>
  <c r="I127" i="1"/>
  <c r="G140" i="1"/>
  <c r="I21" i="1"/>
  <c r="I29" i="1"/>
  <c r="H56" i="1"/>
  <c r="E34" i="1"/>
  <c r="H18" i="1"/>
  <c r="C111" i="1"/>
  <c r="I111" i="1" s="1"/>
  <c r="I62" i="1"/>
  <c r="I138" i="1"/>
  <c r="E21" i="1"/>
  <c r="E25" i="1"/>
  <c r="E27" i="1"/>
  <c r="E29" i="1"/>
  <c r="E65" i="1"/>
  <c r="E72" i="1"/>
  <c r="E86" i="1"/>
  <c r="E19" i="1"/>
  <c r="E23" i="1"/>
  <c r="C88" i="1" l="1"/>
  <c r="I88" i="1"/>
  <c r="I96" i="1"/>
  <c r="C55" i="1"/>
  <c r="C54" i="1" s="1"/>
  <c r="D17" i="1"/>
  <c r="G56" i="1"/>
  <c r="G18" i="1"/>
  <c r="C17" i="1"/>
  <c r="C16" i="1" s="1"/>
  <c r="C141" i="1" s="1"/>
  <c r="C144" i="1" s="1"/>
  <c r="G118" i="1"/>
  <c r="F117" i="1"/>
  <c r="G107" i="1"/>
  <c r="F106" i="1"/>
  <c r="G47" i="1"/>
  <c r="G134" i="1"/>
  <c r="D117" i="1"/>
  <c r="E117" i="1" s="1"/>
  <c r="E118" i="1"/>
  <c r="G97" i="1"/>
  <c r="F96" i="1"/>
  <c r="E107" i="1"/>
  <c r="D106" i="1"/>
  <c r="E106" i="1" s="1"/>
  <c r="I18" i="1"/>
  <c r="H17" i="1"/>
  <c r="D16" i="1"/>
  <c r="I56" i="1"/>
  <c r="G102" i="1"/>
  <c r="F130" i="1"/>
  <c r="G131" i="1"/>
  <c r="G116" i="1"/>
  <c r="I74" i="1"/>
  <c r="H68" i="1"/>
  <c r="H55" i="1" s="1"/>
  <c r="G111" i="1"/>
  <c r="E102" i="1"/>
  <c r="D96" i="1"/>
  <c r="E96" i="1" s="1"/>
  <c r="D68" i="1"/>
  <c r="E74" i="1"/>
  <c r="G127" i="1"/>
  <c r="I47" i="1"/>
  <c r="G123" i="1"/>
  <c r="I30" i="1"/>
  <c r="G120" i="1"/>
  <c r="G89" i="1"/>
  <c r="G74" i="1"/>
  <c r="F68" i="1"/>
  <c r="E89" i="1"/>
  <c r="D130" i="1"/>
  <c r="E130" i="1" s="1"/>
  <c r="E131" i="1"/>
  <c r="F17" i="1"/>
  <c r="G30" i="1"/>
  <c r="E111" i="1"/>
  <c r="E17" i="1" l="1"/>
  <c r="F88" i="1"/>
  <c r="G88" i="1"/>
  <c r="F16" i="1"/>
  <c r="G17" i="1"/>
  <c r="H54" i="1"/>
  <c r="I55" i="1"/>
  <c r="I68" i="1"/>
  <c r="E16" i="1"/>
  <c r="D88" i="1"/>
  <c r="E88" i="1" s="1"/>
  <c r="H16" i="1"/>
  <c r="I17" i="1"/>
  <c r="G106" i="1"/>
  <c r="G68" i="1"/>
  <c r="F55" i="1"/>
  <c r="G130" i="1"/>
  <c r="G96" i="1"/>
  <c r="G117" i="1"/>
  <c r="E68" i="1"/>
  <c r="D55" i="1"/>
  <c r="I16" i="1" l="1"/>
  <c r="H141" i="1"/>
  <c r="I54" i="1"/>
  <c r="F54" i="1"/>
  <c r="G55" i="1"/>
  <c r="F141" i="1"/>
  <c r="G16" i="1"/>
  <c r="D54" i="1"/>
  <c r="E55" i="1"/>
  <c r="E54" i="1" l="1"/>
  <c r="D141" i="1"/>
  <c r="G54" i="1"/>
  <c r="H144" i="1"/>
  <c r="I141" i="1"/>
  <c r="F144" i="1"/>
  <c r="G141" i="1"/>
  <c r="G144" i="1" l="1"/>
  <c r="I144" i="1"/>
  <c r="E141" i="1"/>
  <c r="D144" i="1"/>
  <c r="E144" i="1" l="1"/>
</calcChain>
</file>

<file path=xl/sharedStrings.xml><?xml version="1.0" encoding="utf-8"?>
<sst xmlns="http://schemas.openxmlformats.org/spreadsheetml/2006/main" count="109" uniqueCount="106">
  <si>
    <t>MINISTERIO DE AGRICULTURA Y DESARROLLO RURAL
FORMATO EJECUCIÓN PRESUPUESTAL ACUMULADA DE INGRESOS,  GASTOS DE FUNCIONAMIENTO (INCLUYE CONTRAPRESTACIÓN POR ADMINISTRACIÓN) E INVERSIÓN
DE LOS FONDOS DE FOMENTO AGRICOLAS, FORESTALES, PECUARIOS Y PESQUEROS, Y CESIONES DE LOS FONDOS DE ESTABILIZACIÓN DE PRECIOS</t>
  </si>
  <si>
    <t>DIRECCIÓN DE CADENAS AGRÍCOLAS Y FORESTALES - DIRECCIÓN DE CADENAS PECUARIAS, PESQUERAS Y ACUÍCOLAS</t>
  </si>
  <si>
    <t>FONDO:</t>
  </si>
  <si>
    <t>FONDO NACIONAL DE LA PORCICULTURA</t>
  </si>
  <si>
    <t xml:space="preserve">AÑO PROYECTADO </t>
  </si>
  <si>
    <t xml:space="preserve">FECHA DE ELABORACIÓN  </t>
  </si>
  <si>
    <t>ANEXO No. 8</t>
  </si>
  <si>
    <t>Cifras Expresadas en Pesos Colombianos</t>
  </si>
  <si>
    <t>CONCEPTO</t>
  </si>
  <si>
    <t>PRESUPUESTO AJUSTADO AÑO ACTUAL</t>
  </si>
  <si>
    <t>EJECUTADO DE ENERO A MARZO</t>
  </si>
  <si>
    <t>% EJECUCIÓN
ENERO A MARZO</t>
  </si>
  <si>
    <t>EJECUTADO DE ENERO A JUNIO</t>
  </si>
  <si>
    <t>% EJECUCIÓN DE ENERO A JUNIO</t>
  </si>
  <si>
    <t>EJECUTADO DE ENERO A SEPTIEMBRE</t>
  </si>
  <si>
    <t>% EJECUCIÓN DE ENERO A SEPTIEMBRE</t>
  </si>
  <si>
    <t>GASTOS DE FUNCIONAMIENTO</t>
  </si>
  <si>
    <t>GASTOS DE ADMINISTRACIÓN</t>
  </si>
  <si>
    <t>SERVICIOS PERSONALES (*)</t>
  </si>
  <si>
    <t>ADQUSICIÓN DE BIENES Y SERVICIOS (GASTOS GENERALES)  (*)</t>
  </si>
  <si>
    <t xml:space="preserve">                                               -  </t>
  </si>
  <si>
    <t>GASTOS ADMINISTRATIVOS DE RECAUDO</t>
  </si>
  <si>
    <t>CONTRAPRESTACIÓN POR ADMINISTRACIÓN</t>
  </si>
  <si>
    <t>GASTOS DE INVERSIÓN</t>
  </si>
  <si>
    <t>GASTOS DE INVERSIÓN EJECUTADOS DIRECTAMENTE POR LA ADMINISTRACIÓN</t>
  </si>
  <si>
    <t>SERVICIOS PERSONALES</t>
  </si>
  <si>
    <t>Sueldos</t>
  </si>
  <si>
    <t>Auxilio de transporte</t>
  </si>
  <si>
    <t>Vacaciones</t>
  </si>
  <si>
    <t>Prima legal</t>
  </si>
  <si>
    <t xml:space="preserve">Dotación y suministro </t>
  </si>
  <si>
    <t>Cesantías</t>
  </si>
  <si>
    <t>Intereses de cesantías</t>
  </si>
  <si>
    <t>Seguros y/o fondos privados</t>
  </si>
  <si>
    <t>Caja de compensación</t>
  </si>
  <si>
    <t>Aportes ICBF</t>
  </si>
  <si>
    <t>Aportes SENA</t>
  </si>
  <si>
    <t>ADQUSICIÓN DE BIENES Y SERVICIOS (GASTOS GENERALES)</t>
  </si>
  <si>
    <t>Muebles, equipos de oficina y software</t>
  </si>
  <si>
    <t>Impresos y publicaciones</t>
  </si>
  <si>
    <t>Materiales y suministros</t>
  </si>
  <si>
    <t>Correo</t>
  </si>
  <si>
    <t>Transportes, fletes y acarreos</t>
  </si>
  <si>
    <t>Honorarios</t>
  </si>
  <si>
    <t xml:space="preserve">Mantenimiento </t>
  </si>
  <si>
    <t>Seguros,impuestos y gastos legales</t>
  </si>
  <si>
    <t>Comisiones y gastos bancarios</t>
  </si>
  <si>
    <t>Gastos de viaje</t>
  </si>
  <si>
    <t>Servicios públicos</t>
  </si>
  <si>
    <t>Arriendos</t>
  </si>
  <si>
    <t xml:space="preserve">PROGRAMAS Y PROYECTOS </t>
  </si>
  <si>
    <t>TOTAL ÁREA MERCADEO</t>
  </si>
  <si>
    <t>Investigación de mercados</t>
  </si>
  <si>
    <t>Campaña de fomento al consumo</t>
  </si>
  <si>
    <t>Plataforma de Contenidos Digitales</t>
  </si>
  <si>
    <t>Marketing relacional</t>
  </si>
  <si>
    <t>Marca y Marketing</t>
  </si>
  <si>
    <t>Comunicación Integral</t>
  </si>
  <si>
    <t>TOTAL ÁREA TÉCNICA</t>
  </si>
  <si>
    <t>Inocuidad en Producción primaria - IPP</t>
  </si>
  <si>
    <t>Acompañamiento en Producción Primaria</t>
  </si>
  <si>
    <t>Apoyo Nuevos proyectos</t>
  </si>
  <si>
    <t>Actualización y Reconocimiento</t>
  </si>
  <si>
    <t>Convenios</t>
  </si>
  <si>
    <t>Sostenibilidad ambiental y RSE en Producción Primaria</t>
  </si>
  <si>
    <t>Acompañamiento en Sostenibilidad</t>
  </si>
  <si>
    <t>Economía Circular</t>
  </si>
  <si>
    <t>Asociatividad y R.S.E</t>
  </si>
  <si>
    <t>TOTAL ÁREA ECONÓMICA</t>
  </si>
  <si>
    <t>Fortalecimiento institucional</t>
  </si>
  <si>
    <t>Asistencia Financiera y de riesgos</t>
  </si>
  <si>
    <t>Normatividad Sectorial</t>
  </si>
  <si>
    <t>Sistemas de información de mercados</t>
  </si>
  <si>
    <t>TOTAL ÁREA EPPC</t>
  </si>
  <si>
    <t>Vacunación e identificación de porcinos</t>
  </si>
  <si>
    <t>Capacitación y divulgación</t>
  </si>
  <si>
    <t xml:space="preserve">Vigilancia epidemiológica </t>
  </si>
  <si>
    <t>Administración de la base de datos</t>
  </si>
  <si>
    <t>TOTAL ÁREA INVESTIGACION</t>
  </si>
  <si>
    <t>Investigación, desarrollo e innovación</t>
  </si>
  <si>
    <t>Investigación</t>
  </si>
  <si>
    <t>Transferencia de tecnología</t>
  </si>
  <si>
    <t>Vinculación tecnologica</t>
  </si>
  <si>
    <t>Talleres y seminarios</t>
  </si>
  <si>
    <t>Diagnóstico</t>
  </si>
  <si>
    <t>Promoción al diagnóstico rutinario</t>
  </si>
  <si>
    <t>Promoción del monitoreo ambiental e inocuidad</t>
  </si>
  <si>
    <t>Apoyar el proceso de desarrollo de líneas base de residuos y medicamentos veterinarios</t>
  </si>
  <si>
    <t>TOTAL ÁREA SANIDAD</t>
  </si>
  <si>
    <t>Gestión Sanitaria</t>
  </si>
  <si>
    <t>Programa Nacional Para la Cerificación del estatus sanitario</t>
  </si>
  <si>
    <t>TOTAL ÁREA COMERCIALIZACIÓN</t>
  </si>
  <si>
    <t>Comercialización Nacional y sustitución de importaciones</t>
  </si>
  <si>
    <t>Desarrollo de Habilidades Comerciales</t>
  </si>
  <si>
    <t>Experiencia y Promoción Comercial</t>
  </si>
  <si>
    <t>Gestión en transformación</t>
  </si>
  <si>
    <t>Calidad e Inocuidad en la Cadena de Transformacion</t>
  </si>
  <si>
    <t>Magro</t>
  </si>
  <si>
    <t>Desarrollo de tendencias globales</t>
  </si>
  <si>
    <t>Comercio Exterior</t>
  </si>
  <si>
    <t>Admisibilidad</t>
  </si>
  <si>
    <t>Preparación oferta exportable</t>
  </si>
  <si>
    <t>TOTAL GASTOS DE FUNCIONAMIENTO, CUOTA ADMON E INVERSIÓN</t>
  </si>
  <si>
    <t>RESERVA PARA FUTUROS GASTOS DE FUNCIONAMIENTO  E INVERSIÓN</t>
  </si>
  <si>
    <t>TOTAL FONDOS DE EMERGENCIA FNP Y EPPC</t>
  </si>
  <si>
    <t xml:space="preserve">TOTAL PRESUPUESTO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</si>
</sst>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6" formatCode="_-* #,##0_-;\-* #,##0_-;_-* &quot;-&quot;??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b/>
      <sz val="11"/>
      <color indexed="8"/>
      <name val="Calibri"/>
      <family val="2"/>
      <scheme val="minor"/>
    </font>
    <font>
      <b/>
      <sz val="8"/>
      <color indexed="8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9"/>
      <color indexed="8"/>
      <name val="Arial"/>
      <family val="2"/>
    </font>
    <font>
      <b/>
      <sz val="7"/>
      <color indexed="8"/>
      <name val="Arial"/>
      <family val="2"/>
    </font>
    <font>
      <b/>
      <sz val="8"/>
      <color indexed="8"/>
      <name val="Arial"/>
      <family val="2"/>
    </font>
    <font>
      <b/>
      <sz val="9"/>
      <color indexed="8"/>
      <name val="Arial"/>
      <family val="2"/>
    </font>
    <font>
      <sz val="8"/>
      <color indexed="8"/>
      <name val="Arial"/>
      <family val="2"/>
    </font>
    <font>
      <b/>
      <sz val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39997558519241921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/>
    <xf numFmtId="164" fontId="1" fillId="0" borderId="0" applyFont="0" applyFill="0" applyBorder="0" applyAlignment="0" applyProtection="0"/>
  </cellStyleXfs>
  <cellXfs count="95">
    <xf numFmtId="0" fontId="0" fillId="0" borderId="0" xfId="0"/>
    <xf numFmtId="9" fontId="0" fillId="0" borderId="0" xfId="2" applyFont="1"/>
    <xf numFmtId="10" fontId="0" fillId="0" borderId="0" xfId="2" applyNumberFormat="1" applyFont="1"/>
    <xf numFmtId="0" fontId="4" fillId="0" borderId="0" xfId="0" applyFont="1"/>
    <xf numFmtId="0" fontId="7" fillId="0" borderId="0" xfId="3" applyFont="1" applyAlignment="1">
      <alignment vertical="center" wrapText="1"/>
    </xf>
    <xf numFmtId="10" fontId="7" fillId="0" borderId="0" xfId="3" applyNumberFormat="1" applyFont="1" applyAlignment="1">
      <alignment vertical="center" wrapText="1"/>
    </xf>
    <xf numFmtId="0" fontId="8" fillId="0" borderId="0" xfId="3" applyFont="1" applyAlignment="1">
      <alignment vertical="center" wrapText="1"/>
    </xf>
    <xf numFmtId="0" fontId="5" fillId="0" borderId="0" xfId="3" applyFont="1" applyAlignment="1">
      <alignment vertical="center" wrapText="1"/>
    </xf>
    <xf numFmtId="10" fontId="8" fillId="0" borderId="0" xfId="3" applyNumberFormat="1" applyFont="1" applyAlignment="1">
      <alignment vertical="center" wrapText="1"/>
    </xf>
    <xf numFmtId="0" fontId="9" fillId="0" borderId="0" xfId="3" applyFont="1" applyAlignment="1">
      <alignment vertical="center" wrapText="1"/>
    </xf>
    <xf numFmtId="14" fontId="5" fillId="0" borderId="0" xfId="3" applyNumberFormat="1" applyFont="1" applyAlignment="1">
      <alignment vertical="center" wrapText="1"/>
    </xf>
    <xf numFmtId="10" fontId="9" fillId="0" borderId="0" xfId="3" applyNumberFormat="1" applyFont="1" applyAlignment="1">
      <alignment vertical="center" wrapText="1"/>
    </xf>
    <xf numFmtId="0" fontId="4" fillId="2" borderId="0" xfId="0" applyFont="1" applyFill="1"/>
    <xf numFmtId="10" fontId="4" fillId="0" borderId="0" xfId="0" applyNumberFormat="1" applyFont="1"/>
    <xf numFmtId="0" fontId="10" fillId="3" borderId="8" xfId="0" applyFont="1" applyFill="1" applyBorder="1" applyAlignment="1">
      <alignment horizontal="center" vertical="center" wrapText="1"/>
    </xf>
    <xf numFmtId="0" fontId="10" fillId="4" borderId="10" xfId="0" applyFont="1" applyFill="1" applyBorder="1" applyAlignment="1">
      <alignment horizontal="center" vertical="center" wrapText="1"/>
    </xf>
    <xf numFmtId="10" fontId="10" fillId="4" borderId="9" xfId="2" applyNumberFormat="1" applyFont="1" applyFill="1" applyBorder="1" applyAlignment="1">
      <alignment horizontal="center" vertical="center" wrapText="1"/>
    </xf>
    <xf numFmtId="0" fontId="10" fillId="5" borderId="10" xfId="0" applyFont="1" applyFill="1" applyBorder="1" applyAlignment="1">
      <alignment horizontal="center" vertical="center" wrapText="1"/>
    </xf>
    <xf numFmtId="10" fontId="10" fillId="5" borderId="9" xfId="2" applyNumberFormat="1" applyFont="1" applyFill="1" applyBorder="1" applyAlignment="1">
      <alignment horizontal="center" vertical="center" wrapText="1"/>
    </xf>
    <xf numFmtId="10" fontId="10" fillId="3" borderId="11" xfId="2" applyNumberFormat="1" applyFont="1" applyFill="1" applyBorder="1" applyAlignment="1">
      <alignment horizontal="center" vertical="center" wrapText="1"/>
    </xf>
    <xf numFmtId="164" fontId="10" fillId="3" borderId="11" xfId="4" applyFont="1" applyFill="1" applyBorder="1" applyAlignment="1">
      <alignment vertical="center" wrapText="1"/>
    </xf>
    <xf numFmtId="0" fontId="2" fillId="0" borderId="0" xfId="0" applyFont="1"/>
    <xf numFmtId="164" fontId="11" fillId="0" borderId="11" xfId="4" applyFont="1" applyBorder="1" applyAlignment="1">
      <alignment vertical="center" wrapText="1"/>
    </xf>
    <xf numFmtId="10" fontId="10" fillId="3" borderId="11" xfId="2" applyNumberFormat="1" applyFont="1" applyFill="1" applyBorder="1" applyAlignment="1">
      <alignment horizontal="right" vertical="center" wrapText="1"/>
    </xf>
    <xf numFmtId="0" fontId="10" fillId="3" borderId="12" xfId="0" applyFont="1" applyFill="1" applyBorder="1"/>
    <xf numFmtId="164" fontId="10" fillId="3" borderId="11" xfId="4" applyFont="1" applyFill="1" applyBorder="1"/>
    <xf numFmtId="10" fontId="10" fillId="3" borderId="11" xfId="2" applyNumberFormat="1" applyFont="1" applyFill="1" applyBorder="1" applyAlignment="1">
      <alignment horizontal="center"/>
    </xf>
    <xf numFmtId="0" fontId="10" fillId="0" borderId="12" xfId="0" applyFont="1" applyBorder="1"/>
    <xf numFmtId="164" fontId="11" fillId="0" borderId="11" xfId="4" applyFont="1" applyBorder="1"/>
    <xf numFmtId="9" fontId="10" fillId="2" borderId="11" xfId="2" applyFont="1" applyFill="1" applyBorder="1" applyAlignment="1">
      <alignment horizontal="center" vertical="center" wrapText="1"/>
    </xf>
    <xf numFmtId="10" fontId="10" fillId="2" borderId="11" xfId="2" applyNumberFormat="1" applyFont="1" applyFill="1" applyBorder="1" applyAlignment="1">
      <alignment horizontal="center" vertical="center" wrapText="1"/>
    </xf>
    <xf numFmtId="10" fontId="10" fillId="2" borderId="11" xfId="2" applyNumberFormat="1" applyFont="1" applyFill="1" applyBorder="1" applyAlignment="1">
      <alignment horizontal="right" vertical="center" wrapText="1"/>
    </xf>
    <xf numFmtId="164" fontId="0" fillId="0" borderId="0" xfId="0" applyNumberFormat="1"/>
    <xf numFmtId="166" fontId="0" fillId="0" borderId="0" xfId="0" applyNumberFormat="1"/>
    <xf numFmtId="10" fontId="10" fillId="3" borderId="11" xfId="2" applyNumberFormat="1" applyFont="1" applyFill="1" applyBorder="1"/>
    <xf numFmtId="164" fontId="2" fillId="0" borderId="0" xfId="0" applyNumberFormat="1" applyFont="1"/>
    <xf numFmtId="166" fontId="2" fillId="0" borderId="0" xfId="1" applyNumberFormat="1" applyFont="1"/>
    <xf numFmtId="0" fontId="13" fillId="0" borderId="12" xfId="3" applyFont="1" applyBorder="1" applyAlignment="1">
      <alignment vertical="center" wrapText="1"/>
    </xf>
    <xf numFmtId="10" fontId="11" fillId="0" borderId="11" xfId="2" applyNumberFormat="1" applyFont="1" applyBorder="1" applyAlignment="1">
      <alignment horizontal="center"/>
    </xf>
    <xf numFmtId="10" fontId="11" fillId="0" borderId="11" xfId="2" applyNumberFormat="1" applyFont="1" applyBorder="1"/>
    <xf numFmtId="43" fontId="0" fillId="0" borderId="0" xfId="0" applyNumberFormat="1"/>
    <xf numFmtId="10" fontId="11" fillId="3" borderId="11" xfId="2" applyNumberFormat="1" applyFont="1" applyFill="1" applyBorder="1"/>
    <xf numFmtId="0" fontId="11" fillId="2" borderId="12" xfId="0" applyFont="1" applyFill="1" applyBorder="1"/>
    <xf numFmtId="164" fontId="11" fillId="0" borderId="11" xfId="4" applyFont="1" applyFill="1" applyBorder="1" applyAlignment="1">
      <alignment vertical="center" wrapText="1"/>
    </xf>
    <xf numFmtId="0" fontId="11" fillId="0" borderId="12" xfId="0" applyFont="1" applyBorder="1"/>
    <xf numFmtId="10" fontId="11" fillId="0" borderId="11" xfId="2" applyNumberFormat="1" applyFont="1" applyFill="1" applyBorder="1" applyAlignment="1">
      <alignment horizontal="center"/>
    </xf>
    <xf numFmtId="10" fontId="11" fillId="0" borderId="11" xfId="2" applyNumberFormat="1" applyFont="1" applyFill="1" applyBorder="1"/>
    <xf numFmtId="0" fontId="10" fillId="2" borderId="12" xfId="0" applyFont="1" applyFill="1" applyBorder="1"/>
    <xf numFmtId="0" fontId="12" fillId="3" borderId="12" xfId="0" applyFont="1" applyFill="1" applyBorder="1" applyAlignment="1">
      <alignment wrapText="1"/>
    </xf>
    <xf numFmtId="0" fontId="10" fillId="3" borderId="12" xfId="0" applyFont="1" applyFill="1" applyBorder="1" applyAlignment="1">
      <alignment wrapText="1"/>
    </xf>
    <xf numFmtId="0" fontId="14" fillId="3" borderId="12" xfId="3" applyFont="1" applyFill="1" applyBorder="1" applyAlignment="1">
      <alignment vertical="center" wrapText="1"/>
    </xf>
    <xf numFmtId="0" fontId="15" fillId="3" borderId="12" xfId="3" applyFont="1" applyFill="1" applyBorder="1" applyAlignment="1">
      <alignment vertical="center" wrapText="1"/>
    </xf>
    <xf numFmtId="0" fontId="13" fillId="2" borderId="12" xfId="3" applyFont="1" applyFill="1" applyBorder="1" applyAlignment="1">
      <alignment vertical="center" wrapText="1"/>
    </xf>
    <xf numFmtId="0" fontId="13" fillId="6" borderId="12" xfId="3" applyFont="1" applyFill="1" applyBorder="1" applyAlignment="1">
      <alignment vertical="center" wrapText="1"/>
    </xf>
    <xf numFmtId="164" fontId="11" fillId="6" borderId="11" xfId="4" applyFont="1" applyFill="1" applyBorder="1" applyAlignment="1">
      <alignment vertical="center" wrapText="1"/>
    </xf>
    <xf numFmtId="10" fontId="11" fillId="6" borderId="11" xfId="2" applyNumberFormat="1" applyFont="1" applyFill="1" applyBorder="1" applyAlignment="1">
      <alignment horizontal="center"/>
    </xf>
    <xf numFmtId="10" fontId="11" fillId="6" borderId="11" xfId="2" applyNumberFormat="1" applyFont="1" applyFill="1" applyBorder="1"/>
    <xf numFmtId="0" fontId="0" fillId="6" borderId="0" xfId="0" applyFill="1"/>
    <xf numFmtId="0" fontId="16" fillId="3" borderId="12" xfId="3" applyFont="1" applyFill="1" applyBorder="1" applyAlignment="1">
      <alignment vertical="center" wrapText="1"/>
    </xf>
    <xf numFmtId="0" fontId="16" fillId="0" borderId="12" xfId="3" applyFont="1" applyBorder="1" applyAlignment="1">
      <alignment vertical="center" wrapText="1"/>
    </xf>
    <xf numFmtId="164" fontId="10" fillId="0" borderId="11" xfId="4" applyFont="1" applyBorder="1" applyAlignment="1">
      <alignment vertical="center" wrapText="1"/>
    </xf>
    <xf numFmtId="10" fontId="10" fillId="0" borderId="11" xfId="2" applyNumberFormat="1" applyFont="1" applyBorder="1" applyAlignment="1">
      <alignment horizontal="center"/>
    </xf>
    <xf numFmtId="164" fontId="10" fillId="0" borderId="11" xfId="4" applyFont="1" applyFill="1" applyBorder="1" applyAlignment="1">
      <alignment vertical="center" wrapText="1"/>
    </xf>
    <xf numFmtId="10" fontId="10" fillId="0" borderId="11" xfId="2" applyNumberFormat="1" applyFont="1" applyBorder="1"/>
    <xf numFmtId="164" fontId="10" fillId="0" borderId="11" xfId="4" applyFont="1" applyBorder="1"/>
    <xf numFmtId="164" fontId="10" fillId="0" borderId="11" xfId="4" applyFont="1" applyFill="1" applyBorder="1"/>
    <xf numFmtId="164" fontId="11" fillId="0" borderId="11" xfId="4" applyFont="1" applyFill="1" applyBorder="1"/>
    <xf numFmtId="10" fontId="10" fillId="0" borderId="11" xfId="2" applyNumberFormat="1" applyFont="1" applyFill="1" applyBorder="1"/>
    <xf numFmtId="166" fontId="2" fillId="0" borderId="0" xfId="0" applyNumberFormat="1" applyFont="1"/>
    <xf numFmtId="0" fontId="17" fillId="0" borderId="12" xfId="3" applyFont="1" applyBorder="1" applyAlignment="1">
      <alignment vertical="center" wrapText="1"/>
    </xf>
    <xf numFmtId="0" fontId="10" fillId="0" borderId="11" xfId="4" applyNumberFormat="1" applyFont="1" applyBorder="1" applyAlignment="1">
      <alignment vertical="center" wrapText="1"/>
    </xf>
    <xf numFmtId="10" fontId="2" fillId="3" borderId="11" xfId="2" applyNumberFormat="1" applyFont="1" applyFill="1" applyBorder="1" applyAlignment="1">
      <alignment horizontal="center"/>
    </xf>
    <xf numFmtId="10" fontId="2" fillId="3" borderId="11" xfId="2" applyNumberFormat="1" applyFont="1" applyFill="1" applyBorder="1"/>
    <xf numFmtId="43" fontId="2" fillId="0" borderId="0" xfId="0" applyNumberFormat="1" applyFont="1"/>
    <xf numFmtId="0" fontId="10" fillId="2" borderId="12" xfId="0" applyFont="1" applyFill="1" applyBorder="1" applyAlignment="1">
      <alignment wrapText="1"/>
    </xf>
    <xf numFmtId="10" fontId="10" fillId="0" borderId="11" xfId="2" applyNumberFormat="1" applyFont="1" applyFill="1" applyBorder="1" applyAlignment="1">
      <alignment horizontal="center"/>
    </xf>
    <xf numFmtId="10" fontId="2" fillId="0" borderId="11" xfId="2" applyNumberFormat="1" applyFont="1" applyFill="1" applyBorder="1" applyAlignment="1">
      <alignment horizontal="center"/>
    </xf>
    <xf numFmtId="10" fontId="2" fillId="0" borderId="11" xfId="2" applyNumberFormat="1" applyFont="1" applyFill="1" applyBorder="1"/>
    <xf numFmtId="0" fontId="18" fillId="3" borderId="13" xfId="0" applyFont="1" applyFill="1" applyBorder="1" applyAlignment="1">
      <alignment wrapText="1"/>
    </xf>
    <xf numFmtId="164" fontId="10" fillId="3" borderId="14" xfId="4" applyFont="1" applyFill="1" applyBorder="1"/>
    <xf numFmtId="10" fontId="2" fillId="3" borderId="14" xfId="2" applyNumberFormat="1" applyFont="1" applyFill="1" applyBorder="1" applyAlignment="1">
      <alignment horizontal="center"/>
    </xf>
    <xf numFmtId="10" fontId="2" fillId="3" borderId="14" xfId="2" applyNumberFormat="1" applyFont="1" applyFill="1" applyBorder="1"/>
    <xf numFmtId="164" fontId="0" fillId="0" borderId="3" xfId="0" applyNumberForma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3" applyFont="1" applyAlignment="1">
      <alignment horizontal="left" vertical="center" wrapText="1"/>
    </xf>
    <xf numFmtId="0" fontId="8" fillId="0" borderId="0" xfId="3" applyFont="1" applyAlignment="1">
      <alignment horizontal="center" vertical="center" wrapText="1"/>
    </xf>
    <xf numFmtId="0" fontId="9" fillId="0" borderId="5" xfId="3" applyFont="1" applyBorder="1" applyAlignment="1">
      <alignment horizontal="center" vertical="center" wrapText="1"/>
    </xf>
  </cellXfs>
  <cellStyles count="5">
    <cellStyle name="Millares" xfId="1" builtinId="3"/>
    <cellStyle name="Millares 2" xfId="4" xr:uid="{69049C68-35A1-4E85-8FFD-BF5937FDAA76}"/>
    <cellStyle name="Normal" xfId="0" builtinId="0"/>
    <cellStyle name="Normal 2 2" xfId="3" xr:uid="{2436E3A6-44E2-45D6-ADE8-C4474C7FC145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Consolidado!A1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59530</xdr:colOff>
      <xdr:row>1</xdr:row>
      <xdr:rowOff>23812</xdr:rowOff>
    </xdr:from>
    <xdr:ext cx="1431019" cy="456032"/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A102A8E1-FFDE-494E-93F5-855F7B7815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3924"/>
        <a:stretch>
          <a:fillRect/>
        </a:stretch>
      </xdr:blipFill>
      <xdr:spPr bwMode="auto">
        <a:xfrm>
          <a:off x="844390" y="214312"/>
          <a:ext cx="1431019" cy="456032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9</xdr:col>
      <xdr:colOff>104775</xdr:colOff>
      <xdr:row>0</xdr:row>
      <xdr:rowOff>190500</xdr:rowOff>
    </xdr:from>
    <xdr:to>
      <xdr:col>9</xdr:col>
      <xdr:colOff>800075</xdr:colOff>
      <xdr:row>5</xdr:row>
      <xdr:rowOff>137832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36C0B60-D074-4FAB-9001-D7008FB4D3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05020" y="190500"/>
          <a:ext cx="695300" cy="8845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RCICOL\Administrativa\CONTABILIDAD\ANEXO%20CIERRE%20DE%20INGRESOS%202010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RCICOL\Administrativa\JefeControlRegional\Presupuesto%202008\Presupuesto%202008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Users\JorgeOrtiz\Desktop\PPC2013\PRESUPUESTO%202014\PRESUPUESTO%20DEFINITIVO%202014%20NOV\Desagregado%20PPC%202014%20%20definitivo.xls" TargetMode="External"/></Relationships>
</file>

<file path=xl/externalLinks/_rels/externalLink12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A&#241;o%202024/Acuerdos%20presupuestales%202024/Preliminares/Anexos%20acuerdo%209-10.xlsx" TargetMode="External"/><Relationship Id="rId2" Type="http://schemas.openxmlformats.org/officeDocument/2006/relationships/externalLinkPath" Target="file:///Y:\A&#241;o%202024\Acuerdos%20presupuestales%202024\Preliminares\Anexos%20acuerdo%209-10.xlsx" TargetMode="External"/><Relationship Id="rId1" Type="http://schemas.openxmlformats.org/officeDocument/2006/relationships/externalLinkPath" Target="/A&#241;o%202024/Acuerdos%20presupuestales%202024/Preliminares/Anexos%20acuerdo%209-10.xlsx" TargetMode="External"/></Relationships>
</file>

<file path=xl/externalLinks/_rels/externalLink13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A&#241;o%202024/Matriz%20presupuestal/Matriz%20presupuestal%202024%20def.xlsx" TargetMode="External"/><Relationship Id="rId2" Type="http://schemas.openxmlformats.org/officeDocument/2006/relationships/externalLinkPath" Target="file:///Y:\A&#241;o%202024\Matriz%20presupuestal\Matriz%20presupuestal%202024%20def.xlsx" TargetMode="External"/><Relationship Id="rId1" Type="http://schemas.openxmlformats.org/officeDocument/2006/relationships/externalLinkPath" Target="/A&#241;o%202024/Matriz%20presupuestal/Matriz%20presupuestal%202024%20def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RCICOL\Administrativa\A&#241;o%202010\A&#241;o%202010\MANEJO%20PTO%202010\PRESUPUESTO%20INGRESOS%20ESTIMADO%20201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&#241;o%202010\CIERRES%202010\ACUERDOS%202010\ANEXO%20ACUERDO%206-10.xls" TargetMode="External"/></Relationships>
</file>

<file path=xl/externalLinks/_rels/externalLink4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A&#241;o%202024/Presupuesto%202024/Versi&#243;n%205/Presupuesto%202024%20IPC%20y%20SMLV.xlsx" TargetMode="External"/><Relationship Id="rId2" Type="http://schemas.openxmlformats.org/officeDocument/2006/relationships/externalLinkPath" Target="file:///U:\A&#241;o%202024\Presupuesto%202024\Versi&#243;n%205\Presupuesto%202024%20IPC%20y%20SMLV.xlsx" TargetMode="External"/><Relationship Id="rId1" Type="http://schemas.openxmlformats.org/officeDocument/2006/relationships/externalLinkPath" Target="/A&#241;o%202024/Presupuesto%202024/Versi&#243;n%205/Presupuesto%202024%20IPC%20y%20SMLV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CONTRATOS%20ACP%20FNP\MATRIZ%20DE%20CONTROL%20A&#209;O%202011(borrador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RCICOL\Administrativa\2011\Presentaciones\COMITES%20PPC\DESPACHOS%20BIOLOGICO%20201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RCICOL\Administrativa\Documents%20and%20Settings\PatriciaMart&#237;nez\Configuraci&#243;n%20local\Archivos%20temporales%20de%20Internet\Content.Outlook\RD6RDTKZ\A&#241;o%202008\Presupuesto%202009\nomina%202009%20ppc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CONTABILIDAD\ANEXO%20CIERRE%20DE%20INGRESOS%202010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RCICOL\Administrativa\A&#241;o%202010\PTO%20FONDO%202010\Presupuesto%202010%20versi&#243;n%203\PRESUPUESTO%2010%203a%20%20versi&#243;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supuesto general"/>
      <sheetName val="2004VS2005"/>
      <sheetName val="Otros ingresos Modificaciones"/>
      <sheetName val="Inversión total en programas"/>
      <sheetName val="MODELO CONTRATISTAS"/>
      <sheetName val="Servicios personal 2005"/>
      <sheetName val="Nómina 2004"/>
    </sheetNames>
    <sheetDataSet>
      <sheetData sheetId="0"/>
      <sheetData sheetId="1"/>
      <sheetData sheetId="2"/>
      <sheetData sheetId="3">
        <row r="35">
          <cell r="C35" t="e">
            <v>#REF!</v>
          </cell>
        </row>
        <row r="50">
          <cell r="A50" t="str">
            <v>Cadena avícola porcícola</v>
          </cell>
          <cell r="B50">
            <v>0</v>
          </cell>
        </row>
        <row r="60">
          <cell r="A60" t="str">
            <v>Honorarios director nacional</v>
          </cell>
          <cell r="B60" t="e">
            <v>#REF!</v>
          </cell>
        </row>
        <row r="61">
          <cell r="A61" t="str">
            <v>Conceptualización gráfica</v>
          </cell>
          <cell r="B61" t="e">
            <v>#REF!</v>
          </cell>
        </row>
        <row r="62">
          <cell r="A62" t="str">
            <v>Asistente Call Center</v>
          </cell>
          <cell r="B62" t="e">
            <v>#REF!</v>
          </cell>
        </row>
        <row r="63">
          <cell r="A63" t="str">
            <v>Subtotal gastos de personal</v>
          </cell>
          <cell r="B63" t="e">
            <v>#REF!</v>
          </cell>
        </row>
      </sheetData>
      <sheetData sheetId="4"/>
      <sheetData sheetId="5"/>
      <sheetData sheetId="6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gresos"/>
      <sheetName val="Superávit 2006"/>
      <sheetName val="Otros ingresos"/>
      <sheetName val="Presupuesto general"/>
      <sheetName val="2004VS2005"/>
      <sheetName val="Escenarios PPC"/>
      <sheetName val="Anexo 2 Minagricultura"/>
      <sheetName val="Anexo 3 Minagricultura"/>
      <sheetName val="Anexo 4 Regionalizacion"/>
      <sheetName val="Funcionamiento"/>
      <sheetName val="Presupuesto de recaudo"/>
      <sheetName val="Inversión total en programas"/>
      <sheetName val="MODELO CONTRATISTAS"/>
      <sheetName val="Servicios personal 2005"/>
      <sheetName val="Nómina 2004"/>
    </sheetNames>
    <sheetDataSet>
      <sheetData sheetId="0">
        <row r="19">
          <cell r="C19">
            <v>2489922289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13 vs 2014"/>
      <sheetName val="justificacion formulada"/>
      <sheetName val="Escenario PPC"/>
      <sheetName val="Arriendos"/>
      <sheetName val="costos vigilancia "/>
      <sheetName val="Ingresos 2014"/>
      <sheetName val="Recolección de desechos"/>
      <sheetName val="Aux comités"/>
      <sheetName val="Barridos 2014"/>
      <sheetName val="Aux distribuidores"/>
      <sheetName val="VALLAS"/>
      <sheetName val="anexo publicidad"/>
      <sheetName val="REUNIÓNES"/>
      <sheetName val="BRIGADAS"/>
      <sheetName val="Correo"/>
      <sheetName val="anexo viaticos gastos de viaje"/>
      <sheetName val="anexo materiales y dotaciones"/>
      <sheetName val="anexo impresos y publicaciones"/>
      <sheetName val="NOMINA HONORARIOS 2013"/>
      <sheetName val="Participación x dosis"/>
      <sheetName val="SIMULACROS"/>
      <sheetName val="Chapetas ZL"/>
      <sheetName val="Biológico"/>
      <sheetName val="Biológico ZF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Consolidado"/>
      <sheetName val="Anexo No. 1 Regionaliza Recaudo"/>
      <sheetName val="Anexo No. 2 Presup Ingr"/>
      <sheetName val="Anexo No. 3 Presupt Gtos MOD"/>
      <sheetName val="Anexo No. 3 Presupt Gtos"/>
      <sheetName val="Anexo No. 1 Regionaliza Rec MOD"/>
      <sheetName val="Anexo No. 2 Presup IngrMOD"/>
      <sheetName val="Anexo No. 4 Regionaliz ProyectM"/>
      <sheetName val="Anexo 5 Planta y Equipo de inic"/>
      <sheetName val="Anexo 5 Planta y Equipo incre"/>
      <sheetName val="Anexo 5 Planta y Equipo dif"/>
      <sheetName val="Anexo No. 6 Honorarios"/>
      <sheetName val="Anexo No. 7 Regionaliza Recau"/>
      <sheetName val="RECAUDO"/>
      <sheetName val="TABLA HONORARIOS "/>
      <sheetName val="TABLA SIN HONOR"/>
      <sheetName val="Info cont anexo9"/>
      <sheetName val="cargo anexo9"/>
      <sheetName val="%"/>
      <sheetName val="Personal y peso % (2) anexo 9"/>
      <sheetName val="Rubros (2) anexo 9"/>
      <sheetName val="Anexo No. 8 Ejecución Ptal"/>
      <sheetName val="Anexo No. 9 Detalle x progr"/>
      <sheetName val="Anexo No. 10 Detalle x proy"/>
      <sheetName val="Anexo No. 11 Regionaliz Proy"/>
      <sheetName val="Nómina y honorarios 2024ini"/>
      <sheetName val="% Personal"/>
      <sheetName val="Rendimientos"/>
      <sheetName val="Ing programas"/>
      <sheetName val="Anexo No. 12 Ejecucion por Proy"/>
      <sheetName val="Anexo No. 13 Sgto Trimes Pto"/>
      <sheetName val="INGRESO NETO"/>
      <sheetName val="Anexo Ingresos"/>
      <sheetName val="CONCILIACIÓN INGRESOS"/>
      <sheetName val="VENTAS EPPC"/>
      <sheetName val="RES"/>
      <sheetName val="Funcionamiento (2)"/>
      <sheetName val="proyec cabezas"/>
      <sheetName val="FUN"/>
      <sheetName val="MER"/>
      <sheetName val="TEC"/>
      <sheetName val="ECO"/>
      <sheetName val="PPC"/>
      <sheetName val="TRANSF"/>
      <sheetName val="SAN"/>
      <sheetName val="COM"/>
      <sheetName val="FUN REG"/>
      <sheetName val="MER REG"/>
      <sheetName val="TEC REG"/>
      <sheetName val="ECO REG"/>
      <sheetName val="EPPC REG"/>
      <sheetName val="INVES REG"/>
      <sheetName val="SAN REG"/>
      <sheetName val="COM REG"/>
      <sheetName val="Rubros"/>
    </sheetNames>
    <sheetDataSet>
      <sheetData sheetId="0"/>
      <sheetData sheetId="1"/>
      <sheetData sheetId="2"/>
      <sheetData sheetId="3">
        <row r="20">
          <cell r="B20" t="str">
            <v>Sueldos</v>
          </cell>
        </row>
        <row r="21">
          <cell r="B21" t="str">
            <v>Auxilio de transporte</v>
          </cell>
        </row>
        <row r="22">
          <cell r="B22" t="str">
            <v>Vacaciones</v>
          </cell>
        </row>
        <row r="23">
          <cell r="B23" t="str">
            <v>Prima legal</v>
          </cell>
        </row>
        <row r="24">
          <cell r="B24" t="str">
            <v xml:space="preserve">Dotación y suministro </v>
          </cell>
        </row>
        <row r="25">
          <cell r="B25" t="str">
            <v>Cesantías</v>
          </cell>
        </row>
        <row r="26">
          <cell r="B26" t="str">
            <v>Intereses de cesantías</v>
          </cell>
        </row>
        <row r="27">
          <cell r="B27" t="str">
            <v>Seguros y/o fondos privados</v>
          </cell>
        </row>
        <row r="28">
          <cell r="B28" t="str">
            <v>Caja de compensación</v>
          </cell>
        </row>
        <row r="29">
          <cell r="B29" t="str">
            <v>Aportes ICBF</v>
          </cell>
        </row>
        <row r="30">
          <cell r="B30" t="str">
            <v>Aportes SENA</v>
          </cell>
        </row>
        <row r="32">
          <cell r="B32" t="str">
            <v>Muebles, equipos de oficina y software</v>
          </cell>
        </row>
        <row r="33">
          <cell r="B33" t="str">
            <v>Impresos y publicaciones</v>
          </cell>
        </row>
        <row r="34">
          <cell r="B34" t="str">
            <v>Materiales y suministros</v>
          </cell>
        </row>
        <row r="35">
          <cell r="B35" t="str">
            <v>Correo</v>
          </cell>
        </row>
        <row r="36">
          <cell r="B36" t="str">
            <v>Transportes, fletes y acarreos</v>
          </cell>
        </row>
        <row r="37">
          <cell r="B37" t="str">
            <v>Honorarios</v>
          </cell>
        </row>
        <row r="40">
          <cell r="B40" t="str">
            <v xml:space="preserve">Capacitación </v>
          </cell>
        </row>
        <row r="41">
          <cell r="B41" t="str">
            <v xml:space="preserve">Mantenimiento </v>
          </cell>
        </row>
        <row r="42">
          <cell r="B42" t="str">
            <v>Seguros, impuestos y gastos legales</v>
          </cell>
        </row>
        <row r="43">
          <cell r="B43" t="str">
            <v>Comisiones y gastos bancarios</v>
          </cell>
        </row>
        <row r="44">
          <cell r="B44" t="str">
            <v>Gastos de viaje</v>
          </cell>
        </row>
        <row r="45">
          <cell r="B45" t="str">
            <v>Aseo, vigilancia y cafetería</v>
          </cell>
        </row>
        <row r="46">
          <cell r="B46" t="str">
            <v>Servicios públicos</v>
          </cell>
        </row>
        <row r="47">
          <cell r="B47" t="str">
            <v>Arriendos</v>
          </cell>
        </row>
        <row r="48">
          <cell r="B48" t="str">
            <v>Cuota auditaje CGR</v>
          </cell>
        </row>
        <row r="49">
          <cell r="B49" t="str">
            <v>Gastos comisión de fomento</v>
          </cell>
        </row>
        <row r="51">
          <cell r="B51" t="str">
            <v>Control al recaudo</v>
          </cell>
        </row>
        <row r="52">
          <cell r="B52" t="str">
            <v>Fortalecimiento del beneficio formal</v>
          </cell>
        </row>
        <row r="54">
          <cell r="B54" t="str">
            <v>Contraprestación por Administración</v>
          </cell>
        </row>
        <row r="84">
          <cell r="D84">
            <v>63147490</v>
          </cell>
        </row>
        <row r="85">
          <cell r="D85">
            <v>110822000</v>
          </cell>
        </row>
        <row r="86">
          <cell r="D86">
            <v>561406441</v>
          </cell>
        </row>
        <row r="87">
          <cell r="D87">
            <v>85733623</v>
          </cell>
        </row>
        <row r="88">
          <cell r="D88">
            <v>14316691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>
        <row r="30">
          <cell r="H30">
            <v>703604244.79000008</v>
          </cell>
        </row>
        <row r="165">
          <cell r="H165">
            <v>5699002704</v>
          </cell>
        </row>
      </sheetData>
      <sheetData sheetId="12"/>
      <sheetData sheetId="13"/>
      <sheetData sheetId="14">
        <row r="2">
          <cell r="T2" t="str">
            <v>Etiquetas de fila</v>
          </cell>
        </row>
        <row r="13">
          <cell r="W13">
            <v>17693843</v>
          </cell>
          <cell r="X13">
            <v>14683258</v>
          </cell>
          <cell r="Y13">
            <v>50025879</v>
          </cell>
        </row>
      </sheetData>
      <sheetData sheetId="15">
        <row r="4">
          <cell r="S4" t="str">
            <v>Aportes ICBF</v>
          </cell>
          <cell r="T4">
            <v>19761900</v>
          </cell>
        </row>
        <row r="5">
          <cell r="S5" t="str">
            <v>Aportes SENA</v>
          </cell>
          <cell r="T5">
            <v>13175900</v>
          </cell>
        </row>
        <row r="6">
          <cell r="S6" t="str">
            <v>Arriendos</v>
          </cell>
          <cell r="T6">
            <v>11091332</v>
          </cell>
        </row>
        <row r="7">
          <cell r="S7" t="str">
            <v>Aseo, vigilancia y cafetería</v>
          </cell>
          <cell r="T7">
            <v>14839827</v>
          </cell>
        </row>
        <row r="8">
          <cell r="S8" t="str">
            <v>Caja de compensación</v>
          </cell>
          <cell r="T8">
            <v>26345500</v>
          </cell>
        </row>
        <row r="9">
          <cell r="S9" t="str">
            <v>Cesantías</v>
          </cell>
          <cell r="T9">
            <v>54837656</v>
          </cell>
        </row>
        <row r="10">
          <cell r="S10" t="str">
            <v>Cloud server SNR</v>
          </cell>
          <cell r="T10">
            <v>31299381</v>
          </cell>
        </row>
        <row r="11">
          <cell r="S11" t="str">
            <v>Comisiones y gastos bancarios</v>
          </cell>
          <cell r="T11">
            <v>120586957</v>
          </cell>
        </row>
        <row r="12">
          <cell r="S12" t="str">
            <v>Comunicación y divulgación</v>
          </cell>
          <cell r="T12">
            <v>248971237</v>
          </cell>
        </row>
        <row r="13">
          <cell r="S13" t="str">
            <v>Correo</v>
          </cell>
          <cell r="T13">
            <v>67613130</v>
          </cell>
        </row>
        <row r="14">
          <cell r="S14" t="str">
            <v>Cuota de administración FNP</v>
          </cell>
          <cell r="T14">
            <v>3944359530</v>
          </cell>
        </row>
        <row r="15">
          <cell r="S15" t="str">
            <v>Estudio analítica de datos</v>
          </cell>
          <cell r="T15">
            <v>250000000</v>
          </cell>
        </row>
        <row r="16">
          <cell r="S16" t="str">
            <v>Gastos comisión de fomento</v>
          </cell>
          <cell r="T16">
            <v>9656920</v>
          </cell>
        </row>
        <row r="17">
          <cell r="S17" t="str">
            <v>Gastos de viaje</v>
          </cell>
          <cell r="T17">
            <v>20304702</v>
          </cell>
        </row>
        <row r="18">
          <cell r="S18" t="str">
            <v>Gestión con autoridades</v>
          </cell>
          <cell r="T18">
            <v>76199297</v>
          </cell>
        </row>
        <row r="19">
          <cell r="S19" t="str">
            <v>Gestión documental</v>
          </cell>
          <cell r="T19">
            <v>29268285</v>
          </cell>
        </row>
        <row r="20">
          <cell r="S20" t="str">
            <v>Honorarios</v>
          </cell>
          <cell r="T20">
            <v>137081790</v>
          </cell>
        </row>
        <row r="21">
          <cell r="S21" t="str">
            <v>Honorarios Asesor Jurídico</v>
          </cell>
          <cell r="T21">
            <v>30407100</v>
          </cell>
        </row>
        <row r="22">
          <cell r="S22" t="str">
            <v>Impresos y publicaciones</v>
          </cell>
          <cell r="T22">
            <v>18048613</v>
          </cell>
        </row>
        <row r="23">
          <cell r="S23" t="str">
            <v>Intereses de cesantías</v>
          </cell>
          <cell r="T23">
            <v>6580513</v>
          </cell>
        </row>
        <row r="24">
          <cell r="S24" t="str">
            <v>Jorn. trabajo líderes regi.(autoridades)</v>
          </cell>
          <cell r="T24">
            <v>36850279</v>
          </cell>
        </row>
        <row r="25">
          <cell r="S25" t="str">
            <v>Jornadas trabajo líderes reg. (plantas)</v>
          </cell>
          <cell r="T25">
            <v>50989964</v>
          </cell>
        </row>
        <row r="26">
          <cell r="S26" t="str">
            <v xml:space="preserve">Mantenimiento </v>
          </cell>
          <cell r="T26">
            <v>5083680</v>
          </cell>
        </row>
        <row r="27">
          <cell r="S27" t="str">
            <v>Materiales y suministros</v>
          </cell>
          <cell r="T27">
            <v>26888976</v>
          </cell>
        </row>
        <row r="28">
          <cell r="S28" t="str">
            <v>Mov. Subdirector de Recaudo</v>
          </cell>
          <cell r="T28">
            <v>8090273</v>
          </cell>
        </row>
        <row r="29">
          <cell r="S29" t="str">
            <v>Movilización líderes</v>
          </cell>
          <cell r="T29">
            <v>111327071</v>
          </cell>
        </row>
        <row r="30">
          <cell r="S30" t="str">
            <v>Muebles, equipos de oficina y software</v>
          </cell>
          <cell r="T30">
            <v>416188329</v>
          </cell>
        </row>
        <row r="31">
          <cell r="S31" t="str">
            <v>Prima legal</v>
          </cell>
          <cell r="T31">
            <v>54837637</v>
          </cell>
        </row>
        <row r="32">
          <cell r="S32" t="str">
            <v>Seguimiento al recaudo regional</v>
          </cell>
          <cell r="T32">
            <v>50036759</v>
          </cell>
        </row>
        <row r="33">
          <cell r="S33" t="str">
            <v>Seguros y/o fondos privados</v>
          </cell>
          <cell r="T33">
            <v>144996613</v>
          </cell>
        </row>
        <row r="34">
          <cell r="S34" t="str">
            <v>Seguros, impuestos y gastos legales</v>
          </cell>
          <cell r="T34">
            <v>13646501</v>
          </cell>
        </row>
        <row r="35">
          <cell r="S35" t="str">
            <v>Servicios públicos</v>
          </cell>
          <cell r="T35">
            <v>36884729</v>
          </cell>
        </row>
        <row r="36">
          <cell r="S36" t="str">
            <v>Sueldos</v>
          </cell>
          <cell r="T36">
            <v>684755860</v>
          </cell>
        </row>
        <row r="37">
          <cell r="S37" t="str">
            <v>Transportes, fletes y acarreos</v>
          </cell>
          <cell r="T37">
            <v>4912900</v>
          </cell>
        </row>
        <row r="38">
          <cell r="S38" t="str">
            <v>Vacaciones</v>
          </cell>
          <cell r="T38">
            <v>27358034</v>
          </cell>
        </row>
        <row r="39">
          <cell r="S39" t="str">
            <v>Auxilio de transporte</v>
          </cell>
          <cell r="T39">
            <v>1431000</v>
          </cell>
        </row>
        <row r="40">
          <cell r="S40" t="str">
            <v xml:space="preserve">Dotación y suministro </v>
          </cell>
          <cell r="T40">
            <v>600000</v>
          </cell>
        </row>
        <row r="41">
          <cell r="S41" t="str">
            <v xml:space="preserve">Capacitación </v>
          </cell>
          <cell r="T41">
            <v>35621093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38">
          <cell r="G38">
            <v>984592767</v>
          </cell>
        </row>
        <row r="39">
          <cell r="G39">
            <v>1944000</v>
          </cell>
        </row>
        <row r="40">
          <cell r="G40">
            <v>45981074</v>
          </cell>
        </row>
        <row r="41">
          <cell r="G41">
            <v>76635121</v>
          </cell>
        </row>
        <row r="42">
          <cell r="G42">
            <v>956103</v>
          </cell>
        </row>
        <row r="43">
          <cell r="G43">
            <v>76635121</v>
          </cell>
        </row>
        <row r="44">
          <cell r="G44">
            <v>9196214</v>
          </cell>
        </row>
        <row r="45">
          <cell r="G45">
            <v>206649937</v>
          </cell>
        </row>
        <row r="46">
          <cell r="G46">
            <v>39154236</v>
          </cell>
        </row>
        <row r="47">
          <cell r="G47">
            <v>29365692</v>
          </cell>
        </row>
        <row r="48">
          <cell r="G48">
            <v>19577088</v>
          </cell>
        </row>
        <row r="50">
          <cell r="G50">
            <v>643099766</v>
          </cell>
        </row>
        <row r="51">
          <cell r="G51">
            <v>33476354</v>
          </cell>
        </row>
        <row r="52">
          <cell r="G52">
            <v>34014243</v>
          </cell>
        </row>
        <row r="53">
          <cell r="G53">
            <v>80606945</v>
          </cell>
        </row>
        <row r="54">
          <cell r="G54">
            <v>7575308</v>
          </cell>
        </row>
        <row r="56">
          <cell r="G56">
            <v>35621093</v>
          </cell>
        </row>
        <row r="58">
          <cell r="G58">
            <v>22952032</v>
          </cell>
        </row>
        <row r="59">
          <cell r="G59">
            <v>195775029</v>
          </cell>
        </row>
        <row r="60">
          <cell r="G60">
            <v>30680688</v>
          </cell>
        </row>
        <row r="61">
          <cell r="G61">
            <v>18874081</v>
          </cell>
        </row>
        <row r="62">
          <cell r="G62">
            <v>60687126</v>
          </cell>
        </row>
        <row r="63">
          <cell r="G63">
            <v>18317350</v>
          </cell>
        </row>
        <row r="64">
          <cell r="G64">
            <v>157739557</v>
          </cell>
        </row>
        <row r="65">
          <cell r="G65">
            <v>31074404</v>
          </cell>
        </row>
        <row r="75">
          <cell r="G75">
            <v>5352642515</v>
          </cell>
        </row>
        <row r="76">
          <cell r="G76">
            <v>15552000</v>
          </cell>
        </row>
        <row r="77">
          <cell r="G77">
            <v>271425576</v>
          </cell>
        </row>
        <row r="78">
          <cell r="G78">
            <v>350975942</v>
          </cell>
        </row>
        <row r="79">
          <cell r="G79">
            <v>7648824</v>
          </cell>
        </row>
        <row r="80">
          <cell r="G80">
            <v>350975942</v>
          </cell>
        </row>
        <row r="81">
          <cell r="G81">
            <v>42117119</v>
          </cell>
        </row>
        <row r="82">
          <cell r="G82">
            <v>1077759273</v>
          </cell>
        </row>
        <row r="83">
          <cell r="G83">
            <v>215377968</v>
          </cell>
        </row>
        <row r="84">
          <cell r="G84">
            <v>161533524</v>
          </cell>
        </row>
        <row r="85">
          <cell r="G85">
            <v>107688732</v>
          </cell>
        </row>
        <row r="87">
          <cell r="G87">
            <v>32780663</v>
          </cell>
        </row>
        <row r="88">
          <cell r="G88">
            <v>5923761</v>
          </cell>
        </row>
        <row r="89">
          <cell r="G89">
            <v>15299200</v>
          </cell>
        </row>
        <row r="90">
          <cell r="G90">
            <v>100631067</v>
          </cell>
        </row>
        <row r="91">
          <cell r="G91">
            <v>15291592</v>
          </cell>
        </row>
      </sheetData>
      <sheetData sheetId="31"/>
      <sheetData sheetId="32"/>
      <sheetData sheetId="33"/>
      <sheetData sheetId="34"/>
      <sheetData sheetId="35">
        <row r="33">
          <cell r="N33">
            <v>47988170</v>
          </cell>
          <cell r="O33">
            <v>48900165</v>
          </cell>
        </row>
        <row r="35">
          <cell r="R35">
            <v>12138658</v>
          </cell>
        </row>
        <row r="55">
          <cell r="N55">
            <v>1196950760</v>
          </cell>
          <cell r="O55">
            <v>1270714908</v>
          </cell>
          <cell r="P55">
            <v>1347336825</v>
          </cell>
        </row>
        <row r="56">
          <cell r="N56">
            <v>3801600</v>
          </cell>
          <cell r="O56">
            <v>3753000</v>
          </cell>
          <cell r="P56">
            <v>3839400</v>
          </cell>
        </row>
        <row r="57">
          <cell r="N57">
            <v>50665286</v>
          </cell>
          <cell r="O57">
            <v>56439461</v>
          </cell>
          <cell r="P57">
            <v>56781513</v>
          </cell>
        </row>
        <row r="58">
          <cell r="N58">
            <v>76124669</v>
          </cell>
          <cell r="O58">
            <v>83331806</v>
          </cell>
          <cell r="P58">
            <v>88622269</v>
          </cell>
        </row>
        <row r="59">
          <cell r="N59">
            <v>0</v>
          </cell>
          <cell r="O59">
            <v>2400000</v>
          </cell>
          <cell r="P59">
            <v>2400000</v>
          </cell>
        </row>
        <row r="60">
          <cell r="N60">
            <v>76124669</v>
          </cell>
          <cell r="O60">
            <v>83200209</v>
          </cell>
          <cell r="P60">
            <v>88622269</v>
          </cell>
        </row>
        <row r="61">
          <cell r="N61">
            <v>8901376</v>
          </cell>
          <cell r="O61">
            <v>9605858</v>
          </cell>
          <cell r="P61">
            <v>10528545</v>
          </cell>
        </row>
        <row r="62">
          <cell r="N62">
            <v>239456242</v>
          </cell>
          <cell r="O62">
            <v>255120489</v>
          </cell>
          <cell r="P62">
            <v>267544349</v>
          </cell>
        </row>
        <row r="63">
          <cell r="N63">
            <v>45566000</v>
          </cell>
          <cell r="O63">
            <v>49007500</v>
          </cell>
          <cell r="P63">
            <v>51099800</v>
          </cell>
        </row>
        <row r="64">
          <cell r="N64">
            <v>34178000</v>
          </cell>
          <cell r="O64">
            <v>36759500</v>
          </cell>
          <cell r="P64">
            <v>38329400</v>
          </cell>
        </row>
        <row r="65">
          <cell r="N65">
            <v>22789500</v>
          </cell>
          <cell r="O65">
            <v>24508700</v>
          </cell>
          <cell r="P65">
            <v>25558700</v>
          </cell>
        </row>
        <row r="94">
          <cell r="B94">
            <v>8442535286.6000004</v>
          </cell>
          <cell r="C94">
            <v>90552403</v>
          </cell>
        </row>
        <row r="96">
          <cell r="H96">
            <v>11543360391</v>
          </cell>
        </row>
        <row r="98">
          <cell r="H98">
            <v>11582589545</v>
          </cell>
        </row>
        <row r="100">
          <cell r="B100">
            <v>12740554328.400003</v>
          </cell>
          <cell r="C100">
            <v>-641656296</v>
          </cell>
        </row>
      </sheetData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Consolidado"/>
      <sheetName val="Anexo No. 1 Regionaliza Recaudo"/>
      <sheetName val="Anexo No. 2 Presup Ingr"/>
      <sheetName val="Anexo No. 3 Presupt Gtos MOD"/>
      <sheetName val="Anexo No. 3 Presupt Gtos"/>
      <sheetName val="Anexo No. 4 Regionaliz Proyect"/>
      <sheetName val="Anexo No. 1 Regionaliza Rec MOD"/>
      <sheetName val="Anexo No. 2 Presup IngrMOD"/>
      <sheetName val="Anexo No. 4 Regionaliz ProyectM"/>
      <sheetName val="Anexo 5 Planta y Equipo de inic"/>
      <sheetName val="Anexo 5 Planta y Equipo incre"/>
      <sheetName val="Anexo 5 Planta y Equipo dif"/>
      <sheetName val="Anexo No. 6 Honorarios"/>
      <sheetName val="Anexo No. 7 Regionaliza Recau"/>
      <sheetName val="RECAUDO"/>
      <sheetName val="Anexo No. 8 Ejecución Ptal"/>
      <sheetName val="Anexo No. 9 Detalle x progr"/>
      <sheetName val="Anexo No. 10 Detalle x proy"/>
      <sheetName val="Anexo No. 11 Regionaliz Proy"/>
      <sheetName val="Anexo No. 12 Ejecucion por Proy"/>
      <sheetName val="Anexo No. 13 Sgto Trimes Pto"/>
      <sheetName val="Funcionamiento (2)"/>
      <sheetName val="Nómina y honorarios 2024ini"/>
      <sheetName val="% Personal"/>
      <sheetName val="Rendimientos"/>
      <sheetName val="Ing programas"/>
      <sheetName val="INGRESO NETO"/>
      <sheetName val="Anexo Ingresos"/>
      <sheetName val="CONCILIACIÓN INGRESOS"/>
      <sheetName val="VENTAS EPPC"/>
      <sheetName val="proyec cabezas"/>
      <sheetName val="RES"/>
      <sheetName val="FUN"/>
      <sheetName val="MER"/>
      <sheetName val="TEC"/>
      <sheetName val="ECO"/>
      <sheetName val="PPC"/>
      <sheetName val="TRANSF"/>
      <sheetName val="SAN"/>
      <sheetName val="COM"/>
      <sheetName val="FUN REG"/>
      <sheetName val="MER REG"/>
      <sheetName val="TEC REG"/>
      <sheetName val="ECO REG"/>
      <sheetName val="EPPC REG"/>
      <sheetName val="INVES REG"/>
      <sheetName val="SAN REG"/>
      <sheetName val="COM REG"/>
      <sheetName val="Rubros"/>
    </sheetNames>
    <sheetDataSet>
      <sheetData sheetId="0"/>
      <sheetData sheetId="1"/>
      <sheetData sheetId="2"/>
      <sheetData sheetId="3"/>
      <sheetData sheetId="4"/>
      <sheetData sheetId="5"/>
      <sheetData sheetId="6">
        <row r="57">
          <cell r="G57">
            <v>14928622487.25</v>
          </cell>
        </row>
      </sheetData>
      <sheetData sheetId="7">
        <row r="16">
          <cell r="D16">
            <v>83457083465</v>
          </cell>
        </row>
      </sheetData>
      <sheetData sheetId="8"/>
      <sheetData sheetId="9"/>
      <sheetData sheetId="10"/>
      <sheetData sheetId="11"/>
      <sheetData sheetId="12"/>
      <sheetData sheetId="13"/>
      <sheetData sheetId="14">
        <row r="2">
          <cell r="A2" t="str">
            <v>DEPARTAMENTO</v>
          </cell>
        </row>
      </sheetData>
      <sheetData sheetId="15"/>
      <sheetData sheetId="16"/>
      <sheetData sheetId="17"/>
      <sheetData sheetId="18"/>
      <sheetData sheetId="19"/>
      <sheetData sheetId="20"/>
      <sheetData sheetId="21">
        <row r="9">
          <cell r="G9">
            <v>212509586</v>
          </cell>
        </row>
      </sheetData>
      <sheetData sheetId="22">
        <row r="27">
          <cell r="I27">
            <v>1944000</v>
          </cell>
        </row>
      </sheetData>
      <sheetData sheetId="23">
        <row r="18">
          <cell r="P18">
            <v>0.11</v>
          </cell>
        </row>
      </sheetData>
      <sheetData sheetId="24"/>
      <sheetData sheetId="25"/>
      <sheetData sheetId="26">
        <row r="12">
          <cell r="B12">
            <v>83457083465</v>
          </cell>
        </row>
      </sheetData>
      <sheetData sheetId="27"/>
      <sheetData sheetId="28"/>
      <sheetData sheetId="29">
        <row r="78">
          <cell r="N78">
            <v>131376000</v>
          </cell>
        </row>
      </sheetData>
      <sheetData sheetId="30"/>
      <sheetData sheetId="31">
        <row r="13">
          <cell r="B13">
            <v>971497806</v>
          </cell>
        </row>
      </sheetData>
      <sheetData sheetId="32">
        <row r="14">
          <cell r="L14">
            <v>211876256.00000003</v>
          </cell>
        </row>
        <row r="61">
          <cell r="Z61">
            <v>1898853779</v>
          </cell>
          <cell r="AA61">
            <v>2192727155</v>
          </cell>
        </row>
      </sheetData>
      <sheetData sheetId="33">
        <row r="14">
          <cell r="L14">
            <v>127627112</v>
          </cell>
        </row>
        <row r="39">
          <cell r="Z39">
            <v>6000000</v>
          </cell>
        </row>
        <row r="48">
          <cell r="Z48">
            <v>1652899173</v>
          </cell>
        </row>
        <row r="54">
          <cell r="Z54">
            <v>72388168</v>
          </cell>
        </row>
        <row r="61">
          <cell r="Z61">
            <v>449605800</v>
          </cell>
        </row>
        <row r="67">
          <cell r="Z67">
            <v>636842240</v>
          </cell>
        </row>
        <row r="80">
          <cell r="Z80">
            <v>20001173</v>
          </cell>
        </row>
      </sheetData>
      <sheetData sheetId="34">
        <row r="14">
          <cell r="L14">
            <v>357236091.00000006</v>
          </cell>
        </row>
      </sheetData>
      <sheetData sheetId="35">
        <row r="14">
          <cell r="L14">
            <v>103270172</v>
          </cell>
        </row>
        <row r="40">
          <cell r="Z40">
            <v>27275309</v>
          </cell>
          <cell r="AA40">
            <v>31287261</v>
          </cell>
        </row>
        <row r="41">
          <cell r="Z41">
            <v>6034998</v>
          </cell>
          <cell r="AA41">
            <v>28295244</v>
          </cell>
        </row>
        <row r="42">
          <cell r="Z42">
            <v>322308866</v>
          </cell>
          <cell r="AA42">
            <v>241304490</v>
          </cell>
        </row>
      </sheetData>
      <sheetData sheetId="36">
        <row r="14">
          <cell r="H14">
            <v>1498299232</v>
          </cell>
        </row>
        <row r="44">
          <cell r="Z44">
            <v>4976264018</v>
          </cell>
          <cell r="AA44">
            <v>4854298630</v>
          </cell>
        </row>
        <row r="52">
          <cell r="Z52">
            <v>119860350</v>
          </cell>
          <cell r="AA52">
            <v>67061778</v>
          </cell>
        </row>
        <row r="54">
          <cell r="Z54">
            <v>10135185</v>
          </cell>
          <cell r="AA54">
            <v>255511498</v>
          </cell>
        </row>
        <row r="57">
          <cell r="Z57">
            <v>41274891</v>
          </cell>
          <cell r="AA57">
            <v>61263749</v>
          </cell>
        </row>
      </sheetData>
      <sheetData sheetId="37">
        <row r="14">
          <cell r="L14">
            <v>122731540</v>
          </cell>
        </row>
        <row r="39">
          <cell r="Z39">
            <v>119000000</v>
          </cell>
          <cell r="AA39">
            <v>394728001</v>
          </cell>
        </row>
        <row r="44">
          <cell r="Z44">
            <v>111752333</v>
          </cell>
          <cell r="AA44">
            <v>95372015</v>
          </cell>
        </row>
        <row r="45">
          <cell r="Z45">
            <v>144918443</v>
          </cell>
          <cell r="AA45">
            <v>169511523</v>
          </cell>
        </row>
        <row r="47">
          <cell r="AA47">
            <v>84992800</v>
          </cell>
        </row>
        <row r="51">
          <cell r="Z51">
            <v>441502323</v>
          </cell>
          <cell r="AA51">
            <v>1018814588</v>
          </cell>
        </row>
        <row r="56">
          <cell r="AA56">
            <v>18429240</v>
          </cell>
        </row>
        <row r="57">
          <cell r="Z57">
            <v>29275224</v>
          </cell>
          <cell r="AA57">
            <v>72000054</v>
          </cell>
        </row>
      </sheetData>
      <sheetData sheetId="38">
        <row r="14">
          <cell r="L14">
            <v>7897128</v>
          </cell>
        </row>
        <row r="32">
          <cell r="Z32">
            <v>207593470</v>
          </cell>
          <cell r="AA32">
            <v>547395049</v>
          </cell>
        </row>
        <row r="35">
          <cell r="Z35">
            <v>124527848</v>
          </cell>
          <cell r="AA35">
            <v>336032914</v>
          </cell>
        </row>
      </sheetData>
      <sheetData sheetId="39">
        <row r="14">
          <cell r="L14">
            <v>117542480</v>
          </cell>
        </row>
        <row r="40">
          <cell r="Z40">
            <v>58310702</v>
          </cell>
        </row>
        <row r="41">
          <cell r="Z41">
            <v>210736841</v>
          </cell>
          <cell r="AA41">
            <v>477201489</v>
          </cell>
        </row>
        <row r="42">
          <cell r="Z42">
            <v>114529850</v>
          </cell>
          <cell r="AA42">
            <v>187874186</v>
          </cell>
        </row>
        <row r="45">
          <cell r="Z45">
            <v>17313276</v>
          </cell>
        </row>
        <row r="46">
          <cell r="Z46">
            <v>131977601</v>
          </cell>
          <cell r="AA46">
            <v>202593529</v>
          </cell>
        </row>
        <row r="47">
          <cell r="Z47">
            <v>14366466</v>
          </cell>
          <cell r="AA47">
            <v>22377632</v>
          </cell>
        </row>
        <row r="48">
          <cell r="AA48">
            <v>0</v>
          </cell>
        </row>
        <row r="50">
          <cell r="Z50">
            <v>1000000</v>
          </cell>
          <cell r="AA50">
            <v>1627543</v>
          </cell>
        </row>
        <row r="51">
          <cell r="Z51">
            <v>15938102</v>
          </cell>
          <cell r="AA51">
            <v>49895424</v>
          </cell>
        </row>
        <row r="52">
          <cell r="Z52">
            <v>29801297</v>
          </cell>
          <cell r="AA52">
            <v>46268213</v>
          </cell>
        </row>
      </sheetData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exo 1 Minagricultura"/>
      <sheetName val="Presupuesto general"/>
      <sheetName val="2004VS2005"/>
      <sheetName val="Inversión total en programas"/>
      <sheetName val="MODELO CONTRATISTAS"/>
      <sheetName val="Servicios personal 2005"/>
      <sheetName val="Nómina 2004"/>
      <sheetName val="Anexo cierre 2010"/>
      <sheetName val="Anexo 4"/>
      <sheetName val="Anexo 2 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/>
      <sheetData sheetId="7" refreshError="1"/>
      <sheetData sheetId="8"/>
      <sheetData sheetId="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exo 1 Minagricultura"/>
      <sheetName val="Presupuesto general"/>
      <sheetName val="2004VS2005"/>
      <sheetName val="Otros ingresos"/>
      <sheetName val="Anexo 2 "/>
      <sheetName val="Funcionamiento"/>
      <sheetName val="Nómina y honorarios II TRIM."/>
      <sheetName val="Inversión total en programas"/>
      <sheetName val="MODELO CONTRATISTAS"/>
      <sheetName val="Servicios personal 2005"/>
      <sheetName val="Nómina 200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PANEL"/>
      <sheetName val="Ingreso"/>
      <sheetName val="Anexo 1"/>
      <sheetName val="proyec cabezas"/>
      <sheetName val="Otros ingresos"/>
      <sheetName val="Ingresos por vigencias anterior"/>
      <sheetName val="Ejecución ingresos 2023"/>
      <sheetName val="Ejecución Gastos 2023"/>
      <sheetName val="Superavit 2023"/>
      <sheetName val="Indicadores"/>
      <sheetName val="Rendimientos"/>
      <sheetName val="Ventas EPPC"/>
      <sheetName val="Gasto"/>
      <sheetName val="Anexo 2 "/>
      <sheetName val="Anexo 3"/>
      <sheetName val="Anexo 4"/>
      <sheetName val="Funcionamiento"/>
      <sheetName val="IT"/>
      <sheetName val="Detallado gastos generales"/>
      <sheetName val="Reserva"/>
      <sheetName val="F emergencia"/>
      <sheetName val="RR Expo"/>
      <sheetName val="Nómina y honorarios 2024"/>
      <sheetName val="Comparativo nómina 2023-2024"/>
      <sheetName val="Comparativo gastos personal "/>
      <sheetName val="01 Recaudo"/>
      <sheetName val="02 Mercadeo"/>
      <sheetName val="03 Técnica"/>
      <sheetName val="04 Económica"/>
      <sheetName val="05 EPPC"/>
      <sheetName val="06 Investigación"/>
      <sheetName val="07 Sanidad"/>
      <sheetName val="08 Comercialización"/>
    </sheetNames>
    <sheetDataSet>
      <sheetData sheetId="0" refreshError="1"/>
      <sheetData sheetId="1" refreshError="1"/>
      <sheetData sheetId="2">
        <row r="11">
          <cell r="D11">
            <v>31296406299</v>
          </cell>
        </row>
        <row r="28">
          <cell r="D28">
            <v>728705086</v>
          </cell>
        </row>
        <row r="49">
          <cell r="C49">
            <v>8667</v>
          </cell>
        </row>
        <row r="50">
          <cell r="C50">
            <v>5200</v>
          </cell>
        </row>
      </sheetData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>
        <row r="13">
          <cell r="V13">
            <v>260534</v>
          </cell>
        </row>
      </sheetData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secutivo"/>
      <sheetName val="Vencimientos"/>
      <sheetName val="CONTROL CONTRATOS 2011"/>
      <sheetName val="Hoja1"/>
    </sheetNames>
    <sheetDataSet>
      <sheetData sheetId="0">
        <row r="9">
          <cell r="M9" t="str">
            <v>FUNCIONAMIENTO</v>
          </cell>
        </row>
        <row r="10">
          <cell r="M10" t="str">
            <v>MERCADEO</v>
          </cell>
        </row>
        <row r="11">
          <cell r="M11" t="str">
            <v>PPC</v>
          </cell>
        </row>
        <row r="12">
          <cell r="M12" t="str">
            <v>ECONOMICA</v>
          </cell>
        </row>
        <row r="13">
          <cell r="M13" t="str">
            <v>TECNICA</v>
          </cell>
        </row>
      </sheetData>
      <sheetData sheetId="1"/>
      <sheetData sheetId="2" refreshError="1"/>
      <sheetData sheetId="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SES"/>
      <sheetName val="2010  LABORATORIOS"/>
      <sheetName val="2011 LABORATORIOS"/>
      <sheetName val="COMPARATIVO POR DOSIS"/>
      <sheetName val="COMPARATIVO POR LABORATORIO"/>
      <sheetName val="Hoja1"/>
      <sheetName val="BRIGADAS"/>
      <sheetName val="COMITÉ"/>
      <sheetName val="DISTRIBUIDOR"/>
      <sheetName val="DEPARTAMENTO"/>
      <sheetName val="CONSOLIDADO GENERAL"/>
      <sheetName val="BAS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3">
          <cell r="E3">
            <v>40191</v>
          </cell>
        </row>
        <row r="4">
          <cell r="E4">
            <v>40196</v>
          </cell>
        </row>
        <row r="5">
          <cell r="E5">
            <v>40179</v>
          </cell>
        </row>
        <row r="6">
          <cell r="E6">
            <v>40193</v>
          </cell>
        </row>
        <row r="7">
          <cell r="E7">
            <v>40193</v>
          </cell>
        </row>
        <row r="8">
          <cell r="E8">
            <v>40190</v>
          </cell>
        </row>
        <row r="9">
          <cell r="E9">
            <v>40190</v>
          </cell>
        </row>
        <row r="10">
          <cell r="E10">
            <v>40190</v>
          </cell>
        </row>
        <row r="11">
          <cell r="E11">
            <v>40190</v>
          </cell>
        </row>
        <row r="12">
          <cell r="E12">
            <v>40190</v>
          </cell>
        </row>
        <row r="13">
          <cell r="E13">
            <v>40191</v>
          </cell>
        </row>
        <row r="14">
          <cell r="E14">
            <v>40191</v>
          </cell>
        </row>
        <row r="15">
          <cell r="E15">
            <v>40196</v>
          </cell>
        </row>
        <row r="16">
          <cell r="E16">
            <v>40196</v>
          </cell>
        </row>
        <row r="17">
          <cell r="E17">
            <v>40196</v>
          </cell>
        </row>
        <row r="18">
          <cell r="E18">
            <v>40196</v>
          </cell>
        </row>
        <row r="19">
          <cell r="E19">
            <v>40197</v>
          </cell>
        </row>
        <row r="20">
          <cell r="E20">
            <v>40197</v>
          </cell>
        </row>
        <row r="21">
          <cell r="E21">
            <v>40197</v>
          </cell>
        </row>
        <row r="22">
          <cell r="E22">
            <v>40192</v>
          </cell>
        </row>
        <row r="23">
          <cell r="E23">
            <v>40192</v>
          </cell>
        </row>
        <row r="24">
          <cell r="E24">
            <v>40192</v>
          </cell>
        </row>
        <row r="25">
          <cell r="E25">
            <v>40192</v>
          </cell>
        </row>
        <row r="26">
          <cell r="E26">
            <v>40197</v>
          </cell>
        </row>
        <row r="27">
          <cell r="E27">
            <v>40197</v>
          </cell>
        </row>
        <row r="28">
          <cell r="E28">
            <v>40196</v>
          </cell>
        </row>
        <row r="29">
          <cell r="E29">
            <v>40196</v>
          </cell>
        </row>
        <row r="30">
          <cell r="E30">
            <v>40196</v>
          </cell>
        </row>
        <row r="31">
          <cell r="E31">
            <v>40199</v>
          </cell>
        </row>
        <row r="32">
          <cell r="E32">
            <v>40199</v>
          </cell>
        </row>
        <row r="33">
          <cell r="E33">
            <v>40199</v>
          </cell>
        </row>
        <row r="34">
          <cell r="E34">
            <v>40199</v>
          </cell>
        </row>
        <row r="35">
          <cell r="E35">
            <v>40203</v>
          </cell>
        </row>
        <row r="36">
          <cell r="E36">
            <v>40203</v>
          </cell>
        </row>
        <row r="37">
          <cell r="E37">
            <v>40203</v>
          </cell>
        </row>
        <row r="38">
          <cell r="E38">
            <v>40203</v>
          </cell>
        </row>
        <row r="39">
          <cell r="E39">
            <v>40200</v>
          </cell>
        </row>
        <row r="40">
          <cell r="E40">
            <v>40200</v>
          </cell>
        </row>
        <row r="41">
          <cell r="E41">
            <v>40199</v>
          </cell>
        </row>
        <row r="42">
          <cell r="E42">
            <v>40203</v>
          </cell>
        </row>
        <row r="43">
          <cell r="E43">
            <v>40203</v>
          </cell>
        </row>
        <row r="44">
          <cell r="E44">
            <v>40203</v>
          </cell>
        </row>
        <row r="45">
          <cell r="E45">
            <v>40203</v>
          </cell>
        </row>
        <row r="46">
          <cell r="E46">
            <v>40203</v>
          </cell>
        </row>
        <row r="47">
          <cell r="E47">
            <v>40203</v>
          </cell>
        </row>
        <row r="48">
          <cell r="E48">
            <v>40205</v>
          </cell>
        </row>
        <row r="49">
          <cell r="E49">
            <v>40205</v>
          </cell>
        </row>
        <row r="50">
          <cell r="E50">
            <v>40205</v>
          </cell>
        </row>
        <row r="51">
          <cell r="E51">
            <v>40205</v>
          </cell>
        </row>
        <row r="52">
          <cell r="E52">
            <v>40205</v>
          </cell>
        </row>
        <row r="53">
          <cell r="E53">
            <v>40205</v>
          </cell>
        </row>
        <row r="54">
          <cell r="E54">
            <v>40205</v>
          </cell>
        </row>
        <row r="55">
          <cell r="E55">
            <v>40205</v>
          </cell>
        </row>
        <row r="56">
          <cell r="E56">
            <v>40205</v>
          </cell>
        </row>
        <row r="57">
          <cell r="E57">
            <v>40205</v>
          </cell>
        </row>
        <row r="58">
          <cell r="E58">
            <v>40205</v>
          </cell>
        </row>
        <row r="59">
          <cell r="E59">
            <v>40205</v>
          </cell>
        </row>
        <row r="60">
          <cell r="E60">
            <v>40210</v>
          </cell>
        </row>
        <row r="61">
          <cell r="E61">
            <v>40210</v>
          </cell>
        </row>
        <row r="62">
          <cell r="E62">
            <v>40210</v>
          </cell>
        </row>
        <row r="63">
          <cell r="E63">
            <v>40210</v>
          </cell>
        </row>
        <row r="64">
          <cell r="E64">
            <v>40210</v>
          </cell>
        </row>
        <row r="65">
          <cell r="E65">
            <v>40210</v>
          </cell>
        </row>
        <row r="66">
          <cell r="E66">
            <v>40210</v>
          </cell>
        </row>
        <row r="67">
          <cell r="E67">
            <v>40210</v>
          </cell>
        </row>
        <row r="68">
          <cell r="E68">
            <v>40210</v>
          </cell>
        </row>
        <row r="69">
          <cell r="E69">
            <v>40210</v>
          </cell>
        </row>
        <row r="70">
          <cell r="E70">
            <v>40211</v>
          </cell>
        </row>
        <row r="71">
          <cell r="E71">
            <v>40211</v>
          </cell>
        </row>
        <row r="72">
          <cell r="E72">
            <v>40211</v>
          </cell>
        </row>
        <row r="73">
          <cell r="E73">
            <v>40211</v>
          </cell>
        </row>
        <row r="74">
          <cell r="E74">
            <v>40211</v>
          </cell>
        </row>
        <row r="75">
          <cell r="E75">
            <v>40211</v>
          </cell>
        </row>
        <row r="76">
          <cell r="E76">
            <v>40211</v>
          </cell>
        </row>
        <row r="77">
          <cell r="E77">
            <v>40211</v>
          </cell>
        </row>
        <row r="78">
          <cell r="E78">
            <v>40211</v>
          </cell>
        </row>
        <row r="79">
          <cell r="E79">
            <v>40211</v>
          </cell>
        </row>
        <row r="80">
          <cell r="E80">
            <v>40211</v>
          </cell>
        </row>
        <row r="81">
          <cell r="E81">
            <v>40211</v>
          </cell>
        </row>
        <row r="82">
          <cell r="E82">
            <v>40211</v>
          </cell>
        </row>
        <row r="83">
          <cell r="E83">
            <v>40210</v>
          </cell>
        </row>
        <row r="84">
          <cell r="E84">
            <v>40210</v>
          </cell>
        </row>
        <row r="85">
          <cell r="E85">
            <v>40205</v>
          </cell>
        </row>
        <row r="86">
          <cell r="E86">
            <v>40205</v>
          </cell>
        </row>
        <row r="87">
          <cell r="E87">
            <v>40210</v>
          </cell>
        </row>
        <row r="88">
          <cell r="E88">
            <v>40212</v>
          </cell>
        </row>
        <row r="89">
          <cell r="E89">
            <v>40212</v>
          </cell>
        </row>
        <row r="90">
          <cell r="E90">
            <v>40210</v>
          </cell>
        </row>
        <row r="91">
          <cell r="E91">
            <v>40210</v>
          </cell>
        </row>
        <row r="92">
          <cell r="E92">
            <v>40213</v>
          </cell>
        </row>
        <row r="93">
          <cell r="E93">
            <v>40213</v>
          </cell>
        </row>
        <row r="94">
          <cell r="E94">
            <v>40210</v>
          </cell>
        </row>
        <row r="95">
          <cell r="E95">
            <v>40210</v>
          </cell>
        </row>
        <row r="96">
          <cell r="E96">
            <v>40212</v>
          </cell>
        </row>
        <row r="97">
          <cell r="E97">
            <v>40212</v>
          </cell>
        </row>
        <row r="98">
          <cell r="E98">
            <v>40213</v>
          </cell>
        </row>
        <row r="99">
          <cell r="E99">
            <v>40213</v>
          </cell>
        </row>
        <row r="100">
          <cell r="E100">
            <v>40214</v>
          </cell>
        </row>
        <row r="101">
          <cell r="E101">
            <v>40214</v>
          </cell>
        </row>
        <row r="102">
          <cell r="E102">
            <v>40217</v>
          </cell>
        </row>
        <row r="103">
          <cell r="E103">
            <v>40217</v>
          </cell>
        </row>
        <row r="104">
          <cell r="E104">
            <v>40217</v>
          </cell>
        </row>
        <row r="105">
          <cell r="E105">
            <v>40217</v>
          </cell>
        </row>
        <row r="106">
          <cell r="E106">
            <v>40214</v>
          </cell>
        </row>
        <row r="107">
          <cell r="E107">
            <v>40214</v>
          </cell>
        </row>
        <row r="108">
          <cell r="E108">
            <v>40207</v>
          </cell>
        </row>
        <row r="109">
          <cell r="E109">
            <v>40207</v>
          </cell>
        </row>
        <row r="110">
          <cell r="E110">
            <v>40212</v>
          </cell>
        </row>
        <row r="111">
          <cell r="E111">
            <v>40212</v>
          </cell>
        </row>
        <row r="112">
          <cell r="E112">
            <v>40212</v>
          </cell>
        </row>
        <row r="113">
          <cell r="E113">
            <v>40212</v>
          </cell>
        </row>
        <row r="114">
          <cell r="E114">
            <v>40212</v>
          </cell>
        </row>
        <row r="115">
          <cell r="E115">
            <v>40212</v>
          </cell>
        </row>
        <row r="116">
          <cell r="E116">
            <v>40218</v>
          </cell>
        </row>
        <row r="117">
          <cell r="E117">
            <v>40218</v>
          </cell>
        </row>
        <row r="118">
          <cell r="E118">
            <v>40218</v>
          </cell>
        </row>
        <row r="119">
          <cell r="E119">
            <v>40218</v>
          </cell>
        </row>
        <row r="120">
          <cell r="E120">
            <v>40218</v>
          </cell>
        </row>
        <row r="121">
          <cell r="E121">
            <v>40211</v>
          </cell>
        </row>
        <row r="122">
          <cell r="E122">
            <v>40211</v>
          </cell>
        </row>
        <row r="123">
          <cell r="E123">
            <v>40211</v>
          </cell>
        </row>
        <row r="124">
          <cell r="E124">
            <v>40211</v>
          </cell>
        </row>
        <row r="125">
          <cell r="E125">
            <v>40211</v>
          </cell>
        </row>
        <row r="126">
          <cell r="E126">
            <v>40214</v>
          </cell>
        </row>
        <row r="127">
          <cell r="E127">
            <v>40214</v>
          </cell>
        </row>
        <row r="128">
          <cell r="E128">
            <v>40211</v>
          </cell>
        </row>
        <row r="129">
          <cell r="E129">
            <v>40218</v>
          </cell>
        </row>
        <row r="130">
          <cell r="E130">
            <v>40218</v>
          </cell>
        </row>
        <row r="131">
          <cell r="E131">
            <v>40218</v>
          </cell>
        </row>
        <row r="132">
          <cell r="E132">
            <v>40218</v>
          </cell>
        </row>
        <row r="133">
          <cell r="E133">
            <v>40213</v>
          </cell>
        </row>
        <row r="134">
          <cell r="E134">
            <v>40213</v>
          </cell>
        </row>
        <row r="135">
          <cell r="E135">
            <v>40213</v>
          </cell>
        </row>
        <row r="136">
          <cell r="E136">
            <v>40213</v>
          </cell>
        </row>
        <row r="137">
          <cell r="E137">
            <v>40218</v>
          </cell>
        </row>
        <row r="138">
          <cell r="E138">
            <v>40218</v>
          </cell>
        </row>
        <row r="139">
          <cell r="E139">
            <v>40218</v>
          </cell>
        </row>
        <row r="140">
          <cell r="E140">
            <v>40218</v>
          </cell>
        </row>
        <row r="141">
          <cell r="E141">
            <v>40218</v>
          </cell>
        </row>
        <row r="142">
          <cell r="E142">
            <v>40210</v>
          </cell>
        </row>
        <row r="143">
          <cell r="E143">
            <v>40210</v>
          </cell>
        </row>
        <row r="144">
          <cell r="E144">
            <v>40218</v>
          </cell>
        </row>
        <row r="145">
          <cell r="E145">
            <v>40218</v>
          </cell>
        </row>
        <row r="146">
          <cell r="E146">
            <v>40218</v>
          </cell>
        </row>
        <row r="147">
          <cell r="E147">
            <v>40220</v>
          </cell>
        </row>
        <row r="148">
          <cell r="E148">
            <v>40220</v>
          </cell>
        </row>
        <row r="149">
          <cell r="E149">
            <v>40220</v>
          </cell>
        </row>
        <row r="150">
          <cell r="E150">
            <v>40220</v>
          </cell>
        </row>
        <row r="151">
          <cell r="E151">
            <v>40224</v>
          </cell>
        </row>
        <row r="152">
          <cell r="E152">
            <v>40224</v>
          </cell>
        </row>
        <row r="153">
          <cell r="E153">
            <v>40224</v>
          </cell>
        </row>
        <row r="154">
          <cell r="E154">
            <v>40224</v>
          </cell>
        </row>
        <row r="155">
          <cell r="E155">
            <v>40224</v>
          </cell>
        </row>
        <row r="156">
          <cell r="E156">
            <v>40218</v>
          </cell>
        </row>
        <row r="157">
          <cell r="E157">
            <v>40218</v>
          </cell>
        </row>
        <row r="158">
          <cell r="E158">
            <v>40218</v>
          </cell>
        </row>
        <row r="159">
          <cell r="E159">
            <v>40225</v>
          </cell>
        </row>
        <row r="160">
          <cell r="E160">
            <v>40225</v>
          </cell>
        </row>
        <row r="161">
          <cell r="E161">
            <v>40225</v>
          </cell>
        </row>
        <row r="162">
          <cell r="E162">
            <v>40227</v>
          </cell>
        </row>
        <row r="163">
          <cell r="E163">
            <v>40227</v>
          </cell>
        </row>
        <row r="164">
          <cell r="E164">
            <v>40227</v>
          </cell>
        </row>
        <row r="165">
          <cell r="E165">
            <v>40227</v>
          </cell>
        </row>
        <row r="166">
          <cell r="E166">
            <v>40228</v>
          </cell>
        </row>
        <row r="167">
          <cell r="E167">
            <v>40228</v>
          </cell>
        </row>
        <row r="168">
          <cell r="E168">
            <v>40228</v>
          </cell>
        </row>
        <row r="169">
          <cell r="E169">
            <v>40231</v>
          </cell>
        </row>
        <row r="170">
          <cell r="E170">
            <v>40231</v>
          </cell>
        </row>
        <row r="171">
          <cell r="E171">
            <v>40233</v>
          </cell>
        </row>
        <row r="172">
          <cell r="E172">
            <v>40233</v>
          </cell>
        </row>
        <row r="173">
          <cell r="E173">
            <v>40232</v>
          </cell>
        </row>
        <row r="174">
          <cell r="E174">
            <v>40232</v>
          </cell>
        </row>
        <row r="175">
          <cell r="E175">
            <v>40233</v>
          </cell>
        </row>
        <row r="176">
          <cell r="E176">
            <v>40232</v>
          </cell>
        </row>
        <row r="177">
          <cell r="E177">
            <v>40233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exo 1 Minagricultura"/>
      <sheetName val="Otros ingresos"/>
      <sheetName val="Presupuesto general"/>
      <sheetName val="2004VS2005"/>
      <sheetName val="Escenarios PPC"/>
      <sheetName val="Superávit 2006"/>
      <sheetName val="Anexo 2 Minagricultura"/>
      <sheetName val="Anexo 3 Minagricultura"/>
      <sheetName val="Anexo 4 Regionalizacion"/>
      <sheetName val="Funcionamiento"/>
      <sheetName val="NOMINA HONORARIOS 2009 1"/>
      <sheetName val="NOMINA HONORARIOS 2009 2"/>
      <sheetName val="comparativo  alternativas "/>
      <sheetName val="Inversión total en programas"/>
      <sheetName val="MODELO CONTRATISTAS"/>
      <sheetName val="Servicios personal 2005"/>
      <sheetName val="Nómina 2004"/>
    </sheetNames>
    <sheetDataSet>
      <sheetData sheetId="0">
        <row r="51">
          <cell r="C51">
            <v>2168.25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supuesto general"/>
      <sheetName val="2004VS2005"/>
      <sheetName val="Otros ingresos Modificaciones"/>
      <sheetName val="Inversión total en programas"/>
      <sheetName val="MODELO CONTRATISTAS"/>
      <sheetName val="Servicios personal 2005"/>
      <sheetName val="Nómina 2004"/>
    </sheetNames>
    <sheetDataSet>
      <sheetData sheetId="0"/>
      <sheetData sheetId="1"/>
      <sheetData sheetId="2"/>
      <sheetData sheetId="3">
        <row r="35">
          <cell r="C35" t="e">
            <v>#REF!</v>
          </cell>
        </row>
        <row r="50">
          <cell r="A50" t="str">
            <v>Cadena avícola porcícola</v>
          </cell>
          <cell r="B50">
            <v>0</v>
          </cell>
        </row>
        <row r="60">
          <cell r="A60" t="str">
            <v>Honorarios director nacional</v>
          </cell>
          <cell r="B60" t="e">
            <v>#REF!</v>
          </cell>
        </row>
        <row r="61">
          <cell r="A61" t="str">
            <v>Conceptualización gráfica</v>
          </cell>
          <cell r="B61" t="e">
            <v>#REF!</v>
          </cell>
        </row>
        <row r="62">
          <cell r="A62" t="str">
            <v>Asistente Call Center</v>
          </cell>
          <cell r="B62" t="e">
            <v>#REF!</v>
          </cell>
        </row>
        <row r="63">
          <cell r="A63" t="str">
            <v>Subtotal gastos de personal</v>
          </cell>
          <cell r="B63" t="e">
            <v>#REF!</v>
          </cell>
        </row>
      </sheetData>
      <sheetData sheetId="4"/>
      <sheetData sheetId="5"/>
      <sheetData sheetId="6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exo 1 Minagricultura"/>
      <sheetName val="Otros ingresos"/>
      <sheetName val="Presupuesto general"/>
      <sheetName val="2004VS2005"/>
      <sheetName val="Escenario PPC"/>
      <sheetName val="Ejecución ingresos 2009"/>
      <sheetName val="Ejecución gastos 2009"/>
      <sheetName val="Superavit 2009"/>
      <sheetName val="Anexo 2 "/>
      <sheetName val="Anexo 3 "/>
      <sheetName val="Anexo 4"/>
      <sheetName val="Funcionamiento"/>
      <sheetName val="Nómina y honorarios 2010"/>
      <sheetName val="Comparativo nómina 2009-2010"/>
      <sheetName val="Inversión total en programas"/>
      <sheetName val="MODELO CONTRATISTAS"/>
      <sheetName val="Servicios personal 2005"/>
      <sheetName val="Nómina 2004"/>
      <sheetName val="Hoja1"/>
    </sheetNames>
    <sheetDataSet>
      <sheetData sheetId="0">
        <row r="21">
          <cell r="C21">
            <v>1344784788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/>
      <sheetData sheetId="13" refreshError="1"/>
      <sheetData sheetId="14">
        <row r="86">
          <cell r="B86">
            <v>117000000</v>
          </cell>
        </row>
      </sheetData>
      <sheetData sheetId="15" refreshError="1"/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87D612-A6EF-4C56-9E37-E3EC3BE9C89D}">
  <sheetPr>
    <tabColor theme="7" tint="0.39997558519241921"/>
    <pageSetUpPr fitToPage="1"/>
  </sheetPr>
  <dimension ref="A1:M144"/>
  <sheetViews>
    <sheetView showGridLines="0" tabSelected="1" zoomScaleNormal="100" workbookViewId="0">
      <pane xSplit="2" ySplit="14" topLeftCell="F22" activePane="bottomRight" state="frozen"/>
      <selection activeCell="C8" sqref="C8:D10"/>
      <selection pane="topRight" activeCell="C8" sqref="C8:D10"/>
      <selection pane="bottomLeft" activeCell="C8" sqref="C8:D10"/>
      <selection pane="bottomRight" activeCell="B13" sqref="B13:I13"/>
    </sheetView>
  </sheetViews>
  <sheetFormatPr baseColWidth="10" defaultColWidth="11.44140625" defaultRowHeight="14.4" outlineLevelRow="1" x14ac:dyDescent="0.3"/>
  <cols>
    <col min="2" max="2" width="60.6640625" customWidth="1"/>
    <col min="3" max="3" width="22.44140625" bestFit="1" customWidth="1"/>
    <col min="4" max="4" width="23.6640625" customWidth="1"/>
    <col min="5" max="5" width="18.109375" style="1" customWidth="1"/>
    <col min="6" max="6" width="21.5546875" customWidth="1"/>
    <col min="7" max="7" width="18.109375" style="2" customWidth="1"/>
    <col min="8" max="8" width="22" bestFit="1" customWidth="1"/>
    <col min="9" max="9" width="18.109375" style="2" customWidth="1"/>
    <col min="10" max="11" width="17.6640625" bestFit="1" customWidth="1"/>
    <col min="12" max="12" width="28.5546875" customWidth="1"/>
    <col min="13" max="13" width="17.88671875" bestFit="1" customWidth="1"/>
  </cols>
  <sheetData>
    <row r="1" spans="2:11" ht="15" thickBot="1" x14ac:dyDescent="0.35"/>
    <row r="2" spans="2:11" ht="15" customHeight="1" x14ac:dyDescent="0.3">
      <c r="B2" s="83" t="s">
        <v>0</v>
      </c>
      <c r="C2" s="84"/>
      <c r="D2" s="84"/>
      <c r="E2" s="84"/>
      <c r="F2" s="84"/>
      <c r="G2" s="84"/>
      <c r="H2" s="84"/>
      <c r="I2" s="84"/>
    </row>
    <row r="3" spans="2:11" x14ac:dyDescent="0.3">
      <c r="B3" s="85"/>
      <c r="C3" s="86"/>
      <c r="D3" s="86"/>
      <c r="E3" s="86"/>
      <c r="F3" s="86"/>
      <c r="G3" s="86"/>
      <c r="H3" s="86"/>
      <c r="I3" s="86"/>
    </row>
    <row r="4" spans="2:11" x14ac:dyDescent="0.3">
      <c r="B4" s="85"/>
      <c r="C4" s="86"/>
      <c r="D4" s="86"/>
      <c r="E4" s="86"/>
      <c r="F4" s="86"/>
      <c r="G4" s="86"/>
      <c r="H4" s="86"/>
      <c r="I4" s="86"/>
    </row>
    <row r="5" spans="2:11" ht="15" thickBot="1" x14ac:dyDescent="0.35">
      <c r="B5" s="87"/>
      <c r="C5" s="88"/>
      <c r="D5" s="88"/>
      <c r="E5" s="88"/>
      <c r="F5" s="88"/>
      <c r="G5" s="88"/>
      <c r="H5" s="88"/>
      <c r="I5" s="88"/>
    </row>
    <row r="6" spans="2:11" s="3" customFormat="1" ht="15.75" customHeight="1" thickBot="1" x14ac:dyDescent="0.35">
      <c r="B6" s="89" t="s">
        <v>1</v>
      </c>
      <c r="C6" s="90"/>
      <c r="D6" s="90"/>
      <c r="E6" s="90"/>
      <c r="F6" s="90"/>
      <c r="G6" s="90"/>
      <c r="H6" s="90"/>
      <c r="I6" s="90"/>
    </row>
    <row r="7" spans="2:11" s="3" customFormat="1" x14ac:dyDescent="0.3">
      <c r="B7" s="91"/>
      <c r="C7" s="91"/>
      <c r="D7" s="91"/>
      <c r="E7" s="91"/>
      <c r="F7" s="91"/>
      <c r="G7" s="91"/>
      <c r="H7" s="91"/>
      <c r="I7" s="91"/>
    </row>
    <row r="8" spans="2:11" s="3" customFormat="1" ht="12.75" customHeight="1" x14ac:dyDescent="0.3">
      <c r="B8" s="4" t="s">
        <v>2</v>
      </c>
      <c r="C8" s="92" t="s">
        <v>3</v>
      </c>
      <c r="D8" s="92"/>
      <c r="E8" s="4"/>
      <c r="F8" s="4"/>
      <c r="G8" s="5"/>
      <c r="H8" s="4"/>
      <c r="I8" s="5"/>
    </row>
    <row r="9" spans="2:11" s="3" customFormat="1" x14ac:dyDescent="0.3">
      <c r="B9" s="6" t="s">
        <v>4</v>
      </c>
      <c r="C9" s="7">
        <v>2024</v>
      </c>
      <c r="E9" s="6"/>
      <c r="F9" s="6"/>
      <c r="G9" s="8"/>
      <c r="H9" s="6"/>
      <c r="I9" s="8"/>
    </row>
    <row r="10" spans="2:11" s="3" customFormat="1" ht="13.8" x14ac:dyDescent="0.3">
      <c r="B10" s="9" t="s">
        <v>5</v>
      </c>
      <c r="C10" s="10">
        <v>45602</v>
      </c>
      <c r="E10" s="9"/>
      <c r="F10" s="9"/>
      <c r="G10" s="11"/>
      <c r="H10" s="9"/>
      <c r="I10" s="11"/>
    </row>
    <row r="11" spans="2:11" s="3" customFormat="1" ht="13.8" x14ac:dyDescent="0.3">
      <c r="D11" s="12"/>
      <c r="G11" s="13"/>
      <c r="I11" s="13"/>
    </row>
    <row r="12" spans="2:11" s="3" customFormat="1" x14ac:dyDescent="0.3">
      <c r="B12" s="93" t="s">
        <v>6</v>
      </c>
      <c r="C12" s="93"/>
      <c r="D12" s="93"/>
      <c r="E12" s="93"/>
      <c r="F12" s="93"/>
      <c r="G12" s="93"/>
      <c r="H12" s="93"/>
      <c r="I12" s="93"/>
    </row>
    <row r="13" spans="2:11" ht="12" customHeight="1" thickBot="1" x14ac:dyDescent="0.35">
      <c r="B13" s="94" t="s">
        <v>7</v>
      </c>
      <c r="C13" s="94"/>
      <c r="D13" s="94"/>
      <c r="E13" s="94"/>
      <c r="F13" s="94"/>
      <c r="G13" s="94"/>
      <c r="H13" s="94"/>
      <c r="I13" s="94"/>
    </row>
    <row r="14" spans="2:11" ht="36.75" customHeight="1" x14ac:dyDescent="0.3">
      <c r="B14" s="14" t="s">
        <v>8</v>
      </c>
      <c r="C14" s="14" t="s">
        <v>9</v>
      </c>
      <c r="D14" s="14" t="s">
        <v>10</v>
      </c>
      <c r="E14" s="14" t="s">
        <v>11</v>
      </c>
      <c r="F14" s="15" t="s">
        <v>12</v>
      </c>
      <c r="G14" s="16" t="s">
        <v>13</v>
      </c>
      <c r="H14" s="17" t="s">
        <v>14</v>
      </c>
      <c r="I14" s="18" t="s">
        <v>15</v>
      </c>
    </row>
    <row r="15" spans="2:11" ht="15.75" customHeight="1" x14ac:dyDescent="0.3">
      <c r="B15" s="27"/>
      <c r="C15" s="28"/>
      <c r="D15" s="28"/>
      <c r="E15" s="29"/>
      <c r="F15" s="28"/>
      <c r="G15" s="30"/>
      <c r="H15" s="28"/>
      <c r="I15" s="31"/>
    </row>
    <row r="16" spans="2:11" x14ac:dyDescent="0.3">
      <c r="B16" s="24" t="s">
        <v>16</v>
      </c>
      <c r="C16" s="25">
        <f>+C17+C51</f>
        <v>13273550087.389999</v>
      </c>
      <c r="D16" s="25">
        <f>+D17+D51</f>
        <v>2837901847</v>
      </c>
      <c r="E16" s="19">
        <f t="shared" ref="E16:E64" si="0">+D16/C16</f>
        <v>0.21380126856160614</v>
      </c>
      <c r="F16" s="25">
        <f>+F17+F51</f>
        <v>6039305701</v>
      </c>
      <c r="G16" s="19">
        <f t="shared" ref="G16:G65" si="1">+F16/C16</f>
        <v>0.45498797693447501</v>
      </c>
      <c r="H16" s="25">
        <f>+H17+H51</f>
        <v>9410801837</v>
      </c>
      <c r="I16" s="23">
        <f t="shared" ref="I16:I17" si="2">+H16/C16</f>
        <v>0.70898906283861107</v>
      </c>
      <c r="J16" s="32"/>
      <c r="K16" s="33"/>
    </row>
    <row r="17" spans="2:12" x14ac:dyDescent="0.3">
      <c r="B17" s="24" t="s">
        <v>17</v>
      </c>
      <c r="C17" s="25">
        <f>+C18+C30+C47</f>
        <v>4740462397.79</v>
      </c>
      <c r="D17" s="25">
        <f>+D18+D30+D47</f>
        <v>939048068</v>
      </c>
      <c r="E17" s="19">
        <f t="shared" si="0"/>
        <v>0.19809208241748388</v>
      </c>
      <c r="F17" s="25">
        <f>+F18+F30+F47</f>
        <v>1947724767</v>
      </c>
      <c r="G17" s="19">
        <f t="shared" si="1"/>
        <v>0.41087231657148632</v>
      </c>
      <c r="H17" s="25">
        <f>+H18+H30+H47</f>
        <v>3099826589</v>
      </c>
      <c r="I17" s="23">
        <f t="shared" si="2"/>
        <v>0.65390806399922863</v>
      </c>
      <c r="J17" s="82"/>
    </row>
    <row r="18" spans="2:12" s="21" customFormat="1" x14ac:dyDescent="0.3">
      <c r="B18" s="24" t="s">
        <v>18</v>
      </c>
      <c r="C18" s="20">
        <f>SUM(C19:C29)</f>
        <v>1490687353</v>
      </c>
      <c r="D18" s="20">
        <f>SUM(D19:D29)</f>
        <v>319013001</v>
      </c>
      <c r="E18" s="26">
        <f t="shared" si="0"/>
        <v>0.21400396290878038</v>
      </c>
      <c r="F18" s="20">
        <f>SUM(F19:F29)</f>
        <v>666956977</v>
      </c>
      <c r="G18" s="34">
        <f t="shared" si="1"/>
        <v>0.44741573453196126</v>
      </c>
      <c r="H18" s="20">
        <f>SUM(H19:H29)</f>
        <v>1034680613</v>
      </c>
      <c r="I18" s="34">
        <f>+H18/C18</f>
        <v>0.69409632470397697</v>
      </c>
      <c r="J18" s="82"/>
      <c r="K18" s="35"/>
      <c r="L18" s="36"/>
    </row>
    <row r="19" spans="2:12" x14ac:dyDescent="0.3">
      <c r="B19" s="37" t="str">
        <f>+'[12]Anexo No. 3 Presupt Gtos MOD'!B20</f>
        <v>Sueldos</v>
      </c>
      <c r="C19" s="22">
        <f>+'[12]Anexo No. 13 Sgto Trimes Pto'!G38</f>
        <v>984592767</v>
      </c>
      <c r="D19" s="22">
        <v>211876256</v>
      </c>
      <c r="E19" s="38">
        <f>+D19/C19</f>
        <v>0.21519176567341167</v>
      </c>
      <c r="F19" s="22">
        <v>442401525</v>
      </c>
      <c r="G19" s="39">
        <f>+F19/C19</f>
        <v>0.44932437026525507</v>
      </c>
      <c r="H19" s="22">
        <f>+VLOOKUP(B19,'[12]TABLA SIN HONOR'!$S$4:$T$41,2,)</f>
        <v>684755860</v>
      </c>
      <c r="I19" s="39">
        <f>+H19/C19</f>
        <v>0.6954711459910613</v>
      </c>
      <c r="J19" s="32"/>
      <c r="K19" s="40"/>
    </row>
    <row r="20" spans="2:12" x14ac:dyDescent="0.3">
      <c r="B20" s="37" t="str">
        <f>+'[12]Anexo No. 3 Presupt Gtos MOD'!B21</f>
        <v>Auxilio de transporte</v>
      </c>
      <c r="C20" s="22">
        <f>+'[12]Anexo No. 13 Sgto Trimes Pto'!G39</f>
        <v>1944000</v>
      </c>
      <c r="D20" s="22">
        <v>459000</v>
      </c>
      <c r="E20" s="38">
        <f t="shared" si="0"/>
        <v>0.2361111111111111</v>
      </c>
      <c r="F20" s="22">
        <v>945000</v>
      </c>
      <c r="G20" s="39">
        <f t="shared" si="1"/>
        <v>0.4861111111111111</v>
      </c>
      <c r="H20" s="22">
        <f>+VLOOKUP(B20,'[12]TABLA SIN HONOR'!$S$4:$T$41,2,)</f>
        <v>1431000</v>
      </c>
      <c r="I20" s="39">
        <f t="shared" ref="I20:I49" si="3">+H20/C20</f>
        <v>0.73611111111111116</v>
      </c>
      <c r="J20" s="32"/>
      <c r="K20" s="40"/>
    </row>
    <row r="21" spans="2:12" x14ac:dyDescent="0.3">
      <c r="B21" s="37" t="str">
        <f>+'[12]Anexo No. 3 Presupt Gtos MOD'!B22</f>
        <v>Vacaciones</v>
      </c>
      <c r="C21" s="22">
        <f>+'[12]Anexo No. 13 Sgto Trimes Pto'!G40</f>
        <v>45981074</v>
      </c>
      <c r="D21" s="22">
        <v>8358978</v>
      </c>
      <c r="E21" s="38">
        <f t="shared" si="0"/>
        <v>0.18179170847553497</v>
      </c>
      <c r="F21" s="22">
        <v>17542697</v>
      </c>
      <c r="G21" s="39">
        <f t="shared" si="1"/>
        <v>0.38151994883808066</v>
      </c>
      <c r="H21" s="22">
        <f>+VLOOKUP(B21,'[12]TABLA SIN HONOR'!$S$4:$T$41,2,)</f>
        <v>27358034</v>
      </c>
      <c r="I21" s="39">
        <f t="shared" si="3"/>
        <v>0.59498466695232044</v>
      </c>
      <c r="J21" s="32"/>
      <c r="K21" s="40"/>
    </row>
    <row r="22" spans="2:12" x14ac:dyDescent="0.3">
      <c r="B22" s="37" t="str">
        <f>+'[12]Anexo No. 3 Presupt Gtos MOD'!B23</f>
        <v>Prima legal</v>
      </c>
      <c r="C22" s="22">
        <f>+'[12]Anexo No. 13 Sgto Trimes Pto'!G41</f>
        <v>76635121</v>
      </c>
      <c r="D22" s="22">
        <v>16756243</v>
      </c>
      <c r="E22" s="38">
        <f t="shared" si="0"/>
        <v>0.21864965803342309</v>
      </c>
      <c r="F22" s="22">
        <v>35166459</v>
      </c>
      <c r="G22" s="39">
        <f t="shared" si="1"/>
        <v>0.45888175736031006</v>
      </c>
      <c r="H22" s="22">
        <f>+VLOOKUP(B22,'[12]TABLA SIN HONOR'!$S$4:$T$41,2,)</f>
        <v>54837637</v>
      </c>
      <c r="I22" s="39">
        <f t="shared" si="3"/>
        <v>0.71556795741211132</v>
      </c>
      <c r="J22" s="32"/>
      <c r="K22" s="40"/>
    </row>
    <row r="23" spans="2:12" x14ac:dyDescent="0.3">
      <c r="B23" s="37" t="str">
        <f>+'[12]Anexo No. 3 Presupt Gtos MOD'!B24</f>
        <v xml:space="preserve">Dotación y suministro </v>
      </c>
      <c r="C23" s="22">
        <f>+'[12]Anexo No. 13 Sgto Trimes Pto'!G42</f>
        <v>956103</v>
      </c>
      <c r="D23" s="22">
        <v>0</v>
      </c>
      <c r="E23" s="38">
        <f t="shared" si="0"/>
        <v>0</v>
      </c>
      <c r="F23" s="22">
        <v>300000</v>
      </c>
      <c r="G23" s="39">
        <f t="shared" si="1"/>
        <v>0.31377372521579788</v>
      </c>
      <c r="H23" s="22">
        <f>+VLOOKUP(B23,'[12]TABLA SIN HONOR'!$S$4:$T$41,2,)</f>
        <v>600000</v>
      </c>
      <c r="I23" s="39">
        <f t="shared" si="3"/>
        <v>0.62754745043159577</v>
      </c>
      <c r="J23" s="32"/>
      <c r="K23" s="40"/>
    </row>
    <row r="24" spans="2:12" x14ac:dyDescent="0.3">
      <c r="B24" s="37" t="str">
        <f>+'[12]Anexo No. 3 Presupt Gtos MOD'!B25</f>
        <v>Cesantías</v>
      </c>
      <c r="C24" s="22">
        <f>+'[12]Anexo No. 13 Sgto Trimes Pto'!G43</f>
        <v>76635121</v>
      </c>
      <c r="D24" s="22">
        <v>16756243</v>
      </c>
      <c r="E24" s="38">
        <f t="shared" si="0"/>
        <v>0.21864965803342309</v>
      </c>
      <c r="F24" s="22">
        <v>35166478</v>
      </c>
      <c r="G24" s="39">
        <f t="shared" si="1"/>
        <v>0.45888200528841078</v>
      </c>
      <c r="H24" s="22">
        <f>+VLOOKUP(B24,'[12]TABLA SIN HONOR'!$S$4:$T$41,2,)</f>
        <v>54837656</v>
      </c>
      <c r="I24" s="39">
        <f t="shared" si="3"/>
        <v>0.71556820534021215</v>
      </c>
      <c r="J24" s="32"/>
      <c r="K24" s="40"/>
    </row>
    <row r="25" spans="2:12" x14ac:dyDescent="0.3">
      <c r="B25" s="37" t="str">
        <f>+'[12]Anexo No. 3 Presupt Gtos MOD'!B26</f>
        <v>Intereses de cesantías</v>
      </c>
      <c r="C25" s="22">
        <f>+'[12]Anexo No. 13 Sgto Trimes Pto'!G44</f>
        <v>9196214</v>
      </c>
      <c r="D25" s="22">
        <v>2010736</v>
      </c>
      <c r="E25" s="38">
        <f t="shared" si="0"/>
        <v>0.21864823937328992</v>
      </c>
      <c r="F25" s="22">
        <v>4219970</v>
      </c>
      <c r="G25" s="39">
        <f t="shared" si="1"/>
        <v>0.45888123090654481</v>
      </c>
      <c r="H25" s="22">
        <f>+VLOOKUP(B25,'[12]TABLA SIN HONOR'!$S$4:$T$41,2,)</f>
        <v>6580513</v>
      </c>
      <c r="I25" s="39">
        <f t="shared" si="3"/>
        <v>0.71556762380692751</v>
      </c>
      <c r="J25" s="32"/>
      <c r="K25" s="40"/>
    </row>
    <row r="26" spans="2:12" x14ac:dyDescent="0.3">
      <c r="B26" s="37" t="str">
        <f>+'[12]Anexo No. 3 Presupt Gtos MOD'!B27</f>
        <v>Seguros y/o fondos privados</v>
      </c>
      <c r="C26" s="22">
        <f>+'[12]Anexo No. 13 Sgto Trimes Pto'!G45</f>
        <v>206649937</v>
      </c>
      <c r="D26" s="22">
        <v>44657845</v>
      </c>
      <c r="E26" s="38">
        <f t="shared" si="0"/>
        <v>0.21610384038007233</v>
      </c>
      <c r="F26" s="22">
        <v>93232348</v>
      </c>
      <c r="G26" s="39">
        <f t="shared" si="1"/>
        <v>0.45116078598175424</v>
      </c>
      <c r="H26" s="22">
        <f>+VLOOKUP(B26,'[12]TABLA SIN HONOR'!$S$4:$T$41,2,)</f>
        <v>144996613</v>
      </c>
      <c r="I26" s="39">
        <f t="shared" si="3"/>
        <v>0.70165331335184489</v>
      </c>
      <c r="J26" s="32"/>
      <c r="K26" s="40"/>
    </row>
    <row r="27" spans="2:12" x14ac:dyDescent="0.3">
      <c r="B27" s="37" t="str">
        <f>+'[12]Anexo No. 3 Presupt Gtos MOD'!B28</f>
        <v>Caja de compensación</v>
      </c>
      <c r="C27" s="22">
        <f>+'[12]Anexo No. 13 Sgto Trimes Pto'!G46</f>
        <v>39154236</v>
      </c>
      <c r="D27" s="22">
        <v>8060400</v>
      </c>
      <c r="E27" s="38">
        <f t="shared" si="0"/>
        <v>0.20586278327586319</v>
      </c>
      <c r="F27" s="22">
        <v>16879900</v>
      </c>
      <c r="G27" s="39">
        <f t="shared" si="1"/>
        <v>0.4311129963051763</v>
      </c>
      <c r="H27" s="22">
        <f>+VLOOKUP(B27,'[12]TABLA SIN HONOR'!$S$4:$T$41,2,)</f>
        <v>26345500</v>
      </c>
      <c r="I27" s="39">
        <f t="shared" si="3"/>
        <v>0.67286461674287301</v>
      </c>
      <c r="J27" s="32"/>
      <c r="K27" s="40"/>
    </row>
    <row r="28" spans="2:12" x14ac:dyDescent="0.3">
      <c r="B28" s="37" t="str">
        <f>+'[12]Anexo No. 3 Presupt Gtos MOD'!B29</f>
        <v>Aportes ICBF</v>
      </c>
      <c r="C28" s="22">
        <f>+'[12]Anexo No. 13 Sgto Trimes Pto'!G47</f>
        <v>29365692</v>
      </c>
      <c r="D28" s="22">
        <v>6046300</v>
      </c>
      <c r="E28" s="38">
        <f t="shared" si="0"/>
        <v>0.20589673146473103</v>
      </c>
      <c r="F28" s="22">
        <v>12661100</v>
      </c>
      <c r="G28" s="39">
        <f t="shared" si="1"/>
        <v>0.43115278877133223</v>
      </c>
      <c r="H28" s="22">
        <f>+VLOOKUP(B28,'[12]TABLA SIN HONOR'!$S$4:$T$41,2,)</f>
        <v>19761900</v>
      </c>
      <c r="I28" s="39">
        <f t="shared" si="3"/>
        <v>0.67295877107203872</v>
      </c>
      <c r="J28" s="32"/>
      <c r="K28" s="40"/>
    </row>
    <row r="29" spans="2:12" x14ac:dyDescent="0.3">
      <c r="B29" s="37" t="str">
        <f>+'[12]Anexo No. 3 Presupt Gtos MOD'!B30</f>
        <v>Aportes SENA</v>
      </c>
      <c r="C29" s="22">
        <f>+'[12]Anexo No. 13 Sgto Trimes Pto'!G48</f>
        <v>19577088</v>
      </c>
      <c r="D29" s="22">
        <v>4031000</v>
      </c>
      <c r="E29" s="38">
        <f t="shared" si="0"/>
        <v>0.20590396283655668</v>
      </c>
      <c r="F29" s="22">
        <v>8441500</v>
      </c>
      <c r="G29" s="39">
        <f t="shared" si="1"/>
        <v>0.43119283112994128</v>
      </c>
      <c r="H29" s="22">
        <f>+VLOOKUP(B29,'[12]TABLA SIN HONOR'!$S$4:$T$41,2,)</f>
        <v>13175900</v>
      </c>
      <c r="I29" s="39">
        <f t="shared" si="3"/>
        <v>0.67302655022033919</v>
      </c>
      <c r="J29" s="32"/>
      <c r="K29" s="40"/>
    </row>
    <row r="30" spans="2:12" s="21" customFormat="1" x14ac:dyDescent="0.3">
      <c r="B30" s="24" t="s">
        <v>19</v>
      </c>
      <c r="C30" s="25">
        <f>SUM(C31:C46)</f>
        <v>2081600919.79</v>
      </c>
      <c r="D30" s="25">
        <f>SUM(D31:D46)</f>
        <v>415092213</v>
      </c>
      <c r="E30" s="26">
        <f t="shared" si="0"/>
        <v>0.1994100833899882</v>
      </c>
      <c r="F30" s="25">
        <f>SUM(F31:F46)</f>
        <v>728859935</v>
      </c>
      <c r="G30" s="34">
        <f t="shared" si="1"/>
        <v>0.35014393396479199</v>
      </c>
      <c r="H30" s="25">
        <f>SUM(H31:H46)</f>
        <v>1141706330</v>
      </c>
      <c r="I30" s="34">
        <f>+H30/C30</f>
        <v>0.54847512755479555</v>
      </c>
      <c r="J30" s="32"/>
      <c r="K30" s="40"/>
    </row>
    <row r="31" spans="2:12" x14ac:dyDescent="0.3">
      <c r="B31" s="37" t="str">
        <f>+'[12]Anexo No. 3 Presupt Gtos MOD'!B32</f>
        <v>Muebles, equipos de oficina y software</v>
      </c>
      <c r="C31" s="22">
        <f>+'[12]Anexo No. 13 Sgto Trimes Pto'!G50</f>
        <v>643099766</v>
      </c>
      <c r="D31" s="22">
        <v>154682704</v>
      </c>
      <c r="E31" s="38">
        <f t="shared" si="0"/>
        <v>0.24052676144186314</v>
      </c>
      <c r="F31" s="22">
        <v>252980503</v>
      </c>
      <c r="G31" s="39">
        <f t="shared" si="1"/>
        <v>0.39337676107939995</v>
      </c>
      <c r="H31" s="22">
        <f>+VLOOKUP(B31,'[12]TABLA SIN HONOR'!$S$4:$T$41,2,)</f>
        <v>416188329</v>
      </c>
      <c r="I31" s="39">
        <f>+H31/C31</f>
        <v>0.64715982030072761</v>
      </c>
      <c r="J31" s="32"/>
      <c r="K31" s="40"/>
    </row>
    <row r="32" spans="2:12" x14ac:dyDescent="0.3">
      <c r="B32" s="37" t="str">
        <f>+'[12]Anexo No. 3 Presupt Gtos MOD'!B33</f>
        <v>Impresos y publicaciones</v>
      </c>
      <c r="C32" s="22">
        <f>+'[12]Anexo No. 13 Sgto Trimes Pto'!G51</f>
        <v>33476354</v>
      </c>
      <c r="D32" s="22">
        <v>18048613</v>
      </c>
      <c r="E32" s="38">
        <f t="shared" si="0"/>
        <v>0.53914512315170282</v>
      </c>
      <c r="F32" s="22">
        <v>18048613</v>
      </c>
      <c r="G32" s="39">
        <f t="shared" si="1"/>
        <v>0.53914512315170282</v>
      </c>
      <c r="H32" s="22">
        <f>+VLOOKUP(B32,'[12]TABLA SIN HONOR'!$S$4:$T$41,2,)</f>
        <v>18048613</v>
      </c>
      <c r="I32" s="39">
        <f t="shared" si="3"/>
        <v>0.53914512315170282</v>
      </c>
      <c r="J32" s="32"/>
      <c r="K32" s="40"/>
    </row>
    <row r="33" spans="2:11" x14ac:dyDescent="0.3">
      <c r="B33" s="37" t="str">
        <f>+'[12]Anexo No. 3 Presupt Gtos MOD'!B34</f>
        <v>Materiales y suministros</v>
      </c>
      <c r="C33" s="22">
        <f>+'[12]Anexo No. 13 Sgto Trimes Pto'!G52</f>
        <v>34014243</v>
      </c>
      <c r="D33" s="22">
        <v>11999732</v>
      </c>
      <c r="E33" s="38">
        <f t="shared" si="0"/>
        <v>0.35278550811787873</v>
      </c>
      <c r="F33" s="22">
        <v>18860176</v>
      </c>
      <c r="G33" s="39">
        <f t="shared" si="1"/>
        <v>0.55447878113883053</v>
      </c>
      <c r="H33" s="22">
        <f>+VLOOKUP(B33,'[12]TABLA SIN HONOR'!$S$4:$T$41,2,)</f>
        <v>26888976</v>
      </c>
      <c r="I33" s="39">
        <f t="shared" si="3"/>
        <v>0.79052107671483385</v>
      </c>
      <c r="J33" s="32"/>
      <c r="K33" s="40"/>
    </row>
    <row r="34" spans="2:11" x14ac:dyDescent="0.3">
      <c r="B34" s="37" t="str">
        <f>+'[12]Anexo No. 3 Presupt Gtos MOD'!B35</f>
        <v>Correo</v>
      </c>
      <c r="C34" s="22">
        <f>+'[12]Anexo No. 13 Sgto Trimes Pto'!G53</f>
        <v>80606945</v>
      </c>
      <c r="D34" s="22">
        <v>23372090</v>
      </c>
      <c r="E34" s="38">
        <f t="shared" si="0"/>
        <v>0.28995131871081331</v>
      </c>
      <c r="F34" s="22">
        <v>45341672</v>
      </c>
      <c r="G34" s="39">
        <f t="shared" si="1"/>
        <v>0.56250329298548651</v>
      </c>
      <c r="H34" s="22">
        <f>+VLOOKUP(B34,'[12]TABLA SIN HONOR'!$S$4:$T$41,2,)</f>
        <v>67613130</v>
      </c>
      <c r="I34" s="39">
        <f t="shared" si="3"/>
        <v>0.83880030436583353</v>
      </c>
      <c r="J34" s="32"/>
      <c r="K34" s="40"/>
    </row>
    <row r="35" spans="2:11" x14ac:dyDescent="0.3">
      <c r="B35" s="37" t="str">
        <f>+'[12]Anexo No. 3 Presupt Gtos MOD'!B36</f>
        <v>Transportes, fletes y acarreos</v>
      </c>
      <c r="C35" s="22">
        <f>+'[12]Anexo No. 13 Sgto Trimes Pto'!G54</f>
        <v>7575308</v>
      </c>
      <c r="D35" s="22">
        <v>1392800</v>
      </c>
      <c r="E35" s="38">
        <f t="shared" si="0"/>
        <v>0.18386051101816586</v>
      </c>
      <c r="F35" s="22">
        <v>3382500</v>
      </c>
      <c r="G35" s="39">
        <f t="shared" si="1"/>
        <v>0.44651649807506177</v>
      </c>
      <c r="H35" s="22">
        <f>+VLOOKUP(B35,'[12]TABLA SIN HONOR'!$S$4:$T$41,2,)</f>
        <v>4912900</v>
      </c>
      <c r="I35" s="39">
        <f t="shared" si="3"/>
        <v>0.64854128703413771</v>
      </c>
      <c r="J35" s="32"/>
      <c r="K35" s="40"/>
    </row>
    <row r="36" spans="2:11" x14ac:dyDescent="0.3">
      <c r="B36" s="37" t="str">
        <f>+'[12]Anexo No. 3 Presupt Gtos MOD'!B37</f>
        <v>Honorarios</v>
      </c>
      <c r="C36" s="22">
        <f>+'[12]Anexo No. 6 Honorarios'!H30</f>
        <v>703604244.79000008</v>
      </c>
      <c r="D36" s="22">
        <v>103297340</v>
      </c>
      <c r="E36" s="38">
        <f t="shared" si="0"/>
        <v>0.14681170667301821</v>
      </c>
      <c r="F36" s="22">
        <f>+[12]RES!O33+[12]RES!N33+GETPIVOTDATA("VALOR DOC",'[12]TABLA HONORARIOS '!$T$2,"trimestre","trime 1","AREA","01","RUBRO2","Gestión con autoridades")+GETPIVOTDATA("VALOR DOC",'[12]TABLA HONORARIOS '!$T$2,"trimestre","trime 2","AREA","01","RUBRO2","Gestión con autoridades")+GETPIVOTDATA("VALOR DOC",'[12]TABLA HONORARIOS '!$T$2,"trimestre","trime 1","AREA","01","RUBRO2","Mantenimiento ")+GETPIVOTDATA("VALOR DOC",'[12]TABLA HONORARIOS '!$T$2,"trimestre","trime 2","AREA","01","RUBRO2","Mantenimiento ")+GETPIVOTDATA("VALOR DOC",'[12]TABLA HONORARIOS '!$T$2,"trimestre","trime 1","AREA","01","RUBRO2","Seguimiento al recaudo regional")+GETPIVOTDATA("VALOR DOC",'[12]TABLA HONORARIOS '!$T$2,"trimestre","trime 2","AREA","01","RUBRO2","Seguimiento al recaudo regional")+GETPIVOTDATA("VALOR DOC",'[12]TABLA HONORARIOS '!$T$2,"trimestre","trime 1","AREA","05","RUBRO2","Mantenimiento")</f>
        <v>216659218</v>
      </c>
      <c r="G36" s="39">
        <f t="shared" si="1"/>
        <v>0.30792767326846471</v>
      </c>
      <c r="H36" s="22">
        <f>145788500+GETPIVOTDATA("VALOR DOC",'[12]TABLA HONORARIOS '!$T$2,"trimestre","trime 1","AREA","01","RUBRO2","Gestión con autoridades")+GETPIVOTDATA("VALOR DOC",'[12]TABLA HONORARIOS '!$T$2,"trimestre","trime 3","AREA","01","RUBRO2","Gestión con autoridades")+GETPIVOTDATA("VALOR DOC",'[12]TABLA HONORARIOS '!$T$2,"trimestre","trime 2","AREA","01","RUBRO2","Gestión con autoridades")+GETPIVOTDATA("VALOR DOC",'[12]TABLA HONORARIOS '!$T$2,"trimestre","trime 2","AREA","01","RUBRO2","Mantenimiento ")+GETPIVOTDATA("VALOR DOC",'[12]TABLA HONORARIOS '!$T$2,"trimestre","trime 1","AREA","01","RUBRO2","Mantenimiento ")+GETPIVOTDATA("VALOR DOC",'[12]TABLA HONORARIOS '!$T$2,"trimestre","trime 3","AREA","01","RUBRO2","Mantenimiento ")+GETPIVOTDATA("VALOR DOC",'[12]TABLA HONORARIOS '!$T$2,"trimestre","trime 1","AREA","01","RUBRO2","Seguimiento al recaudo regional")+GETPIVOTDATA("VALOR DOC",'[12]TABLA HONORARIOS '!$T$2,"trimestre","trime 2","AREA","01","RUBRO2","Seguimiento al recaudo regional")+GETPIVOTDATA("VALOR DOC",'[12]TABLA HONORARIOS '!$T$2,"trimestre","trime 3","AREA","01","RUBRO2","Seguimiento al recaudo regional")</f>
        <v>340338641</v>
      </c>
      <c r="I36" s="39">
        <f t="shared" si="3"/>
        <v>0.48370748687222392</v>
      </c>
      <c r="J36" s="32"/>
      <c r="K36" s="40"/>
    </row>
    <row r="37" spans="2:11" x14ac:dyDescent="0.3">
      <c r="B37" s="37" t="str">
        <f>+'[12]Anexo No. 3 Presupt Gtos MOD'!B40</f>
        <v xml:space="preserve">Capacitación </v>
      </c>
      <c r="C37" s="22">
        <f>+'[12]Anexo No. 13 Sgto Trimes Pto'!G56</f>
        <v>35621093</v>
      </c>
      <c r="D37" s="22">
        <v>35621093</v>
      </c>
      <c r="E37" s="38">
        <f t="shared" si="0"/>
        <v>1</v>
      </c>
      <c r="F37" s="22">
        <v>35621093</v>
      </c>
      <c r="G37" s="39">
        <f t="shared" si="1"/>
        <v>1</v>
      </c>
      <c r="H37" s="22">
        <f>+VLOOKUP(B37,'[12]TABLA SIN HONOR'!$S$4:$T$41,2,)</f>
        <v>35621093</v>
      </c>
      <c r="I37" s="39">
        <f t="shared" si="3"/>
        <v>1</v>
      </c>
      <c r="J37" s="32"/>
      <c r="K37" s="40"/>
    </row>
    <row r="38" spans="2:11" x14ac:dyDescent="0.3">
      <c r="B38" s="37" t="str">
        <f>+'[12]Anexo No. 3 Presupt Gtos MOD'!B41</f>
        <v xml:space="preserve">Mantenimiento </v>
      </c>
      <c r="C38" s="22">
        <v>7502699</v>
      </c>
      <c r="D38" s="22" t="s">
        <v>20</v>
      </c>
      <c r="E38" s="38" t="e">
        <f t="shared" si="0"/>
        <v>#VALUE!</v>
      </c>
      <c r="F38" s="22">
        <f>5271384-GETPIVOTDATA("VALOR DOC",'[12]TABLA HONORARIOS '!$T$2,"trimestre","trime 1","AREA","01","RUBRO2","Mantenimiento ")-GETPIVOTDATA("VALOR DOC",'[12]TABLA HONORARIOS '!$T$2,"trimestre","trime 2","AREA","01","RUBRO2","Mantenimiento ")</f>
        <v>1157870</v>
      </c>
      <c r="G38" s="39">
        <f t="shared" si="1"/>
        <v>0.15432712947700555</v>
      </c>
      <c r="H38" s="22">
        <f>+[12]RES!R35-GETPIVOTDATA("VALOR DOC",'[12]TABLA HONORARIOS '!$T$2,"trimestre","trime 2","AREA","01","RUBRO2","Mantenimiento ")-GETPIVOTDATA("VALOR DOC",'[12]TABLA HONORARIOS '!$T$2,"trimestre","trime 1","AREA","01","RUBRO2","Mantenimiento ")-GETPIVOTDATA("VALOR DOC",'[12]TABLA HONORARIOS '!$T$2,"trimestre","trime 3","AREA","01","RUBRO2","Mantenimiento ")</f>
        <v>5083680</v>
      </c>
      <c r="I38" s="39">
        <f t="shared" si="3"/>
        <v>0.67758016148588662</v>
      </c>
      <c r="J38" s="32"/>
      <c r="K38" s="40"/>
    </row>
    <row r="39" spans="2:11" x14ac:dyDescent="0.3">
      <c r="B39" s="37" t="str">
        <f>+'[12]Anexo No. 3 Presupt Gtos MOD'!B42</f>
        <v>Seguros, impuestos y gastos legales</v>
      </c>
      <c r="C39" s="22">
        <f>+'[12]Anexo No. 13 Sgto Trimes Pto'!G58</f>
        <v>22952032</v>
      </c>
      <c r="D39" s="22">
        <v>3900000</v>
      </c>
      <c r="E39" s="38">
        <f t="shared" si="0"/>
        <v>0.16991959579003724</v>
      </c>
      <c r="F39" s="22">
        <v>7982501</v>
      </c>
      <c r="G39" s="39">
        <f t="shared" si="1"/>
        <v>0.34779060084963281</v>
      </c>
      <c r="H39" s="22">
        <f>+VLOOKUP(B39,'[12]TABLA SIN HONOR'!$S$4:$T$41,2,)</f>
        <v>13646501</v>
      </c>
      <c r="I39" s="39">
        <f t="shared" si="3"/>
        <v>0.5945661368893177</v>
      </c>
      <c r="J39" s="32"/>
      <c r="K39" s="40"/>
    </row>
    <row r="40" spans="2:11" x14ac:dyDescent="0.3">
      <c r="B40" s="37" t="str">
        <f>+'[12]Anexo No. 3 Presupt Gtos MOD'!B43</f>
        <v>Comisiones y gastos bancarios</v>
      </c>
      <c r="C40" s="22">
        <f>+'[12]Anexo No. 13 Sgto Trimes Pto'!G59</f>
        <v>195775029</v>
      </c>
      <c r="D40" s="22">
        <v>33097700</v>
      </c>
      <c r="E40" s="38">
        <f t="shared" si="0"/>
        <v>0.169059865137346</v>
      </c>
      <c r="F40" s="22">
        <v>73708613</v>
      </c>
      <c r="G40" s="39">
        <f t="shared" si="1"/>
        <v>0.37649649894829029</v>
      </c>
      <c r="H40" s="22">
        <f>+VLOOKUP(B40,'[12]TABLA SIN HONOR'!$S$4:$T$41,2,)</f>
        <v>120586957</v>
      </c>
      <c r="I40" s="39">
        <f t="shared" si="3"/>
        <v>0.6159465669138019</v>
      </c>
      <c r="J40" s="32"/>
      <c r="K40" s="40"/>
    </row>
    <row r="41" spans="2:11" x14ac:dyDescent="0.3">
      <c r="B41" s="37" t="str">
        <f>+'[12]Anexo No. 3 Presupt Gtos MOD'!B44</f>
        <v>Gastos de viaje</v>
      </c>
      <c r="C41" s="22">
        <f>+'[12]Anexo No. 13 Sgto Trimes Pto'!G60</f>
        <v>30680688</v>
      </c>
      <c r="D41" s="22">
        <v>4199844</v>
      </c>
      <c r="E41" s="38">
        <f t="shared" si="0"/>
        <v>0.13688884682116645</v>
      </c>
      <c r="F41" s="22">
        <v>6106004</v>
      </c>
      <c r="G41" s="39">
        <f t="shared" si="1"/>
        <v>0.19901783167313589</v>
      </c>
      <c r="H41" s="22">
        <f>+VLOOKUP(B41,'[12]TABLA SIN HONOR'!$S$4:$T$41,2,)</f>
        <v>20304702</v>
      </c>
      <c r="I41" s="39">
        <f t="shared" si="3"/>
        <v>0.66180725803802054</v>
      </c>
      <c r="J41" s="32"/>
      <c r="K41" s="40"/>
    </row>
    <row r="42" spans="2:11" x14ac:dyDescent="0.3">
      <c r="B42" s="37" t="str">
        <f>+'[12]Anexo No. 3 Presupt Gtos MOD'!B45</f>
        <v>Aseo, vigilancia y cafetería</v>
      </c>
      <c r="C42" s="22">
        <f>+'[12]Anexo No. 13 Sgto Trimes Pto'!G61</f>
        <v>18874081</v>
      </c>
      <c r="D42" s="22">
        <v>3750000</v>
      </c>
      <c r="E42" s="38">
        <f t="shared" si="0"/>
        <v>0.19868517041968825</v>
      </c>
      <c r="F42" s="22">
        <v>8919092</v>
      </c>
      <c r="G42" s="39">
        <f t="shared" si="1"/>
        <v>0.47255768373570084</v>
      </c>
      <c r="H42" s="22">
        <f>+VLOOKUP(B42,'[12]TABLA SIN HONOR'!$S$4:$T$41,2,)</f>
        <v>14839827</v>
      </c>
      <c r="I42" s="39">
        <f t="shared" si="3"/>
        <v>0.78625428173165091</v>
      </c>
      <c r="J42" s="32"/>
      <c r="K42" s="40"/>
    </row>
    <row r="43" spans="2:11" x14ac:dyDescent="0.3">
      <c r="B43" s="37" t="str">
        <f>+'[12]Anexo No. 3 Presupt Gtos MOD'!B46</f>
        <v>Servicios públicos</v>
      </c>
      <c r="C43" s="22">
        <f>+'[12]Anexo No. 13 Sgto Trimes Pto'!G62</f>
        <v>60687126</v>
      </c>
      <c r="D43" s="22">
        <v>11202093</v>
      </c>
      <c r="E43" s="38">
        <f t="shared" si="0"/>
        <v>0.18458763395715921</v>
      </c>
      <c r="F43" s="22">
        <v>25859525</v>
      </c>
      <c r="G43" s="39">
        <f t="shared" si="1"/>
        <v>0.42611220376460074</v>
      </c>
      <c r="H43" s="22">
        <f>+VLOOKUP(B43,'[12]TABLA SIN HONOR'!$S$4:$T$41,2,)</f>
        <v>36884729</v>
      </c>
      <c r="I43" s="39">
        <f t="shared" si="3"/>
        <v>0.60778506795658771</v>
      </c>
      <c r="J43" s="32"/>
      <c r="K43" s="40"/>
    </row>
    <row r="44" spans="2:11" x14ac:dyDescent="0.3">
      <c r="B44" s="37" t="str">
        <f>+'[12]Anexo No. 3 Presupt Gtos MOD'!B47</f>
        <v>Arriendos</v>
      </c>
      <c r="C44" s="22">
        <f>+'[12]Anexo No. 13 Sgto Trimes Pto'!G63</f>
        <v>18317350</v>
      </c>
      <c r="D44" s="22">
        <v>3698964</v>
      </c>
      <c r="E44" s="38">
        <f t="shared" si="0"/>
        <v>0.20193772570814009</v>
      </c>
      <c r="F44" s="22">
        <v>7403315</v>
      </c>
      <c r="G44" s="39">
        <f t="shared" si="1"/>
        <v>0.40416954417533102</v>
      </c>
      <c r="H44" s="22">
        <f>+VLOOKUP(B44,'[12]TABLA SIN HONOR'!$S$4:$T$41,2,)</f>
        <v>11091332</v>
      </c>
      <c r="I44" s="39">
        <f t="shared" si="3"/>
        <v>0.60550963976776118</v>
      </c>
      <c r="J44" s="32"/>
      <c r="K44" s="40"/>
    </row>
    <row r="45" spans="2:11" x14ac:dyDescent="0.3">
      <c r="B45" s="37" t="str">
        <f>+'[12]Anexo No. 3 Presupt Gtos MOD'!B48</f>
        <v>Cuota auditaje CGR</v>
      </c>
      <c r="C45" s="22">
        <f>+'[12]Anexo No. 13 Sgto Trimes Pto'!G64</f>
        <v>157739557</v>
      </c>
      <c r="D45" s="22" t="s">
        <v>20</v>
      </c>
      <c r="E45" s="38">
        <v>0</v>
      </c>
      <c r="F45" s="22">
        <v>0</v>
      </c>
      <c r="G45" s="39">
        <f t="shared" si="1"/>
        <v>0</v>
      </c>
      <c r="H45" s="22"/>
      <c r="I45" s="39">
        <f t="shared" si="3"/>
        <v>0</v>
      </c>
      <c r="K45" s="40"/>
    </row>
    <row r="46" spans="2:11" x14ac:dyDescent="0.3">
      <c r="B46" s="37" t="str">
        <f>+'[12]Anexo No. 3 Presupt Gtos MOD'!B49</f>
        <v>Gastos comisión de fomento</v>
      </c>
      <c r="C46" s="22">
        <f>+'[12]Anexo No. 13 Sgto Trimes Pto'!G65</f>
        <v>31074404</v>
      </c>
      <c r="D46" s="22">
        <v>6829240</v>
      </c>
      <c r="E46" s="38">
        <f t="shared" si="0"/>
        <v>0.21977058675043293</v>
      </c>
      <c r="F46" s="22">
        <v>6829240</v>
      </c>
      <c r="G46" s="39">
        <f t="shared" si="1"/>
        <v>0.21977058675043293</v>
      </c>
      <c r="H46" s="22">
        <f>+VLOOKUP(B46,'[12]TABLA SIN HONOR'!$S$4:$T$41,2,)</f>
        <v>9656920</v>
      </c>
      <c r="I46" s="39">
        <f t="shared" si="3"/>
        <v>0.31076766588990734</v>
      </c>
      <c r="J46" s="32"/>
      <c r="K46" s="40"/>
    </row>
    <row r="47" spans="2:11" x14ac:dyDescent="0.3">
      <c r="B47" s="24" t="s">
        <v>21</v>
      </c>
      <c r="C47" s="20">
        <f>SUM(C48:C49)</f>
        <v>1168174125</v>
      </c>
      <c r="D47" s="20">
        <f>SUM(D48:D49)</f>
        <v>204942854</v>
      </c>
      <c r="E47" s="26">
        <f t="shared" si="0"/>
        <v>0.17543861793720178</v>
      </c>
      <c r="F47" s="20">
        <f>SUM(F48:F49)</f>
        <v>551907855</v>
      </c>
      <c r="G47" s="41">
        <f t="shared" si="1"/>
        <v>0.47245341528173296</v>
      </c>
      <c r="H47" s="20">
        <f>SUM(H48:H49)</f>
        <v>923439646</v>
      </c>
      <c r="I47" s="41">
        <f>+H47/C47</f>
        <v>0.79049828808697509</v>
      </c>
      <c r="J47" s="32"/>
      <c r="K47" s="40"/>
    </row>
    <row r="48" spans="2:11" x14ac:dyDescent="0.3">
      <c r="B48" s="42" t="str">
        <f>+'[12]Anexo No. 3 Presupt Gtos MOD'!B51</f>
        <v>Control al recaudo</v>
      </c>
      <c r="C48" s="22">
        <v>364651910</v>
      </c>
      <c r="D48" s="22">
        <f>154625121-GETPIVOTDATA("VALOR DOC",'[12]TABLA HONORARIOS '!$T$2,"trimestre","trime 1","AREA","01","RUBRO2","Seguimiento al recaudo regional")</f>
        <v>119914377</v>
      </c>
      <c r="E48" s="38">
        <f t="shared" si="0"/>
        <v>0.32884615084012586</v>
      </c>
      <c r="F48" s="22">
        <f>282881279-GETPIVOTDATA("VALOR DOC",'[12]TABLA HONORARIOS '!$T$2,"trimestre","trime 1","AREA","01","RUBRO2","Seguimiento al recaudo regional")-GETPIVOTDATA("VALOR DOC",'[12]TABLA HONORARIOS '!$T$2,"trimestre","trime 2","AREA","01","RUBRO2","Seguimiento al recaudo regional")</f>
        <v>207720895</v>
      </c>
      <c r="G48" s="39">
        <f t="shared" si="1"/>
        <v>0.56964159326630159</v>
      </c>
      <c r="H48" s="22">
        <v>272921460</v>
      </c>
      <c r="I48" s="39">
        <f t="shared" si="3"/>
        <v>0.74844379671561301</v>
      </c>
      <c r="J48" s="32"/>
      <c r="K48" s="40"/>
    </row>
    <row r="49" spans="2:13" x14ac:dyDescent="0.3">
      <c r="B49" s="42" t="str">
        <f>+'[12]Anexo No. 3 Presupt Gtos MOD'!B52</f>
        <v>Fortalecimiento del beneficio formal</v>
      </c>
      <c r="C49" s="22">
        <v>803522215</v>
      </c>
      <c r="D49" s="22">
        <f>103960599-GETPIVOTDATA("VALOR DOC",'[12]TABLA HONORARIOS '!$T$2,"trimestre","trime 1","AREA","01","RUBRO2","Gestión con autoridades")</f>
        <v>85028477</v>
      </c>
      <c r="E49" s="38">
        <f t="shared" si="0"/>
        <v>0.10581969659668962</v>
      </c>
      <c r="F49" s="22">
        <f>382263924-GETPIVOTDATA("VALOR DOC",'[12]TABLA HONORARIOS '!$T$2,"trimestre","trime 1","AREA","01","RUBRO2","Gestión con autoridades")-GETPIVOTDATA("VALOR DOC",'[12]TABLA HONORARIOS '!$T$2,"trimestre","trime 2","AREA","01","RUBRO2","Gestión con autoridades")</f>
        <v>344186960</v>
      </c>
      <c r="G49" s="39">
        <f t="shared" si="1"/>
        <v>0.42834778376351423</v>
      </c>
      <c r="H49" s="43">
        <f>707739992-GETPIVOTDATA("VALOR DOC",'[12]TABLA HONORARIOS '!$T$2,"trimestre","trime 1","AREA","01","RUBRO2","Gestión con autoridades")-GETPIVOTDATA("VALOR DOC",'[12]TABLA HONORARIOS '!$T$2,"trimestre","trime 2","AREA","01","RUBRO2","Gestión con autoridades")-GETPIVOTDATA("VALOR DOC",'[12]TABLA HONORARIOS '!$T$2,"trimestre","trime 3","AREA","01","RUBRO2","Gestión con autoridades")</f>
        <v>650518186</v>
      </c>
      <c r="I49" s="39">
        <f t="shared" si="3"/>
        <v>0.80958332433907876</v>
      </c>
      <c r="J49" s="32"/>
      <c r="K49" s="40"/>
    </row>
    <row r="50" spans="2:13" x14ac:dyDescent="0.3">
      <c r="B50" s="42"/>
      <c r="C50" s="28"/>
      <c r="D50" s="28"/>
      <c r="E50" s="38"/>
      <c r="F50" s="28"/>
      <c r="G50" s="39"/>
      <c r="H50" s="22"/>
      <c r="I50" s="39"/>
      <c r="J50" s="32"/>
      <c r="K50" s="40"/>
    </row>
    <row r="51" spans="2:13" s="21" customFormat="1" x14ac:dyDescent="0.3">
      <c r="B51" s="24" t="s">
        <v>22</v>
      </c>
      <c r="C51" s="25">
        <f>SUM(C52)</f>
        <v>8533087689.6000004</v>
      </c>
      <c r="D51" s="25">
        <f>SUM(D52)</f>
        <v>1898853779</v>
      </c>
      <c r="E51" s="26">
        <f t="shared" si="0"/>
        <v>0.22252833301060465</v>
      </c>
      <c r="F51" s="25">
        <f>+F52</f>
        <v>4091580934</v>
      </c>
      <c r="G51" s="34">
        <f t="shared" si="1"/>
        <v>0.47949594365316994</v>
      </c>
      <c r="H51" s="25">
        <f>SUM(H52)</f>
        <v>6310975248</v>
      </c>
      <c r="I51" s="34">
        <f>+H51/C51</f>
        <v>0.7395887019527202</v>
      </c>
      <c r="J51" s="32"/>
      <c r="K51" s="40"/>
    </row>
    <row r="52" spans="2:13" x14ac:dyDescent="0.3">
      <c r="B52" s="44" t="str">
        <f>+'[12]Anexo No. 3 Presupt Gtos MOD'!B54</f>
        <v>Contraprestación por Administración</v>
      </c>
      <c r="C52" s="43">
        <f>SUM([12]RES!B94:C94)</f>
        <v>8533087689.6000004</v>
      </c>
      <c r="D52" s="22">
        <v>1898853779</v>
      </c>
      <c r="E52" s="45">
        <f t="shared" si="0"/>
        <v>0.22252833301060465</v>
      </c>
      <c r="F52" s="22">
        <f>+[13]FUN!$Z$61+[13]FUN!$AA$61</f>
        <v>4091580934</v>
      </c>
      <c r="G52" s="46">
        <f t="shared" si="1"/>
        <v>0.47949594365316994</v>
      </c>
      <c r="H52" s="22">
        <v>6310975248</v>
      </c>
      <c r="I52" s="39">
        <f t="shared" ref="I52" si="4">+H52/C52</f>
        <v>0.7395887019527202</v>
      </c>
      <c r="J52" s="32"/>
      <c r="K52" s="40"/>
      <c r="M52" s="40"/>
    </row>
    <row r="53" spans="2:13" x14ac:dyDescent="0.3">
      <c r="B53" s="47"/>
      <c r="C53" s="28"/>
      <c r="D53" s="28"/>
      <c r="E53" s="38"/>
      <c r="F53" s="28"/>
      <c r="G53" s="39"/>
      <c r="H53" s="28"/>
      <c r="I53" s="39"/>
      <c r="J53" s="32"/>
      <c r="K53" s="40"/>
    </row>
    <row r="54" spans="2:13" s="21" customFormat="1" x14ac:dyDescent="0.3">
      <c r="B54" s="48" t="s">
        <v>23</v>
      </c>
      <c r="C54" s="25">
        <f>+C55+C88</f>
        <v>69281497917.035202</v>
      </c>
      <c r="D54" s="25">
        <f>+D55+D88</f>
        <v>12609586876</v>
      </c>
      <c r="E54" s="26">
        <f t="shared" si="0"/>
        <v>0.18200511327136745</v>
      </c>
      <c r="F54" s="25">
        <f>+F55+F88</f>
        <v>28685778561</v>
      </c>
      <c r="G54" s="34">
        <f t="shared" si="1"/>
        <v>0.41404674297532229</v>
      </c>
      <c r="H54" s="25">
        <f>+H55+H88</f>
        <v>47251681468</v>
      </c>
      <c r="I54" s="34">
        <f>+H54/C54</f>
        <v>0.68202453596751078</v>
      </c>
      <c r="J54" s="32"/>
      <c r="K54" s="40"/>
    </row>
    <row r="55" spans="2:13" s="21" customFormat="1" ht="24.6" x14ac:dyDescent="0.3">
      <c r="B55" s="49" t="s">
        <v>24</v>
      </c>
      <c r="C55" s="25">
        <f>+C56+C68</f>
        <v>14668052647</v>
      </c>
      <c r="D55" s="25">
        <f>+D56+D68</f>
        <v>2746787016</v>
      </c>
      <c r="E55" s="26">
        <f>+D55/C55</f>
        <v>0.18726323678431778</v>
      </c>
      <c r="F55" s="25">
        <f>+F56+F68</f>
        <v>6071336995</v>
      </c>
      <c r="G55" s="34">
        <f t="shared" si="1"/>
        <v>0.41391568063683948</v>
      </c>
      <c r="H55" s="25">
        <f>+H56+H68</f>
        <v>9631009420</v>
      </c>
      <c r="I55" s="34">
        <f>+H55/C55</f>
        <v>0.65659768558096854</v>
      </c>
      <c r="J55" s="32"/>
      <c r="K55" s="40"/>
    </row>
    <row r="56" spans="2:13" s="21" customFormat="1" x14ac:dyDescent="0.3">
      <c r="B56" s="50" t="s">
        <v>25</v>
      </c>
      <c r="C56" s="25">
        <f>SUM(C57:C67)</f>
        <v>7953697415</v>
      </c>
      <c r="D56" s="25">
        <f>SUM(D57:D67)</f>
        <v>1754558102</v>
      </c>
      <c r="E56" s="26">
        <f t="shared" si="0"/>
        <v>0.22059653648516372</v>
      </c>
      <c r="F56" s="25">
        <f>SUM(F57:F67)</f>
        <v>3629399533</v>
      </c>
      <c r="G56" s="34">
        <f t="shared" si="1"/>
        <v>0.45631601802644134</v>
      </c>
      <c r="H56" s="25">
        <f>SUM(H57:H67)</f>
        <v>5610062603</v>
      </c>
      <c r="I56" s="34">
        <f>+H56/C56</f>
        <v>0.70534020975199496</v>
      </c>
      <c r="J56" s="32"/>
      <c r="K56" s="40"/>
      <c r="L56" s="35"/>
    </row>
    <row r="57" spans="2:13" x14ac:dyDescent="0.3">
      <c r="B57" s="37" t="s">
        <v>26</v>
      </c>
      <c r="C57" s="22">
        <f>+'[12]Anexo No. 13 Sgto Trimes Pto'!G75</f>
        <v>5352642515</v>
      </c>
      <c r="D57" s="22">
        <v>1196950760</v>
      </c>
      <c r="E57" s="38">
        <f t="shared" si="0"/>
        <v>0.22361866249160486</v>
      </c>
      <c r="F57" s="22">
        <v>2467665668</v>
      </c>
      <c r="G57" s="39">
        <f t="shared" si="1"/>
        <v>0.4610182094329533</v>
      </c>
      <c r="H57" s="22">
        <f>+[12]RES!N55+[12]RES!O55+[12]RES!P55</f>
        <v>3815002493</v>
      </c>
      <c r="I57" s="39">
        <f>+H57/C57</f>
        <v>0.71273253954640381</v>
      </c>
      <c r="J57" s="32"/>
      <c r="K57" s="40"/>
    </row>
    <row r="58" spans="2:13" x14ac:dyDescent="0.3">
      <c r="B58" s="37" t="s">
        <v>27</v>
      </c>
      <c r="C58" s="22">
        <f>+'[12]Anexo No. 13 Sgto Trimes Pto'!G76</f>
        <v>15552000</v>
      </c>
      <c r="D58" s="22">
        <v>3801600</v>
      </c>
      <c r="E58" s="38">
        <f t="shared" si="0"/>
        <v>0.24444444444444444</v>
      </c>
      <c r="F58" s="22">
        <v>7554600</v>
      </c>
      <c r="G58" s="39">
        <f t="shared" si="1"/>
        <v>0.48576388888888888</v>
      </c>
      <c r="H58" s="22">
        <f>+[12]RES!N56+[12]RES!O56+[12]RES!P56</f>
        <v>11394000</v>
      </c>
      <c r="I58" s="39">
        <f t="shared" ref="I58:I121" si="5">+H58/C58</f>
        <v>0.73263888888888884</v>
      </c>
      <c r="J58" s="32"/>
      <c r="K58" s="40"/>
    </row>
    <row r="59" spans="2:13" x14ac:dyDescent="0.3">
      <c r="B59" s="37" t="s">
        <v>28</v>
      </c>
      <c r="C59" s="22">
        <f>+'[12]Anexo No. 13 Sgto Trimes Pto'!G77</f>
        <v>271425576</v>
      </c>
      <c r="D59" s="22">
        <v>50665286</v>
      </c>
      <c r="E59" s="38">
        <f t="shared" si="0"/>
        <v>0.18666363998063321</v>
      </c>
      <c r="F59" s="22">
        <v>107104747</v>
      </c>
      <c r="G59" s="39">
        <f t="shared" si="1"/>
        <v>0.3946007910470456</v>
      </c>
      <c r="H59" s="22">
        <f>+[12]RES!N57+[12]RES!O57+[12]RES!P57</f>
        <v>163886260</v>
      </c>
      <c r="I59" s="39">
        <f t="shared" si="5"/>
        <v>0.6037981475997678</v>
      </c>
      <c r="J59" s="32"/>
      <c r="K59" s="40"/>
    </row>
    <row r="60" spans="2:13" x14ac:dyDescent="0.3">
      <c r="B60" s="37" t="s">
        <v>29</v>
      </c>
      <c r="C60" s="22">
        <f>+'[12]Anexo No. 13 Sgto Trimes Pto'!G78</f>
        <v>350975942</v>
      </c>
      <c r="D60" s="22">
        <v>76124669</v>
      </c>
      <c r="E60" s="38">
        <f t="shared" si="0"/>
        <v>0.21689426507757617</v>
      </c>
      <c r="F60" s="22">
        <v>159456475</v>
      </c>
      <c r="G60" s="39">
        <f t="shared" si="1"/>
        <v>0.45432309146704991</v>
      </c>
      <c r="H60" s="22">
        <f>+[12]RES!N58+[12]RES!O58+[12]RES!P58</f>
        <v>248078744</v>
      </c>
      <c r="I60" s="39">
        <f t="shared" si="5"/>
        <v>0.70682549517881199</v>
      </c>
      <c r="J60" s="32"/>
      <c r="K60" s="40"/>
    </row>
    <row r="61" spans="2:13" x14ac:dyDescent="0.3">
      <c r="B61" s="37" t="s">
        <v>30</v>
      </c>
      <c r="C61" s="22">
        <f>+'[12]Anexo No. 13 Sgto Trimes Pto'!G79</f>
        <v>7648824</v>
      </c>
      <c r="D61" s="22">
        <v>0</v>
      </c>
      <c r="E61" s="38">
        <f t="shared" si="0"/>
        <v>0</v>
      </c>
      <c r="F61" s="22">
        <v>2400000</v>
      </c>
      <c r="G61" s="39">
        <f t="shared" si="1"/>
        <v>0.31377372521579788</v>
      </c>
      <c r="H61" s="22">
        <f>+[12]RES!N59+[12]RES!O59+[12]RES!P59</f>
        <v>4800000</v>
      </c>
      <c r="I61" s="39">
        <f t="shared" si="5"/>
        <v>0.62754745043159577</v>
      </c>
      <c r="J61" s="32"/>
      <c r="K61" s="40"/>
    </row>
    <row r="62" spans="2:13" x14ac:dyDescent="0.3">
      <c r="B62" s="37" t="s">
        <v>31</v>
      </c>
      <c r="C62" s="22">
        <f>+'[12]Anexo No. 13 Sgto Trimes Pto'!G80</f>
        <v>350975942</v>
      </c>
      <c r="D62" s="22">
        <v>76124669</v>
      </c>
      <c r="E62" s="38">
        <f t="shared" si="0"/>
        <v>0.21689426507757617</v>
      </c>
      <c r="F62" s="22">
        <v>159324878</v>
      </c>
      <c r="G62" s="39">
        <f t="shared" si="1"/>
        <v>0.45394814553984442</v>
      </c>
      <c r="H62" s="22">
        <f>+[12]RES!N60+[12]RES!O60+[12]RES!P60</f>
        <v>247947147</v>
      </c>
      <c r="I62" s="39">
        <f t="shared" si="5"/>
        <v>0.70645054925160655</v>
      </c>
      <c r="J62" s="32"/>
      <c r="K62" s="40"/>
    </row>
    <row r="63" spans="2:13" x14ac:dyDescent="0.3">
      <c r="B63" s="37" t="s">
        <v>32</v>
      </c>
      <c r="C63" s="22">
        <f>+'[12]Anexo No. 13 Sgto Trimes Pto'!G81</f>
        <v>42117119</v>
      </c>
      <c r="D63" s="22">
        <v>8901376</v>
      </c>
      <c r="E63" s="38">
        <f t="shared" si="0"/>
        <v>0.21134816937502302</v>
      </c>
      <c r="F63" s="22">
        <v>18507234</v>
      </c>
      <c r="G63" s="39">
        <f t="shared" si="1"/>
        <v>0.43942307639798439</v>
      </c>
      <c r="H63" s="22">
        <f>+[12]RES!N61+[12]RES!O61+[12]RES!P61</f>
        <v>29035779</v>
      </c>
      <c r="I63" s="39">
        <f t="shared" si="5"/>
        <v>0.68940563099769481</v>
      </c>
      <c r="J63" s="32"/>
      <c r="K63" s="40"/>
    </row>
    <row r="64" spans="2:13" x14ac:dyDescent="0.3">
      <c r="B64" s="37" t="s">
        <v>33</v>
      </c>
      <c r="C64" s="22">
        <f>+'[12]Anexo No. 13 Sgto Trimes Pto'!G82</f>
        <v>1077759273</v>
      </c>
      <c r="D64" s="22">
        <v>239456242</v>
      </c>
      <c r="E64" s="38">
        <f t="shared" si="0"/>
        <v>0.22217970932735365</v>
      </c>
      <c r="F64" s="22">
        <v>494576731</v>
      </c>
      <c r="G64" s="39">
        <f t="shared" si="1"/>
        <v>0.45889350561867076</v>
      </c>
      <c r="H64" s="22">
        <f>+[12]RES!N62+[12]RES!O62+[12]RES!P62</f>
        <v>762121080</v>
      </c>
      <c r="I64" s="39">
        <f t="shared" si="5"/>
        <v>0.70713479261337797</v>
      </c>
      <c r="J64" s="32"/>
      <c r="K64" s="40"/>
    </row>
    <row r="65" spans="1:12" x14ac:dyDescent="0.3">
      <c r="B65" s="37" t="s">
        <v>34</v>
      </c>
      <c r="C65" s="22">
        <f>+'[12]Anexo No. 13 Sgto Trimes Pto'!G83</f>
        <v>215377968</v>
      </c>
      <c r="D65" s="22">
        <v>45566000</v>
      </c>
      <c r="E65" s="38">
        <f t="shared" ref="E65:E144" si="6">+D65/C65</f>
        <v>0.21156295800877831</v>
      </c>
      <c r="F65" s="22">
        <v>94573500</v>
      </c>
      <c r="G65" s="39">
        <f t="shared" si="1"/>
        <v>0.43910480202877578</v>
      </c>
      <c r="H65" s="22">
        <f>+[12]RES!N63+[12]RES!O63+[12]RES!P63</f>
        <v>145673300</v>
      </c>
      <c r="I65" s="39">
        <f t="shared" si="5"/>
        <v>0.67636119586753651</v>
      </c>
      <c r="J65" s="32"/>
      <c r="K65" s="40"/>
    </row>
    <row r="66" spans="1:12" x14ac:dyDescent="0.3">
      <c r="B66" s="37" t="s">
        <v>35</v>
      </c>
      <c r="C66" s="22">
        <f>+'[12]Anexo No. 13 Sgto Trimes Pto'!G84</f>
        <v>161533524</v>
      </c>
      <c r="D66" s="22">
        <v>34178000</v>
      </c>
      <c r="E66" s="38">
        <f t="shared" si="6"/>
        <v>0.211584562471379</v>
      </c>
      <c r="F66" s="22">
        <v>70937500</v>
      </c>
      <c r="G66" s="39">
        <f t="shared" ref="G66:G137" si="7">+F66/C66</f>
        <v>0.4391503277053499</v>
      </c>
      <c r="H66" s="22">
        <f>+[12]RES!N64+[12]RES!O64+[12]RES!P64</f>
        <v>109266900</v>
      </c>
      <c r="I66" s="39">
        <f t="shared" si="5"/>
        <v>0.67643481857054022</v>
      </c>
      <c r="J66" s="32"/>
      <c r="K66" s="40"/>
    </row>
    <row r="67" spans="1:12" x14ac:dyDescent="0.3">
      <c r="B67" s="37" t="s">
        <v>36</v>
      </c>
      <c r="C67" s="22">
        <f>+'[12]Anexo No. 13 Sgto Trimes Pto'!G85</f>
        <v>107688732</v>
      </c>
      <c r="D67" s="22">
        <v>22789500</v>
      </c>
      <c r="E67" s="38">
        <f t="shared" si="6"/>
        <v>0.2116238122294912</v>
      </c>
      <c r="F67" s="22">
        <v>47298200</v>
      </c>
      <c r="G67" s="39">
        <f t="shared" si="7"/>
        <v>0.43921215452699358</v>
      </c>
      <c r="H67" s="22">
        <f>+[12]RES!N65+[12]RES!O65+[12]RES!P65</f>
        <v>72856900</v>
      </c>
      <c r="I67" s="39">
        <f t="shared" si="5"/>
        <v>0.67655082056310223</v>
      </c>
      <c r="J67" s="32"/>
      <c r="K67" s="40"/>
    </row>
    <row r="68" spans="1:12" x14ac:dyDescent="0.3">
      <c r="B68" s="51" t="s">
        <v>37</v>
      </c>
      <c r="C68" s="25">
        <f>SUM(C69:C87)</f>
        <v>6714355232</v>
      </c>
      <c r="D68" s="25">
        <f>+D69+D70+D71+D72+D73+D74+D82+D83+D84+D85+D86+D87</f>
        <v>992228914</v>
      </c>
      <c r="E68" s="26">
        <f t="shared" si="6"/>
        <v>0.14777724438396231</v>
      </c>
      <c r="F68" s="25">
        <f>+F69+F70+F71+F72+F73+F74+F82+F83+F84+F85+F86+F87</f>
        <v>2441937462</v>
      </c>
      <c r="G68" s="34">
        <f t="shared" si="7"/>
        <v>0.36368904796129203</v>
      </c>
      <c r="H68" s="25">
        <f>+H69+H70+H71+H72+H73+H74+H82+H83+H84+H85+H86+H87</f>
        <v>4020946817</v>
      </c>
      <c r="I68" s="34">
        <f>+H68/C68</f>
        <v>0.59885821915357362</v>
      </c>
      <c r="J68" s="32"/>
      <c r="K68" s="40"/>
      <c r="L68" s="32"/>
    </row>
    <row r="69" spans="1:12" s="21" customFormat="1" x14ac:dyDescent="0.3">
      <c r="B69" s="37" t="s">
        <v>38</v>
      </c>
      <c r="C69" s="22">
        <f>+'[12]Anexo No. 13 Sgto Trimes Pto'!G87</f>
        <v>32780663</v>
      </c>
      <c r="D69" s="22">
        <v>4830872</v>
      </c>
      <c r="E69" s="38">
        <f t="shared" si="6"/>
        <v>0.14736956357472086</v>
      </c>
      <c r="F69" s="22">
        <v>11696748</v>
      </c>
      <c r="G69" s="39">
        <f t="shared" si="7"/>
        <v>0.35681853048548773</v>
      </c>
      <c r="H69" s="22">
        <v>11637419</v>
      </c>
      <c r="I69" s="39">
        <f t="shared" si="5"/>
        <v>0.35500865250956026</v>
      </c>
      <c r="J69" s="32"/>
      <c r="K69" s="40"/>
    </row>
    <row r="70" spans="1:12" x14ac:dyDescent="0.3">
      <c r="B70" s="37" t="s">
        <v>39</v>
      </c>
      <c r="C70" s="22">
        <f>+'[12]Anexo No. 13 Sgto Trimes Pto'!G88</f>
        <v>5923761</v>
      </c>
      <c r="D70" s="22">
        <v>354474</v>
      </c>
      <c r="E70" s="38">
        <f t="shared" si="6"/>
        <v>5.9839348684053932E-2</v>
      </c>
      <c r="F70" s="22">
        <v>354474</v>
      </c>
      <c r="G70" s="39">
        <f t="shared" si="7"/>
        <v>5.9839348684053932E-2</v>
      </c>
      <c r="H70" s="22">
        <v>354474</v>
      </c>
      <c r="I70" s="39">
        <f t="shared" si="5"/>
        <v>5.9839348684053932E-2</v>
      </c>
      <c r="J70" s="32"/>
      <c r="K70" s="40"/>
    </row>
    <row r="71" spans="1:12" x14ac:dyDescent="0.3">
      <c r="B71" s="52" t="s">
        <v>40</v>
      </c>
      <c r="C71" s="22">
        <f>+'[12]Anexo No. 13 Sgto Trimes Pto'!G89</f>
        <v>15299200</v>
      </c>
      <c r="D71" s="22">
        <v>4300000</v>
      </c>
      <c r="E71" s="38">
        <f t="shared" si="6"/>
        <v>0.28106044760510351</v>
      </c>
      <c r="F71" s="22">
        <v>4300000</v>
      </c>
      <c r="G71" s="39">
        <f t="shared" si="7"/>
        <v>0.28106044760510351</v>
      </c>
      <c r="H71" s="22">
        <v>8300000</v>
      </c>
      <c r="I71" s="39">
        <f t="shared" si="5"/>
        <v>0.54251202677264165</v>
      </c>
      <c r="J71" s="32"/>
      <c r="K71" s="40"/>
    </row>
    <row r="72" spans="1:12" x14ac:dyDescent="0.3">
      <c r="B72" s="37" t="s">
        <v>41</v>
      </c>
      <c r="C72" s="22">
        <f>+'[12]Anexo No. 13 Sgto Trimes Pto'!G90</f>
        <v>100631067</v>
      </c>
      <c r="D72" s="22">
        <v>16391560</v>
      </c>
      <c r="E72" s="38">
        <f t="shared" si="6"/>
        <v>0.16288766966964585</v>
      </c>
      <c r="F72" s="22">
        <v>36065859</v>
      </c>
      <c r="G72" s="39">
        <f t="shared" si="7"/>
        <v>0.35839686565183693</v>
      </c>
      <c r="H72" s="22">
        <v>60113437</v>
      </c>
      <c r="I72" s="39">
        <f t="shared" si="5"/>
        <v>0.59736459914511286</v>
      </c>
      <c r="J72" s="32"/>
      <c r="K72" s="40"/>
    </row>
    <row r="73" spans="1:12" x14ac:dyDescent="0.3">
      <c r="B73" s="37" t="s">
        <v>42</v>
      </c>
      <c r="C73" s="22">
        <f>+'[12]Anexo No. 13 Sgto Trimes Pto'!G91</f>
        <v>15291592</v>
      </c>
      <c r="D73" s="22">
        <v>2201715</v>
      </c>
      <c r="E73" s="38">
        <f t="shared" si="6"/>
        <v>0.14398206543831407</v>
      </c>
      <c r="F73" s="22">
        <v>4136104</v>
      </c>
      <c r="G73" s="39">
        <f t="shared" si="7"/>
        <v>0.27048223625113721</v>
      </c>
      <c r="H73" s="22">
        <v>5330238</v>
      </c>
      <c r="I73" s="39">
        <f t="shared" si="5"/>
        <v>0.34857312436795329</v>
      </c>
      <c r="J73" s="32"/>
      <c r="K73" s="40"/>
    </row>
    <row r="74" spans="1:12" x14ac:dyDescent="0.3">
      <c r="B74" s="37" t="s">
        <v>43</v>
      </c>
      <c r="C74" s="22">
        <f>+'[12]Anexo No. 6 Honorarios'!H165</f>
        <v>5699002704</v>
      </c>
      <c r="D74" s="22">
        <f>SUM(D75:D81)</f>
        <v>808830445</v>
      </c>
      <c r="E74" s="38">
        <f t="shared" si="6"/>
        <v>0.14192490984998135</v>
      </c>
      <c r="F74" s="22">
        <f>SUM(F75:F81)</f>
        <v>2048543714</v>
      </c>
      <c r="G74" s="39">
        <f t="shared" si="7"/>
        <v>0.35945652606238876</v>
      </c>
      <c r="H74" s="22">
        <f>SUM(H75:H81)</f>
        <v>3394790306</v>
      </c>
      <c r="I74" s="39">
        <f t="shared" si="5"/>
        <v>0.59568146960472124</v>
      </c>
      <c r="J74" s="32"/>
      <c r="K74" s="40"/>
    </row>
    <row r="75" spans="1:12" s="57" customFormat="1" hidden="1" outlineLevel="1" x14ac:dyDescent="0.3">
      <c r="A75"/>
      <c r="B75" s="53">
        <v>2</v>
      </c>
      <c r="C75" s="54"/>
      <c r="D75" s="54">
        <f>+GETPIVOTDATA("VALOR DOC",'[12]TABLA HONORARIOS '!$T$2,"trimestre","trime 1","AREA","02","RUBRO2","Asesor Gastronómico Ejecutivo")+GETPIVOTDATA("VALOR DOC",'[12]TABLA HONORARIOS '!$T$2,"trimestre","trime 1","AREA","02","RUBRO2","Mantenimiento")+GETPIVOTDATA("VALOR DOC",'[12]TABLA HONORARIOS '!$T$2,"trimestre","trime 1","AREA","02","RUBRO2","Seguimiento y gestión comunicación integ")</f>
        <v>47777927</v>
      </c>
      <c r="E75" s="55"/>
      <c r="F75" s="54">
        <f>+GETPIVOTDATA("VALOR DOC",'[12]TABLA HONORARIOS '!$T$2,"trimestre","trime 1","AREA","02","RUBRO2","Asesor Gastronómico Ejecutivo")+GETPIVOTDATA("VALOR DOC",'[12]TABLA HONORARIOS '!$T$2,"trimestre","trime 2","AREA","02","RUBRO2","Asesor Gastronómico Ejecutivo")+GETPIVOTDATA("VALOR DOC",'[12]TABLA HONORARIOS '!$T$2,"trimestre","trime 1","AREA","02","RUBRO2","Mantenimiento")+GETPIVOTDATA("VALOR DOC",'[12]TABLA HONORARIOS '!$T$2,"trimestre","trime 2","AREA","02","RUBRO2","Mantenimiento")+GETPIVOTDATA("VALOR DOC",'[12]TABLA HONORARIOS '!$T$2,"trimestre","trime 1","AREA","02","RUBRO2","Seguimiento y gestión comunicación integ")+GETPIVOTDATA("VALOR DOC",'[12]TABLA HONORARIOS '!$T$2,"trimestre","trime 2","AREA","02","RUBRO2","Seguimiento y gestión comunicación integ")</f>
        <v>116442244</v>
      </c>
      <c r="G75" s="56"/>
      <c r="H75" s="54">
        <f>+GETPIVOTDATA("VALOR DOC",'[12]TABLA HONORARIOS '!$T$2,"AREA","02")</f>
        <v>193940815</v>
      </c>
      <c r="I75" s="56"/>
      <c r="J75" s="32"/>
      <c r="K75" s="40"/>
    </row>
    <row r="76" spans="1:12" hidden="1" outlineLevel="1" x14ac:dyDescent="0.3">
      <c r="B76" s="37">
        <v>3</v>
      </c>
      <c r="C76" s="22"/>
      <c r="D76" s="22">
        <f>+GETPIVOTDATA("VALOR DOC",'[12]TABLA HONORARIOS '!$T$2,"trimestre","trime 1","AREA","03","RUBRO2","Acompañamiento en Producción Primaria")+GETPIVOTDATA("VALOR DOC",'[12]TABLA HONORARIOS '!$T$2,"trimestre","trime 1","AREA","03","RUBRO2","Acompañamiento en Sostenibilidad")+GETPIVOTDATA("VALOR DOC",'[12]TABLA HONORARIOS '!$T$2,"trimestre","trime 1","AREA","03","RUBRO2","Apoyo Nuevos proyectos")+GETPIVOTDATA("VALOR DOC",'[12]TABLA HONORARIOS '!$T$2,"trimestre","trime 1","AREA","03","RUBRO2","Convenios Interinstitucionales")+GETPIVOTDATA("VALOR DOC",'[12]TABLA HONORARIOS '!$T$2,"trimestre","trime 1","AREA","03","RUBRO2","Mantenimiento")</f>
        <v>279812009</v>
      </c>
      <c r="E76" s="38"/>
      <c r="F76" s="22">
        <v>672466848</v>
      </c>
      <c r="G76" s="39"/>
      <c r="H76" s="22">
        <f>+GETPIVOTDATA("VALOR DOC",'[12]TABLA HONORARIOS '!$T$2,"AREA","03")</f>
        <v>1058253342</v>
      </c>
      <c r="I76" s="39"/>
      <c r="J76" s="32"/>
      <c r="K76" s="40"/>
    </row>
    <row r="77" spans="1:12" hidden="1" outlineLevel="1" x14ac:dyDescent="0.3">
      <c r="B77" s="37">
        <v>4</v>
      </c>
      <c r="C77" s="22"/>
      <c r="D77" s="22">
        <f>+GETPIVOTDATA("VALOR DOC",'[12]TABLA HONORARIOS '!$T$2,"trimestre","trime 1","AREA","04","RUBRO2","Actualización Información Nacional")+GETPIVOTDATA("VALOR DOC",'[12]TABLA HONORARIOS '!$T$2,"trimestre","trime 1","AREA","04","RUBRO2","Asistencia Financiera")+GETPIVOTDATA("VALOR DOC",'[12]TABLA HONORARIOS '!$T$2,"trimestre","trime 1","AREA","04","RUBRO2","Mantenimiento")+GETPIVOTDATA("VALOR DOC",'[12]TABLA HONORARIOS '!$T$2,"trimestre","trime 1","AREA","04","RUBRO2","Monitoreo Precios de la carne al Consumi")</f>
        <v>92094122</v>
      </c>
      <c r="E77" s="38"/>
      <c r="F77" s="22">
        <f>+GETPIVOTDATA("VALOR DOC",'[12]TABLA HONORARIOS '!$T$2,"trimestre","trime 2","AREA","04","RUBRO2","Actualización Información Nacional")+GETPIVOTDATA("VALOR DOC",'[12]TABLA HONORARIOS '!$T$2,"trimestre","trime 1","AREA","04","RUBRO2","Actualización Información Nacional")+GETPIVOTDATA("VALOR DOC",'[12]TABLA HONORARIOS '!$T$2,"trimestre","trime 1","AREA","04","RUBRO2","Asistencia Financiera")+GETPIVOTDATA("VALOR DOC",'[12]TABLA HONORARIOS '!$T$2,"trimestre","trime 1","AREA","04","RUBRO2","Mantenimiento")+GETPIVOTDATA("VALOR DOC",'[12]TABLA HONORARIOS '!$T$2,"trimestre","trime 2","AREA","04","RUBRO2","Mantenimiento")++GETPIVOTDATA("VALOR DOC",'[12]TABLA HONORARIOS '!$T$2,"trimestre","trime 1","AREA","04","RUBRO2","Monitoreo Precios de la carne al Consumi")+GETPIVOTDATA("VALOR DOC",'[12]TABLA HONORARIOS '!$T$2,"trimestre","trime 2","AREA","04","RUBRO2","Monitoreo Precios de la carne al Consumi")</f>
        <v>194577798</v>
      </c>
      <c r="G77" s="39"/>
      <c r="H77" s="22">
        <f>+GETPIVOTDATA("VALOR DOC",'[12]TABLA HONORARIOS '!$T$2,"AREA","04")</f>
        <v>304418993</v>
      </c>
      <c r="I77" s="39"/>
      <c r="J77" s="32"/>
      <c r="K77" s="40"/>
    </row>
    <row r="78" spans="1:12" hidden="1" outlineLevel="1" x14ac:dyDescent="0.3">
      <c r="B78" s="37">
        <v>5</v>
      </c>
      <c r="C78" s="22"/>
      <c r="D78" s="22">
        <f>+GETPIVOTDATA("VALOR DOC",'[12]TABLA HONORARIOS '!$T$2,"trimestre","trime 1","AREA","05","RUBRO2","Manto, actu. y soporte de plataforma")</f>
        <v>33847750</v>
      </c>
      <c r="E78" s="38"/>
      <c r="F78" s="22">
        <f>+GETPIVOTDATA("VALOR DOC",'[12]TABLA HONORARIOS '!$T$2,"trimestre","trime 2","AREA","05","RUBRO2","Apoyo actividades de vigilancia activa")+GETPIVOTDATA("VALOR DOC",'[12]TABLA HONORARIOS '!$T$2,"trimestre","trime 2","AREA","05","RUBRO2","Capacitación y divulgación")+GETPIVOTDATA("VALOR DOC",'[12]TABLA HONORARIOS '!$T$2,"trimestre","trime 1","AREA","05","RUBRO2","Manto, actu. y soporte de plataforma")+GETPIVOTDATA("VALOR DOC",'[12]TABLA HONORARIOS '!$T$2,"trimestre","trime 2","AREA","05","RUBRO2","Manto, actu. y soporte de plataforma")</f>
        <v>106310162</v>
      </c>
      <c r="G78" s="39"/>
      <c r="H78" s="22">
        <f>+GETPIVOTDATA("VALOR DOC",'[12]TABLA HONORARIOS '!$T$2,"AREA","05")</f>
        <v>173538620</v>
      </c>
      <c r="I78" s="39"/>
      <c r="J78" s="32"/>
      <c r="K78" s="40"/>
    </row>
    <row r="79" spans="1:12" hidden="1" outlineLevel="1" x14ac:dyDescent="0.3">
      <c r="B79" s="37">
        <v>6</v>
      </c>
      <c r="C79" s="22"/>
      <c r="D79" s="22">
        <f>+GETPIVOTDATA("VALOR DOC",'[12]TABLA HONORARIOS '!$T$2,"trimestre","trime 1","AREA","06","RUBRO2","Apoyo Diagnostico lineas base (ICA)")+GETPIVOTDATA("VALOR DOC",'[12]TABLA HONORARIOS '!$T$2,"trimestre","trime 1","AREA","06","RUBRO2","Capacitación anual")+GETPIVOTDATA("VALOR DOC",'[12]TABLA HONORARIOS '!$T$2,"trimestre","trime 1","AREA","06","RUBRO2","Mantenimiento")+GETPIVOTDATA("VALOR DOC",'[12]TABLA HONORARIOS '!$T$2,"trimestre","trime 1","AREA","06","RUBRO2","Promoción al diagnóstico")+GETPIVOTDATA("VALOR DOC",'[12]TABLA HONORARIOS '!$T$2,"trimestre","trime 1","AREA","06","RUBRO2","Proyectos")+GETPIVOTDATA("VALOR DOC",'[12]TABLA HONORARIOS '!$T$2,"trimestre","trime 1","AREA","06","RUBRO2","Talleres y seminarios")</f>
        <v>53981748</v>
      </c>
      <c r="E79" s="38"/>
      <c r="F79" s="22">
        <f>+GETPIVOTDATA("VALOR DOC",'[12]TABLA HONORARIOS '!$T$2,"trimestre","trime 1","AREA","06","RUBRO2","Apoyo Diagnostico lineas base (ICA)")+GETPIVOTDATA("VALOR DOC",'[12]TABLA HONORARIOS '!$T$2,"trimestre","trime 2","AREA","06","RUBRO2","Apoyo Diagnostico lineas base (ICA)")+GETPIVOTDATA("VALOR DOC",'[12]TABLA HONORARIOS '!$T$2,"trimestre","trime 1","AREA","06","RUBRO2","Capacitación anual")+GETPIVOTDATA("VALOR DOC",'[12]TABLA HONORARIOS '!$T$2,"trimestre","trime 1","AREA","06","RUBRO2","Mantenimiento")+GETPIVOTDATA("VALOR DOC",'[12]TABLA HONORARIOS '!$T$2,"trimestre","trime 2","AREA","06","RUBRO2","Mantenimiento")+GETPIVOTDATA("VALOR DOC",'[12]TABLA HONORARIOS '!$T$2,"trimestre","trime 1","AREA","06","RUBRO2","Promoción al diagnóstico")+GETPIVOTDATA("VALOR DOC",'[12]TABLA HONORARIOS '!$T$2,"trimestre","trime 2","AREA","06","RUBRO2","Promoción al diagnóstico")+GETPIVOTDATA("VALOR DOC",'[12]TABLA HONORARIOS '!$T$2,"trimestre","trime 2","AREA","06","RUBRO2","Proyectos")+GETPIVOTDATA("VALOR DOC",'[12]TABLA HONORARIOS '!$T$2,"trimestre","trime 1","AREA","06","RUBRO2","Proyectos")+GETPIVOTDATA("VALOR DOC",'[12]TABLA HONORARIOS '!$T$2,"trimestre","trime 1","AREA","06","RUBRO2","Talleres y seminarios")+GETPIVOTDATA("VALOR DOC",'[12]TABLA HONORARIOS '!$T$2,"trimestre","trime 2","AREA","06","RUBRO2","Talleres y seminarios")+GETPIVOTDATA("VALOR DOC",'[12]TABLA HONORARIOS '!$T$2,"trimestre","trime 2","AREA","06","RUBRO2","Vinculación tecnológica")</f>
        <v>143991767</v>
      </c>
      <c r="G79" s="39"/>
      <c r="H79" s="22">
        <f>+GETPIVOTDATA("VALOR DOC",'[12]TABLA HONORARIOS '!$T$2,"AREA","06")</f>
        <v>239599419</v>
      </c>
      <c r="I79" s="39"/>
      <c r="J79" s="32"/>
      <c r="K79" s="40"/>
    </row>
    <row r="80" spans="1:12" hidden="1" outlineLevel="1" x14ac:dyDescent="0.3">
      <c r="B80" s="37">
        <v>7</v>
      </c>
      <c r="C80" s="22"/>
      <c r="D80" s="22">
        <f>+GETPIVOTDATA("VALOR DOC",'[12]TABLA HONORARIOS '!$T$2,"trimestre","trime 1","AREA","07","RUBRO2","Control, monitoreo de enfermedades prio")+GETPIVOTDATA("VALOR DOC",'[12]TABLA HONORARIOS '!$T$2,"trimestre","trime 1","AREA","07","RUBRO2","Estudios de vigilancia epidemiológica")+GETPIVOTDATA("VALOR DOC",'[12]TABLA HONORARIOS '!$T$2,"trimestre","trime 1","AREA","07","RUBRO2","Mantenimiento")</f>
        <v>20376878</v>
      </c>
      <c r="E80" s="38"/>
      <c r="F80" s="22">
        <f>+GETPIVOTDATA("VALOR DOC",'[12]TABLA HONORARIOS '!$T$2,"trimestre","trime 1","AREA","07","RUBRO2","Control, monitoreo de enfermedades prio")+GETPIVOTDATA("VALOR DOC",'[12]TABLA HONORARIOS '!$T$2,"trimestre","trime 2","AREA","07","RUBRO2","Control, monitoreo de enfermedades prio")+GETPIVOTDATA("VALOR DOC",'[12]TABLA HONORARIOS '!$T$2,"trimestre","trime 1","AREA","07","RUBRO2","Estudios de vigilancia epidemiológica")+GETPIVOTDATA("VALOR DOC",'[12]TABLA HONORARIOS '!$T$2,"trimestre","trime 2","AREA","07","RUBRO2","Estudios de vigilancia epidemiológica")+GETPIVOTDATA("VALOR DOC",'[12]TABLA HONORARIOS '!$T$2,"trimestre","trime 1","AREA","07","RUBRO2","Mantenimiento")+GETPIVOTDATA("VALOR DOC",'[12]TABLA HONORARIOS '!$T$2,"trimestre","trime 2","AREA","07","RUBRO2","Mantenimiento")</f>
        <v>55967351</v>
      </c>
      <c r="G80" s="39"/>
      <c r="H80" s="22">
        <f>+GETPIVOTDATA("VALOR DOC",'[12]TABLA HONORARIOS '!$T$2,"AREA","07")</f>
        <v>88696430</v>
      </c>
      <c r="I80" s="39"/>
      <c r="J80" s="32"/>
      <c r="K80" s="40"/>
    </row>
    <row r="81" spans="2:12" hidden="1" outlineLevel="1" x14ac:dyDescent="0.3">
      <c r="B81" s="37">
        <v>8</v>
      </c>
      <c r="C81" s="22"/>
      <c r="D81" s="22">
        <f>+GETPIVOTDATA("VALOR DOC",'[12]TABLA HONORARIOS '!$T$2,"trimestre","trime 1","AREA","08","RUBRO2","Calidad e Inocuidad en la Cadena de Tran")+GETPIVOTDATA("VALOR DOC",'[12]TABLA HONORARIOS '!$T$2,"trimestre","trime 1","AREA","08","RUBRO2","Desarrollo de Habilidades Comerciales")+GETPIVOTDATA("VALOR DOC",'[12]TABLA HONORARIOS '!$T$2,"trimestre","trime 1","AREA","08","RUBRO2","Experiencia y Promoción Comercial")+GETPIVOTDATA("VALOR DOC",'[12]TABLA HONORARIOS '!$T$2,"trimestre","trime 1","AREA","08","RUBRO2","Magro")+GETPIVOTDATA("VALOR DOC",'[12]TABLA HONORARIOS '!$T$2,"trimestre","trime 1","AREA","08","RUBRO2","Mantenimiento")</f>
        <v>280940011</v>
      </c>
      <c r="E81" s="38"/>
      <c r="F81" s="22">
        <f>+GETPIVOTDATA("VALOR DOC",'[12]TABLA HONORARIOS '!$T$2,"trimestre","trime 1","AREA","08","RUBRO2","Calidad e Inocuidad en la Cadena de Tran")+GETPIVOTDATA("VALOR DOC",'[12]TABLA HONORARIOS '!$T$2,"trimestre","trime 2","AREA","08","RUBRO2","Calidad e Inocuidad en la Cadena de Tran")+GETPIVOTDATA("VALOR DOC",'[12]TABLA HONORARIOS '!$T$2,"trimestre","trime 1","AREA","08","RUBRO2","Desarrollo de Habilidades Comerciales")+GETPIVOTDATA("VALOR DOC",'[12]TABLA HONORARIOS '!$T$2,"trimestre","trime 2","AREA","08","RUBRO2","Desarrollo de Habilidades Comerciales")+GETPIVOTDATA("VALOR DOC",'[12]TABLA HONORARIOS '!$T$2,"trimestre","trime 1","AREA","08","RUBRO2","Experiencia y Promoción Comercial")+GETPIVOTDATA("VALOR DOC",'[12]TABLA HONORARIOS '!$T$2,"trimestre","trime 2","AREA","08","RUBRO2","Experiencia y Promoción Comercial")+GETPIVOTDATA("VALOR DOC",'[12]TABLA HONORARIOS '!$T$2,"trimestre","trime 1","AREA","08","RUBRO2","Magro")+GETPIVOTDATA("VALOR DOC",'[12]TABLA HONORARIOS '!$T$2,"trimestre","trime 2","AREA","08","RUBRO2","Magro")+GETPIVOTDATA("VALOR DOC",'[12]TABLA HONORARIOS '!$T$2,"trimestre","trime 1","AREA","08","RUBRO2","Mantenimiento")+GETPIVOTDATA("VALOR DOC",'[12]TABLA HONORARIOS '!$T$2,"trimestre","trime 2","AREA","08","RUBRO2","Mantenimiento")</f>
        <v>758787544</v>
      </c>
      <c r="G81" s="39"/>
      <c r="H81" s="22">
        <f>+GETPIVOTDATA("VALOR DOC",'[12]TABLA HONORARIOS '!$T$2,"AREA","08")</f>
        <v>1336342687</v>
      </c>
      <c r="I81" s="39"/>
      <c r="J81" s="32"/>
      <c r="K81" s="40"/>
    </row>
    <row r="82" spans="2:12" collapsed="1" x14ac:dyDescent="0.3">
      <c r="B82" s="37" t="s">
        <v>44</v>
      </c>
      <c r="C82" s="22">
        <v>10000000</v>
      </c>
      <c r="D82" s="22">
        <v>5966799</v>
      </c>
      <c r="E82" s="38">
        <f t="shared" si="6"/>
        <v>0.59667990000000004</v>
      </c>
      <c r="F82" s="22">
        <f>38371089-'[12]TABLA HONORARIOS '!W13-'[12]TABLA HONORARIOS '!X13</f>
        <v>5993988</v>
      </c>
      <c r="G82" s="39">
        <f t="shared" si="7"/>
        <v>0.59939880000000001</v>
      </c>
      <c r="H82" s="22">
        <f>58961332-'[12]TABLA HONORARIOS '!Y13</f>
        <v>8935453</v>
      </c>
      <c r="I82" s="39">
        <f t="shared" si="5"/>
        <v>0.89354529999999999</v>
      </c>
      <c r="J82" s="32"/>
      <c r="K82" s="40"/>
    </row>
    <row r="83" spans="2:12" x14ac:dyDescent="0.3">
      <c r="B83" s="37" t="s">
        <v>45</v>
      </c>
      <c r="C83" s="22">
        <f>+'[12]Anexo No. 3 Presupt Gtos MOD'!D84</f>
        <v>63147490</v>
      </c>
      <c r="D83" s="22">
        <v>11456933</v>
      </c>
      <c r="E83" s="38">
        <f t="shared" si="6"/>
        <v>0.18143132846610371</v>
      </c>
      <c r="F83" s="22">
        <v>20787403</v>
      </c>
      <c r="G83" s="39">
        <f t="shared" si="7"/>
        <v>0.3291881118315233</v>
      </c>
      <c r="H83" s="22">
        <v>30950750</v>
      </c>
      <c r="I83" s="39">
        <f t="shared" si="5"/>
        <v>0.49013428720603147</v>
      </c>
      <c r="J83" s="32"/>
      <c r="K83" s="40"/>
    </row>
    <row r="84" spans="2:12" x14ac:dyDescent="0.3">
      <c r="B84" s="37" t="s">
        <v>46</v>
      </c>
      <c r="C84" s="22">
        <f>+'[12]Anexo No. 3 Presupt Gtos MOD'!D85</f>
        <v>110822000</v>
      </c>
      <c r="D84" s="22">
        <v>10970793</v>
      </c>
      <c r="E84" s="38">
        <f t="shared" si="6"/>
        <v>9.8994721264730828E-2</v>
      </c>
      <c r="F84" s="22">
        <v>30245893</v>
      </c>
      <c r="G84" s="39">
        <f t="shared" si="7"/>
        <v>0.2729231831224847</v>
      </c>
      <c r="H84" s="22">
        <v>60931825</v>
      </c>
      <c r="I84" s="39">
        <f t="shared" si="5"/>
        <v>0.5498170489613976</v>
      </c>
      <c r="J84" s="32"/>
      <c r="K84" s="40"/>
    </row>
    <row r="85" spans="2:12" x14ac:dyDescent="0.3">
      <c r="B85" s="37" t="s">
        <v>47</v>
      </c>
      <c r="C85" s="22">
        <f>+'[12]Anexo No. 3 Presupt Gtos MOD'!D86</f>
        <v>561406441</v>
      </c>
      <c r="D85" s="22">
        <v>106217873</v>
      </c>
      <c r="E85" s="38">
        <f t="shared" si="6"/>
        <v>0.18919959808583672</v>
      </c>
      <c r="F85" s="22">
        <v>237863787</v>
      </c>
      <c r="G85" s="39">
        <f t="shared" si="7"/>
        <v>0.4236926576337588</v>
      </c>
      <c r="H85" s="22">
        <v>374150189</v>
      </c>
      <c r="I85" s="39">
        <f t="shared" si="5"/>
        <v>0.6664515432590129</v>
      </c>
      <c r="J85" s="32"/>
      <c r="K85" s="40"/>
    </row>
    <row r="86" spans="2:12" x14ac:dyDescent="0.3">
      <c r="B86" s="37" t="s">
        <v>48</v>
      </c>
      <c r="C86" s="22">
        <f>+'[12]Anexo No. 3 Presupt Gtos MOD'!D87</f>
        <v>85733623</v>
      </c>
      <c r="D86" s="22">
        <v>18423944</v>
      </c>
      <c r="E86" s="38">
        <f t="shared" si="6"/>
        <v>0.21489753209193085</v>
      </c>
      <c r="F86" s="22">
        <v>37242472</v>
      </c>
      <c r="G86" s="39">
        <f t="shared" si="7"/>
        <v>0.43439750586534759</v>
      </c>
      <c r="H86" s="22">
        <v>58341124</v>
      </c>
      <c r="I86" s="39">
        <f t="shared" si="5"/>
        <v>0.68049292632833214</v>
      </c>
      <c r="J86" s="32"/>
      <c r="K86" s="40"/>
    </row>
    <row r="87" spans="2:12" x14ac:dyDescent="0.3">
      <c r="B87" s="52" t="s">
        <v>49</v>
      </c>
      <c r="C87" s="22">
        <f>+'[12]Anexo No. 3 Presupt Gtos MOD'!D88</f>
        <v>14316691</v>
      </c>
      <c r="D87" s="22">
        <v>2283506</v>
      </c>
      <c r="E87" s="38">
        <f t="shared" si="6"/>
        <v>0.15949956592623254</v>
      </c>
      <c r="F87" s="22">
        <v>4707020</v>
      </c>
      <c r="G87" s="39">
        <f t="shared" si="7"/>
        <v>0.32877848659302628</v>
      </c>
      <c r="H87" s="22">
        <v>7111602</v>
      </c>
      <c r="I87" s="39">
        <f t="shared" si="5"/>
        <v>0.49673503465290969</v>
      </c>
      <c r="J87" s="32"/>
      <c r="K87" s="40"/>
    </row>
    <row r="88" spans="2:12" x14ac:dyDescent="0.3">
      <c r="B88" s="58" t="s">
        <v>50</v>
      </c>
      <c r="C88" s="20">
        <f>+C89+C96+C106+C111+C117+C127+C130</f>
        <v>54613445270.035202</v>
      </c>
      <c r="D88" s="20">
        <f>+D89+D96+D106+D111+D117+D127+D130</f>
        <v>9862799860</v>
      </c>
      <c r="E88" s="26">
        <f t="shared" si="6"/>
        <v>0.18059288900807416</v>
      </c>
      <c r="F88" s="20">
        <f>+F89+F96+F106+F111+F117+F127+F130</f>
        <v>22614441566</v>
      </c>
      <c r="G88" s="41">
        <f t="shared" si="7"/>
        <v>0.41408194363463607</v>
      </c>
      <c r="H88" s="20">
        <f>+H89+H96+H106+H111+H117+H127+H130</f>
        <v>37620672048</v>
      </c>
      <c r="I88" s="41">
        <f>+H88/C88</f>
        <v>0.68885366711411922</v>
      </c>
      <c r="J88" s="32"/>
      <c r="K88" s="40"/>
      <c r="L88" s="32"/>
    </row>
    <row r="89" spans="2:12" x14ac:dyDescent="0.3">
      <c r="B89" s="59" t="s">
        <v>51</v>
      </c>
      <c r="C89" s="60">
        <f>SUM(C90:C95)</f>
        <v>18643880155</v>
      </c>
      <c r="D89" s="60">
        <f>SUM(D90:D95)</f>
        <v>2793093099</v>
      </c>
      <c r="E89" s="61">
        <f t="shared" si="6"/>
        <v>0.1498128649068223</v>
      </c>
      <c r="F89" s="60">
        <f>SUM(F90:F95)</f>
        <v>6826994331</v>
      </c>
      <c r="G89" s="39">
        <f t="shared" si="7"/>
        <v>0.36617883585617805</v>
      </c>
      <c r="H89" s="62">
        <f>SUM(H90:H95)</f>
        <v>11301490582</v>
      </c>
      <c r="I89" s="63">
        <f>+H89/C89</f>
        <v>0.60617695930474613</v>
      </c>
      <c r="J89" s="32"/>
      <c r="K89" s="40"/>
      <c r="L89" s="32"/>
    </row>
    <row r="90" spans="2:12" x14ac:dyDescent="0.3">
      <c r="B90" s="37" t="s">
        <v>52</v>
      </c>
      <c r="C90" s="22">
        <v>962928233</v>
      </c>
      <c r="D90" s="22">
        <f>+[13]MER!$Z$39</f>
        <v>6000000</v>
      </c>
      <c r="E90" s="38">
        <f t="shared" si="6"/>
        <v>6.2309939561196771E-3</v>
      </c>
      <c r="F90" s="22">
        <v>38180000</v>
      </c>
      <c r="G90" s="39">
        <f t="shared" si="7"/>
        <v>3.9649891540774876E-2</v>
      </c>
      <c r="H90" s="43">
        <v>133963310</v>
      </c>
      <c r="I90" s="39">
        <f t="shared" si="5"/>
        <v>0.13912076249196445</v>
      </c>
      <c r="J90" s="32"/>
      <c r="K90" s="40"/>
    </row>
    <row r="91" spans="2:12" x14ac:dyDescent="0.3">
      <c r="B91" s="37" t="s">
        <v>53</v>
      </c>
      <c r="C91" s="22">
        <v>9593332401</v>
      </c>
      <c r="D91" s="22">
        <f>+[13]MER!$Z$48</f>
        <v>1652899173</v>
      </c>
      <c r="E91" s="45">
        <f t="shared" si="6"/>
        <v>0.1722966643819934</v>
      </c>
      <c r="F91" s="22">
        <v>3487695435</v>
      </c>
      <c r="G91" s="46">
        <f t="shared" si="7"/>
        <v>0.36355411125298293</v>
      </c>
      <c r="H91" s="43">
        <v>5893358463</v>
      </c>
      <c r="I91" s="39">
        <f t="shared" si="5"/>
        <v>0.61431817606837869</v>
      </c>
      <c r="J91" s="32"/>
      <c r="K91" s="40"/>
    </row>
    <row r="92" spans="2:12" x14ac:dyDescent="0.3">
      <c r="B92" s="37" t="s">
        <v>54</v>
      </c>
      <c r="C92" s="22">
        <v>1499888057</v>
      </c>
      <c r="D92" s="22">
        <f>+[13]MER!$Z$54</f>
        <v>72388168</v>
      </c>
      <c r="E92" s="38">
        <f t="shared" si="6"/>
        <v>4.8262380423767855E-2</v>
      </c>
      <c r="F92" s="22">
        <v>256533515</v>
      </c>
      <c r="G92" s="39">
        <f t="shared" si="7"/>
        <v>0.17103510745535591</v>
      </c>
      <c r="H92" s="43">
        <v>825019333</v>
      </c>
      <c r="I92" s="39">
        <f t="shared" si="5"/>
        <v>0.55005393845868855</v>
      </c>
      <c r="J92" s="32"/>
      <c r="K92" s="40"/>
    </row>
    <row r="93" spans="2:12" x14ac:dyDescent="0.3">
      <c r="B93" s="37" t="s">
        <v>55</v>
      </c>
      <c r="C93" s="22">
        <v>5010537031</v>
      </c>
      <c r="D93" s="22">
        <f>+[13]MER!$Z$67-GETPIVOTDATA("VALOR DOC",'[12]TABLA HONORARIOS '!$T$2,"trimestre","trime 1","AREA","02","RUBRO2","Asesor Gastronómico Ejecutivo")</f>
        <v>609411068</v>
      </c>
      <c r="E93" s="38">
        <f t="shared" si="6"/>
        <v>0.12162589842757317</v>
      </c>
      <c r="F93" s="22">
        <f>2569315919-GETPIVOTDATA("VALOR DOC",'[12]TABLA HONORARIOS '!$T$2,"trimestre","trime 2","AREA","02","RUBRO2","Asesor Gastronómico Ejecutivo")-GETPIVOTDATA("VALOR DOC",'[12]TABLA HONORARIOS '!$T$2,"trimestre","trime 1","AREA","02","RUBRO2","Asesor Gastronómico Ejecutivo")</f>
        <v>2501666107</v>
      </c>
      <c r="G93" s="39">
        <f t="shared" si="7"/>
        <v>0.49928103345455549</v>
      </c>
      <c r="H93" s="43">
        <v>3817933880</v>
      </c>
      <c r="I93" s="39">
        <f t="shared" si="5"/>
        <v>0.76198097257411523</v>
      </c>
      <c r="J93" s="32"/>
      <c r="K93" s="40"/>
    </row>
    <row r="94" spans="2:12" x14ac:dyDescent="0.3">
      <c r="B94" s="37" t="s">
        <v>56</v>
      </c>
      <c r="C94" s="22">
        <v>1297593238</v>
      </c>
      <c r="D94" s="22">
        <f>+[13]MER!$Z$61</f>
        <v>449605800</v>
      </c>
      <c r="E94" s="38">
        <f t="shared" si="6"/>
        <v>0.34649209539114445</v>
      </c>
      <c r="F94" s="22">
        <v>523975440</v>
      </c>
      <c r="G94" s="39">
        <f t="shared" si="7"/>
        <v>0.40380561847533303</v>
      </c>
      <c r="H94" s="43">
        <v>602997382</v>
      </c>
      <c r="I94" s="39">
        <f t="shared" si="5"/>
        <v>0.46470447312858143</v>
      </c>
      <c r="J94" s="32"/>
      <c r="K94" s="40"/>
    </row>
    <row r="95" spans="2:12" x14ac:dyDescent="0.3">
      <c r="B95" s="37" t="s">
        <v>57</v>
      </c>
      <c r="C95" s="22">
        <v>279601195</v>
      </c>
      <c r="D95" s="22">
        <f>+[13]MER!$Z$80-GETPIVOTDATA("VALOR DOC",'[12]TABLA HONORARIOS '!$T$2,"trimestre","trime 1","AREA","02","RUBRO2","Seguimiento y gestión comunicación integ")</f>
        <v>2788890</v>
      </c>
      <c r="E95" s="38">
        <f t="shared" si="6"/>
        <v>9.9745281846881952E-3</v>
      </c>
      <c r="F95" s="22">
        <f>62154584-GETPIVOTDATA("VALOR DOC",'[12]TABLA HONORARIOS '!$T$2,"trimestre","trime 1","AREA","02","RUBRO2","Seguimiento y gestión comunicación integ")-GETPIVOTDATA("VALOR DOC",'[12]TABLA HONORARIOS '!$T$2,"trimestre","trime 2","AREA","02","RUBRO2","Seguimiento y gestión comunicación integ")</f>
        <v>18943834</v>
      </c>
      <c r="G95" s="39">
        <f t="shared" si="7"/>
        <v>6.7753050912389701E-2</v>
      </c>
      <c r="H95" s="43">
        <v>28218214</v>
      </c>
      <c r="I95" s="39">
        <f t="shared" si="5"/>
        <v>0.10092308081873541</v>
      </c>
      <c r="J95" s="32"/>
      <c r="K95" s="40"/>
    </row>
    <row r="96" spans="2:12" x14ac:dyDescent="0.3">
      <c r="B96" s="59" t="s">
        <v>58</v>
      </c>
      <c r="C96" s="64">
        <f>+C97+C102</f>
        <v>1334716314.0352001</v>
      </c>
      <c r="D96" s="64">
        <f>+D97+D102</f>
        <v>264714809</v>
      </c>
      <c r="E96" s="61">
        <f t="shared" si="6"/>
        <v>0.19833039142205222</v>
      </c>
      <c r="F96" s="64">
        <f>+F97+F102</f>
        <v>486923709</v>
      </c>
      <c r="G96" s="39">
        <f t="shared" si="7"/>
        <v>0.36481438331108801</v>
      </c>
      <c r="H96" s="65">
        <f>+H97+H102</f>
        <v>726568277</v>
      </c>
      <c r="I96" s="39">
        <f t="shared" si="5"/>
        <v>0.54436157658356032</v>
      </c>
      <c r="J96" s="32"/>
      <c r="K96" s="40"/>
      <c r="L96" s="32"/>
    </row>
    <row r="97" spans="2:12" s="21" customFormat="1" x14ac:dyDescent="0.3">
      <c r="B97" s="59" t="s">
        <v>59</v>
      </c>
      <c r="C97" s="60">
        <f>SUM(C98:C101)</f>
        <v>741869036.0352</v>
      </c>
      <c r="D97" s="60">
        <f>SUM(D98:D101)</f>
        <v>144569688</v>
      </c>
      <c r="E97" s="61">
        <f t="shared" si="6"/>
        <v>0.19487224965288955</v>
      </c>
      <c r="F97" s="60">
        <f>SUM(F98:F101)</f>
        <v>275075610</v>
      </c>
      <c r="G97" s="63">
        <f t="shared" si="7"/>
        <v>0.37078729080013562</v>
      </c>
      <c r="H97" s="62">
        <f>SUM(H98:H101)</f>
        <v>358522808</v>
      </c>
      <c r="I97" s="63">
        <f t="shared" si="5"/>
        <v>0.48326967508452384</v>
      </c>
      <c r="J97" s="32"/>
      <c r="K97" s="40"/>
    </row>
    <row r="98" spans="2:12" x14ac:dyDescent="0.3">
      <c r="B98" s="37" t="s">
        <v>60</v>
      </c>
      <c r="C98" s="22">
        <v>486806501</v>
      </c>
      <c r="D98" s="22">
        <v>141801325</v>
      </c>
      <c r="E98" s="38">
        <f>+D98/C98</f>
        <v>0.29128888934044866</v>
      </c>
      <c r="F98" s="22">
        <f>803889963-GETPIVOTDATA("VALOR DOC",'[12]TABLA HONORARIOS '!$T$2,"trimestre","trime 1","AREA","03","RUBRO2","Acompañamiento en Producción Primaria")-GETPIVOTDATA("VALOR DOC",'[12]TABLA HONORARIOS '!$T$2,"trimestre","trime 2","AREA","03","RUBRO2","Acompañamiento en Producción Primaria")</f>
        <v>257852720</v>
      </c>
      <c r="G98" s="39">
        <f t="shared" si="7"/>
        <v>0.52968216215337682</v>
      </c>
      <c r="H98" s="66">
        <v>335545388</v>
      </c>
      <c r="I98" s="39">
        <f t="shared" si="5"/>
        <v>0.68927877362097922</v>
      </c>
      <c r="J98" s="32"/>
      <c r="K98" s="40"/>
    </row>
    <row r="99" spans="2:12" x14ac:dyDescent="0.3">
      <c r="B99" s="37" t="s">
        <v>61</v>
      </c>
      <c r="C99" s="22">
        <v>24784704</v>
      </c>
      <c r="D99" s="22">
        <v>45000</v>
      </c>
      <c r="E99" s="38">
        <f>+D99/C99</f>
        <v>1.8156359664412373E-3</v>
      </c>
      <c r="F99" s="22">
        <f>52016436-GETPIVOTDATA("VALOR DOC",'[12]TABLA HONORARIOS '!$T$2,"trimestre","trime 1","AREA","03","RUBRO2","Apoyo Nuevos proyectos")-GETPIVOTDATA("VALOR DOC",'[12]TABLA HONORARIOS '!$T$2,"trimestre","trime 2","AREA","03","RUBRO2","Apoyo Nuevos proyectos")</f>
        <v>360400</v>
      </c>
      <c r="G99" s="39">
        <f t="shared" si="7"/>
        <v>1.4541226717898264E-2</v>
      </c>
      <c r="H99" s="66">
        <v>1882560</v>
      </c>
      <c r="I99" s="39">
        <f t="shared" si="5"/>
        <v>7.5956525444080353E-2</v>
      </c>
      <c r="J99" s="32"/>
      <c r="K99" s="40"/>
    </row>
    <row r="100" spans="2:12" x14ac:dyDescent="0.3">
      <c r="B100" s="37" t="s">
        <v>62</v>
      </c>
      <c r="C100" s="22">
        <v>215131623.0352</v>
      </c>
      <c r="D100" s="22" t="s">
        <v>20</v>
      </c>
      <c r="E100" s="38">
        <v>0</v>
      </c>
      <c r="F100" s="22">
        <v>10476787</v>
      </c>
      <c r="G100" s="39">
        <f t="shared" si="7"/>
        <v>4.8699428062632055E-2</v>
      </c>
      <c r="H100" s="66">
        <v>10476787</v>
      </c>
      <c r="I100" s="39">
        <f t="shared" si="5"/>
        <v>4.8699428062632055E-2</v>
      </c>
      <c r="J100" s="32"/>
      <c r="K100" s="40"/>
    </row>
    <row r="101" spans="2:12" x14ac:dyDescent="0.3">
      <c r="B101" s="37" t="s">
        <v>63</v>
      </c>
      <c r="C101" s="22">
        <v>15146208</v>
      </c>
      <c r="D101" s="22">
        <v>2723363</v>
      </c>
      <c r="E101" s="38">
        <f>+D101/C101</f>
        <v>0.17980493863546573</v>
      </c>
      <c r="F101" s="22">
        <f>38755015-GETPIVOTDATA("VALOR DOC",'[12]TABLA HONORARIOS '!$T$2,"trimestre","trime 1","AREA","03","RUBRO2","Convenios Interinstitucionales")-GETPIVOTDATA("VALOR DOC",'[12]TABLA HONORARIOS '!$T$2,"trimestre","trime 2","AREA","03","RUBRO2","Convenios Interinstitucionales")</f>
        <v>6385703</v>
      </c>
      <c r="G101" s="39">
        <f t="shared" si="7"/>
        <v>0.42160407410224393</v>
      </c>
      <c r="H101" s="66">
        <v>10618073</v>
      </c>
      <c r="I101" s="39">
        <f t="shared" si="5"/>
        <v>0.70103837211267661</v>
      </c>
      <c r="J101" s="32"/>
      <c r="K101" s="40"/>
    </row>
    <row r="102" spans="2:12" s="21" customFormat="1" x14ac:dyDescent="0.3">
      <c r="B102" s="59" t="s">
        <v>64</v>
      </c>
      <c r="C102" s="60">
        <f>SUM(C103:C105)</f>
        <v>592847278</v>
      </c>
      <c r="D102" s="60">
        <f>SUM(D103:D105)</f>
        <v>120145121</v>
      </c>
      <c r="E102" s="61">
        <f t="shared" si="6"/>
        <v>0.20265779309186607</v>
      </c>
      <c r="F102" s="60">
        <f>SUM(F103:F105)</f>
        <v>211848099</v>
      </c>
      <c r="G102" s="63">
        <f t="shared" si="7"/>
        <v>0.35734008885843277</v>
      </c>
      <c r="H102" s="62">
        <f>SUM(H103:H105)</f>
        <v>368045469</v>
      </c>
      <c r="I102" s="63">
        <f>+H102/C102</f>
        <v>0.62080991624288107</v>
      </c>
      <c r="J102" s="32"/>
      <c r="K102" s="40"/>
    </row>
    <row r="103" spans="2:12" x14ac:dyDescent="0.3">
      <c r="B103" s="37" t="s">
        <v>65</v>
      </c>
      <c r="C103" s="22">
        <v>368025534</v>
      </c>
      <c r="D103" s="22">
        <f>114245969-GETPIVOTDATA("VALOR DOC",'[12]TABLA HONORARIOS '!$T$2,"trimestre","trime 1","AREA","03","RUBRO2","Acompañamiento en Sostenibilidad")</f>
        <v>101064773</v>
      </c>
      <c r="E103" s="38">
        <f>+D103/C103</f>
        <v>0.27461348103091132</v>
      </c>
      <c r="F103" s="22">
        <f>198233225-GETPIVOTDATA("VALOR DOC",'[12]TABLA HONORARIOS '!$T$2,"trimestre","trime 1","AREA","03","RUBRO2","Acompañamiento en Sostenibilidad")-GETPIVOTDATA("VALOR DOC",'[12]TABLA HONORARIOS '!$T$2,"trimestre","trime 2","AREA","03","RUBRO2","Acompañamiento en Sostenibilidad")</f>
        <v>176978301</v>
      </c>
      <c r="G103" s="39">
        <f t="shared" si="7"/>
        <v>0.48088592950727166</v>
      </c>
      <c r="H103" s="66">
        <v>282150197</v>
      </c>
      <c r="I103" s="39">
        <f t="shared" si="5"/>
        <v>0.76665929652587639</v>
      </c>
      <c r="J103" s="32"/>
      <c r="K103" s="40"/>
    </row>
    <row r="104" spans="2:12" x14ac:dyDescent="0.3">
      <c r="B104" s="37" t="s">
        <v>66</v>
      </c>
      <c r="C104" s="22">
        <v>105039936</v>
      </c>
      <c r="D104" s="22">
        <v>3661640</v>
      </c>
      <c r="E104" s="38">
        <f>+D104/C104</f>
        <v>3.4859503341662358E-2</v>
      </c>
      <c r="F104" s="22">
        <f>24913160-GETPIVOTDATA("VALOR DOC",'[12]TABLA HONORARIOS '!$T$2,"trimestre","trime 2","AREA","03","RUBRO2","Economía Circular")</f>
        <v>7815320</v>
      </c>
      <c r="G104" s="39">
        <f t="shared" si="7"/>
        <v>7.4403320276204277E-2</v>
      </c>
      <c r="H104" s="66">
        <v>40075446</v>
      </c>
      <c r="I104" s="39">
        <f t="shared" si="5"/>
        <v>0.38152580367147215</v>
      </c>
      <c r="J104" s="32"/>
      <c r="K104" s="40"/>
    </row>
    <row r="105" spans="2:12" x14ac:dyDescent="0.3">
      <c r="B105" s="37" t="s">
        <v>67</v>
      </c>
      <c r="C105" s="22">
        <v>119781808</v>
      </c>
      <c r="D105" s="22">
        <v>15418708</v>
      </c>
      <c r="E105" s="38">
        <f t="shared" si="6"/>
        <v>0.12872328659457202</v>
      </c>
      <c r="F105" s="22">
        <v>27054478</v>
      </c>
      <c r="G105" s="39">
        <f t="shared" si="7"/>
        <v>0.22586466552583678</v>
      </c>
      <c r="H105" s="66">
        <v>45819826</v>
      </c>
      <c r="I105" s="39">
        <f t="shared" si="5"/>
        <v>0.3825274201905518</v>
      </c>
      <c r="J105" s="32"/>
      <c r="K105" s="40"/>
    </row>
    <row r="106" spans="2:12" x14ac:dyDescent="0.3">
      <c r="B106" s="59" t="s">
        <v>68</v>
      </c>
      <c r="C106" s="64">
        <f>+C107+C110</f>
        <v>780086175</v>
      </c>
      <c r="D106" s="64">
        <f>+D107+D110</f>
        <v>266662965</v>
      </c>
      <c r="E106" s="61">
        <f t="shared" si="6"/>
        <v>0.3418378296474745</v>
      </c>
      <c r="F106" s="64">
        <f>+F107+F110</f>
        <v>467513495</v>
      </c>
      <c r="G106" s="39">
        <f t="shared" si="7"/>
        <v>0.599310063404213</v>
      </c>
      <c r="H106" s="65">
        <f>+H107+H110</f>
        <v>672380382</v>
      </c>
      <c r="I106" s="63">
        <f t="shared" si="5"/>
        <v>0.86193090397993533</v>
      </c>
      <c r="J106" s="32"/>
      <c r="K106" s="40"/>
    </row>
    <row r="107" spans="2:12" x14ac:dyDescent="0.3">
      <c r="B107" s="59" t="s">
        <v>69</v>
      </c>
      <c r="C107" s="60">
        <f>SUM(C108:C109)</f>
        <v>227346047.82521057</v>
      </c>
      <c r="D107" s="60">
        <f>+D108+D109</f>
        <v>32845307</v>
      </c>
      <c r="E107" s="61">
        <f t="shared" si="6"/>
        <v>0.1444727423863216</v>
      </c>
      <c r="F107" s="60">
        <f>+F108+F109</f>
        <v>92427812</v>
      </c>
      <c r="G107" s="39">
        <f t="shared" si="7"/>
        <v>0.40655121513729087</v>
      </c>
      <c r="H107" s="62">
        <f>+H108+H109</f>
        <v>141725420</v>
      </c>
      <c r="I107" s="39">
        <f t="shared" si="5"/>
        <v>0.62339073564613756</v>
      </c>
      <c r="J107" s="32"/>
      <c r="K107" s="40"/>
    </row>
    <row r="108" spans="2:12" x14ac:dyDescent="0.3">
      <c r="B108" s="37" t="s">
        <v>70</v>
      </c>
      <c r="C108" s="22">
        <v>141853287.82521057</v>
      </c>
      <c r="D108" s="22">
        <f>+[13]ECO!$Z$40-GETPIVOTDATA("VALOR DOC",'[12]TABLA HONORARIOS '!$T$2,"trimestre","trime 1","AREA","04","RUBRO2","Asistencia Financiera")</f>
        <v>26810309</v>
      </c>
      <c r="E108" s="38">
        <f t="shared" si="6"/>
        <v>0.1890002650698886</v>
      </c>
      <c r="F108" s="22">
        <f>+[13]ECO!$Z$40+[13]ECO!$AA$40-GETPIVOTDATA("VALOR DOC",'[12]TABLA HONORARIOS '!$T$2,"trimestre","trime 1","AREA","04","RUBRO2","Asistencia Financiera")</f>
        <v>58097570</v>
      </c>
      <c r="G108" s="39">
        <f t="shared" si="7"/>
        <v>0.40956096887642762</v>
      </c>
      <c r="H108" s="66">
        <v>83754706</v>
      </c>
      <c r="I108" s="39">
        <f t="shared" si="5"/>
        <v>0.59043189822432074</v>
      </c>
      <c r="J108" s="32"/>
      <c r="K108" s="40"/>
    </row>
    <row r="109" spans="2:12" x14ac:dyDescent="0.3">
      <c r="B109" s="37" t="s">
        <v>71</v>
      </c>
      <c r="C109" s="22">
        <v>85492760</v>
      </c>
      <c r="D109" s="22">
        <f>+[13]ECO!$Z$41</f>
        <v>6034998</v>
      </c>
      <c r="E109" s="38">
        <f>+D109/C109</f>
        <v>7.0590749438899855E-2</v>
      </c>
      <c r="F109" s="22">
        <f>+[13]ECO!$Z$41+[13]ECO!$AA$41</f>
        <v>34330242</v>
      </c>
      <c r="G109" s="39">
        <f t="shared" si="7"/>
        <v>0.40155730146038099</v>
      </c>
      <c r="H109" s="66">
        <v>57970714</v>
      </c>
      <c r="I109" s="46">
        <f t="shared" si="5"/>
        <v>0.67807746527308277</v>
      </c>
      <c r="J109" s="32"/>
      <c r="K109" s="40"/>
      <c r="L109" s="40"/>
    </row>
    <row r="110" spans="2:12" x14ac:dyDescent="0.3">
      <c r="B110" s="59" t="s">
        <v>72</v>
      </c>
      <c r="C110" s="60">
        <v>552740127.17478943</v>
      </c>
      <c r="D110" s="60">
        <f>+[13]ECO!$Z$42-GETPIVOTDATA("VALOR DOC",'[12]TABLA HONORARIOS '!$T$2,"trimestre","trime 1","AREA","04","RUBRO2","Actualización Información Nacional")-GETPIVOTDATA("VALOR DOC",'[12]TABLA HONORARIOS '!$T$2,"trimestre","trime 1","AREA","04","RUBRO2","Monitoreo Precios de la carne al Consumi")</f>
        <v>233817658</v>
      </c>
      <c r="E110" s="61">
        <f>+D110/C110</f>
        <v>0.42301553027298372</v>
      </c>
      <c r="F110" s="60">
        <f>+[13]ECO!$Z$42+[13]ECO!$AA$42-GETPIVOTDATA("VALOR DOC",'[12]TABLA HONORARIOS '!$T$2,"trimestre","trime 1","AREA","04","RUBRO2","Actualización Información Nacional")-GETPIVOTDATA("VALOR DOC",'[12]TABLA HONORARIOS '!$T$2,"trimestre","trime 2","AREA","04","RUBRO2","Actualización Información Nacional")-GETPIVOTDATA("VALOR DOC",'[12]TABLA HONORARIOS '!$T$2,"trimestre","trime 2","AREA","04","RUBRO2","Monitoreo Precios de la carne al Consumi")-GETPIVOTDATA("VALOR DOC",'[12]TABLA HONORARIOS '!$T$2,"trimestre","trime 1","AREA","04","RUBRO2","Monitoreo Precios de la carne al Consumi")</f>
        <v>375085683</v>
      </c>
      <c r="G110" s="39">
        <f t="shared" si="7"/>
        <v>0.67859318431822313</v>
      </c>
      <c r="H110" s="65">
        <v>530654962</v>
      </c>
      <c r="I110" s="46">
        <f t="shared" si="5"/>
        <v>0.96004421591811517</v>
      </c>
      <c r="J110" s="32"/>
      <c r="K110" s="40"/>
      <c r="L110" s="40"/>
    </row>
    <row r="111" spans="2:12" x14ac:dyDescent="0.3">
      <c r="B111" s="59" t="s">
        <v>73</v>
      </c>
      <c r="C111" s="64">
        <f>SUM(C112:C115)</f>
        <v>21988610165</v>
      </c>
      <c r="D111" s="64">
        <f>SUM(D112:D115)</f>
        <v>5113686694</v>
      </c>
      <c r="E111" s="61">
        <f t="shared" si="6"/>
        <v>0.23256070554834907</v>
      </c>
      <c r="F111" s="64">
        <f>SUM(F112:F115)</f>
        <v>10279359937</v>
      </c>
      <c r="G111" s="39">
        <f t="shared" si="7"/>
        <v>0.46748566006968456</v>
      </c>
      <c r="H111" s="65">
        <f>SUM(H112:H115)</f>
        <v>17375131147</v>
      </c>
      <c r="I111" s="67">
        <f t="shared" si="5"/>
        <v>0.79018778434012038</v>
      </c>
      <c r="J111" s="32"/>
      <c r="K111" s="40"/>
      <c r="L111" s="40"/>
    </row>
    <row r="112" spans="2:12" s="21" customFormat="1" x14ac:dyDescent="0.3">
      <c r="B112" s="59" t="s">
        <v>74</v>
      </c>
      <c r="C112" s="60">
        <v>21066606121</v>
      </c>
      <c r="D112" s="60">
        <v>4976264018</v>
      </c>
      <c r="E112" s="61">
        <f t="shared" si="6"/>
        <v>0.23621574303036261</v>
      </c>
      <c r="F112" s="64">
        <f>+[13]PPC!$AA$44+[13]PPC!$Z$44</f>
        <v>9830562648</v>
      </c>
      <c r="G112" s="63">
        <f t="shared" si="7"/>
        <v>0.46664197315582401</v>
      </c>
      <c r="H112" s="65">
        <v>16670564467</v>
      </c>
      <c r="I112" s="39">
        <f>+H112/C112</f>
        <v>0.791326536949022</v>
      </c>
      <c r="J112" s="32"/>
      <c r="K112" s="40"/>
      <c r="L112" s="68"/>
    </row>
    <row r="113" spans="2:11" s="21" customFormat="1" x14ac:dyDescent="0.3">
      <c r="B113" s="59" t="s">
        <v>75</v>
      </c>
      <c r="C113" s="60">
        <v>225709188</v>
      </c>
      <c r="D113" s="60">
        <v>119860350</v>
      </c>
      <c r="E113" s="61">
        <f t="shared" si="6"/>
        <v>0.5310388605004418</v>
      </c>
      <c r="F113" s="64">
        <f>+[13]PPC!$Z$52+[13]PPC!$AA$52-GETPIVOTDATA("VALOR DOC",'[12]TABLA HONORARIOS '!$T$2,"trimestre","trime 2","AREA","05","RUBRO2","Capacitación y divulgación")</f>
        <v>186622128</v>
      </c>
      <c r="G113" s="63">
        <f t="shared" si="7"/>
        <v>0.82682556990103562</v>
      </c>
      <c r="H113" s="65">
        <v>196932060</v>
      </c>
      <c r="I113" s="39">
        <f t="shared" si="5"/>
        <v>0.87250351545281357</v>
      </c>
      <c r="J113" s="32"/>
      <c r="K113" s="40"/>
    </row>
    <row r="114" spans="2:11" s="21" customFormat="1" x14ac:dyDescent="0.3">
      <c r="B114" s="59" t="s">
        <v>76</v>
      </c>
      <c r="C114" s="60">
        <v>464683270</v>
      </c>
      <c r="D114" s="60">
        <v>10135185</v>
      </c>
      <c r="E114" s="61">
        <f t="shared" si="6"/>
        <v>2.1810953082085353E-2</v>
      </c>
      <c r="F114" s="64">
        <f>+[13]PPC!$Z$54+[13]PPC!$AA$54-GETPIVOTDATA("VALOR DOC",'[12]TABLA HONORARIOS '!$T$2,"trimestre","trime 2","AREA","05","RUBRO2","Apoyo actividades de vigilancia activa")</f>
        <v>227712333</v>
      </c>
      <c r="G114" s="63">
        <f t="shared" si="7"/>
        <v>0.49003772612687346</v>
      </c>
      <c r="H114" s="65">
        <v>383407718</v>
      </c>
      <c r="I114" s="39">
        <f t="shared" si="5"/>
        <v>0.82509473172985115</v>
      </c>
      <c r="J114" s="32"/>
      <c r="K114" s="40"/>
    </row>
    <row r="115" spans="2:11" s="21" customFormat="1" x14ac:dyDescent="0.3">
      <c r="B115" s="59" t="s">
        <v>77</v>
      </c>
      <c r="C115" s="60">
        <f>+C116</f>
        <v>231611586</v>
      </c>
      <c r="D115" s="60">
        <f>41274891-GETPIVOTDATA("VALOR DOC",'[12]TABLA HONORARIOS '!$T$2,"trimestre","trime 1","AREA","05","RUBRO2","Manto, actu. y soporte de plataforma")</f>
        <v>7427141</v>
      </c>
      <c r="E115" s="61">
        <f>+D115/C115</f>
        <v>3.2067225687060406E-2</v>
      </c>
      <c r="F115" s="60">
        <f>+[13]PPC!$Z$57+[13]PPC!$AA$57-GETPIVOTDATA("VALOR DOC",'[12]TABLA HONORARIOS '!$T$2,"trimestre","trime 1","AREA","05","RUBRO2","Manto, actu. y soporte de plataforma")-GETPIVOTDATA("VALOR DOC",'[12]TABLA HONORARIOS '!$T$2,"trimestre","trime 2","AREA","05","RUBRO2","Manto, actu. y soporte de plataforma")</f>
        <v>34462828</v>
      </c>
      <c r="G115" s="63">
        <f t="shared" si="7"/>
        <v>0.14879578606227412</v>
      </c>
      <c r="H115" s="65">
        <f>+H116</f>
        <v>124226902</v>
      </c>
      <c r="I115" s="39">
        <f t="shared" si="5"/>
        <v>0.53635875538626987</v>
      </c>
      <c r="J115" s="32"/>
      <c r="K115" s="40"/>
    </row>
    <row r="116" spans="2:11" x14ac:dyDescent="0.3">
      <c r="B116" s="37" t="s">
        <v>77</v>
      </c>
      <c r="C116" s="22">
        <v>231611586</v>
      </c>
      <c r="D116" s="22">
        <f>+D115</f>
        <v>7427141</v>
      </c>
      <c r="E116" s="38">
        <f t="shared" si="6"/>
        <v>3.2067225687060406E-2</v>
      </c>
      <c r="F116" s="28">
        <f>+F115</f>
        <v>34462828</v>
      </c>
      <c r="G116" s="39">
        <f t="shared" si="7"/>
        <v>0.14879578606227412</v>
      </c>
      <c r="H116" s="66">
        <v>124226902</v>
      </c>
      <c r="I116" s="39">
        <f t="shared" si="5"/>
        <v>0.53635875538626987</v>
      </c>
      <c r="J116" s="32"/>
      <c r="K116" s="40"/>
    </row>
    <row r="117" spans="2:11" s="21" customFormat="1" x14ac:dyDescent="0.3">
      <c r="B117" s="59" t="s">
        <v>78</v>
      </c>
      <c r="C117" s="64">
        <f>+C118+C120+C123</f>
        <v>6669873720</v>
      </c>
      <c r="D117" s="64">
        <f>+D118+D120+D123</f>
        <v>794070857</v>
      </c>
      <c r="E117" s="61">
        <f t="shared" si="6"/>
        <v>0.11905335698019782</v>
      </c>
      <c r="F117" s="64">
        <f>+F118+F120+F123</f>
        <v>2560356269</v>
      </c>
      <c r="G117" s="63">
        <f t="shared" si="7"/>
        <v>0.38386877720377588</v>
      </c>
      <c r="H117" s="65">
        <f>+H118+H120+H123</f>
        <v>4429229279</v>
      </c>
      <c r="I117" s="63">
        <f t="shared" si="5"/>
        <v>0.66406493809900802</v>
      </c>
      <c r="J117" s="32"/>
      <c r="K117" s="40"/>
    </row>
    <row r="118" spans="2:11" s="21" customFormat="1" x14ac:dyDescent="0.3">
      <c r="B118" s="59" t="s">
        <v>79</v>
      </c>
      <c r="C118" s="60">
        <f>+C119</f>
        <v>834840669</v>
      </c>
      <c r="D118" s="60">
        <f>+D119</f>
        <v>84885160</v>
      </c>
      <c r="E118" s="61">
        <f t="shared" si="6"/>
        <v>0.10167827604958234</v>
      </c>
      <c r="F118" s="60">
        <f>+F119</f>
        <v>432668780</v>
      </c>
      <c r="G118" s="63">
        <f t="shared" si="7"/>
        <v>0.51826509664205156</v>
      </c>
      <c r="H118" s="62">
        <f>+H119</f>
        <v>665820658</v>
      </c>
      <c r="I118" s="63">
        <f t="shared" si="5"/>
        <v>0.79754219304809648</v>
      </c>
      <c r="J118" s="32"/>
      <c r="K118" s="40"/>
    </row>
    <row r="119" spans="2:11" s="21" customFormat="1" x14ac:dyDescent="0.3">
      <c r="B119" s="37" t="s">
        <v>80</v>
      </c>
      <c r="C119" s="22">
        <v>834840669</v>
      </c>
      <c r="D119" s="22">
        <f>+[13]TRANSF!$Z$39-GETPIVOTDATA("VALOR DOC",'[12]TABLA HONORARIOS '!$T$2,"AREA","06","RUBRO2","Capacitación anual")-GETPIVOTDATA("VALOR DOC",'[12]TABLA HONORARIOS '!$T$2,"trimestre","trime 1","AREA","06","RUBRO2","Proyectos")</f>
        <v>84885160</v>
      </c>
      <c r="E119" s="38">
        <f t="shared" si="6"/>
        <v>0.10167827604958234</v>
      </c>
      <c r="F119" s="28">
        <f>+[13]TRANSF!$Z$39+[13]TRANSF!$AA$39-GETPIVOTDATA("VALOR DOC",'[12]TABLA HONORARIOS '!$T$2,"trimestre","trime 2","AREA","06","RUBRO2","Proyectos")-GETPIVOTDATA("VALOR DOC",'[12]TABLA HONORARIOS '!$T$2,"trimestre","trime 1","AREA","06","RUBRO2","Proyectos")-GETPIVOTDATA("VALOR DOC",'[12]TABLA HONORARIOS '!$T$2,"trimestre","trime 1","AREA","06","RUBRO2","Capacitación anual")</f>
        <v>432668780</v>
      </c>
      <c r="G119" s="39">
        <f t="shared" si="7"/>
        <v>0.51826509664205156</v>
      </c>
      <c r="H119" s="66">
        <v>665820658</v>
      </c>
      <c r="I119" s="39">
        <f t="shared" si="5"/>
        <v>0.79754219304809648</v>
      </c>
      <c r="J119" s="32"/>
      <c r="K119" s="40"/>
    </row>
    <row r="120" spans="2:11" s="21" customFormat="1" x14ac:dyDescent="0.3">
      <c r="B120" s="59" t="s">
        <v>81</v>
      </c>
      <c r="C120" s="60">
        <f>SUM(C121:C122)</f>
        <v>1489125982</v>
      </c>
      <c r="D120" s="60">
        <f>+D121+D122</f>
        <v>251049904</v>
      </c>
      <c r="E120" s="61">
        <f>+D120/C120</f>
        <v>0.16858876081311971</v>
      </c>
      <c r="F120" s="60">
        <f>+F121+F122</f>
        <v>494542645</v>
      </c>
      <c r="G120" s="63">
        <f t="shared" si="7"/>
        <v>0.33210262326884843</v>
      </c>
      <c r="H120" s="62">
        <f>+H121+H122</f>
        <v>875344915</v>
      </c>
      <c r="I120" s="63">
        <f t="shared" si="5"/>
        <v>0.58782462033491001</v>
      </c>
      <c r="J120" s="32"/>
      <c r="K120" s="40"/>
    </row>
    <row r="121" spans="2:11" s="21" customFormat="1" x14ac:dyDescent="0.3">
      <c r="B121" s="37" t="s">
        <v>82</v>
      </c>
      <c r="C121" s="22">
        <v>865592240</v>
      </c>
      <c r="D121" s="22">
        <f>+[13]TRANSF!$Z$44</f>
        <v>111752333</v>
      </c>
      <c r="E121" s="38">
        <f>+D121/C121</f>
        <v>0.1291050541303374</v>
      </c>
      <c r="F121" s="28">
        <f>+[13]TRANSF!$Z$44+[13]TRANSF!$AA$44-GETPIVOTDATA("VALOR DOC",'[12]TABLA HONORARIOS '!$T$2,"trimestre","trime 2","AREA","06","RUBRO2","Vinculación tecnológica")</f>
        <v>207024348</v>
      </c>
      <c r="G121" s="39">
        <f t="shared" si="7"/>
        <v>0.23917075319436781</v>
      </c>
      <c r="H121" s="66">
        <v>394804848</v>
      </c>
      <c r="I121" s="39">
        <f t="shared" si="5"/>
        <v>0.45610950486339852</v>
      </c>
      <c r="J121" s="32"/>
      <c r="K121" s="40"/>
    </row>
    <row r="122" spans="2:11" s="21" customFormat="1" x14ac:dyDescent="0.3">
      <c r="B122" s="37" t="s">
        <v>83</v>
      </c>
      <c r="C122" s="22">
        <v>623533742</v>
      </c>
      <c r="D122" s="22">
        <f>144918443-GETPIVOTDATA("VALOR DOC",'[12]TABLA HONORARIOS '!$T$2,"trimestre","trime 1","AREA","06","RUBRO2","Talleres y seminarios")</f>
        <v>139297571</v>
      </c>
      <c r="E122" s="38">
        <f>+D122/C122</f>
        <v>0.22340021336006544</v>
      </c>
      <c r="F122" s="28">
        <f>+[13]TRANSF!$Z$45+[13]TRANSF!$AA$45-GETPIVOTDATA("VALOR DOC",'[12]TABLA HONORARIOS '!$T$2,"trimestre","trime 1","AREA","06","RUBRO2","Talleres y seminarios")-GETPIVOTDATA("VALOR DOC",'[12]TABLA HONORARIOS '!$T$2,"trimestre","trime 2","AREA","06","RUBRO2","Talleres y seminarios")</f>
        <v>287518297</v>
      </c>
      <c r="G122" s="39">
        <f t="shared" si="7"/>
        <v>0.46111104761993776</v>
      </c>
      <c r="H122" s="66">
        <v>480540067</v>
      </c>
      <c r="I122" s="39">
        <f t="shared" ref="I122:I141" si="8">+H122/C122</f>
        <v>0.77067211384368028</v>
      </c>
      <c r="J122" s="32"/>
      <c r="K122" s="40"/>
    </row>
    <row r="123" spans="2:11" s="21" customFormat="1" x14ac:dyDescent="0.3">
      <c r="B123" s="59" t="s">
        <v>84</v>
      </c>
      <c r="C123" s="60">
        <f>SUM(C124:C126)</f>
        <v>4345907069</v>
      </c>
      <c r="D123" s="60">
        <f>+D124+D125+D126</f>
        <v>458135793</v>
      </c>
      <c r="E123" s="61">
        <f>+D123/C123</f>
        <v>0.10541776106257554</v>
      </c>
      <c r="F123" s="60">
        <f>+F124+F125+F126</f>
        <v>1633144844</v>
      </c>
      <c r="G123" s="63">
        <f t="shared" si="7"/>
        <v>0.37578917774138904</v>
      </c>
      <c r="H123" s="62">
        <f>+H124+H125+H126</f>
        <v>2888063706</v>
      </c>
      <c r="I123" s="63">
        <f t="shared" si="8"/>
        <v>0.6645479666606281</v>
      </c>
      <c r="J123" s="32"/>
      <c r="K123" s="40"/>
    </row>
    <row r="124" spans="2:11" s="21" customFormat="1" x14ac:dyDescent="0.3">
      <c r="B124" s="37" t="s">
        <v>85</v>
      </c>
      <c r="C124" s="22">
        <v>4121021943</v>
      </c>
      <c r="D124" s="22">
        <f>441502323-GETPIVOTDATA("VALOR DOC",'[12]TABLA HONORARIOS '!$T$2,"trimestre","trime 1","AREA","06","RUBRO2","Promoción al diagnóstico")</f>
        <v>441222323</v>
      </c>
      <c r="E124" s="38">
        <f>+D124/C124</f>
        <v>0.10706623966161201</v>
      </c>
      <c r="F124" s="28">
        <f>+[13]TRANSF!$AA$47+[13]TRANSF!$Z$51+[13]TRANSF!$AA$51-GETPIVOTDATA("VALOR DOC",'[12]TABLA HONORARIOS '!$T$2,"trimestre","trime 2","AREA","06","RUBRO2","Promoción al diagnóstico")-GETPIVOTDATA("VALOR DOC",'[12]TABLA HONORARIOS '!$T$2,"trimestre","trime 1","AREA","06","RUBRO2","Promoción al diagnóstico")</f>
        <v>1544344711</v>
      </c>
      <c r="G124" s="39">
        <f t="shared" si="7"/>
        <v>0.374747995123694</v>
      </c>
      <c r="H124" s="66">
        <v>2754914776</v>
      </c>
      <c r="I124" s="39">
        <f t="shared" si="8"/>
        <v>0.66850281655974186</v>
      </c>
      <c r="J124" s="32"/>
      <c r="K124" s="40"/>
    </row>
    <row r="125" spans="2:11" x14ac:dyDescent="0.3">
      <c r="B125" s="37" t="s">
        <v>86</v>
      </c>
      <c r="C125" s="22">
        <v>72552648</v>
      </c>
      <c r="D125" s="22">
        <v>0</v>
      </c>
      <c r="E125" s="38">
        <f t="shared" si="6"/>
        <v>0</v>
      </c>
      <c r="F125" s="28">
        <f>+[13]TRANSF!$AA$56</f>
        <v>18429240</v>
      </c>
      <c r="G125" s="39">
        <f t="shared" si="7"/>
        <v>0.25401195556639089</v>
      </c>
      <c r="H125" s="66">
        <v>22105620</v>
      </c>
      <c r="I125" s="39">
        <f t="shared" si="8"/>
        <v>0.3046838483414141</v>
      </c>
      <c r="J125" s="32"/>
      <c r="K125" s="40"/>
    </row>
    <row r="126" spans="2:11" s="21" customFormat="1" x14ac:dyDescent="0.3">
      <c r="B126" s="69" t="s">
        <v>87</v>
      </c>
      <c r="C126" s="22">
        <v>152332478</v>
      </c>
      <c r="D126" s="22">
        <f>29275224-GETPIVOTDATA("VALOR DOC",'[12]TABLA HONORARIOS '!$T$2,"trimestre","trime 1","AREA","06","RUBRO2","Apoyo Diagnostico lineas base (ICA)")</f>
        <v>16913470</v>
      </c>
      <c r="E126" s="38">
        <f t="shared" si="6"/>
        <v>0.11102996696475981</v>
      </c>
      <c r="F126" s="28">
        <f>+[13]TRANSF!$Z$57+[13]TRANSF!$AA$57-GETPIVOTDATA("VALOR DOC",'[12]TABLA HONORARIOS '!$T$2,"trimestre","trime 1","AREA","06","RUBRO2","Apoyo Diagnostico lineas base (ICA)")-GETPIVOTDATA("VALOR DOC",'[12]TABLA HONORARIOS '!$T$2,"trimestre","trime 2","AREA","06","RUBRO2","Apoyo Diagnostico lineas base (ICA)")</f>
        <v>70370893</v>
      </c>
      <c r="G126" s="39">
        <f t="shared" si="7"/>
        <v>0.46195593956004577</v>
      </c>
      <c r="H126" s="66">
        <v>111043310</v>
      </c>
      <c r="I126" s="39">
        <f t="shared" si="8"/>
        <v>0.72895361158636174</v>
      </c>
      <c r="J126" s="32"/>
      <c r="K126" s="40"/>
    </row>
    <row r="127" spans="2:11" s="21" customFormat="1" x14ac:dyDescent="0.3">
      <c r="B127" s="59" t="s">
        <v>88</v>
      </c>
      <c r="C127" s="64">
        <f>SUM(C128:C129)</f>
        <v>3408432756</v>
      </c>
      <c r="D127" s="64">
        <f>SUM(D128:D129)</f>
        <v>314399398</v>
      </c>
      <c r="E127" s="61">
        <f t="shared" si="6"/>
        <v>9.2241631420350079E-2</v>
      </c>
      <c r="F127" s="64">
        <f>SUM(F128:F129)</f>
        <v>1164684099</v>
      </c>
      <c r="G127" s="39">
        <f t="shared" si="7"/>
        <v>0.34170663832219078</v>
      </c>
      <c r="H127" s="65">
        <f>SUM(H128:H129)</f>
        <v>1886954199</v>
      </c>
      <c r="I127" s="63">
        <f t="shared" si="8"/>
        <v>0.55361344467726969</v>
      </c>
      <c r="J127" s="32"/>
      <c r="K127" s="40"/>
    </row>
    <row r="128" spans="2:11" s="21" customFormat="1" x14ac:dyDescent="0.3">
      <c r="B128" s="37" t="s">
        <v>89</v>
      </c>
      <c r="C128" s="22">
        <v>2184040673</v>
      </c>
      <c r="D128" s="22">
        <v>200557700</v>
      </c>
      <c r="E128" s="38">
        <f t="shared" si="6"/>
        <v>9.1828738575877242E-2</v>
      </c>
      <c r="F128" s="28">
        <f>+[13]SAN!$Z$32+[13]SAN!$AA$32-GETPIVOTDATA("VALOR DOC",'[12]TABLA HONORARIOS '!$T$2,"trimestre","trime 1","AREA","07","RUBRO2","Control, monitoreo de enfermedades prio")-GETPIVOTDATA("VALOR DOC",'[12]TABLA HONORARIOS '!$T$2,"trimestre","trime 2","AREA","07","RUBRO2","Control, monitoreo de enfermedades prio")</f>
        <v>730838712</v>
      </c>
      <c r="G128" s="39">
        <f t="shared" si="7"/>
        <v>0.33462687807737546</v>
      </c>
      <c r="H128" s="66">
        <v>1064044961</v>
      </c>
      <c r="I128" s="39">
        <f t="shared" si="8"/>
        <v>0.48719100067785232</v>
      </c>
      <c r="J128" s="32"/>
      <c r="K128" s="40"/>
    </row>
    <row r="129" spans="2:11" x14ac:dyDescent="0.3">
      <c r="B129" s="37" t="s">
        <v>90</v>
      </c>
      <c r="C129" s="22">
        <v>1224392083</v>
      </c>
      <c r="D129" s="22">
        <v>113841698</v>
      </c>
      <c r="E129" s="38">
        <f t="shared" si="6"/>
        <v>9.2978139585046637E-2</v>
      </c>
      <c r="F129" s="28">
        <f>+[13]SAN!$Z$35+[13]SAN!$AA$35-GETPIVOTDATA("VALOR DOC",'[12]TABLA HONORARIOS '!$T$2,"trimestre","trime 1","AREA","07","RUBRO2","Estudios de vigilancia epidemiológica")-GETPIVOTDATA("VALOR DOC",'[12]TABLA HONORARIOS '!$T$2,"trimestre","trime 2","AREA","07","RUBRO2","Estudios de vigilancia epidemiológica")</f>
        <v>433845387</v>
      </c>
      <c r="G129" s="39">
        <f t="shared" si="7"/>
        <v>0.35433534161458635</v>
      </c>
      <c r="H129" s="66">
        <v>822909238</v>
      </c>
      <c r="I129" s="39">
        <f t="shared" si="8"/>
        <v>0.67209617689107515</v>
      </c>
      <c r="J129" s="32"/>
      <c r="K129" s="40"/>
    </row>
    <row r="130" spans="2:11" x14ac:dyDescent="0.3">
      <c r="B130" s="59" t="s">
        <v>91</v>
      </c>
      <c r="C130" s="64">
        <f>+C131+C134+C138</f>
        <v>1787845985</v>
      </c>
      <c r="D130" s="64">
        <f>+D131+D134+D138</f>
        <v>316172038</v>
      </c>
      <c r="E130" s="61">
        <f t="shared" si="6"/>
        <v>0.17684523200134603</v>
      </c>
      <c r="F130" s="64">
        <f>+F131+F134+F138</f>
        <v>828609726</v>
      </c>
      <c r="G130" s="39">
        <f t="shared" si="7"/>
        <v>0.46346818067776685</v>
      </c>
      <c r="H130" s="65">
        <f>+H131+H134+H138</f>
        <v>1228918182</v>
      </c>
      <c r="I130" s="63">
        <f t="shared" si="8"/>
        <v>0.68737362855111928</v>
      </c>
      <c r="J130" s="32"/>
      <c r="K130" s="40"/>
    </row>
    <row r="131" spans="2:11" s="21" customFormat="1" x14ac:dyDescent="0.3">
      <c r="B131" s="59" t="s">
        <v>92</v>
      </c>
      <c r="C131" s="60">
        <f>SUM(C132:C133)</f>
        <v>1216639589</v>
      </c>
      <c r="D131" s="60">
        <f>+D132+D133</f>
        <v>209070862</v>
      </c>
      <c r="E131" s="61">
        <f t="shared" si="6"/>
        <v>0.17184288912696233</v>
      </c>
      <c r="F131" s="60">
        <f>+F132+F133</f>
        <v>573664076</v>
      </c>
      <c r="G131" s="63">
        <f t="shared" si="7"/>
        <v>0.47151521386174455</v>
      </c>
      <c r="H131" s="62">
        <f>+H132+H133</f>
        <v>871684572</v>
      </c>
      <c r="I131" s="63">
        <f t="shared" si="8"/>
        <v>0.71646901833637444</v>
      </c>
      <c r="J131" s="32"/>
      <c r="K131" s="40"/>
    </row>
    <row r="132" spans="2:11" x14ac:dyDescent="0.3">
      <c r="B132" s="37" t="s">
        <v>93</v>
      </c>
      <c r="C132" s="22">
        <v>170148796</v>
      </c>
      <c r="D132" s="22">
        <f>+[13]COM!$Z$42-GETPIVOTDATA("VALOR DOC",'[12]TABLA HONORARIOS '!$T$2,"trimestre","trime 1","AREA","08","RUBRO2","Desarrollo de Habilidades Comerciales")</f>
        <v>15637070</v>
      </c>
      <c r="E132" s="45">
        <f t="shared" si="6"/>
        <v>9.1902325303553717E-2</v>
      </c>
      <c r="F132" s="66">
        <f>+[13]COM!$AA$42+[13]COM!$Z$42-GETPIVOTDATA("VALOR DOC",'[12]TABLA HONORARIOS '!$T$2,"trimestre","trime 1","AREA","08","RUBRO2","Desarrollo de Habilidades Comerciales")-GETPIVOTDATA("VALOR DOC",'[12]TABLA HONORARIOS '!$T$2,"trimestre","trime 2","AREA","08","RUBRO2","Desarrollo de Habilidades Comerciales")</f>
        <v>52777558</v>
      </c>
      <c r="G132" s="46">
        <f t="shared" si="7"/>
        <v>0.31018472796010854</v>
      </c>
      <c r="H132" s="66">
        <v>123648925</v>
      </c>
      <c r="I132" s="39">
        <f t="shared" si="8"/>
        <v>0.7267105492771162</v>
      </c>
      <c r="J132" s="32"/>
      <c r="K132" s="40"/>
    </row>
    <row r="133" spans="2:11" x14ac:dyDescent="0.3">
      <c r="B133" s="37" t="s">
        <v>94</v>
      </c>
      <c r="C133" s="22">
        <v>1046490793</v>
      </c>
      <c r="D133" s="22">
        <f>+[13]COM!$Z$41+[13]COM!$Z$40-GETPIVOTDATA("VALOR DOC",'[12]TABLA HONORARIOS '!$T$2,"trimestre","trime 1","AREA","08","RUBRO2","Experiencia y Promoción Comercial")</f>
        <v>193433792</v>
      </c>
      <c r="E133" s="45">
        <f t="shared" si="6"/>
        <v>0.18484041454916078</v>
      </c>
      <c r="F133" s="66">
        <f>+[13]COM!$AA$41+[13]COM!$Z$41+[13]COM!$Z$40-GETPIVOTDATA("VALOR DOC",'[12]TABLA HONORARIOS '!$T$2,"trimestre","trime 2","AREA","08","RUBRO2","Experiencia y Promoción Comercial")-GETPIVOTDATA("VALOR DOC",'[12]TABLA HONORARIOS '!$T$2,"trimestre","trime 1","AREA","08","RUBRO2","Experiencia y Promoción Comercial")</f>
        <v>520886518</v>
      </c>
      <c r="G133" s="46">
        <f t="shared" si="7"/>
        <v>0.49774591566807985</v>
      </c>
      <c r="H133" s="66">
        <v>748035647</v>
      </c>
      <c r="I133" s="39">
        <f t="shared" si="8"/>
        <v>0.71480384921074025</v>
      </c>
      <c r="J133" s="32"/>
      <c r="K133" s="40"/>
    </row>
    <row r="134" spans="2:11" s="21" customFormat="1" x14ac:dyDescent="0.3">
      <c r="B134" s="59" t="s">
        <v>95</v>
      </c>
      <c r="C134" s="60">
        <f>SUM(C135:C137)</f>
        <v>239527492</v>
      </c>
      <c r="D134" s="70">
        <f>+D135+D136+D137</f>
        <v>60361777</v>
      </c>
      <c r="E134" s="61">
        <f t="shared" si="6"/>
        <v>0.25200354454510798</v>
      </c>
      <c r="F134" s="60">
        <f>+F135+F136+F137</f>
        <v>110415071</v>
      </c>
      <c r="G134" s="63">
        <f t="shared" si="7"/>
        <v>0.46097034656881891</v>
      </c>
      <c r="H134" s="62">
        <f>+H135+H136+H137</f>
        <v>173275906</v>
      </c>
      <c r="I134" s="63">
        <f t="shared" si="8"/>
        <v>0.72340717365336915</v>
      </c>
      <c r="J134" s="32"/>
      <c r="K134" s="40"/>
    </row>
    <row r="135" spans="2:11" x14ac:dyDescent="0.3">
      <c r="B135" s="37" t="s">
        <v>96</v>
      </c>
      <c r="C135" s="22">
        <v>173658754</v>
      </c>
      <c r="D135" s="22">
        <f>+[13]COM!$Z$46+[13]COM!$Z$45-GETPIVOTDATA("VALOR DOC",'[12]TABLA HONORARIOS '!$T$2,"trimestre","trime 1","AREA","08","RUBRO2","Calidad e Inocuidad en la Cadena de Tran")</f>
        <v>56707487</v>
      </c>
      <c r="E135" s="45">
        <f>+D135/C135</f>
        <v>0.3265455135074849</v>
      </c>
      <c r="F135" s="66">
        <f>+[13]COM!$Z$45+[13]COM!$Z$46+[13]COM!$AA$46-GETPIVOTDATA("VALOR DOC",'[12]TABLA HONORARIOS '!$T$2,"trimestre","trime 1","AREA","08","RUBRO2","Calidad e Inocuidad en la Cadena de Tran")-GETPIVOTDATA("VALOR DOC",'[12]TABLA HONORARIOS '!$T$2,"trimestre","trime 2","AREA","08","RUBRO2","Calidad e Inocuidad en la Cadena de Tran")</f>
        <v>100451413</v>
      </c>
      <c r="G135" s="46">
        <f t="shared" si="7"/>
        <v>0.57844140123221199</v>
      </c>
      <c r="H135" s="66">
        <v>150090670</v>
      </c>
      <c r="I135" s="39">
        <f t="shared" si="8"/>
        <v>0.8642850794610677</v>
      </c>
      <c r="J135" s="32"/>
      <c r="K135" s="40"/>
    </row>
    <row r="136" spans="2:11" x14ac:dyDescent="0.3">
      <c r="B136" s="37" t="s">
        <v>97</v>
      </c>
      <c r="C136" s="22">
        <v>25636738</v>
      </c>
      <c r="D136" s="22">
        <f>14366466-GETPIVOTDATA("VALOR DOC",'[12]TABLA HONORARIOS '!$T$2,"trimestre","trime 1","AREA","08","RUBRO2","Magro")</f>
        <v>3654290</v>
      </c>
      <c r="E136" s="38">
        <f>+D136/C136</f>
        <v>0.14254114544525906</v>
      </c>
      <c r="F136" s="28">
        <f>+[13]COM!$AA$47+[13]COM!$Z$47-GETPIVOTDATA("VALOR DOC",'[12]TABLA HONORARIOS '!$T$2,"trimestre","trime 2","AREA","08","RUBRO2","Magro")-GETPIVOTDATA("VALOR DOC",'[12]TABLA HONORARIOS '!$T$2,"trimestre","trime 1","AREA","08","RUBRO2","Magro")</f>
        <v>9963658</v>
      </c>
      <c r="G136" s="39">
        <f t="shared" si="7"/>
        <v>0.38864765088288533</v>
      </c>
      <c r="H136" s="66">
        <v>16160666</v>
      </c>
      <c r="I136" s="39">
        <f t="shared" si="8"/>
        <v>0.63037138344199639</v>
      </c>
      <c r="J136" s="32"/>
      <c r="K136" s="40"/>
    </row>
    <row r="137" spans="2:11" x14ac:dyDescent="0.3">
      <c r="B137" s="37" t="s">
        <v>98</v>
      </c>
      <c r="C137" s="22">
        <v>40232000</v>
      </c>
      <c r="D137" s="22">
        <f>+'[12]Anexo No. 3 Presupt Gtos MOD'!F138</f>
        <v>0</v>
      </c>
      <c r="E137" s="45">
        <f>+D137/C137</f>
        <v>0</v>
      </c>
      <c r="F137" s="65">
        <f>+[13]COM!$AA$48</f>
        <v>0</v>
      </c>
      <c r="G137" s="46">
        <f t="shared" si="7"/>
        <v>0</v>
      </c>
      <c r="H137" s="66">
        <v>7024570</v>
      </c>
      <c r="I137" s="39">
        <f t="shared" si="8"/>
        <v>0.17460156094651025</v>
      </c>
      <c r="J137" s="32"/>
      <c r="K137" s="40"/>
    </row>
    <row r="138" spans="2:11" s="21" customFormat="1" x14ac:dyDescent="0.3">
      <c r="B138" s="59" t="s">
        <v>99</v>
      </c>
      <c r="C138" s="60">
        <f>SUM(C139:C140)</f>
        <v>331678904</v>
      </c>
      <c r="D138" s="60">
        <f>+D139+D140</f>
        <v>46739399</v>
      </c>
      <c r="E138" s="61">
        <f>+D138/C138</f>
        <v>0.14091761169109507</v>
      </c>
      <c r="F138" s="60">
        <f>+F139+F140</f>
        <v>144530579</v>
      </c>
      <c r="G138" s="63">
        <f t="shared" ref="G138:G144" si="9">+F138/C138</f>
        <v>0.43575451214105554</v>
      </c>
      <c r="H138" s="62">
        <f>+H139+H140</f>
        <v>183957704</v>
      </c>
      <c r="I138" s="63">
        <f t="shared" si="8"/>
        <v>0.55462587997456725</v>
      </c>
      <c r="J138" s="32"/>
      <c r="K138" s="40"/>
    </row>
    <row r="139" spans="2:11" x14ac:dyDescent="0.3">
      <c r="B139" s="37" t="s">
        <v>100</v>
      </c>
      <c r="C139" s="22">
        <v>147088504</v>
      </c>
      <c r="D139" s="22">
        <f>+[13]COM!$Z$50+[13]COM!$Z$51</f>
        <v>16938102</v>
      </c>
      <c r="E139" s="45">
        <f t="shared" si="6"/>
        <v>0.11515585201682384</v>
      </c>
      <c r="F139" s="66">
        <f>+[13]COM!$AA$50+[13]COM!$AA$51+[13]COM!$Z$51+[13]COM!$Z$50</f>
        <v>68461069</v>
      </c>
      <c r="G139" s="46">
        <f t="shared" si="9"/>
        <v>0.46544133047950503</v>
      </c>
      <c r="H139" s="66">
        <v>86823985</v>
      </c>
      <c r="I139" s="39">
        <f t="shared" si="8"/>
        <v>0.59028396264061533</v>
      </c>
      <c r="J139" s="32"/>
      <c r="K139" s="40"/>
    </row>
    <row r="140" spans="2:11" x14ac:dyDescent="0.3">
      <c r="B140" s="37" t="s">
        <v>101</v>
      </c>
      <c r="C140" s="22">
        <v>184590400</v>
      </c>
      <c r="D140" s="22">
        <f>+[13]COM!$Z$52</f>
        <v>29801297</v>
      </c>
      <c r="E140" s="38">
        <f t="shared" si="6"/>
        <v>0.16144554104655498</v>
      </c>
      <c r="F140" s="28">
        <f>+[13]COM!$Z$52+[13]COM!$AA$52</f>
        <v>76069510</v>
      </c>
      <c r="G140" s="39">
        <f t="shared" si="9"/>
        <v>0.41209894989121859</v>
      </c>
      <c r="H140" s="28">
        <v>97133719</v>
      </c>
      <c r="I140" s="39">
        <f t="shared" si="8"/>
        <v>0.52621219196664615</v>
      </c>
      <c r="J140" s="32"/>
      <c r="K140" s="40"/>
    </row>
    <row r="141" spans="2:11" s="21" customFormat="1" ht="28.2" customHeight="1" x14ac:dyDescent="0.3">
      <c r="B141" s="49" t="s">
        <v>102</v>
      </c>
      <c r="C141" s="25">
        <f>+C16+C54</f>
        <v>82555048004.425201</v>
      </c>
      <c r="D141" s="25">
        <f>+D16+D54</f>
        <v>15447488723</v>
      </c>
      <c r="E141" s="71">
        <f t="shared" si="6"/>
        <v>0.18711743371734177</v>
      </c>
      <c r="F141" s="25">
        <f>+F16+F54</f>
        <v>34725084262</v>
      </c>
      <c r="G141" s="72">
        <f t="shared" si="9"/>
        <v>0.42062944788232248</v>
      </c>
      <c r="H141" s="25">
        <f>+H16+H54</f>
        <v>56662483305</v>
      </c>
      <c r="I141" s="72">
        <f t="shared" si="8"/>
        <v>0.68636000674316999</v>
      </c>
      <c r="J141" s="35"/>
      <c r="K141" s="73"/>
    </row>
    <row r="142" spans="2:11" ht="28.95" customHeight="1" x14ac:dyDescent="0.3">
      <c r="B142" s="74" t="s">
        <v>103</v>
      </c>
      <c r="C142" s="65">
        <f>SUM([12]RES!B100:C100)</f>
        <v>12098898032.400003</v>
      </c>
      <c r="D142" s="65"/>
      <c r="E142" s="75">
        <f t="shared" si="6"/>
        <v>0</v>
      </c>
      <c r="F142" s="65"/>
      <c r="G142" s="67">
        <f t="shared" si="9"/>
        <v>0</v>
      </c>
      <c r="H142" s="65"/>
      <c r="I142" s="67"/>
      <c r="J142" s="32"/>
      <c r="K142" s="40"/>
    </row>
    <row r="143" spans="2:11" x14ac:dyDescent="0.3">
      <c r="B143" s="74" t="s">
        <v>104</v>
      </c>
      <c r="C143" s="65">
        <f>+[12]RES!H96+[12]RES!H98</f>
        <v>23125949936</v>
      </c>
      <c r="D143" s="65"/>
      <c r="E143" s="76">
        <f t="shared" si="6"/>
        <v>0</v>
      </c>
      <c r="F143" s="65"/>
      <c r="G143" s="77">
        <f t="shared" si="9"/>
        <v>0</v>
      </c>
      <c r="H143" s="65"/>
      <c r="I143" s="77"/>
      <c r="J143" s="32"/>
      <c r="K143" s="40"/>
    </row>
    <row r="144" spans="2:11" ht="16.2" thickBot="1" x14ac:dyDescent="0.35">
      <c r="B144" s="78" t="s">
        <v>105</v>
      </c>
      <c r="C144" s="79">
        <f>SUM(C141:C143)</f>
        <v>117779895972.82521</v>
      </c>
      <c r="D144" s="79">
        <f>+D141+D142+D143</f>
        <v>15447488723</v>
      </c>
      <c r="E144" s="80">
        <f t="shared" si="6"/>
        <v>0.13115556432962144</v>
      </c>
      <c r="F144" s="79">
        <f>+F141+F142+F143</f>
        <v>34725084262</v>
      </c>
      <c r="G144" s="81">
        <f t="shared" si="9"/>
        <v>0.2948303186650118</v>
      </c>
      <c r="H144" s="79">
        <f>+H141+H142+H143</f>
        <v>56662483305</v>
      </c>
      <c r="I144" s="72">
        <f t="shared" ref="I144" si="10">+H144/C144</f>
        <v>0.48108790415363811</v>
      </c>
      <c r="J144" s="32"/>
      <c r="K144" s="40"/>
    </row>
  </sheetData>
  <mergeCells count="7">
    <mergeCell ref="J17:J18"/>
    <mergeCell ref="B2:I5"/>
    <mergeCell ref="B6:I6"/>
    <mergeCell ref="B7:I7"/>
    <mergeCell ref="C8:D8"/>
    <mergeCell ref="B12:I12"/>
    <mergeCell ref="B13:I13"/>
  </mergeCells>
  <pageMargins left="0.7" right="0.7" top="0.75" bottom="0.75" header="0.3" footer="0.3"/>
  <pageSetup scale="32" fitToHeight="0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No. 8 Ejecución Ptal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Rubio Roldan</dc:creator>
  <cp:lastModifiedBy>Oscar Rubio Roldan</cp:lastModifiedBy>
  <dcterms:created xsi:type="dcterms:W3CDTF">2026-03-31T17:27:14Z</dcterms:created>
  <dcterms:modified xsi:type="dcterms:W3CDTF">2026-03-31T17:32:25Z</dcterms:modified>
</cp:coreProperties>
</file>