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Y:\Año 2026\Información circular 001 2026 Trasnsparencia\"/>
    </mc:Choice>
  </mc:AlternateContent>
  <xr:revisionPtr revIDLastSave="0" documentId="8_{285927DD-F5D0-4763-83E6-88353CBE3D8C}" xr6:coauthVersionLast="47" xr6:coauthVersionMax="47" xr10:uidLastSave="{00000000-0000-0000-0000-000000000000}"/>
  <bookViews>
    <workbookView xWindow="-108" yWindow="-108" windowWidth="23256" windowHeight="12456" xr2:uid="{EAFECDF4-B4DB-4E30-83D2-7AD6D0DE16FF}"/>
  </bookViews>
  <sheets>
    <sheet name="Anexo 2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xlnm._FilterDatabase" hidden="1">#REF!</definedName>
    <definedName name="ANEXO" hidden="1">'[6]Inversión total en programas'!$50:$50,'[6]Inversión total en programas'!$60:$63</definedName>
    <definedName name="_xlnm.Print_Area" localSheetId="0">'Anexo 2 '!$A$1:$Z$213</definedName>
    <definedName name="_xlnm.Print_Area">#REF!</definedName>
    <definedName name="AREAS">#REF!</definedName>
    <definedName name="ASISCALLCENTER">#REF!</definedName>
    <definedName name="ASISCONTABPPC">#REF!</definedName>
    <definedName name="ASISDESPACHOS">#REF!</definedName>
    <definedName name="ASISICA">#REF!</definedName>
    <definedName name="AUXBODEGA">#REF!</definedName>
    <definedName name="cabezas">'[9]Anexo 1 Minagricultura'!#REF!</definedName>
    <definedName name="CABEZAS_PROYEC" localSheetId="0">'[10]Anexo 1 Minagricultura'!$C$46</definedName>
    <definedName name="CABEZAS_PROYEC">'[5]Anexo 1'!#REF!</definedName>
    <definedName name="CONTRATOS">#REF!</definedName>
    <definedName name="CUOTAPPC2005" localSheetId="0">'[10]Anexo 1 Minagricultura'!#REF!</definedName>
    <definedName name="CUOTAPPC2005">'[5]Anexo 1'!#REF!</definedName>
    <definedName name="CUOTAPPC2013" localSheetId="0">'[10]Anexo 1 Minagricultura'!#REF!</definedName>
    <definedName name="CUOTAPPC2013">'[5]Anexo 1'!#REF!</definedName>
    <definedName name="CUOTAPPC203" localSheetId="0">'[10]Anexo 1 Minagricultura'!#REF!</definedName>
    <definedName name="CUOTAPPC203">'[5]Anexo 1'!#REF!</definedName>
    <definedName name="DIAG_PPC">#REF!</definedName>
    <definedName name="DIRECCION">[11]consecutivo!$M$9:$M$13</definedName>
    <definedName name="DISTRIBUIDOR">#REF!</definedName>
    <definedName name="Dólar" localSheetId="0">#REF!</definedName>
    <definedName name="Dólar">#REF!</definedName>
    <definedName name="eeeee" localSheetId="0">'[10]Ejecución ingresos 2014'!#REF!</definedName>
    <definedName name="eeeee">#REF!</definedName>
    <definedName name="EPPC" localSheetId="0">'[10]Anexo 1 Minagricultura'!$C$54</definedName>
    <definedName name="EPPC">'[5]Anexo 1'!#REF!</definedName>
    <definedName name="Euro" localSheetId="0">#REF!</definedName>
    <definedName name="Euro">#REF!</definedName>
    <definedName name="FDGFDG">#REF!</definedName>
    <definedName name="FECHA_DE_RECIBIDO">[12]BASE!$E$3:$E$177</definedName>
    <definedName name="FOMENTO" localSheetId="0">'[10]Anexo 1 Minagricultura'!$C$53</definedName>
    <definedName name="FOMENTO">'[5]Anexo 1'!#REF!</definedName>
    <definedName name="FOMENTOS">'[15]Anexo 1 Minagricultura'!$C$51</definedName>
    <definedName name="fondo">#REF!</definedName>
    <definedName name="GTOSEPPC">#REF!</definedName>
    <definedName name="HONORAUDI_JURIDIC">#REF!</definedName>
    <definedName name="HONTOTAL">#REF!</definedName>
    <definedName name="Incremento" localSheetId="0">#REF!</definedName>
    <definedName name="Incremento">#REF!</definedName>
    <definedName name="Inflación" localSheetId="0">#REF!</definedName>
    <definedName name="Inflación">#REF!</definedName>
    <definedName name="JORTIZ">#REF!</definedName>
    <definedName name="LABORATORIOS">#REF!</definedName>
    <definedName name="NOMBDISTRI">#REF!</definedName>
    <definedName name="ojo">#REF!</definedName>
    <definedName name="Pasajes" localSheetId="0">#REF!</definedName>
    <definedName name="Pasajes">#REF!</definedName>
    <definedName name="RESERV_FUTU">#REF!</definedName>
    <definedName name="saldo" localSheetId="0">'[10]Ejecución ingresos 2014'!#REF!</definedName>
    <definedName name="saldo">#REF!</definedName>
    <definedName name="saldos" localSheetId="0">'[10]Ejecución ingresos 2014'!#REF!</definedName>
    <definedName name="saldos">#REF!</definedName>
    <definedName name="SUPERA2004" localSheetId="0">'[10]Anexo 1 Minagricultura'!#REF!</definedName>
    <definedName name="SUPERA2004">'[5]Anexo 1'!#REF!</definedName>
    <definedName name="SUPERA2005" localSheetId="0">'[10]Anexo 1 Minagricultura'!#REF!</definedName>
    <definedName name="SUPERA2005">'[5]Anexo 1'!#REF!</definedName>
    <definedName name="SUPERA2010">'[17]Anexo 1 Minagricultura'!$C$21</definedName>
    <definedName name="SUPERA2012" localSheetId="0">'[10]Anexo 1 Minagricultura'!#REF!</definedName>
    <definedName name="SUPERA2012">'[5]Anexo 1'!#REF!</definedName>
    <definedName name="SUPERAVIT">#REF!</definedName>
    <definedName name="SUPERAVIT2005_FNP">#REF!</definedName>
    <definedName name="SUPERAVITPPC_2005">#REF!</definedName>
    <definedName name="TIPOS">#REF!</definedName>
    <definedName name="_xlnm.Print_Titles" localSheetId="0">'Anexo 2 '!$1:$6</definedName>
    <definedName name="_xlnm.Print_Titles">#REF!</definedName>
    <definedName name="xx">[18]Ingresos!$C$19</definedName>
    <definedName name="Z_4099E833_BB74_4680_85C9_A6CF399D1CE2_.wvu.Cols" hidden="1">#REF!,#REF!,#REF!,#REF!</definedName>
    <definedName name="Z_4099E833_BB74_4680_85C9_A6CF399D1CE2_.wvu.FilterData" hidden="1">#REF!</definedName>
    <definedName name="Z_4099E833_BB74_4680_85C9_A6CF399D1CE2_.wvu.PrintArea" hidden="1">#REF!</definedName>
    <definedName name="Z_4099E833_BB74_4680_85C9_A6CF399D1CE2_.wvu.PrintTitles" hidden="1">#REF!</definedName>
    <definedName name="Z_4099E833_BB74_4680_85C9_A6CF399D1CE2_.wvu.Rows" hidden="1">#REF!,#REF!</definedName>
    <definedName name="ZFRONTERA" localSheetId="0">'[20]Ingresos 2014'!#REF!</definedName>
    <definedName name="ZFRONTERA">'[20]Ingresos 2014'!#REF!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9" i="1" l="1"/>
  <c r="K208" i="1"/>
  <c r="M208" i="1" s="1"/>
  <c r="J207" i="1"/>
  <c r="K207" i="1" s="1"/>
  <c r="M207" i="1" s="1"/>
  <c r="I205" i="1"/>
  <c r="K205" i="1" s="1"/>
  <c r="M203" i="1"/>
  <c r="K203" i="1"/>
  <c r="L201" i="1"/>
  <c r="N201" i="1" s="1"/>
  <c r="K201" i="1"/>
  <c r="J201" i="1"/>
  <c r="L200" i="1"/>
  <c r="N200" i="1" s="1"/>
  <c r="K200" i="1"/>
  <c r="J200" i="1"/>
  <c r="L199" i="1"/>
  <c r="N199" i="1" s="1"/>
  <c r="K199" i="1"/>
  <c r="J199" i="1"/>
  <c r="L197" i="1"/>
  <c r="N197" i="1" s="1"/>
  <c r="I197" i="1"/>
  <c r="K197" i="1" s="1"/>
  <c r="H197" i="1"/>
  <c r="L196" i="1"/>
  <c r="H196" i="1"/>
  <c r="H194" i="1" s="1"/>
  <c r="I194" i="1" s="1"/>
  <c r="K194" i="1" s="1"/>
  <c r="L195" i="1"/>
  <c r="L194" i="1" s="1"/>
  <c r="H195" i="1"/>
  <c r="I195" i="1" s="1"/>
  <c r="K195" i="1" s="1"/>
  <c r="L193" i="1"/>
  <c r="H193" i="1"/>
  <c r="I193" i="1" s="1"/>
  <c r="K193" i="1" s="1"/>
  <c r="M193" i="1" s="1"/>
  <c r="L192" i="1"/>
  <c r="H192" i="1"/>
  <c r="I192" i="1" s="1"/>
  <c r="K192" i="1" s="1"/>
  <c r="L191" i="1"/>
  <c r="H191" i="1"/>
  <c r="I191" i="1" s="1"/>
  <c r="K191" i="1" s="1"/>
  <c r="L190" i="1"/>
  <c r="L189" i="1"/>
  <c r="I189" i="1"/>
  <c r="K189" i="1" s="1"/>
  <c r="M189" i="1" s="1"/>
  <c r="H189" i="1"/>
  <c r="L188" i="1"/>
  <c r="H188" i="1"/>
  <c r="I188" i="1" s="1"/>
  <c r="K188" i="1" s="1"/>
  <c r="L187" i="1"/>
  <c r="H187" i="1"/>
  <c r="I187" i="1" s="1"/>
  <c r="K187" i="1" s="1"/>
  <c r="L186" i="1"/>
  <c r="H186" i="1"/>
  <c r="I186" i="1" s="1"/>
  <c r="K186" i="1" s="1"/>
  <c r="H185" i="1"/>
  <c r="L182" i="1"/>
  <c r="E182" i="1"/>
  <c r="I182" i="1" s="1"/>
  <c r="K182" i="1" s="1"/>
  <c r="N182" i="1" s="1"/>
  <c r="L181" i="1"/>
  <c r="L179" i="1" s="1"/>
  <c r="I181" i="1"/>
  <c r="K181" i="1" s="1"/>
  <c r="E181" i="1"/>
  <c r="E179" i="1" s="1"/>
  <c r="I179" i="1" s="1"/>
  <c r="K179" i="1" s="1"/>
  <c r="L180" i="1"/>
  <c r="I180" i="1"/>
  <c r="K180" i="1" s="1"/>
  <c r="M180" i="1" s="1"/>
  <c r="E180" i="1"/>
  <c r="L178" i="1"/>
  <c r="M178" i="1" s="1"/>
  <c r="E178" i="1"/>
  <c r="I178" i="1" s="1"/>
  <c r="K178" i="1" s="1"/>
  <c r="L177" i="1"/>
  <c r="E177" i="1"/>
  <c r="I177" i="1" s="1"/>
  <c r="K177" i="1" s="1"/>
  <c r="E176" i="1"/>
  <c r="L173" i="1"/>
  <c r="D173" i="1"/>
  <c r="I173" i="1" s="1"/>
  <c r="K173" i="1" s="1"/>
  <c r="N173" i="1" s="1"/>
  <c r="L172" i="1"/>
  <c r="I172" i="1"/>
  <c r="K172" i="1" s="1"/>
  <c r="D172" i="1"/>
  <c r="L171" i="1"/>
  <c r="I171" i="1"/>
  <c r="K171" i="1" s="1"/>
  <c r="M171" i="1" s="1"/>
  <c r="D171" i="1"/>
  <c r="L170" i="1"/>
  <c r="D170" i="1"/>
  <c r="D168" i="1" s="1"/>
  <c r="I168" i="1" s="1"/>
  <c r="K168" i="1" s="1"/>
  <c r="L169" i="1"/>
  <c r="L168" i="1" s="1"/>
  <c r="D169" i="1"/>
  <c r="I169" i="1" s="1"/>
  <c r="K169" i="1" s="1"/>
  <c r="L167" i="1"/>
  <c r="D167" i="1"/>
  <c r="I167" i="1" s="1"/>
  <c r="K167" i="1" s="1"/>
  <c r="N166" i="1"/>
  <c r="M166" i="1"/>
  <c r="L166" i="1"/>
  <c r="K166" i="1"/>
  <c r="I166" i="1"/>
  <c r="D166" i="1"/>
  <c r="L165" i="1"/>
  <c r="D165" i="1"/>
  <c r="I165" i="1" s="1"/>
  <c r="K165" i="1" s="1"/>
  <c r="L164" i="1"/>
  <c r="L162" i="1"/>
  <c r="D162" i="1"/>
  <c r="I162" i="1" s="1"/>
  <c r="K162" i="1" s="1"/>
  <c r="L161" i="1"/>
  <c r="D161" i="1"/>
  <c r="I161" i="1" s="1"/>
  <c r="K161" i="1" s="1"/>
  <c r="L160" i="1"/>
  <c r="N160" i="1" s="1"/>
  <c r="D160" i="1"/>
  <c r="I160" i="1" s="1"/>
  <c r="K160" i="1" s="1"/>
  <c r="L159" i="1"/>
  <c r="D159" i="1"/>
  <c r="I159" i="1" s="1"/>
  <c r="K159" i="1" s="1"/>
  <c r="N158" i="1"/>
  <c r="M158" i="1"/>
  <c r="L158" i="1"/>
  <c r="K158" i="1"/>
  <c r="I158" i="1"/>
  <c r="D158" i="1"/>
  <c r="L157" i="1"/>
  <c r="D157" i="1"/>
  <c r="I157" i="1" s="1"/>
  <c r="K157" i="1" s="1"/>
  <c r="N157" i="1" s="1"/>
  <c r="L156" i="1"/>
  <c r="L155" i="1" s="1"/>
  <c r="I156" i="1"/>
  <c r="K156" i="1" s="1"/>
  <c r="D156" i="1"/>
  <c r="D155" i="1" s="1"/>
  <c r="I155" i="1" s="1"/>
  <c r="K155" i="1" s="1"/>
  <c r="L154" i="1"/>
  <c r="N154" i="1" s="1"/>
  <c r="K154" i="1"/>
  <c r="I154" i="1"/>
  <c r="D154" i="1"/>
  <c r="L153" i="1"/>
  <c r="D153" i="1"/>
  <c r="I153" i="1" s="1"/>
  <c r="K153" i="1" s="1"/>
  <c r="L152" i="1"/>
  <c r="D152" i="1"/>
  <c r="I152" i="1" s="1"/>
  <c r="K152" i="1" s="1"/>
  <c r="L151" i="1"/>
  <c r="D151" i="1"/>
  <c r="I151" i="1" s="1"/>
  <c r="K151" i="1" s="1"/>
  <c r="M151" i="1" s="1"/>
  <c r="N150" i="1"/>
  <c r="M150" i="1"/>
  <c r="L150" i="1"/>
  <c r="K150" i="1"/>
  <c r="I150" i="1"/>
  <c r="D150" i="1"/>
  <c r="L149" i="1"/>
  <c r="D149" i="1"/>
  <c r="I149" i="1" s="1"/>
  <c r="K149" i="1" s="1"/>
  <c r="N149" i="1" s="1"/>
  <c r="L148" i="1"/>
  <c r="I148" i="1"/>
  <c r="K148" i="1" s="1"/>
  <c r="D148" i="1"/>
  <c r="L147" i="1"/>
  <c r="I147" i="1"/>
  <c r="K147" i="1" s="1"/>
  <c r="M147" i="1" s="1"/>
  <c r="D147" i="1"/>
  <c r="L146" i="1"/>
  <c r="D146" i="1"/>
  <c r="I146" i="1" s="1"/>
  <c r="K146" i="1" s="1"/>
  <c r="L145" i="1"/>
  <c r="D145" i="1"/>
  <c r="I145" i="1" s="1"/>
  <c r="K145" i="1" s="1"/>
  <c r="L144" i="1"/>
  <c r="D144" i="1"/>
  <c r="I144" i="1" s="1"/>
  <c r="K144" i="1" s="1"/>
  <c r="D143" i="1"/>
  <c r="L141" i="1"/>
  <c r="D141" i="1"/>
  <c r="I141" i="1" s="1"/>
  <c r="K141" i="1" s="1"/>
  <c r="N141" i="1" s="1"/>
  <c r="L140" i="1"/>
  <c r="L138" i="1" s="1"/>
  <c r="I140" i="1"/>
  <c r="K140" i="1" s="1"/>
  <c r="D140" i="1"/>
  <c r="D138" i="1" s="1"/>
  <c r="L139" i="1"/>
  <c r="I139" i="1"/>
  <c r="K139" i="1" s="1"/>
  <c r="M139" i="1" s="1"/>
  <c r="D139" i="1"/>
  <c r="L135" i="1"/>
  <c r="C135" i="1"/>
  <c r="I135" i="1" s="1"/>
  <c r="K135" i="1" s="1"/>
  <c r="L134" i="1"/>
  <c r="C134" i="1"/>
  <c r="I134" i="1" s="1"/>
  <c r="K134" i="1" s="1"/>
  <c r="L133" i="1"/>
  <c r="C133" i="1"/>
  <c r="I133" i="1" s="1"/>
  <c r="K133" i="1" s="1"/>
  <c r="L132" i="1"/>
  <c r="C132" i="1"/>
  <c r="I132" i="1" s="1"/>
  <c r="K132" i="1" s="1"/>
  <c r="L131" i="1"/>
  <c r="L130" i="1"/>
  <c r="I130" i="1"/>
  <c r="K130" i="1" s="1"/>
  <c r="M130" i="1" s="1"/>
  <c r="L129" i="1"/>
  <c r="I129" i="1"/>
  <c r="K129" i="1" s="1"/>
  <c r="L128" i="1"/>
  <c r="I128" i="1"/>
  <c r="K128" i="1" s="1"/>
  <c r="C128" i="1"/>
  <c r="L127" i="1"/>
  <c r="I127" i="1"/>
  <c r="K127" i="1" s="1"/>
  <c r="M127" i="1" s="1"/>
  <c r="C127" i="1"/>
  <c r="L126" i="1"/>
  <c r="I126" i="1"/>
  <c r="K126" i="1" s="1"/>
  <c r="C126" i="1"/>
  <c r="L125" i="1"/>
  <c r="C125" i="1"/>
  <c r="I125" i="1" s="1"/>
  <c r="K125" i="1" s="1"/>
  <c r="L124" i="1"/>
  <c r="C124" i="1"/>
  <c r="I124" i="1" s="1"/>
  <c r="K124" i="1" s="1"/>
  <c r="C123" i="1"/>
  <c r="L120" i="1"/>
  <c r="G120" i="1"/>
  <c r="I120" i="1" s="1"/>
  <c r="K120" i="1" s="1"/>
  <c r="N120" i="1" s="1"/>
  <c r="L119" i="1"/>
  <c r="I119" i="1"/>
  <c r="K119" i="1" s="1"/>
  <c r="G119" i="1"/>
  <c r="L118" i="1"/>
  <c r="I118" i="1"/>
  <c r="K118" i="1" s="1"/>
  <c r="M118" i="1" s="1"/>
  <c r="G118" i="1"/>
  <c r="L117" i="1"/>
  <c r="I117" i="1"/>
  <c r="K117" i="1" s="1"/>
  <c r="G117" i="1"/>
  <c r="G116" i="1" s="1"/>
  <c r="I116" i="1" s="1"/>
  <c r="K116" i="1" s="1"/>
  <c r="L116" i="1"/>
  <c r="L115" i="1"/>
  <c r="G115" i="1"/>
  <c r="I115" i="1" s="1"/>
  <c r="K115" i="1" s="1"/>
  <c r="L114" i="1"/>
  <c r="G114" i="1"/>
  <c r="I114" i="1" s="1"/>
  <c r="K114" i="1" s="1"/>
  <c r="N113" i="1"/>
  <c r="M113" i="1"/>
  <c r="L113" i="1"/>
  <c r="K113" i="1"/>
  <c r="I113" i="1"/>
  <c r="G113" i="1"/>
  <c r="L112" i="1"/>
  <c r="G112" i="1"/>
  <c r="I112" i="1" s="1"/>
  <c r="K112" i="1" s="1"/>
  <c r="L111" i="1"/>
  <c r="I111" i="1"/>
  <c r="K111" i="1" s="1"/>
  <c r="G111" i="1"/>
  <c r="L110" i="1"/>
  <c r="I110" i="1"/>
  <c r="K110" i="1" s="1"/>
  <c r="G110" i="1"/>
  <c r="L109" i="1"/>
  <c r="N109" i="1" s="1"/>
  <c r="K109" i="1"/>
  <c r="I109" i="1"/>
  <c r="G109" i="1"/>
  <c r="L108" i="1"/>
  <c r="G108" i="1"/>
  <c r="I108" i="1" s="1"/>
  <c r="K108" i="1" s="1"/>
  <c r="L107" i="1"/>
  <c r="G107" i="1"/>
  <c r="I107" i="1" s="1"/>
  <c r="K107" i="1" s="1"/>
  <c r="G106" i="1"/>
  <c r="L103" i="1"/>
  <c r="F103" i="1"/>
  <c r="I103" i="1" s="1"/>
  <c r="K103" i="1" s="1"/>
  <c r="N103" i="1" s="1"/>
  <c r="L102" i="1"/>
  <c r="I102" i="1"/>
  <c r="K102" i="1" s="1"/>
  <c r="F102" i="1"/>
  <c r="L101" i="1"/>
  <c r="I101" i="1"/>
  <c r="K101" i="1" s="1"/>
  <c r="F101" i="1"/>
  <c r="L100" i="1"/>
  <c r="N100" i="1" s="1"/>
  <c r="K100" i="1"/>
  <c r="I100" i="1"/>
  <c r="F100" i="1"/>
  <c r="F98" i="1" s="1"/>
  <c r="I98" i="1" s="1"/>
  <c r="K98" i="1" s="1"/>
  <c r="L99" i="1"/>
  <c r="L98" i="1" s="1"/>
  <c r="F99" i="1"/>
  <c r="I99" i="1" s="1"/>
  <c r="K99" i="1" s="1"/>
  <c r="L97" i="1"/>
  <c r="F97" i="1"/>
  <c r="I97" i="1" s="1"/>
  <c r="K97" i="1" s="1"/>
  <c r="L96" i="1"/>
  <c r="I96" i="1"/>
  <c r="K96" i="1" s="1"/>
  <c r="F96" i="1"/>
  <c r="L95" i="1"/>
  <c r="F95" i="1"/>
  <c r="I95" i="1" s="1"/>
  <c r="K95" i="1" s="1"/>
  <c r="N95" i="1" s="1"/>
  <c r="L94" i="1"/>
  <c r="L93" i="1"/>
  <c r="I93" i="1"/>
  <c r="K93" i="1" s="1"/>
  <c r="F93" i="1"/>
  <c r="L92" i="1"/>
  <c r="I92" i="1"/>
  <c r="K92" i="1" s="1"/>
  <c r="F92" i="1"/>
  <c r="L91" i="1"/>
  <c r="L83" i="1" s="1"/>
  <c r="F91" i="1"/>
  <c r="I91" i="1" s="1"/>
  <c r="K91" i="1" s="1"/>
  <c r="L90" i="1"/>
  <c r="F90" i="1"/>
  <c r="I90" i="1" s="1"/>
  <c r="K90" i="1" s="1"/>
  <c r="L89" i="1"/>
  <c r="F89" i="1"/>
  <c r="I89" i="1" s="1"/>
  <c r="K89" i="1" s="1"/>
  <c r="L88" i="1"/>
  <c r="I88" i="1"/>
  <c r="K88" i="1" s="1"/>
  <c r="F88" i="1"/>
  <c r="L87" i="1"/>
  <c r="F87" i="1"/>
  <c r="I87" i="1" s="1"/>
  <c r="K87" i="1" s="1"/>
  <c r="N87" i="1" s="1"/>
  <c r="L86" i="1"/>
  <c r="I86" i="1"/>
  <c r="K86" i="1" s="1"/>
  <c r="F86" i="1"/>
  <c r="L85" i="1"/>
  <c r="I85" i="1"/>
  <c r="K85" i="1" s="1"/>
  <c r="F85" i="1"/>
  <c r="L84" i="1"/>
  <c r="N84" i="1" s="1"/>
  <c r="K84" i="1"/>
  <c r="I84" i="1"/>
  <c r="F84" i="1"/>
  <c r="F83" i="1" s="1"/>
  <c r="I83" i="1" s="1"/>
  <c r="K83" i="1" s="1"/>
  <c r="L82" i="1"/>
  <c r="F82" i="1"/>
  <c r="I82" i="1" s="1"/>
  <c r="K82" i="1" s="1"/>
  <c r="L81" i="1"/>
  <c r="F81" i="1"/>
  <c r="I81" i="1" s="1"/>
  <c r="K81" i="1" s="1"/>
  <c r="M81" i="1" s="1"/>
  <c r="L80" i="1"/>
  <c r="F80" i="1"/>
  <c r="I80" i="1" s="1"/>
  <c r="K80" i="1" s="1"/>
  <c r="L79" i="1"/>
  <c r="F79" i="1"/>
  <c r="I79" i="1" s="1"/>
  <c r="K79" i="1" s="1"/>
  <c r="L78" i="1"/>
  <c r="I78" i="1"/>
  <c r="K78" i="1" s="1"/>
  <c r="F78" i="1"/>
  <c r="F73" i="1" s="1"/>
  <c r="I73" i="1" s="1"/>
  <c r="K73" i="1" s="1"/>
  <c r="M77" i="1"/>
  <c r="L77" i="1"/>
  <c r="N77" i="1" s="1"/>
  <c r="K77" i="1"/>
  <c r="I77" i="1"/>
  <c r="F77" i="1"/>
  <c r="L76" i="1"/>
  <c r="N76" i="1" s="1"/>
  <c r="K76" i="1"/>
  <c r="I76" i="1"/>
  <c r="F76" i="1"/>
  <c r="L75" i="1"/>
  <c r="F75" i="1"/>
  <c r="I75" i="1" s="1"/>
  <c r="K75" i="1" s="1"/>
  <c r="L74" i="1"/>
  <c r="F74" i="1"/>
  <c r="I74" i="1" s="1"/>
  <c r="K74" i="1" s="1"/>
  <c r="L72" i="1"/>
  <c r="F72" i="1"/>
  <c r="I72" i="1" s="1"/>
  <c r="K72" i="1" s="1"/>
  <c r="L71" i="1"/>
  <c r="F71" i="1"/>
  <c r="I71" i="1" s="1"/>
  <c r="K71" i="1" s="1"/>
  <c r="L70" i="1"/>
  <c r="N70" i="1" s="1"/>
  <c r="I70" i="1"/>
  <c r="K70" i="1" s="1"/>
  <c r="F70" i="1"/>
  <c r="L69" i="1"/>
  <c r="F69" i="1"/>
  <c r="I69" i="1" s="1"/>
  <c r="K69" i="1" s="1"/>
  <c r="M69" i="1" s="1"/>
  <c r="L68" i="1"/>
  <c r="F68" i="1"/>
  <c r="I68" i="1" s="1"/>
  <c r="K68" i="1" s="1"/>
  <c r="L67" i="1"/>
  <c r="L66" i="1" s="1"/>
  <c r="F67" i="1"/>
  <c r="I67" i="1" s="1"/>
  <c r="K67" i="1" s="1"/>
  <c r="L63" i="1"/>
  <c r="B63" i="1"/>
  <c r="I63" i="1" s="1"/>
  <c r="K63" i="1" s="1"/>
  <c r="L62" i="1"/>
  <c r="N62" i="1" s="1"/>
  <c r="B62" i="1"/>
  <c r="I62" i="1" s="1"/>
  <c r="K62" i="1" s="1"/>
  <c r="L61" i="1"/>
  <c r="L60" i="1" s="1"/>
  <c r="I61" i="1"/>
  <c r="K61" i="1" s="1"/>
  <c r="B61" i="1"/>
  <c r="B60" i="1" s="1"/>
  <c r="L59" i="1"/>
  <c r="N59" i="1" s="1"/>
  <c r="B59" i="1"/>
  <c r="I59" i="1" s="1"/>
  <c r="K59" i="1" s="1"/>
  <c r="L58" i="1"/>
  <c r="L57" i="1" s="1"/>
  <c r="B58" i="1"/>
  <c r="I58" i="1" s="1"/>
  <c r="K58" i="1" s="1"/>
  <c r="L49" i="1"/>
  <c r="M49" i="1" s="1"/>
  <c r="K49" i="1"/>
  <c r="J49" i="1"/>
  <c r="L48" i="1"/>
  <c r="J48" i="1"/>
  <c r="K48" i="1" s="1"/>
  <c r="N48" i="1" s="1"/>
  <c r="L47" i="1"/>
  <c r="N47" i="1" s="1"/>
  <c r="K47" i="1"/>
  <c r="J47" i="1"/>
  <c r="L46" i="1"/>
  <c r="L44" i="1" s="1"/>
  <c r="K46" i="1"/>
  <c r="J46" i="1"/>
  <c r="J44" i="1" s="1"/>
  <c r="M45" i="1"/>
  <c r="L45" i="1"/>
  <c r="N45" i="1" s="1"/>
  <c r="K45" i="1"/>
  <c r="J45" i="1"/>
  <c r="L43" i="1"/>
  <c r="J43" i="1"/>
  <c r="K43" i="1" s="1"/>
  <c r="L42" i="1"/>
  <c r="J42" i="1"/>
  <c r="K42" i="1" s="1"/>
  <c r="N42" i="1" s="1"/>
  <c r="L41" i="1"/>
  <c r="J41" i="1"/>
  <c r="K41" i="1" s="1"/>
  <c r="L40" i="1"/>
  <c r="J40" i="1"/>
  <c r="J38" i="1" s="1"/>
  <c r="K38" i="1" s="1"/>
  <c r="N39" i="1"/>
  <c r="M39" i="1"/>
  <c r="L39" i="1"/>
  <c r="L38" i="1" s="1"/>
  <c r="K39" i="1"/>
  <c r="J39" i="1"/>
  <c r="L35" i="1"/>
  <c r="J35" i="1"/>
  <c r="I35" i="1"/>
  <c r="K35" i="1" s="1"/>
  <c r="L34" i="1"/>
  <c r="J34" i="1"/>
  <c r="I34" i="1"/>
  <c r="K34" i="1" s="1"/>
  <c r="L33" i="1"/>
  <c r="J33" i="1"/>
  <c r="G33" i="1"/>
  <c r="I33" i="1" s="1"/>
  <c r="K33" i="1" s="1"/>
  <c r="M33" i="1" s="1"/>
  <c r="L32" i="1"/>
  <c r="N32" i="1" s="1"/>
  <c r="J32" i="1"/>
  <c r="H32" i="1"/>
  <c r="G32" i="1"/>
  <c r="F32" i="1"/>
  <c r="I32" i="1" s="1"/>
  <c r="K32" i="1" s="1"/>
  <c r="E32" i="1"/>
  <c r="D32" i="1"/>
  <c r="C32" i="1"/>
  <c r="B32" i="1"/>
  <c r="L31" i="1"/>
  <c r="J31" i="1"/>
  <c r="I31" i="1"/>
  <c r="K31" i="1" s="1"/>
  <c r="L30" i="1"/>
  <c r="J30" i="1"/>
  <c r="I30" i="1"/>
  <c r="K30" i="1" s="1"/>
  <c r="H30" i="1"/>
  <c r="G30" i="1"/>
  <c r="F30" i="1"/>
  <c r="D30" i="1"/>
  <c r="C30" i="1"/>
  <c r="B30" i="1"/>
  <c r="L29" i="1"/>
  <c r="J29" i="1"/>
  <c r="G29" i="1"/>
  <c r="I29" i="1" s="1"/>
  <c r="K29" i="1" s="1"/>
  <c r="L28" i="1"/>
  <c r="J28" i="1"/>
  <c r="G28" i="1"/>
  <c r="I28" i="1" s="1"/>
  <c r="K28" i="1" s="1"/>
  <c r="M28" i="1" s="1"/>
  <c r="D28" i="1"/>
  <c r="B28" i="1"/>
  <c r="L27" i="1"/>
  <c r="J27" i="1"/>
  <c r="H27" i="1"/>
  <c r="G27" i="1"/>
  <c r="F27" i="1"/>
  <c r="E27" i="1"/>
  <c r="E36" i="1" s="1"/>
  <c r="D27" i="1"/>
  <c r="C27" i="1"/>
  <c r="B27" i="1"/>
  <c r="L26" i="1"/>
  <c r="J26" i="1"/>
  <c r="I26" i="1"/>
  <c r="K26" i="1" s="1"/>
  <c r="N26" i="1" s="1"/>
  <c r="L25" i="1"/>
  <c r="J25" i="1"/>
  <c r="J36" i="1" s="1"/>
  <c r="I25" i="1"/>
  <c r="K25" i="1" s="1"/>
  <c r="N25" i="1" s="1"/>
  <c r="H25" i="1"/>
  <c r="G25" i="1"/>
  <c r="F25" i="1"/>
  <c r="D25" i="1"/>
  <c r="C25" i="1"/>
  <c r="B25" i="1"/>
  <c r="L24" i="1"/>
  <c r="N24" i="1" s="1"/>
  <c r="J24" i="1"/>
  <c r="H24" i="1"/>
  <c r="G24" i="1"/>
  <c r="F24" i="1"/>
  <c r="D24" i="1"/>
  <c r="D36" i="1" s="1"/>
  <c r="C24" i="1"/>
  <c r="I24" i="1" s="1"/>
  <c r="K24" i="1" s="1"/>
  <c r="B24" i="1"/>
  <c r="B36" i="1" s="1"/>
  <c r="L23" i="1"/>
  <c r="J23" i="1"/>
  <c r="G23" i="1"/>
  <c r="I23" i="1" s="1"/>
  <c r="K23" i="1" s="1"/>
  <c r="N23" i="1" s="1"/>
  <c r="L22" i="1"/>
  <c r="J22" i="1"/>
  <c r="H22" i="1"/>
  <c r="H36" i="1" s="1"/>
  <c r="G22" i="1"/>
  <c r="I22" i="1" s="1"/>
  <c r="K22" i="1" s="1"/>
  <c r="M22" i="1" s="1"/>
  <c r="C22" i="1"/>
  <c r="C36" i="1" s="1"/>
  <c r="L21" i="1"/>
  <c r="J21" i="1"/>
  <c r="G21" i="1"/>
  <c r="F21" i="1"/>
  <c r="F36" i="1" s="1"/>
  <c r="L18" i="1"/>
  <c r="J18" i="1"/>
  <c r="H18" i="1"/>
  <c r="G18" i="1"/>
  <c r="F18" i="1"/>
  <c r="E18" i="1"/>
  <c r="I18" i="1" s="1"/>
  <c r="K18" i="1" s="1"/>
  <c r="D18" i="1"/>
  <c r="C18" i="1"/>
  <c r="B18" i="1"/>
  <c r="L17" i="1"/>
  <c r="M17" i="1" s="1"/>
  <c r="J17" i="1"/>
  <c r="H17" i="1"/>
  <c r="G17" i="1"/>
  <c r="F17" i="1"/>
  <c r="E17" i="1"/>
  <c r="D17" i="1"/>
  <c r="C17" i="1"/>
  <c r="B17" i="1"/>
  <c r="I17" i="1" s="1"/>
  <c r="K17" i="1" s="1"/>
  <c r="N17" i="1" s="1"/>
  <c r="L16" i="1"/>
  <c r="J16" i="1"/>
  <c r="H16" i="1"/>
  <c r="G16" i="1"/>
  <c r="F16" i="1"/>
  <c r="E16" i="1"/>
  <c r="D16" i="1"/>
  <c r="C16" i="1"/>
  <c r="B16" i="1"/>
  <c r="I16" i="1" s="1"/>
  <c r="K16" i="1" s="1"/>
  <c r="M16" i="1" s="1"/>
  <c r="L15" i="1"/>
  <c r="N15" i="1" s="1"/>
  <c r="J15" i="1"/>
  <c r="H15" i="1"/>
  <c r="G15" i="1"/>
  <c r="F15" i="1"/>
  <c r="E15" i="1"/>
  <c r="D15" i="1"/>
  <c r="C15" i="1"/>
  <c r="B15" i="1"/>
  <c r="I15" i="1" s="1"/>
  <c r="K15" i="1" s="1"/>
  <c r="M15" i="1" s="1"/>
  <c r="L14" i="1"/>
  <c r="J14" i="1"/>
  <c r="I14" i="1"/>
  <c r="K14" i="1" s="1"/>
  <c r="H14" i="1"/>
  <c r="G14" i="1"/>
  <c r="F14" i="1"/>
  <c r="E14" i="1"/>
  <c r="D14" i="1"/>
  <c r="C14" i="1"/>
  <c r="B14" i="1"/>
  <c r="L13" i="1"/>
  <c r="J13" i="1"/>
  <c r="H13" i="1"/>
  <c r="G13" i="1"/>
  <c r="F13" i="1"/>
  <c r="I13" i="1" s="1"/>
  <c r="K13" i="1" s="1"/>
  <c r="D13" i="1"/>
  <c r="C13" i="1"/>
  <c r="B13" i="1"/>
  <c r="L12" i="1"/>
  <c r="J12" i="1"/>
  <c r="I12" i="1"/>
  <c r="K12" i="1" s="1"/>
  <c r="N12" i="1" s="1"/>
  <c r="L11" i="1"/>
  <c r="L8" i="1" s="1"/>
  <c r="J11" i="1"/>
  <c r="J19" i="1" s="1"/>
  <c r="I11" i="1"/>
  <c r="K11" i="1" s="1"/>
  <c r="N11" i="1" s="1"/>
  <c r="H11" i="1"/>
  <c r="H19" i="1" s="1"/>
  <c r="H52" i="1" s="1"/>
  <c r="G11" i="1"/>
  <c r="F11" i="1"/>
  <c r="E11" i="1"/>
  <c r="D11" i="1"/>
  <c r="C11" i="1"/>
  <c r="B11" i="1"/>
  <c r="L10" i="1"/>
  <c r="J10" i="1"/>
  <c r="H10" i="1"/>
  <c r="G10" i="1"/>
  <c r="F10" i="1"/>
  <c r="E10" i="1"/>
  <c r="I10" i="1" s="1"/>
  <c r="K10" i="1" s="1"/>
  <c r="D10" i="1"/>
  <c r="C10" i="1"/>
  <c r="B10" i="1"/>
  <c r="L9" i="1"/>
  <c r="J9" i="1"/>
  <c r="J8" i="1" s="1"/>
  <c r="H9" i="1"/>
  <c r="H8" i="1" s="1"/>
  <c r="G9" i="1"/>
  <c r="G19" i="1" s="1"/>
  <c r="F9" i="1"/>
  <c r="F19" i="1" s="1"/>
  <c r="F52" i="1" s="1"/>
  <c r="E9" i="1"/>
  <c r="E19" i="1" s="1"/>
  <c r="D9" i="1"/>
  <c r="D19" i="1" s="1"/>
  <c r="C9" i="1"/>
  <c r="C19" i="1" s="1"/>
  <c r="B9" i="1"/>
  <c r="B19" i="1" s="1"/>
  <c r="B52" i="1" s="1"/>
  <c r="N130" i="1" l="1"/>
  <c r="M75" i="1"/>
  <c r="M87" i="1"/>
  <c r="N101" i="1"/>
  <c r="N115" i="1"/>
  <c r="N132" i="1"/>
  <c r="M132" i="1"/>
  <c r="D142" i="1"/>
  <c r="I142" i="1" s="1"/>
  <c r="K142" i="1" s="1"/>
  <c r="N180" i="1"/>
  <c r="N190" i="1"/>
  <c r="N63" i="1"/>
  <c r="M63" i="1"/>
  <c r="N41" i="1"/>
  <c r="M48" i="1"/>
  <c r="N110" i="1"/>
  <c r="M116" i="1"/>
  <c r="M125" i="1"/>
  <c r="N155" i="1"/>
  <c r="M155" i="1"/>
  <c r="N162" i="1"/>
  <c r="N191" i="1"/>
  <c r="M191" i="1"/>
  <c r="N80" i="1"/>
  <c r="M80" i="1"/>
  <c r="N33" i="1"/>
  <c r="N81" i="1"/>
  <c r="N88" i="1"/>
  <c r="M88" i="1"/>
  <c r="M95" i="1"/>
  <c r="N133" i="1"/>
  <c r="M133" i="1"/>
  <c r="N144" i="1"/>
  <c r="L163" i="1"/>
  <c r="N114" i="1"/>
  <c r="N30" i="1"/>
  <c r="M42" i="1"/>
  <c r="N68" i="1"/>
  <c r="N102" i="1"/>
  <c r="M157" i="1"/>
  <c r="N165" i="1"/>
  <c r="M165" i="1"/>
  <c r="N171" i="1"/>
  <c r="N179" i="1"/>
  <c r="M179" i="1"/>
  <c r="N192" i="1"/>
  <c r="M192" i="1"/>
  <c r="M161" i="1"/>
  <c r="N82" i="1"/>
  <c r="N96" i="1"/>
  <c r="M96" i="1"/>
  <c r="N111" i="1"/>
  <c r="N117" i="1"/>
  <c r="N126" i="1"/>
  <c r="M145" i="1"/>
  <c r="N79" i="1"/>
  <c r="N93" i="1"/>
  <c r="N189" i="1"/>
  <c r="N14" i="1"/>
  <c r="M34" i="1"/>
  <c r="N43" i="1"/>
  <c r="N69" i="1"/>
  <c r="N89" i="1"/>
  <c r="M103" i="1"/>
  <c r="N112" i="1"/>
  <c r="M112" i="1"/>
  <c r="N134" i="1"/>
  <c r="M182" i="1"/>
  <c r="N138" i="1"/>
  <c r="M138" i="1"/>
  <c r="M141" i="1"/>
  <c r="M25" i="1"/>
  <c r="N31" i="1"/>
  <c r="L56" i="1"/>
  <c r="G105" i="1"/>
  <c r="N146" i="1"/>
  <c r="N151" i="1"/>
  <c r="N172" i="1"/>
  <c r="H184" i="1"/>
  <c r="N193" i="1"/>
  <c r="N74" i="1"/>
  <c r="M74" i="1"/>
  <c r="C122" i="1"/>
  <c r="N86" i="1"/>
  <c r="M149" i="1"/>
  <c r="N124" i="1"/>
  <c r="N22" i="1"/>
  <c r="M12" i="1"/>
  <c r="M23" i="1"/>
  <c r="D52" i="1"/>
  <c r="N16" i="1"/>
  <c r="N28" i="1"/>
  <c r="N90" i="1"/>
  <c r="N97" i="1"/>
  <c r="N118" i="1"/>
  <c r="N127" i="1"/>
  <c r="N135" i="1"/>
  <c r="N35" i="1"/>
  <c r="N107" i="1"/>
  <c r="N152" i="1"/>
  <c r="M173" i="1"/>
  <c r="N186" i="1"/>
  <c r="N194" i="1"/>
  <c r="M194" i="1"/>
  <c r="N10" i="1"/>
  <c r="E52" i="1"/>
  <c r="N18" i="1"/>
  <c r="M26" i="1"/>
  <c r="I60" i="1"/>
  <c r="K60" i="1" s="1"/>
  <c r="N60" i="1" s="1"/>
  <c r="B56" i="1"/>
  <c r="M83" i="1"/>
  <c r="N83" i="1"/>
  <c r="N98" i="1"/>
  <c r="M98" i="1"/>
  <c r="N147" i="1"/>
  <c r="E175" i="1"/>
  <c r="N29" i="1"/>
  <c r="K44" i="1"/>
  <c r="N44" i="1" s="1"/>
  <c r="J50" i="1"/>
  <c r="N71" i="1"/>
  <c r="M108" i="1"/>
  <c r="N119" i="1"/>
  <c r="N128" i="1"/>
  <c r="N139" i="1"/>
  <c r="M153" i="1"/>
  <c r="M187" i="1"/>
  <c r="C52" i="1"/>
  <c r="N13" i="1"/>
  <c r="N38" i="1"/>
  <c r="M38" i="1"/>
  <c r="N72" i="1"/>
  <c r="M72" i="1"/>
  <c r="N85" i="1"/>
  <c r="I138" i="1"/>
  <c r="K138" i="1" s="1"/>
  <c r="N159" i="1"/>
  <c r="N177" i="1"/>
  <c r="N168" i="1"/>
  <c r="M168" i="1"/>
  <c r="L50" i="1"/>
  <c r="N78" i="1"/>
  <c r="N92" i="1"/>
  <c r="M120" i="1"/>
  <c r="N129" i="1"/>
  <c r="N148" i="1"/>
  <c r="N167" i="1"/>
  <c r="N188" i="1"/>
  <c r="G36" i="1"/>
  <c r="I36" i="1" s="1"/>
  <c r="K36" i="1" s="1"/>
  <c r="F94" i="1"/>
  <c r="I94" i="1" s="1"/>
  <c r="K94" i="1" s="1"/>
  <c r="N94" i="1" s="1"/>
  <c r="C131" i="1"/>
  <c r="I131" i="1" s="1"/>
  <c r="K131" i="1" s="1"/>
  <c r="N131" i="1" s="1"/>
  <c r="D164" i="1"/>
  <c r="H190" i="1"/>
  <c r="I190" i="1" s="1"/>
  <c r="K190" i="1" s="1"/>
  <c r="M46" i="1"/>
  <c r="N49" i="1"/>
  <c r="N58" i="1"/>
  <c r="N67" i="1"/>
  <c r="N75" i="1"/>
  <c r="N91" i="1"/>
  <c r="N99" i="1"/>
  <c r="I106" i="1"/>
  <c r="K106" i="1" s="1"/>
  <c r="N108" i="1"/>
  <c r="N116" i="1"/>
  <c r="I123" i="1"/>
  <c r="K123" i="1" s="1"/>
  <c r="N125" i="1"/>
  <c r="I143" i="1"/>
  <c r="K143" i="1" s="1"/>
  <c r="N145" i="1"/>
  <c r="N153" i="1"/>
  <c r="N161" i="1"/>
  <c r="N169" i="1"/>
  <c r="I176" i="1"/>
  <c r="K176" i="1" s="1"/>
  <c r="N178" i="1"/>
  <c r="I185" i="1"/>
  <c r="K185" i="1" s="1"/>
  <c r="N187" i="1"/>
  <c r="N195" i="1"/>
  <c r="M199" i="1"/>
  <c r="C8" i="1"/>
  <c r="M14" i="1"/>
  <c r="L19" i="1"/>
  <c r="I27" i="1"/>
  <c r="K27" i="1" s="1"/>
  <c r="M27" i="1" s="1"/>
  <c r="M30" i="1"/>
  <c r="M43" i="1"/>
  <c r="N46" i="1"/>
  <c r="M61" i="1"/>
  <c r="M70" i="1"/>
  <c r="M78" i="1"/>
  <c r="M86" i="1"/>
  <c r="M102" i="1"/>
  <c r="M111" i="1"/>
  <c r="M119" i="1"/>
  <c r="M128" i="1"/>
  <c r="M140" i="1"/>
  <c r="M148" i="1"/>
  <c r="M156" i="1"/>
  <c r="M172" i="1"/>
  <c r="M181" i="1"/>
  <c r="M190" i="1"/>
  <c r="M169" i="1"/>
  <c r="D8" i="1"/>
  <c r="M11" i="1"/>
  <c r="L36" i="1"/>
  <c r="N61" i="1"/>
  <c r="L73" i="1"/>
  <c r="L106" i="1"/>
  <c r="L123" i="1"/>
  <c r="N140" i="1"/>
  <c r="L143" i="1"/>
  <c r="N156" i="1"/>
  <c r="I170" i="1"/>
  <c r="K170" i="1" s="1"/>
  <c r="M170" i="1" s="1"/>
  <c r="L176" i="1"/>
  <c r="N181" i="1"/>
  <c r="L185" i="1"/>
  <c r="I196" i="1"/>
  <c r="K196" i="1" s="1"/>
  <c r="N196" i="1" s="1"/>
  <c r="E8" i="1"/>
  <c r="M89" i="1"/>
  <c r="M97" i="1"/>
  <c r="M114" i="1"/>
  <c r="M134" i="1"/>
  <c r="M159" i="1"/>
  <c r="M167" i="1"/>
  <c r="M195" i="1"/>
  <c r="K40" i="1"/>
  <c r="N40" i="1" s="1"/>
  <c r="F8" i="1"/>
  <c r="I9" i="1"/>
  <c r="M13" i="1"/>
  <c r="M32" i="1"/>
  <c r="G8" i="1"/>
  <c r="M10" i="1"/>
  <c r="M18" i="1"/>
  <c r="M29" i="1"/>
  <c r="M47" i="1"/>
  <c r="B57" i="1"/>
  <c r="I57" i="1" s="1"/>
  <c r="K57" i="1" s="1"/>
  <c r="N57" i="1" s="1"/>
  <c r="M59" i="1"/>
  <c r="F66" i="1"/>
  <c r="M68" i="1"/>
  <c r="M76" i="1"/>
  <c r="M84" i="1"/>
  <c r="M92" i="1"/>
  <c r="M100" i="1"/>
  <c r="M109" i="1"/>
  <c r="M117" i="1"/>
  <c r="M126" i="1"/>
  <c r="M146" i="1"/>
  <c r="M154" i="1"/>
  <c r="M162" i="1"/>
  <c r="M188" i="1"/>
  <c r="M196" i="1"/>
  <c r="M200" i="1"/>
  <c r="B8" i="1"/>
  <c r="I21" i="1"/>
  <c r="K21" i="1" s="1"/>
  <c r="N21" i="1" s="1"/>
  <c r="M24" i="1"/>
  <c r="M35" i="1"/>
  <c r="M129" i="1"/>
  <c r="M91" i="1"/>
  <c r="M31" i="1"/>
  <c r="M41" i="1"/>
  <c r="M62" i="1"/>
  <c r="M71" i="1"/>
  <c r="M79" i="1"/>
  <c r="M58" i="1"/>
  <c r="M67" i="1"/>
  <c r="M99" i="1"/>
  <c r="M82" i="1"/>
  <c r="M90" i="1"/>
  <c r="M107" i="1"/>
  <c r="M115" i="1"/>
  <c r="M124" i="1"/>
  <c r="M135" i="1"/>
  <c r="M144" i="1"/>
  <c r="M152" i="1"/>
  <c r="M160" i="1"/>
  <c r="M177" i="1"/>
  <c r="M186" i="1"/>
  <c r="M201" i="1"/>
  <c r="M85" i="1"/>
  <c r="M93" i="1"/>
  <c r="M101" i="1"/>
  <c r="M110" i="1"/>
  <c r="M197" i="1"/>
  <c r="K9" i="1" l="1"/>
  <c r="I19" i="1"/>
  <c r="E211" i="1"/>
  <c r="E213" i="1" s="1"/>
  <c r="I184" i="1"/>
  <c r="K184" i="1" s="1"/>
  <c r="H54" i="1"/>
  <c r="H211" i="1" s="1"/>
  <c r="H213" i="1" s="1"/>
  <c r="L142" i="1"/>
  <c r="N143" i="1"/>
  <c r="M143" i="1"/>
  <c r="J52" i="1"/>
  <c r="J211" i="1" s="1"/>
  <c r="J213" i="1" s="1"/>
  <c r="K50" i="1"/>
  <c r="M50" i="1" s="1"/>
  <c r="N170" i="1"/>
  <c r="M131" i="1"/>
  <c r="I164" i="1"/>
  <c r="K164" i="1" s="1"/>
  <c r="D163" i="1"/>
  <c r="L122" i="1"/>
  <c r="N123" i="1"/>
  <c r="M123" i="1"/>
  <c r="M60" i="1"/>
  <c r="N27" i="1"/>
  <c r="I8" i="1"/>
  <c r="I66" i="1"/>
  <c r="K66" i="1" s="1"/>
  <c r="F65" i="1"/>
  <c r="L105" i="1"/>
  <c r="N106" i="1"/>
  <c r="M106" i="1"/>
  <c r="G52" i="1"/>
  <c r="I105" i="1"/>
  <c r="K105" i="1" s="1"/>
  <c r="G54" i="1"/>
  <c r="N73" i="1"/>
  <c r="M73" i="1"/>
  <c r="I175" i="1"/>
  <c r="K175" i="1" s="1"/>
  <c r="E54" i="1"/>
  <c r="N56" i="1"/>
  <c r="M56" i="1"/>
  <c r="I122" i="1"/>
  <c r="K122" i="1" s="1"/>
  <c r="C54" i="1"/>
  <c r="L52" i="1"/>
  <c r="M57" i="1"/>
  <c r="M40" i="1"/>
  <c r="L184" i="1"/>
  <c r="N185" i="1"/>
  <c r="M185" i="1"/>
  <c r="B54" i="1"/>
  <c r="I56" i="1"/>
  <c r="K56" i="1" s="1"/>
  <c r="L175" i="1"/>
  <c r="N176" i="1"/>
  <c r="M176" i="1"/>
  <c r="N36" i="1"/>
  <c r="M36" i="1"/>
  <c r="M94" i="1"/>
  <c r="M44" i="1"/>
  <c r="M21" i="1"/>
  <c r="C211" i="1"/>
  <c r="C213" i="1" s="1"/>
  <c r="L65" i="1"/>
  <c r="I52" i="1"/>
  <c r="K52" i="1" s="1"/>
  <c r="G211" i="1" l="1"/>
  <c r="G213" i="1" s="1"/>
  <c r="M164" i="1"/>
  <c r="N164" i="1"/>
  <c r="N50" i="1"/>
  <c r="N142" i="1"/>
  <c r="M142" i="1"/>
  <c r="L137" i="1"/>
  <c r="L54" i="1"/>
  <c r="N105" i="1"/>
  <c r="M105" i="1"/>
  <c r="F54" i="1"/>
  <c r="F211" i="1" s="1"/>
  <c r="F213" i="1" s="1"/>
  <c r="I65" i="1"/>
  <c r="K65" i="1" s="1"/>
  <c r="N65" i="1" s="1"/>
  <c r="N52" i="1"/>
  <c r="M52" i="1"/>
  <c r="N175" i="1"/>
  <c r="M175" i="1"/>
  <c r="N122" i="1"/>
  <c r="M122" i="1"/>
  <c r="N184" i="1"/>
  <c r="M184" i="1"/>
  <c r="N66" i="1"/>
  <c r="M66" i="1"/>
  <c r="B211" i="1"/>
  <c r="I163" i="1"/>
  <c r="K163" i="1" s="1"/>
  <c r="D137" i="1"/>
  <c r="K19" i="1"/>
  <c r="N9" i="1"/>
  <c r="K8" i="1"/>
  <c r="M9" i="1"/>
  <c r="N19" i="1" l="1"/>
  <c r="M19" i="1"/>
  <c r="N163" i="1"/>
  <c r="M163" i="1"/>
  <c r="M65" i="1"/>
  <c r="I137" i="1"/>
  <c r="K137" i="1" s="1"/>
  <c r="M137" i="1" s="1"/>
  <c r="D54" i="1"/>
  <c r="B213" i="1"/>
  <c r="L211" i="1"/>
  <c r="N8" i="1"/>
  <c r="M8" i="1"/>
  <c r="L213" i="1" l="1"/>
  <c r="D211" i="1"/>
  <c r="I54" i="1"/>
  <c r="K54" i="1" s="1"/>
  <c r="N137" i="1"/>
  <c r="K211" i="1" l="1"/>
  <c r="M54" i="1"/>
  <c r="N54" i="1"/>
  <c r="D213" i="1"/>
  <c r="I211" i="1"/>
  <c r="K213" i="1" l="1"/>
  <c r="N211" i="1"/>
  <c r="M211" i="1"/>
</calcChain>
</file>

<file path=xl/sharedStrings.xml><?xml version="1.0" encoding="utf-8"?>
<sst xmlns="http://schemas.openxmlformats.org/spreadsheetml/2006/main" count="209" uniqueCount="206">
  <si>
    <t>MINISTERIO DE AGRICULTURA  Y DESARROLLO RURAL</t>
  </si>
  <si>
    <t>DIRECCIÓN DE PLANEACIÓN Y SEGUIMIENTO PRESUPUESTAL</t>
  </si>
  <si>
    <t>PRESUPUESTO DE GASTOS DE FUNCIONAMIENTO E INVERSIÓN 2.023</t>
  </si>
  <si>
    <t>ANEXO 2</t>
  </si>
  <si>
    <t>CUENTAS</t>
  </si>
  <si>
    <t>PROGRAMAS ECONÓMICA</t>
  </si>
  <si>
    <t>PROGRAMAS TÉCNICA</t>
  </si>
  <si>
    <t>PROGRAMAS INVESTIGACIÓN Y TRANSFERENCIA DE TÉCNOLOGÍA</t>
  </si>
  <si>
    <t>PROGRAMA SANIDAD</t>
  </si>
  <si>
    <t>PROGRAMAS MERCADEO</t>
  </si>
  <si>
    <t xml:space="preserve">PROGRAMA PPC </t>
  </si>
  <si>
    <t>PROGRAMA COMERCIALIZACIÓN</t>
  </si>
  <si>
    <t>TOTAL INVERSIÓN</t>
  </si>
  <si>
    <t>GASTOS DE FUNCIONAMIENTO</t>
  </si>
  <si>
    <t>TOTAL PRESUPUESTO</t>
  </si>
  <si>
    <t>EJECUCIÓN DEFINITIVA</t>
  </si>
  <si>
    <t>ACUERDO 16/23</t>
  </si>
  <si>
    <t>% EJECUCIÓN</t>
  </si>
  <si>
    <t>GASTOS DE PERSONAL</t>
  </si>
  <si>
    <t>Servicios de personal</t>
  </si>
  <si>
    <t>Sueldos</t>
  </si>
  <si>
    <t>Vacaciones</t>
  </si>
  <si>
    <t>Prima legal</t>
  </si>
  <si>
    <t>Honorarios</t>
  </si>
  <si>
    <t xml:space="preserve">Dotación y suministro </t>
  </si>
  <si>
    <t>Cesantías</t>
  </si>
  <si>
    <t>Intereses de cesantías</t>
  </si>
  <si>
    <t>Seguros y/o fondos privados</t>
  </si>
  <si>
    <t>Caja de compensación</t>
  </si>
  <si>
    <t>Aportes ICBF y SENA</t>
  </si>
  <si>
    <t>SUBTOTAL GASTOS PERSONAL</t>
  </si>
  <si>
    <t>GASTOS GENERALES</t>
  </si>
  <si>
    <t>Muebles, equipos de oficina y software</t>
  </si>
  <si>
    <t>Impresos y publicaciones</t>
  </si>
  <si>
    <t>Materiales y suministros</t>
  </si>
  <si>
    <t>Correo</t>
  </si>
  <si>
    <t>Transportes, fletes y acarreos</t>
  </si>
  <si>
    <t xml:space="preserve">Capacitación </t>
  </si>
  <si>
    <t xml:space="preserve">Mantenimiento </t>
  </si>
  <si>
    <t>Seguros, impuestos y gastos legales</t>
  </si>
  <si>
    <t>Comisiones y gastos bancarios</t>
  </si>
  <si>
    <t>Gastos de viaje</t>
  </si>
  <si>
    <t>Aseo, vigilancia y cafetería</t>
  </si>
  <si>
    <t>Servicios públicos</t>
  </si>
  <si>
    <t>Arriendos</t>
  </si>
  <si>
    <t>Cuota auditaje CGR</t>
  </si>
  <si>
    <t>Gastos comisión de fomento</t>
  </si>
  <si>
    <t>SUBTOTAL GASTOS GENERALES</t>
  </si>
  <si>
    <t>GASTOS ADMINISTRATIVOS DE RECAUDO</t>
  </si>
  <si>
    <t>Control al recaudo</t>
  </si>
  <si>
    <t>Seguimiento al recaudo regional</t>
  </si>
  <si>
    <t>Movilización líderes</t>
  </si>
  <si>
    <t>Jornadas trabajo líderes regionales (plantas)</t>
  </si>
  <si>
    <t>Gestión documental</t>
  </si>
  <si>
    <t>Cloud server SNR</t>
  </si>
  <si>
    <t>Fortalecimiento del beneficio formal</t>
  </si>
  <si>
    <t>Movilización Subdirector Líderes de Recaudo</t>
  </si>
  <si>
    <t>Comunicación y divulgación</t>
  </si>
  <si>
    <t>Gestión con autoridades</t>
  </si>
  <si>
    <t>Jornadas trabajo líderes regionales (autoridades)</t>
  </si>
  <si>
    <t>Honorarios Asesor Jurídico</t>
  </si>
  <si>
    <t>SUBTOTAL GASTOS ADMINISTRATIVOS DE RECAUDO</t>
  </si>
  <si>
    <t>TOTAL FUNCIONAMIENTO</t>
  </si>
  <si>
    <t>TOTAL PROGRAMAS Y PROYECTOS</t>
  </si>
  <si>
    <t>TOTAL ÁREA ECONÓMICA</t>
  </si>
  <si>
    <t>Fortalecimiento institucional</t>
  </si>
  <si>
    <t>Asistencia Financiera</t>
  </si>
  <si>
    <t>Asesor Normativa</t>
  </si>
  <si>
    <t>Sistemas de información de mercados</t>
  </si>
  <si>
    <t>Monitoreo Precios de la carne al Consumidor</t>
  </si>
  <si>
    <t>Actualización Información Nacional</t>
  </si>
  <si>
    <t>Seguimiento Mercados Internacionales</t>
  </si>
  <si>
    <t>TOTAL ÁREA MERCADEO</t>
  </si>
  <si>
    <t>Investigación de mercados</t>
  </si>
  <si>
    <t xml:space="preserve">Home Panel </t>
  </si>
  <si>
    <t>Brand Equity Tracking</t>
  </si>
  <si>
    <t>Monitoreo de Medios</t>
  </si>
  <si>
    <t>Evaluación Neurológica</t>
  </si>
  <si>
    <t>Estudio del Consumidor</t>
  </si>
  <si>
    <t>Estudio Consumo fuera del hogar</t>
  </si>
  <si>
    <t>Campaña de fomento al consumo</t>
  </si>
  <si>
    <t>Campaña de publicidad</t>
  </si>
  <si>
    <t>Fomento al Consumo Regional</t>
  </si>
  <si>
    <t>Consultoría Mercado</t>
  </si>
  <si>
    <t>Estrategia Influenciadores</t>
  </si>
  <si>
    <t>Pauta institucional</t>
  </si>
  <si>
    <t>Sostenimiento y Desarrollo Digital</t>
  </si>
  <si>
    <t>Desarrollo Actividades Digitales</t>
  </si>
  <si>
    <t>Pauta Digital</t>
  </si>
  <si>
    <t>Producción Digital</t>
  </si>
  <si>
    <t>Marketing relacional</t>
  </si>
  <si>
    <t>Cocina PorkColombia</t>
  </si>
  <si>
    <t>Asesor Gastronómico Ejecutivo</t>
  </si>
  <si>
    <t>Viajes Equipo Ejecutivo</t>
  </si>
  <si>
    <t>Capacitación anual</t>
  </si>
  <si>
    <t>Material de promocion al consumo</t>
  </si>
  <si>
    <t>Festival PorkColombia</t>
  </si>
  <si>
    <t>Seguimiento gestión a eventos</t>
  </si>
  <si>
    <t>Porkamericas</t>
  </si>
  <si>
    <t>Agroexpo</t>
  </si>
  <si>
    <t>Eventos especializados (Sector, gastronomicos , sector salud)</t>
  </si>
  <si>
    <t>Marca y Marketing</t>
  </si>
  <si>
    <t>Desarrollo Material de Apoyo</t>
  </si>
  <si>
    <t>Gestión y seguimiento desarrollo de marca y marketing</t>
  </si>
  <si>
    <t>Fomento al sello de producto</t>
  </si>
  <si>
    <t>Comunicación Integral</t>
  </si>
  <si>
    <t>Seguimiento y gestión comunicación integral</t>
  </si>
  <si>
    <t>Agencia acompañamiento contingencia</t>
  </si>
  <si>
    <t>Defensa Sector Porcicultor</t>
  </si>
  <si>
    <t>Actualización Banco de Imágenes</t>
  </si>
  <si>
    <t xml:space="preserve">Relacionamiento Periodistas / medios de comunicación / free press / Pauta medios de comunicación </t>
  </si>
  <si>
    <t>TOTAL ÁREA ERRADICACIÓN PPC</t>
  </si>
  <si>
    <t>Vacunacion e identificacion de Porcinos</t>
  </si>
  <si>
    <t>Biológico</t>
  </si>
  <si>
    <t>Identificación</t>
  </si>
  <si>
    <t>Suministros Clínicos y Dotaciones</t>
  </si>
  <si>
    <t>Auxilios Distribuidores</t>
  </si>
  <si>
    <t>Distribución Biológico, Chapetas y Materiales</t>
  </si>
  <si>
    <t>Contratación de Personal</t>
  </si>
  <si>
    <t>Disposición de Residuos Biológicos</t>
  </si>
  <si>
    <t>Capacitación y divulgación</t>
  </si>
  <si>
    <t xml:space="preserve">  Capacitación y divulgación</t>
  </si>
  <si>
    <t>Vigilancia Epidemiológica</t>
  </si>
  <si>
    <t>Diagnóstico Rutinario</t>
  </si>
  <si>
    <t>Apoyo actividades de vigilancia activa</t>
  </si>
  <si>
    <t>Administración de la base de datos</t>
  </si>
  <si>
    <t>Mantenimiento, actualización y soporte de la plataforma</t>
  </si>
  <si>
    <t>TOTAL ÁREA TÉCNICA</t>
  </si>
  <si>
    <t>Inocuidad en Producción primaria - IPP</t>
  </si>
  <si>
    <t>Herramientas del Programa IPP</t>
  </si>
  <si>
    <t>Excelencia Técnica en Producción Primaria</t>
  </si>
  <si>
    <t>Apoyo Nuevos negocios en Porcícultura</t>
  </si>
  <si>
    <t>Actualización y Reconocimiento</t>
  </si>
  <si>
    <t>Convenios</t>
  </si>
  <si>
    <t xml:space="preserve">   Contrapartidas Gobernaciones y/o Alcaldias</t>
  </si>
  <si>
    <t xml:space="preserve">   Contrapartidas FNP</t>
  </si>
  <si>
    <t>Sostenibilidad Ambiental y Responsabilidad Social Empresarial</t>
  </si>
  <si>
    <t>Herramientas del programa Sostenibilidad ambiental  y RSE</t>
  </si>
  <si>
    <t>Acompañamiento y fortalecimiento cadena productiva porcícola en sostenibilidad ambiental y R.S.E</t>
  </si>
  <si>
    <t>Variabilidad, cambio climático, y suelos fértiles sostenibles</t>
  </si>
  <si>
    <t>Asociatividad y R.S.E</t>
  </si>
  <si>
    <t>TOTAL ÁREA INVESTIGACIÓN Y TRANSFERENCIA</t>
  </si>
  <si>
    <t>Investigación y desarrollo</t>
  </si>
  <si>
    <t>Proyectos</t>
  </si>
  <si>
    <t>Jornadas de divulgación resultados de investigación</t>
  </si>
  <si>
    <t>Transferencia de tecnología</t>
  </si>
  <si>
    <t xml:space="preserve">  Vinculación tecnologica</t>
  </si>
  <si>
    <t>Campus virtual</t>
  </si>
  <si>
    <t xml:space="preserve">Encuentros regionales </t>
  </si>
  <si>
    <t>Aplicación caracterización granjas porcicolas</t>
  </si>
  <si>
    <t xml:space="preserve">Escuela Porkmelier </t>
  </si>
  <si>
    <t>Sistema de gestión innovación abierta</t>
  </si>
  <si>
    <t>Encuentro de Asociatividad</t>
  </si>
  <si>
    <t xml:space="preserve">Modelo producción primaria y transformación </t>
  </si>
  <si>
    <t>Desarrollo bolsa de empleo</t>
  </si>
  <si>
    <t xml:space="preserve">Curso de reproducción en porcinos  </t>
  </si>
  <si>
    <t xml:space="preserve">Programa de extensión para productores informales </t>
  </si>
  <si>
    <t xml:space="preserve">Gira Técnica </t>
  </si>
  <si>
    <t xml:space="preserve">  Talleres y seminarios</t>
  </si>
  <si>
    <t>Buenas prácticas en el manejo de medicamentos veterinarios</t>
  </si>
  <si>
    <t>Talleres diagnóstico animal (Toma y envío de muestras)</t>
  </si>
  <si>
    <t>Jornadas de actualización técnica</t>
  </si>
  <si>
    <t>Diplomado Gestión Gerencial de Empresas porcícolas</t>
  </si>
  <si>
    <t>Curso de fabricación de productos con valor agregado</t>
  </si>
  <si>
    <t>Material de apoyo</t>
  </si>
  <si>
    <t>Taller de Desposte</t>
  </si>
  <si>
    <t>Diagnostico</t>
  </si>
  <si>
    <t>Diagnostico rutinario con laboratorios oficiales</t>
  </si>
  <si>
    <t>Diagnóstico Rutinario, Integrado y PRRS</t>
  </si>
  <si>
    <t>Compras de insumos</t>
  </si>
  <si>
    <t>Diagnóstico importados</t>
  </si>
  <si>
    <t>Diagnostico rutinario con laboratorios privados</t>
  </si>
  <si>
    <t>Diagnostico Rutinario, Combos y PRRS</t>
  </si>
  <si>
    <t>Pruebas interlaboratorios</t>
  </si>
  <si>
    <t>Promoción al diagnóstico</t>
  </si>
  <si>
    <t>Inocuidad y ambiente</t>
  </si>
  <si>
    <t>Apoyo Diagnostico lineas base (ICA)</t>
  </si>
  <si>
    <t>TOTAL ÁREA SANIDAD</t>
  </si>
  <si>
    <t>Programa Nacional Para la Cerificación del estatus sanitario</t>
  </si>
  <si>
    <t>Control, monitoreo y caracterización de enfermedades priorizadas</t>
  </si>
  <si>
    <t xml:space="preserve">Vigilancia enfermedades exoticas </t>
  </si>
  <si>
    <t>Gestión Sanitaria</t>
  </si>
  <si>
    <t>Gestión del riesgo de enfermedades porcinas</t>
  </si>
  <si>
    <t>Estudios de vigilancia epidemiologica</t>
  </si>
  <si>
    <t>Divulgación sanitaria</t>
  </si>
  <si>
    <t>TOTAL ÁREA COMERCIALIZACIÓN</t>
  </si>
  <si>
    <t>Comercialización nacional y sustitución de importaciones</t>
  </si>
  <si>
    <t>Herramientas del programa</t>
  </si>
  <si>
    <t>Desarrollo de habilidades comerciales</t>
  </si>
  <si>
    <t>Experiencia y promoción comercial</t>
  </si>
  <si>
    <t>Desarrollo de nuevas tendencias y productos</t>
  </si>
  <si>
    <t>Gestión en transformación</t>
  </si>
  <si>
    <t>Calidad e inocuidad en transformación</t>
  </si>
  <si>
    <t>Magro</t>
  </si>
  <si>
    <t>Comercio Exterior</t>
  </si>
  <si>
    <t>Admisibilidad</t>
  </si>
  <si>
    <t>Preparación oferta exportable</t>
  </si>
  <si>
    <t>CUOTA DE ADMINISTRACIÓN</t>
  </si>
  <si>
    <t>Cuota de administración FNP</t>
  </si>
  <si>
    <t>Cuota de administración PPC</t>
  </si>
  <si>
    <t>FONDO DE EMERGENCIA FNP</t>
  </si>
  <si>
    <t>FONDO DE EMERGENCIA PPC</t>
  </si>
  <si>
    <t xml:space="preserve">RESERVA FUTURAS INVERSIONES Y GASTOS </t>
  </si>
  <si>
    <t>Cuota de fomento porcícola</t>
  </si>
  <si>
    <t>Cuota de erradicación Peste Porcina Clásica</t>
  </si>
  <si>
    <t xml:space="preserve">TOTAL GASTOS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</si>
</sst>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 * #,##0.00_ ;_ * \-#,##0.00_ ;_ * &quot;-&quot;??_ ;_ @_ "/>
    <numFmt numFmtId="165" formatCode="_ * #,##0_ ;_ * \-#,##0_ ;_ * &quot;-&quot;??_ ;_ @_ "/>
    <numFmt numFmtId="166" formatCode="0.00000"/>
    <numFmt numFmtId="167" formatCode="0.0%"/>
    <numFmt numFmtId="168" formatCode="0.0000%"/>
    <numFmt numFmtId="169" formatCode="0.0000"/>
    <numFmt numFmtId="170" formatCode="0.000000000000"/>
    <numFmt numFmtId="171" formatCode="_ * #,##0.0000000_ ;_ * \-#,##0.0000000_ ;_ * &quot;-&quot;??_ ;_ @_ "/>
    <numFmt numFmtId="172" formatCode="_ * #,##0.0000000000_ ;_ * \-#,##0.0000000000_ ;_ * &quot;-&quot;??_ ;_ @_ "/>
    <numFmt numFmtId="173" formatCode="_-* #,##0\ _€_-;\-* #,##0\ _€_-;_-* &quot;-&quot;??\ _€_-;_-@_-"/>
    <numFmt numFmtId="174" formatCode="_ * #,##0_ ;_ * \-#,##0_ ;_ * &quot;-&quot;_ ;_ @_ 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1"/>
      <name val="Century Gothic"/>
      <family val="2"/>
    </font>
    <font>
      <sz val="11"/>
      <name val="Century Gothic"/>
      <family val="2"/>
    </font>
    <font>
      <b/>
      <sz val="11"/>
      <color indexed="10"/>
      <name val="Century Gothic"/>
      <family val="2"/>
    </font>
    <font>
      <b/>
      <sz val="11"/>
      <color rgb="FFFF0000"/>
      <name val="Century Gothic"/>
      <family val="2"/>
    </font>
    <font>
      <sz val="11"/>
      <color indexed="8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4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2" borderId="0" xfId="0" applyFont="1" applyFill="1" applyAlignment="1">
      <alignment horizontal="center"/>
    </xf>
    <xf numFmtId="3" fontId="4" fillId="2" borderId="0" xfId="0" applyNumberFormat="1" applyFont="1" applyFill="1" applyAlignment="1">
      <alignment horizontal="centerContinuous"/>
    </xf>
    <xf numFmtId="3" fontId="2" fillId="2" borderId="0" xfId="0" applyNumberFormat="1" applyFont="1" applyFill="1" applyAlignment="1">
      <alignment horizontal="centerContinuous"/>
    </xf>
    <xf numFmtId="0" fontId="4" fillId="2" borderId="0" xfId="0" applyFont="1" applyFill="1" applyAlignment="1">
      <alignment horizontal="centerContinuous"/>
    </xf>
    <xf numFmtId="0" fontId="2" fillId="2" borderId="0" xfId="0" applyFont="1" applyFill="1" applyAlignment="1">
      <alignment horizontal="centerContinuous"/>
    </xf>
    <xf numFmtId="0" fontId="5" fillId="2" borderId="0" xfId="0" applyFont="1" applyFill="1" applyAlignment="1">
      <alignment horizontal="centerContinuous"/>
    </xf>
    <xf numFmtId="3" fontId="3" fillId="2" borderId="0" xfId="0" applyNumberFormat="1" applyFont="1" applyFill="1"/>
    <xf numFmtId="165" fontId="3" fillId="2" borderId="0" xfId="1" applyNumberFormat="1" applyFont="1" applyFill="1"/>
    <xf numFmtId="0" fontId="3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5" fontId="2" fillId="0" borderId="2" xfId="1" applyNumberFormat="1" applyFont="1" applyBorder="1" applyAlignment="1">
      <alignment horizontal="center" vertical="center" wrapText="1"/>
    </xf>
    <xf numFmtId="3" fontId="2" fillId="2" borderId="1" xfId="0" applyNumberFormat="1" applyFont="1" applyFill="1" applyBorder="1"/>
    <xf numFmtId="0" fontId="3" fillId="2" borderId="1" xfId="0" applyFont="1" applyFill="1" applyBorder="1"/>
    <xf numFmtId="165" fontId="3" fillId="0" borderId="2" xfId="1" applyNumberFormat="1" applyFont="1" applyBorder="1"/>
    <xf numFmtId="165" fontId="2" fillId="0" borderId="2" xfId="1" applyNumberFormat="1" applyFont="1" applyBorder="1"/>
    <xf numFmtId="10" fontId="2" fillId="2" borderId="1" xfId="2" applyNumberFormat="1" applyFont="1" applyFill="1" applyBorder="1"/>
    <xf numFmtId="3" fontId="3" fillId="0" borderId="0" xfId="0" applyNumberFormat="1" applyFont="1"/>
    <xf numFmtId="3" fontId="3" fillId="2" borderId="1" xfId="0" applyNumberFormat="1" applyFont="1" applyFill="1" applyBorder="1"/>
    <xf numFmtId="3" fontId="3" fillId="0" borderId="1" xfId="0" applyNumberFormat="1" applyFont="1" applyBorder="1"/>
    <xf numFmtId="10" fontId="3" fillId="2" borderId="1" xfId="2" applyNumberFormat="1" applyFont="1" applyFill="1" applyBorder="1"/>
    <xf numFmtId="166" fontId="3" fillId="0" borderId="0" xfId="0" applyNumberFormat="1" applyFont="1"/>
    <xf numFmtId="3" fontId="6" fillId="0" borderId="1" xfId="0" applyNumberFormat="1" applyFont="1" applyBorder="1"/>
    <xf numFmtId="0" fontId="2" fillId="2" borderId="1" xfId="0" applyFont="1" applyFill="1" applyBorder="1"/>
    <xf numFmtId="3" fontId="2" fillId="0" borderId="1" xfId="0" applyNumberFormat="1" applyFont="1" applyBorder="1"/>
    <xf numFmtId="167" fontId="3" fillId="0" borderId="0" xfId="2" applyNumberFormat="1" applyFont="1" applyFill="1"/>
    <xf numFmtId="168" fontId="3" fillId="0" borderId="0" xfId="2" applyNumberFormat="1" applyFont="1" applyFill="1"/>
    <xf numFmtId="9" fontId="2" fillId="0" borderId="1" xfId="2" applyFont="1" applyFill="1" applyBorder="1"/>
    <xf numFmtId="10" fontId="3" fillId="0" borderId="0" xfId="2" applyNumberFormat="1" applyFont="1" applyFill="1"/>
    <xf numFmtId="3" fontId="3" fillId="2" borderId="1" xfId="3" applyNumberFormat="1" applyFont="1" applyFill="1" applyBorder="1"/>
    <xf numFmtId="169" fontId="3" fillId="0" borderId="0" xfId="0" applyNumberFormat="1" applyFont="1"/>
    <xf numFmtId="3" fontId="2" fillId="2" borderId="1" xfId="3" applyNumberFormat="1" applyFont="1" applyFill="1" applyBorder="1"/>
    <xf numFmtId="37" fontId="2" fillId="2" borderId="1" xfId="0" applyNumberFormat="1" applyFont="1" applyFill="1" applyBorder="1" applyAlignment="1">
      <alignment horizontal="left"/>
    </xf>
    <xf numFmtId="165" fontId="3" fillId="0" borderId="0" xfId="0" applyNumberFormat="1" applyFont="1"/>
    <xf numFmtId="37" fontId="3" fillId="2" borderId="1" xfId="0" applyNumberFormat="1" applyFont="1" applyFill="1" applyBorder="1" applyAlignment="1">
      <alignment horizontal="left"/>
    </xf>
    <xf numFmtId="0" fontId="2" fillId="0" borderId="0" xfId="0" applyFont="1"/>
    <xf numFmtId="3" fontId="2" fillId="0" borderId="1" xfId="3" applyNumberFormat="1" applyFont="1" applyFill="1" applyBorder="1"/>
    <xf numFmtId="10" fontId="2" fillId="0" borderId="1" xfId="2" applyNumberFormat="1" applyFont="1" applyFill="1" applyBorder="1"/>
    <xf numFmtId="37" fontId="2" fillId="2" borderId="1" xfId="0" applyNumberFormat="1" applyFont="1" applyFill="1" applyBorder="1"/>
    <xf numFmtId="165" fontId="2" fillId="0" borderId="0" xfId="0" applyNumberFormat="1" applyFont="1"/>
    <xf numFmtId="3" fontId="2" fillId="0" borderId="0" xfId="0" applyNumberFormat="1" applyFont="1"/>
    <xf numFmtId="164" fontId="2" fillId="0" borderId="1" xfId="3" applyFont="1" applyFill="1" applyBorder="1"/>
    <xf numFmtId="164" fontId="3" fillId="0" borderId="1" xfId="3" applyFont="1" applyFill="1" applyBorder="1"/>
    <xf numFmtId="164" fontId="2" fillId="0" borderId="0" xfId="3" applyFont="1" applyFill="1"/>
    <xf numFmtId="37" fontId="2" fillId="2" borderId="1" xfId="0" applyNumberFormat="1" applyFont="1" applyFill="1" applyBorder="1" applyAlignment="1">
      <alignment horizontal="left" wrapText="1"/>
    </xf>
    <xf numFmtId="10" fontId="3" fillId="0" borderId="1" xfId="2" applyNumberFormat="1" applyFont="1" applyFill="1" applyBorder="1"/>
    <xf numFmtId="37" fontId="3" fillId="2" borderId="1" xfId="0" applyNumberFormat="1" applyFont="1" applyFill="1" applyBorder="1"/>
    <xf numFmtId="10" fontId="3" fillId="0" borderId="0" xfId="2" applyNumberFormat="1" applyFont="1"/>
    <xf numFmtId="3" fontId="2" fillId="0" borderId="1" xfId="4" applyNumberFormat="1" applyFont="1" applyFill="1" applyBorder="1"/>
    <xf numFmtId="170" fontId="3" fillId="0" borderId="0" xfId="0" applyNumberFormat="1" applyFont="1"/>
    <xf numFmtId="171" fontId="3" fillId="0" borderId="0" xfId="5" applyNumberFormat="1" applyFont="1" applyFill="1"/>
    <xf numFmtId="0" fontId="3" fillId="0" borderId="1" xfId="0" applyFont="1" applyBorder="1"/>
    <xf numFmtId="0" fontId="3" fillId="0" borderId="2" xfId="0" applyFont="1" applyBorder="1"/>
    <xf numFmtId="172" fontId="3" fillId="0" borderId="0" xfId="5" applyNumberFormat="1" applyFont="1" applyFill="1"/>
    <xf numFmtId="37" fontId="3" fillId="0" borderId="0" xfId="0" applyNumberFormat="1" applyFont="1"/>
    <xf numFmtId="165" fontId="2" fillId="0" borderId="0" xfId="1" applyNumberFormat="1" applyFont="1" applyFill="1" applyAlignment="1">
      <alignment horizontal="center"/>
    </xf>
    <xf numFmtId="165" fontId="3" fillId="0" borderId="0" xfId="1" applyNumberFormat="1" applyFont="1" applyAlignment="1">
      <alignment horizontal="center"/>
    </xf>
    <xf numFmtId="10" fontId="3" fillId="0" borderId="0" xfId="0" applyNumberFormat="1" applyFont="1"/>
    <xf numFmtId="164" fontId="3" fillId="0" borderId="0" xfId="3" applyFont="1" applyFill="1"/>
    <xf numFmtId="165" fontId="3" fillId="0" borderId="0" xfId="1" applyNumberFormat="1" applyFont="1" applyFill="1"/>
    <xf numFmtId="9" fontId="3" fillId="0" borderId="0" xfId="2" applyFont="1" applyFill="1"/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165" fontId="3" fillId="0" borderId="0" xfId="1" applyNumberFormat="1" applyFont="1"/>
    <xf numFmtId="165" fontId="3" fillId="0" borderId="0" xfId="3" applyNumberFormat="1" applyFont="1" applyFill="1"/>
    <xf numFmtId="165" fontId="2" fillId="0" borderId="0" xfId="1" applyNumberFormat="1" applyFont="1"/>
    <xf numFmtId="3" fontId="3" fillId="0" borderId="3" xfId="0" applyNumberFormat="1" applyFont="1" applyBorder="1"/>
    <xf numFmtId="165" fontId="3" fillId="0" borderId="3" xfId="3" applyNumberFormat="1" applyFont="1" applyFill="1" applyBorder="1"/>
    <xf numFmtId="173" fontId="2" fillId="0" borderId="0" xfId="0" applyNumberFormat="1" applyFont="1"/>
    <xf numFmtId="173" fontId="3" fillId="0" borderId="0" xfId="0" applyNumberFormat="1" applyFont="1"/>
    <xf numFmtId="164" fontId="2" fillId="0" borderId="0" xfId="3" applyFont="1" applyFill="1" applyAlignment="1">
      <alignment horizontal="center"/>
    </xf>
    <xf numFmtId="0" fontId="3" fillId="0" borderId="0" xfId="0" applyFont="1" applyAlignment="1">
      <alignment horizontal="center"/>
    </xf>
    <xf numFmtId="174" fontId="3" fillId="0" borderId="0" xfId="6" applyFont="1" applyFill="1" applyAlignment="1">
      <alignment horizontal="center"/>
    </xf>
    <xf numFmtId="3" fontId="3" fillId="0" borderId="0" xfId="0" applyNumberFormat="1" applyFont="1" applyAlignment="1">
      <alignment horizontal="center"/>
    </xf>
  </cellXfs>
  <cellStyles count="7">
    <cellStyle name="Millares" xfId="1" builtinId="3"/>
    <cellStyle name="Millares [0] 2" xfId="6" xr:uid="{F1DF3B4B-5D2C-435D-9078-1D343874DF81}"/>
    <cellStyle name="Millares 11" xfId="5" xr:uid="{555506A0-EA60-4D4C-80EE-0EA0F4CAB10B}"/>
    <cellStyle name="Millares 2 2" xfId="4" xr:uid="{F76D7EE5-58B9-4DED-A6EB-3AD78933C3B2}"/>
    <cellStyle name="Millares 23 2" xfId="3" xr:uid="{ABE5EAAF-DC08-4297-95A2-72EE031C6D00}"/>
    <cellStyle name="Normal" xfId="0" builtinId="0"/>
    <cellStyle name="Porcentaje 10 2" xfId="2" xr:uid="{9183C8FD-2D4E-4467-91D9-5618DBDAB3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A&#241;o%202023/Acuerdos%20presupuestales/Definitivos/Sabana%20presupuestal%202023%2030-06-2023.xlsx" TargetMode="External"/><Relationship Id="rId1" Type="http://schemas.openxmlformats.org/officeDocument/2006/relationships/externalLinkPath" Target="/A&#241;o%202023/Acuerdos%20presupuestales/Definitivos/Sabana%20presupuestal%202023%2030-06-2023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A&#241;o%202015/PRESUPUESTO%202015/PRESUPUESTO%202015%20V.6/Presupuesto%202015%20version%206.xls" TargetMode="External"/><Relationship Id="rId1" Type="http://schemas.openxmlformats.org/officeDocument/2006/relationships/externalLinkPath" Target="/A&#241;o%202015/PRESUPUESTO%202015/PRESUPUESTO%202015%20V.6/Presupuesto%202015%20version%206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TRATOS%20ACP%20FNP\MATRIZ%20DE%20CONTROL%20A&#209;O%202011(borrador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2011\Presentaciones\COMITES%20PPC\DESPACHOS%20BIOLOGICO%202011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Users/directorppc/AppData/Local/Microsoft/Windows/Temporary%20Internet%20Files/Content.IE5/68SX2PI0/Desagregado%20&#193;rea%202015.xls" TargetMode="External"/><Relationship Id="rId1" Type="http://schemas.openxmlformats.org/officeDocument/2006/relationships/externalLinkPath" Target="/Users/directorppc/AppData/Local/Microsoft/Windows/Temporary%20Internet%20Files/Content.IE5/68SX2PI0/Desagregado%20&#193;rea%202015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Temp\desagregado%20ppc%2020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Documents%20and%20Settings\PatriciaMart&#237;nez\Configuraci&#243;n%20local\Archivos%20temporales%20de%20Internet\Content.Outlook\RD6RDTKZ\A&#241;o%202008\Presupuesto%202009\nomina%202009%20ppc.xls" TargetMode="External"/></Relationships>
</file>

<file path=xl/externalLinks/_rels/externalLink16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A&#241;o%202017/Presupuesto%202017/Presupuesto%202017%203ra%20version/Anexos/Presupuesto%20PPC%202016.xls" TargetMode="External"/><Relationship Id="rId1" Type="http://schemas.openxmlformats.org/officeDocument/2006/relationships/externalLinkPath" Target="/A&#241;o%202017/Presupuesto%202017/Presupuesto%202017%203ra%20version/Anexos/Presupuesto%20PPC%20201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A&#241;o%202010\PTO%20FONDO%202010\Presupuesto%202010%20versi&#243;n%203\PRESUPUESTO%2010%203a%20%20versi&#243;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JefeControlRegional\Presupuesto%202008\Presupuesto%202008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Users\OscarRubio\AppData\Local\Microsoft\Windows\Temporary%20Internet%20Files\Content.Outlook\INBWVVAW\ANEXO%20ACUERDO%204-12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A&#241;o%202023/Acuerdos%20presupuestales/Definitivos/Sabana%20presupuestal%202023%20chip%20presupuestal%20III%20trimestre.xlsx" TargetMode="External"/><Relationship Id="rId1" Type="http://schemas.openxmlformats.org/officeDocument/2006/relationships/externalLinkPath" Target="/A&#241;o%202023/Acuerdos%20presupuestales/Definitivos/Sabana%20presupuestal%202023%20chip%20presupuestal%20III%20trimestre.xlsx" TargetMode="External"/></Relationships>
</file>

<file path=xl/externalLinks/_rels/externalLink20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Users/JorgeOrtiz/Desktop/PPC2013/PRESUPUESTO%202014/PRESUPUESTO%20DEFINITIVO%202014%20NOV/Desagregado%20PPC%202014%20%20definitivo.xls" TargetMode="External"/><Relationship Id="rId1" Type="http://schemas.openxmlformats.org/officeDocument/2006/relationships/externalLinkPath" Target="/Users/JorgeOrtiz/Desktop/PPC2013/PRESUPUESTO%202014/PRESUPUESTO%20DEFINITIVO%202014%20NOV/Desagregado%20PPC%202014%20%20definitivo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A&#241;o%202023/Acuerdos%20presupuestales/Definitivos/Sabana%20presupuestal%202023%20septiembre.xlsx" TargetMode="External"/><Relationship Id="rId1" Type="http://schemas.openxmlformats.org/officeDocument/2006/relationships/externalLinkPath" Target="/A&#241;o%202023/Acuerdos%20presupuestales/Definitivos/Sabana%20presupuestal%202023%20septiembre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A&#241;o%202023/Acuerdos%20presupuestales/Definitivos/Sabana%20presupuestal%20cierre%20definitivo%2017-08-2023.xlsx" TargetMode="External"/><Relationship Id="rId1" Type="http://schemas.openxmlformats.org/officeDocument/2006/relationships/externalLinkPath" Target="/A&#241;o%202023/Acuerdos%20presupuestales/Definitivos/Sabana%20presupuestal%20cierre%20definitivo%2017-08-2023.xlsx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A&#241;o%202023/Acuerdos%20presupuestales/Definitivos/ANEXO%20ACUERDO%2016-23.xls" TargetMode="External"/><Relationship Id="rId2" Type="http://schemas.openxmlformats.org/officeDocument/2006/relationships/externalLinkPath" Target="file:///Y:\A&#241;o%202023\Acuerdos%20presupuestales\Definitivos\ANEXO%20ACUERDO%2016-23.xls" TargetMode="External"/><Relationship Id="rId1" Type="http://schemas.openxmlformats.org/officeDocument/2006/relationships/externalLinkPath" Target="/A&#241;o%202023/Acuerdos%20presupuestales/Definitivos/ANEXO%20ACUERDO%2016-2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CONTABILIDAD\ANEXO%20CIERRE%20DE%20INGRESOS%2020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Informe%20gesti&#243;n%20definitivo%20I%20semestre%202012\gastos%20enero%20junio%20de%202012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A&#241;o%202017/AJUSTE%20SALARIOSdef/Ajuste%20salariosdef.xls" TargetMode="External"/><Relationship Id="rId1" Type="http://schemas.openxmlformats.org/officeDocument/2006/relationships/externalLinkPath" Target="/A&#241;o%202017/AJUSTE%20SALARIOSdef/Ajuste%20salariosde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CICOL\Administrativa\A&#241;o%202010\A&#241;o%202010\MANEJO%20PTO%202010\PRESUPUESTO%20INGRESOS%20ESTIMADO%20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nexo 1"/>
      <sheetName val="Anexo Ingresos"/>
      <sheetName val="IND VIG 2023"/>
      <sheetName val="proyec cabezas"/>
      <sheetName val="Ing programas"/>
      <sheetName val="VENTAS EPPC"/>
      <sheetName val="CONCILIACIÓN INGRESOS"/>
      <sheetName val="RES"/>
      <sheetName val="ECO"/>
      <sheetName val="TEC"/>
      <sheetName val="TRANSF"/>
      <sheetName val="FUN"/>
      <sheetName val="SAN"/>
      <sheetName val="MER"/>
      <sheetName val="COM"/>
      <sheetName val="PPC"/>
      <sheetName val="Funcionamiento"/>
      <sheetName val="Nómina y honorarios 2023"/>
      <sheetName val="Nómina y honorarios 2023 def"/>
      <sheetName val="Nómina y honorarios 2023 ajus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4">
          <cell r="Q14">
            <v>97958054</v>
          </cell>
        </row>
        <row r="15">
          <cell r="Q15">
            <v>4952936</v>
          </cell>
        </row>
        <row r="16">
          <cell r="Q16">
            <v>4484892</v>
          </cell>
        </row>
        <row r="17">
          <cell r="Q17">
            <v>250000</v>
          </cell>
        </row>
        <row r="18">
          <cell r="Q18">
            <v>4484892</v>
          </cell>
        </row>
        <row r="19">
          <cell r="Q19">
            <v>538188</v>
          </cell>
        </row>
        <row r="20">
          <cell r="Q20">
            <v>17932043</v>
          </cell>
        </row>
        <row r="21">
          <cell r="Q21">
            <v>3629433</v>
          </cell>
        </row>
        <row r="22">
          <cell r="Q22">
            <v>4536795</v>
          </cell>
        </row>
        <row r="26">
          <cell r="Q26">
            <v>150000</v>
          </cell>
        </row>
        <row r="27">
          <cell r="Q27">
            <v>120000</v>
          </cell>
        </row>
        <row r="28">
          <cell r="Q28">
            <v>4000000</v>
          </cell>
        </row>
        <row r="29">
          <cell r="Q29">
            <v>100000</v>
          </cell>
        </row>
        <row r="30">
          <cell r="Q30">
            <v>4000000</v>
          </cell>
        </row>
        <row r="31">
          <cell r="Q31">
            <v>5000000</v>
          </cell>
        </row>
        <row r="38">
          <cell r="Q38">
            <v>25564397</v>
          </cell>
        </row>
        <row r="39">
          <cell r="Q39">
            <v>21558188</v>
          </cell>
        </row>
        <row r="41">
          <cell r="Q41">
            <v>72269938.400000006</v>
          </cell>
        </row>
        <row r="42">
          <cell r="Q42">
            <v>137571315.59999999</v>
          </cell>
        </row>
        <row r="43">
          <cell r="Q43">
            <v>38166467.972800002</v>
          </cell>
        </row>
        <row r="46">
          <cell r="T46">
            <v>447267539.97280002</v>
          </cell>
        </row>
      </sheetData>
      <sheetData sheetId="9" refreshError="1">
        <row r="14">
          <cell r="Q14">
            <v>170032019</v>
          </cell>
        </row>
        <row r="15">
          <cell r="Q15">
            <v>8597124</v>
          </cell>
        </row>
        <row r="16">
          <cell r="Q16">
            <v>10558541</v>
          </cell>
        </row>
        <row r="17">
          <cell r="Q17">
            <v>250000</v>
          </cell>
        </row>
        <row r="18">
          <cell r="Q18">
            <v>10558541</v>
          </cell>
        </row>
        <row r="19">
          <cell r="Q19">
            <v>1267024</v>
          </cell>
        </row>
        <row r="20">
          <cell r="Q20">
            <v>33296221</v>
          </cell>
        </row>
        <row r="21">
          <cell r="Q21">
            <v>6739146</v>
          </cell>
        </row>
        <row r="22">
          <cell r="Q22">
            <v>8423949</v>
          </cell>
        </row>
        <row r="26">
          <cell r="Q26">
            <v>412125</v>
          </cell>
        </row>
        <row r="27">
          <cell r="Q27">
            <v>3819413</v>
          </cell>
        </row>
        <row r="28">
          <cell r="Q28">
            <v>1000000</v>
          </cell>
        </row>
        <row r="29">
          <cell r="Q29">
            <v>3702662</v>
          </cell>
        </row>
        <row r="30">
          <cell r="Q30">
            <v>6000000</v>
          </cell>
        </row>
        <row r="31">
          <cell r="Q31">
            <v>2318201</v>
          </cell>
        </row>
        <row r="38">
          <cell r="Q38">
            <v>0</v>
          </cell>
        </row>
        <row r="39">
          <cell r="Q39">
            <v>475461676</v>
          </cell>
        </row>
        <row r="40">
          <cell r="Q40">
            <v>35336064</v>
          </cell>
        </row>
        <row r="41">
          <cell r="Q41">
            <v>5000000</v>
          </cell>
        </row>
        <row r="47">
          <cell r="Q47">
            <v>28500000</v>
          </cell>
        </row>
        <row r="48">
          <cell r="Q48">
            <v>373210000</v>
          </cell>
        </row>
        <row r="49">
          <cell r="Q49">
            <v>136336064</v>
          </cell>
        </row>
        <row r="50">
          <cell r="Q50">
            <v>33218032</v>
          </cell>
        </row>
        <row r="54">
          <cell r="T54">
            <v>1354036802</v>
          </cell>
        </row>
      </sheetData>
      <sheetData sheetId="10" refreshError="1">
        <row r="14">
          <cell r="Q14">
            <v>116378179.75</v>
          </cell>
        </row>
        <row r="15">
          <cell r="Q15">
            <v>5884290.25</v>
          </cell>
        </row>
        <row r="16">
          <cell r="Q16">
            <v>6037150</v>
          </cell>
        </row>
        <row r="17">
          <cell r="Q17">
            <v>250000</v>
          </cell>
        </row>
        <row r="18">
          <cell r="Q18">
            <v>6037150</v>
          </cell>
        </row>
        <row r="19">
          <cell r="Q19">
            <v>724458.25</v>
          </cell>
        </row>
        <row r="20">
          <cell r="Q20">
            <v>21858697</v>
          </cell>
        </row>
        <row r="21">
          <cell r="Q21">
            <v>4424196</v>
          </cell>
        </row>
        <row r="22">
          <cell r="Q22">
            <v>5530242</v>
          </cell>
        </row>
        <row r="26">
          <cell r="Q26">
            <v>3113136</v>
          </cell>
        </row>
        <row r="27">
          <cell r="Q27">
            <v>954142</v>
          </cell>
        </row>
        <row r="28">
          <cell r="Q28">
            <v>3824393</v>
          </cell>
        </row>
        <row r="29">
          <cell r="Q29">
            <v>2298030</v>
          </cell>
        </row>
        <row r="30">
          <cell r="Q30">
            <v>3931537</v>
          </cell>
        </row>
        <row r="31">
          <cell r="Q31">
            <v>1323168</v>
          </cell>
        </row>
        <row r="38">
          <cell r="Q38">
            <v>703000000</v>
          </cell>
        </row>
        <row r="39">
          <cell r="Q39">
            <v>0</v>
          </cell>
        </row>
        <row r="40">
          <cell r="Q40">
            <v>20000000</v>
          </cell>
        </row>
        <row r="43">
          <cell r="Q43">
            <v>12621003</v>
          </cell>
        </row>
        <row r="44">
          <cell r="Q44">
            <v>22000000</v>
          </cell>
        </row>
        <row r="45">
          <cell r="Q45">
            <v>25190000</v>
          </cell>
        </row>
        <row r="46">
          <cell r="Q46">
            <v>20000000</v>
          </cell>
        </row>
        <row r="47">
          <cell r="Q47">
            <v>33000000</v>
          </cell>
        </row>
        <row r="48">
          <cell r="Q48">
            <v>0</v>
          </cell>
        </row>
        <row r="49">
          <cell r="Q49">
            <v>70000000</v>
          </cell>
        </row>
        <row r="50">
          <cell r="Q50">
            <v>9000000</v>
          </cell>
        </row>
        <row r="51">
          <cell r="Q51">
            <v>30000000</v>
          </cell>
        </row>
        <row r="52">
          <cell r="Q52">
            <v>43000000</v>
          </cell>
        </row>
        <row r="53">
          <cell r="Q53">
            <v>190000000</v>
          </cell>
        </row>
        <row r="55">
          <cell r="Q55">
            <v>20000000</v>
          </cell>
        </row>
        <row r="56">
          <cell r="Q56">
            <v>14420279</v>
          </cell>
        </row>
        <row r="57">
          <cell r="Q57">
            <v>30000000</v>
          </cell>
        </row>
        <row r="58">
          <cell r="Q58">
            <v>24000000</v>
          </cell>
        </row>
        <row r="59">
          <cell r="Q59">
            <v>50000000</v>
          </cell>
        </row>
        <row r="60">
          <cell r="Q60">
            <v>75000000</v>
          </cell>
        </row>
        <row r="61">
          <cell r="Q61">
            <v>10000000</v>
          </cell>
        </row>
        <row r="64">
          <cell r="Q64">
            <v>37000000</v>
          </cell>
        </row>
        <row r="65">
          <cell r="Q65">
            <v>67500000</v>
          </cell>
        </row>
        <row r="66">
          <cell r="Q66">
            <v>30000000</v>
          </cell>
        </row>
        <row r="68">
          <cell r="Q68">
            <v>468500000</v>
          </cell>
        </row>
        <row r="69">
          <cell r="Q69">
            <v>15000000</v>
          </cell>
        </row>
        <row r="70">
          <cell r="Q70">
            <v>5600000</v>
          </cell>
        </row>
        <row r="71">
          <cell r="Q71">
            <v>12000000</v>
          </cell>
        </row>
        <row r="72">
          <cell r="Q72">
            <v>77000000</v>
          </cell>
        </row>
        <row r="75">
          <cell r="T75">
            <v>2296400051.25</v>
          </cell>
        </row>
      </sheetData>
      <sheetData sheetId="11" refreshError="1">
        <row r="14">
          <cell r="Q14">
            <v>229501912</v>
          </cell>
        </row>
        <row r="15">
          <cell r="Q15">
            <v>10908031</v>
          </cell>
        </row>
        <row r="16">
          <cell r="Q16">
            <v>18180049</v>
          </cell>
        </row>
        <row r="17">
          <cell r="Q17">
            <v>63008443</v>
          </cell>
        </row>
        <row r="18">
          <cell r="Q18">
            <v>250000</v>
          </cell>
        </row>
        <row r="19">
          <cell r="Q19">
            <v>18180049</v>
          </cell>
        </row>
        <row r="20">
          <cell r="Q20">
            <v>2181608</v>
          </cell>
        </row>
        <row r="21">
          <cell r="Q21">
            <v>48433201</v>
          </cell>
        </row>
        <row r="22">
          <cell r="Q22">
            <v>9290172</v>
          </cell>
        </row>
        <row r="23">
          <cell r="Q23">
            <v>11612748</v>
          </cell>
        </row>
        <row r="27">
          <cell r="Q27">
            <v>143566083</v>
          </cell>
        </row>
        <row r="28">
          <cell r="Q28">
            <v>18000000</v>
          </cell>
        </row>
        <row r="29">
          <cell r="Q29">
            <v>7852147</v>
          </cell>
        </row>
        <row r="30">
          <cell r="Q30">
            <v>15000000</v>
          </cell>
        </row>
        <row r="31">
          <cell r="Q31">
            <v>2000000</v>
          </cell>
        </row>
        <row r="32">
          <cell r="Q32">
            <v>10000000</v>
          </cell>
        </row>
        <row r="33">
          <cell r="Q33">
            <v>10000000</v>
          </cell>
        </row>
        <row r="34">
          <cell r="Q34">
            <v>6000000</v>
          </cell>
        </row>
        <row r="35">
          <cell r="Q35">
            <v>35000000</v>
          </cell>
        </row>
        <row r="36">
          <cell r="Q36">
            <v>11500000</v>
          </cell>
        </row>
        <row r="37">
          <cell r="Q37">
            <v>5000000</v>
          </cell>
        </row>
        <row r="38">
          <cell r="Q38">
            <v>21962217</v>
          </cell>
        </row>
        <row r="39">
          <cell r="Q39">
            <v>5226721</v>
          </cell>
        </row>
        <row r="40">
          <cell r="Q40">
            <v>0</v>
          </cell>
        </row>
        <row r="41">
          <cell r="Q41">
            <v>10000000</v>
          </cell>
        </row>
        <row r="46">
          <cell r="Q46">
            <v>54161503</v>
          </cell>
        </row>
        <row r="47">
          <cell r="Q47">
            <v>50738619</v>
          </cell>
        </row>
        <row r="48">
          <cell r="Q48">
            <v>0</v>
          </cell>
        </row>
        <row r="49">
          <cell r="Q49">
            <v>8960802</v>
          </cell>
        </row>
        <row r="50">
          <cell r="Q50">
            <v>66692398</v>
          </cell>
        </row>
        <row r="52">
          <cell r="Q52">
            <v>3277467</v>
          </cell>
        </row>
        <row r="53">
          <cell r="Q53">
            <v>150000000</v>
          </cell>
        </row>
        <row r="54">
          <cell r="Q54">
            <v>47105958</v>
          </cell>
        </row>
        <row r="55">
          <cell r="Q55">
            <v>11975952</v>
          </cell>
        </row>
        <row r="56">
          <cell r="Q56">
            <v>10180800</v>
          </cell>
        </row>
        <row r="59">
          <cell r="Q59">
            <v>1170298140.3</v>
          </cell>
        </row>
        <row r="60">
          <cell r="Q60">
            <v>701481276.9000001</v>
          </cell>
        </row>
        <row r="68">
          <cell r="T68">
            <v>2987526297.1999998</v>
          </cell>
        </row>
      </sheetData>
      <sheetData sheetId="12" refreshError="1">
        <row r="14">
          <cell r="Q14">
            <v>11280451</v>
          </cell>
        </row>
        <row r="15">
          <cell r="Q15">
            <v>570360</v>
          </cell>
        </row>
        <row r="16">
          <cell r="Q16">
            <v>950600</v>
          </cell>
        </row>
        <row r="17">
          <cell r="Q17">
            <v>950600</v>
          </cell>
        </row>
        <row r="18">
          <cell r="Q18">
            <v>114072</v>
          </cell>
        </row>
        <row r="19">
          <cell r="Q19">
            <v>2404678</v>
          </cell>
        </row>
        <row r="20">
          <cell r="Q20">
            <v>486714</v>
          </cell>
        </row>
        <row r="21">
          <cell r="Q21">
            <v>608385</v>
          </cell>
        </row>
        <row r="25">
          <cell r="Q25">
            <v>3800000</v>
          </cell>
        </row>
        <row r="26">
          <cell r="Q26">
            <v>152180</v>
          </cell>
        </row>
        <row r="32">
          <cell r="Q32">
            <v>400000000</v>
          </cell>
        </row>
        <row r="33">
          <cell r="Q33">
            <v>250000000</v>
          </cell>
        </row>
        <row r="35">
          <cell r="Q35">
            <v>50000000</v>
          </cell>
        </row>
        <row r="36">
          <cell r="Q36">
            <v>350000000</v>
          </cell>
        </row>
        <row r="37">
          <cell r="Q37">
            <v>40000000</v>
          </cell>
        </row>
        <row r="40">
          <cell r="T40">
            <v>1111318040</v>
          </cell>
        </row>
      </sheetData>
      <sheetData sheetId="13" refreshError="1">
        <row r="14">
          <cell r="Q14">
            <v>127464003</v>
          </cell>
        </row>
        <row r="15">
          <cell r="Q15">
            <v>6444810</v>
          </cell>
        </row>
        <row r="16">
          <cell r="Q16">
            <v>6971349</v>
          </cell>
        </row>
        <row r="17">
          <cell r="Q17">
            <v>250000</v>
          </cell>
        </row>
        <row r="18">
          <cell r="Q18">
            <v>6971349</v>
          </cell>
        </row>
        <row r="19">
          <cell r="Q19">
            <v>836562</v>
          </cell>
        </row>
        <row r="20">
          <cell r="Q20">
            <v>24221893</v>
          </cell>
        </row>
        <row r="21">
          <cell r="Q21">
            <v>4902510</v>
          </cell>
        </row>
        <row r="22">
          <cell r="Q22">
            <v>6128136</v>
          </cell>
        </row>
        <row r="26">
          <cell r="Q26">
            <v>1500000</v>
          </cell>
        </row>
        <row r="27">
          <cell r="Q27">
            <v>5200000</v>
          </cell>
        </row>
        <row r="28">
          <cell r="Q28">
            <v>895369</v>
          </cell>
        </row>
        <row r="29">
          <cell r="Q29">
            <v>2587412</v>
          </cell>
        </row>
        <row r="30">
          <cell r="Q30">
            <v>7584963</v>
          </cell>
        </row>
        <row r="31">
          <cell r="Q31">
            <v>1568742</v>
          </cell>
        </row>
        <row r="38">
          <cell r="Q38">
            <v>0</v>
          </cell>
        </row>
        <row r="39">
          <cell r="Q39">
            <v>0</v>
          </cell>
        </row>
        <row r="40">
          <cell r="Q40">
            <v>9000000</v>
          </cell>
        </row>
        <row r="41">
          <cell r="Q41">
            <v>114309641</v>
          </cell>
        </row>
        <row r="42">
          <cell r="Q42">
            <v>114309641</v>
          </cell>
        </row>
        <row r="43">
          <cell r="Q43">
            <v>4885248</v>
          </cell>
        </row>
        <row r="45">
          <cell r="Q45">
            <v>2369828069.571485</v>
          </cell>
        </row>
        <row r="46">
          <cell r="Q46">
            <v>183063149.98578709</v>
          </cell>
        </row>
        <row r="47">
          <cell r="Q47">
            <v>22677577.523261901</v>
          </cell>
        </row>
        <row r="48">
          <cell r="Q48">
            <v>60958229.339637384</v>
          </cell>
        </row>
        <row r="49">
          <cell r="Q49">
            <v>37343840</v>
          </cell>
        </row>
        <row r="50">
          <cell r="Q50">
            <v>186138578</v>
          </cell>
        </row>
        <row r="51">
          <cell r="Q51">
            <v>64240000</v>
          </cell>
        </row>
        <row r="52">
          <cell r="Q52">
            <v>150000000</v>
          </cell>
        </row>
        <row r="53">
          <cell r="Q53">
            <v>0</v>
          </cell>
        </row>
        <row r="55">
          <cell r="Q55">
            <v>123370117.783154</v>
          </cell>
        </row>
        <row r="56">
          <cell r="Q56">
            <v>44009469</v>
          </cell>
        </row>
        <row r="57">
          <cell r="Q57">
            <v>6787379.3690757696</v>
          </cell>
        </row>
        <row r="58">
          <cell r="Q58">
            <v>0</v>
          </cell>
        </row>
        <row r="59">
          <cell r="Q59">
            <v>50000000</v>
          </cell>
        </row>
        <row r="60">
          <cell r="Q60">
            <v>388465844.48000002</v>
          </cell>
        </row>
        <row r="61">
          <cell r="Q61">
            <v>5281000</v>
          </cell>
        </row>
        <row r="62">
          <cell r="Q62">
            <v>0</v>
          </cell>
        </row>
        <row r="63">
          <cell r="Q63">
            <v>48000000</v>
          </cell>
        </row>
        <row r="64">
          <cell r="Q64">
            <v>949488125</v>
          </cell>
        </row>
        <row r="66">
          <cell r="Q66">
            <v>15000000</v>
          </cell>
        </row>
        <row r="67">
          <cell r="Q67">
            <v>2779600.4838</v>
          </cell>
        </row>
        <row r="68">
          <cell r="Q68">
            <v>45614096.399999999</v>
          </cell>
        </row>
        <row r="70">
          <cell r="Q70">
            <v>20400750</v>
          </cell>
        </row>
        <row r="71">
          <cell r="Q71">
            <v>0</v>
          </cell>
        </row>
        <row r="72">
          <cell r="Q72">
            <v>21000000</v>
          </cell>
        </row>
        <row r="73">
          <cell r="Q73">
            <v>17921602</v>
          </cell>
        </row>
        <row r="74">
          <cell r="Q74">
            <v>5000000</v>
          </cell>
        </row>
        <row r="77">
          <cell r="T77">
            <v>5263399056.9362001</v>
          </cell>
        </row>
      </sheetData>
      <sheetData sheetId="14" refreshError="1">
        <row r="14">
          <cell r="Q14">
            <v>161285799</v>
          </cell>
        </row>
        <row r="15">
          <cell r="Q15">
            <v>8154900</v>
          </cell>
        </row>
        <row r="16">
          <cell r="Q16">
            <v>9821500</v>
          </cell>
        </row>
        <row r="17">
          <cell r="Q17">
            <v>250000</v>
          </cell>
        </row>
        <row r="18">
          <cell r="Q18">
            <v>9821500</v>
          </cell>
        </row>
        <row r="19">
          <cell r="Q19">
            <v>1178581</v>
          </cell>
        </row>
        <row r="20">
          <cell r="Q20">
            <v>31431797</v>
          </cell>
        </row>
        <row r="21">
          <cell r="Q21">
            <v>6361770</v>
          </cell>
        </row>
        <row r="22">
          <cell r="Q22">
            <v>7952232</v>
          </cell>
        </row>
        <row r="26">
          <cell r="Q26">
            <v>375000</v>
          </cell>
        </row>
        <row r="27">
          <cell r="Q27">
            <v>2500000</v>
          </cell>
        </row>
        <row r="28">
          <cell r="Q28">
            <v>500000</v>
          </cell>
        </row>
        <row r="29">
          <cell r="Q29">
            <v>3702662</v>
          </cell>
        </row>
        <row r="30">
          <cell r="Q30">
            <v>3000000</v>
          </cell>
        </row>
        <row r="31">
          <cell r="Q31">
            <v>318200</v>
          </cell>
        </row>
        <row r="38">
          <cell r="Q38">
            <v>5345490</v>
          </cell>
        </row>
        <row r="39">
          <cell r="Q39">
            <v>431595019.13349354</v>
          </cell>
        </row>
        <row r="40">
          <cell r="Q40">
            <v>166235244</v>
          </cell>
        </row>
        <row r="41">
          <cell r="Q41">
            <v>20000000</v>
          </cell>
        </row>
        <row r="43">
          <cell r="Q43">
            <v>0</v>
          </cell>
        </row>
        <row r="44">
          <cell r="Q44">
            <v>219489339</v>
          </cell>
        </row>
        <row r="45">
          <cell r="Q45">
            <v>18203756</v>
          </cell>
        </row>
        <row r="47">
          <cell r="Q47">
            <v>339168</v>
          </cell>
        </row>
        <row r="48">
          <cell r="Q48">
            <v>21463240</v>
          </cell>
        </row>
        <row r="49">
          <cell r="Q49">
            <v>144413751</v>
          </cell>
        </row>
        <row r="53">
          <cell r="T53">
            <v>1273738948.1334934</v>
          </cell>
        </row>
      </sheetData>
      <sheetData sheetId="15" refreshError="1">
        <row r="14">
          <cell r="Q14">
            <v>353923861</v>
          </cell>
        </row>
        <row r="15">
          <cell r="Q15">
            <v>17895025</v>
          </cell>
        </row>
        <row r="16">
          <cell r="Q16">
            <v>26055045</v>
          </cell>
        </row>
        <row r="17">
          <cell r="Q17">
            <v>750000</v>
          </cell>
        </row>
        <row r="18">
          <cell r="Q18">
            <v>26055045</v>
          </cell>
        </row>
        <row r="19">
          <cell r="Q19">
            <v>3126606</v>
          </cell>
        </row>
        <row r="20">
          <cell r="Q20">
            <v>73428246</v>
          </cell>
        </row>
        <row r="21">
          <cell r="Q21">
            <v>14637348</v>
          </cell>
        </row>
        <row r="22">
          <cell r="Q22">
            <v>18296712</v>
          </cell>
        </row>
        <row r="26">
          <cell r="Q26">
            <v>15986325</v>
          </cell>
        </row>
        <row r="27">
          <cell r="Q27">
            <v>1500000</v>
          </cell>
        </row>
        <row r="28">
          <cell r="Q28">
            <v>4000000</v>
          </cell>
        </row>
        <row r="29">
          <cell r="Q29">
            <v>12000000</v>
          </cell>
        </row>
        <row r="30">
          <cell r="Q30">
            <v>1000000</v>
          </cell>
        </row>
        <row r="31">
          <cell r="Q31">
            <v>3702662</v>
          </cell>
        </row>
        <row r="32">
          <cell r="Q32">
            <v>12000000</v>
          </cell>
        </row>
        <row r="33">
          <cell r="Q33">
            <v>22698741</v>
          </cell>
        </row>
        <row r="34">
          <cell r="Q34">
            <v>110000000</v>
          </cell>
        </row>
        <row r="35">
          <cell r="Q35">
            <v>13140303</v>
          </cell>
        </row>
        <row r="36">
          <cell r="Q36">
            <v>4238014</v>
          </cell>
        </row>
        <row r="43">
          <cell r="Q43">
            <v>789500000</v>
          </cell>
        </row>
        <row r="44">
          <cell r="Q44">
            <v>1280000000</v>
          </cell>
        </row>
        <row r="45">
          <cell r="Q45">
            <v>200000000</v>
          </cell>
        </row>
        <row r="46">
          <cell r="Q46">
            <v>85000000</v>
          </cell>
        </row>
        <row r="47">
          <cell r="Q47">
            <v>150000000</v>
          </cell>
        </row>
        <row r="48">
          <cell r="Q48">
            <v>3300000000</v>
          </cell>
        </row>
        <row r="49">
          <cell r="Q49">
            <v>12000000</v>
          </cell>
        </row>
        <row r="51">
          <cell r="Q51">
            <v>59897830</v>
          </cell>
        </row>
        <row r="53">
          <cell r="Q53">
            <v>200000000</v>
          </cell>
        </row>
        <row r="54">
          <cell r="Q54">
            <v>25000000</v>
          </cell>
        </row>
        <row r="56">
          <cell r="Q56">
            <v>57000000</v>
          </cell>
        </row>
        <row r="62">
          <cell r="T62">
            <v>6892831763</v>
          </cell>
        </row>
      </sheetData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nexo 1 Minagricultura"/>
      <sheetName val="Otros ingresos"/>
      <sheetName val="Rendimientos "/>
      <sheetName val="Escenario PPC"/>
      <sheetName val="Ejecución ingresos 2014"/>
      <sheetName val="Ejecución gastos 2014"/>
      <sheetName val="Superavit 2014"/>
      <sheetName val="Anexo 2 "/>
      <sheetName val="Anexo 3"/>
      <sheetName val="Anexo 4"/>
      <sheetName val="Funcionamiento"/>
      <sheetName val="Nómina y honorarios 2015"/>
      <sheetName val="Comparativo nómina 2014-2015"/>
      <sheetName val="Comparativo gastos personal "/>
    </sheetNames>
    <sheetDataSet>
      <sheetData sheetId="0">
        <row r="46">
          <cell r="C46">
            <v>3182535.7199999997</v>
          </cell>
        </row>
        <row r="53">
          <cell r="C53">
            <v>4295.6000000000004</v>
          </cell>
        </row>
        <row r="54">
          <cell r="C54">
            <v>2577.36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ecutivo"/>
      <sheetName val="Vencimientos"/>
      <sheetName val="CONTROL CONTRATOS 2011"/>
      <sheetName val="Hoja1"/>
    </sheetNames>
    <sheetDataSet>
      <sheetData sheetId="0">
        <row r="9">
          <cell r="M9" t="str">
            <v>FUNCIONAMIENTO</v>
          </cell>
        </row>
        <row r="10">
          <cell r="M10" t="str">
            <v>MERCADEO</v>
          </cell>
        </row>
        <row r="11">
          <cell r="M11" t="str">
            <v>PPC</v>
          </cell>
        </row>
        <row r="12">
          <cell r="M12" t="str">
            <v>ECONOMICA</v>
          </cell>
        </row>
        <row r="13">
          <cell r="M13" t="str">
            <v>TECNICA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SES"/>
      <sheetName val="2010  LABORATORIOS"/>
      <sheetName val="2011 LABORATORIOS"/>
      <sheetName val="COMPARATIVO POR DOSIS"/>
      <sheetName val="COMPARATIVO POR LABORATORIO"/>
      <sheetName val="Hoja1"/>
      <sheetName val="BRIGADAS"/>
      <sheetName val="COMITÉ"/>
      <sheetName val="DISTRIBUIDOR"/>
      <sheetName val="DEPARTAMENTO"/>
      <sheetName val="CONSOLIDADO GENERAL"/>
      <sheetName val="BA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E3">
            <v>40191</v>
          </cell>
        </row>
        <row r="4">
          <cell r="E4">
            <v>40196</v>
          </cell>
        </row>
        <row r="5">
          <cell r="E5">
            <v>40179</v>
          </cell>
        </row>
        <row r="6">
          <cell r="E6">
            <v>40193</v>
          </cell>
        </row>
        <row r="7">
          <cell r="E7">
            <v>40193</v>
          </cell>
        </row>
        <row r="8">
          <cell r="E8">
            <v>40190</v>
          </cell>
        </row>
        <row r="9">
          <cell r="E9">
            <v>40190</v>
          </cell>
        </row>
        <row r="10">
          <cell r="E10">
            <v>40190</v>
          </cell>
        </row>
        <row r="11">
          <cell r="E11">
            <v>40190</v>
          </cell>
        </row>
        <row r="12">
          <cell r="E12">
            <v>40190</v>
          </cell>
        </row>
        <row r="13">
          <cell r="E13">
            <v>40191</v>
          </cell>
        </row>
        <row r="14">
          <cell r="E14">
            <v>40191</v>
          </cell>
        </row>
        <row r="15">
          <cell r="E15">
            <v>40196</v>
          </cell>
        </row>
        <row r="16">
          <cell r="E16">
            <v>40196</v>
          </cell>
        </row>
        <row r="17">
          <cell r="E17">
            <v>40196</v>
          </cell>
        </row>
        <row r="18">
          <cell r="E18">
            <v>40196</v>
          </cell>
        </row>
        <row r="19">
          <cell r="E19">
            <v>40197</v>
          </cell>
        </row>
        <row r="20">
          <cell r="E20">
            <v>40197</v>
          </cell>
        </row>
        <row r="21">
          <cell r="E21">
            <v>40197</v>
          </cell>
        </row>
        <row r="22">
          <cell r="E22">
            <v>40192</v>
          </cell>
        </row>
        <row r="23">
          <cell r="E23">
            <v>40192</v>
          </cell>
        </row>
        <row r="24">
          <cell r="E24">
            <v>40192</v>
          </cell>
        </row>
        <row r="25">
          <cell r="E25">
            <v>40192</v>
          </cell>
        </row>
        <row r="26">
          <cell r="E26">
            <v>40197</v>
          </cell>
        </row>
        <row r="27">
          <cell r="E27">
            <v>40197</v>
          </cell>
        </row>
        <row r="28">
          <cell r="E28">
            <v>40196</v>
          </cell>
        </row>
        <row r="29">
          <cell r="E29">
            <v>40196</v>
          </cell>
        </row>
        <row r="30">
          <cell r="E30">
            <v>40196</v>
          </cell>
        </row>
        <row r="31">
          <cell r="E31">
            <v>40199</v>
          </cell>
        </row>
        <row r="32">
          <cell r="E32">
            <v>40199</v>
          </cell>
        </row>
        <row r="33">
          <cell r="E33">
            <v>40199</v>
          </cell>
        </row>
        <row r="34">
          <cell r="E34">
            <v>40199</v>
          </cell>
        </row>
        <row r="35">
          <cell r="E35">
            <v>40203</v>
          </cell>
        </row>
        <row r="36">
          <cell r="E36">
            <v>40203</v>
          </cell>
        </row>
        <row r="37">
          <cell r="E37">
            <v>40203</v>
          </cell>
        </row>
        <row r="38">
          <cell r="E38">
            <v>40203</v>
          </cell>
        </row>
        <row r="39">
          <cell r="E39">
            <v>40200</v>
          </cell>
        </row>
        <row r="40">
          <cell r="E40">
            <v>40200</v>
          </cell>
        </row>
        <row r="41">
          <cell r="E41">
            <v>40199</v>
          </cell>
        </row>
        <row r="42">
          <cell r="E42">
            <v>40203</v>
          </cell>
        </row>
        <row r="43">
          <cell r="E43">
            <v>40203</v>
          </cell>
        </row>
        <row r="44">
          <cell r="E44">
            <v>40203</v>
          </cell>
        </row>
        <row r="45">
          <cell r="E45">
            <v>40203</v>
          </cell>
        </row>
        <row r="46">
          <cell r="E46">
            <v>40203</v>
          </cell>
        </row>
        <row r="47">
          <cell r="E47">
            <v>40203</v>
          </cell>
        </row>
        <row r="48">
          <cell r="E48">
            <v>40205</v>
          </cell>
        </row>
        <row r="49">
          <cell r="E49">
            <v>40205</v>
          </cell>
        </row>
        <row r="50">
          <cell r="E50">
            <v>40205</v>
          </cell>
        </row>
        <row r="51">
          <cell r="E51">
            <v>40205</v>
          </cell>
        </row>
        <row r="52">
          <cell r="E52">
            <v>40205</v>
          </cell>
        </row>
        <row r="53">
          <cell r="E53">
            <v>40205</v>
          </cell>
        </row>
        <row r="54">
          <cell r="E54">
            <v>40205</v>
          </cell>
        </row>
        <row r="55">
          <cell r="E55">
            <v>40205</v>
          </cell>
        </row>
        <row r="56">
          <cell r="E56">
            <v>40205</v>
          </cell>
        </row>
        <row r="57">
          <cell r="E57">
            <v>40205</v>
          </cell>
        </row>
        <row r="58">
          <cell r="E58">
            <v>40205</v>
          </cell>
        </row>
        <row r="59">
          <cell r="E59">
            <v>40205</v>
          </cell>
        </row>
        <row r="60">
          <cell r="E60">
            <v>40210</v>
          </cell>
        </row>
        <row r="61">
          <cell r="E61">
            <v>40210</v>
          </cell>
        </row>
        <row r="62">
          <cell r="E62">
            <v>40210</v>
          </cell>
        </row>
        <row r="63">
          <cell r="E63">
            <v>40210</v>
          </cell>
        </row>
        <row r="64">
          <cell r="E64">
            <v>40210</v>
          </cell>
        </row>
        <row r="65">
          <cell r="E65">
            <v>40210</v>
          </cell>
        </row>
        <row r="66">
          <cell r="E66">
            <v>40210</v>
          </cell>
        </row>
        <row r="67">
          <cell r="E67">
            <v>40210</v>
          </cell>
        </row>
        <row r="68">
          <cell r="E68">
            <v>40210</v>
          </cell>
        </row>
        <row r="69">
          <cell r="E69">
            <v>40210</v>
          </cell>
        </row>
        <row r="70">
          <cell r="E70">
            <v>40211</v>
          </cell>
        </row>
        <row r="71">
          <cell r="E71">
            <v>40211</v>
          </cell>
        </row>
        <row r="72">
          <cell r="E72">
            <v>40211</v>
          </cell>
        </row>
        <row r="73">
          <cell r="E73">
            <v>40211</v>
          </cell>
        </row>
        <row r="74">
          <cell r="E74">
            <v>40211</v>
          </cell>
        </row>
        <row r="75">
          <cell r="E75">
            <v>40211</v>
          </cell>
        </row>
        <row r="76">
          <cell r="E76">
            <v>40211</v>
          </cell>
        </row>
        <row r="77">
          <cell r="E77">
            <v>40211</v>
          </cell>
        </row>
        <row r="78">
          <cell r="E78">
            <v>40211</v>
          </cell>
        </row>
        <row r="79">
          <cell r="E79">
            <v>40211</v>
          </cell>
        </row>
        <row r="80">
          <cell r="E80">
            <v>40211</v>
          </cell>
        </row>
        <row r="81">
          <cell r="E81">
            <v>40211</v>
          </cell>
        </row>
        <row r="82">
          <cell r="E82">
            <v>40211</v>
          </cell>
        </row>
        <row r="83">
          <cell r="E83">
            <v>40210</v>
          </cell>
        </row>
        <row r="84">
          <cell r="E84">
            <v>40210</v>
          </cell>
        </row>
        <row r="85">
          <cell r="E85">
            <v>40205</v>
          </cell>
        </row>
        <row r="86">
          <cell r="E86">
            <v>40205</v>
          </cell>
        </row>
        <row r="87">
          <cell r="E87">
            <v>40210</v>
          </cell>
        </row>
        <row r="88">
          <cell r="E88">
            <v>40212</v>
          </cell>
        </row>
        <row r="89">
          <cell r="E89">
            <v>40212</v>
          </cell>
        </row>
        <row r="90">
          <cell r="E90">
            <v>40210</v>
          </cell>
        </row>
        <row r="91">
          <cell r="E91">
            <v>40210</v>
          </cell>
        </row>
        <row r="92">
          <cell r="E92">
            <v>40213</v>
          </cell>
        </row>
        <row r="93">
          <cell r="E93">
            <v>40213</v>
          </cell>
        </row>
        <row r="94">
          <cell r="E94">
            <v>40210</v>
          </cell>
        </row>
        <row r="95">
          <cell r="E95">
            <v>40210</v>
          </cell>
        </row>
        <row r="96">
          <cell r="E96">
            <v>40212</v>
          </cell>
        </row>
        <row r="97">
          <cell r="E97">
            <v>40212</v>
          </cell>
        </row>
        <row r="98">
          <cell r="E98">
            <v>40213</v>
          </cell>
        </row>
        <row r="99">
          <cell r="E99">
            <v>40213</v>
          </cell>
        </row>
        <row r="100">
          <cell r="E100">
            <v>40214</v>
          </cell>
        </row>
        <row r="101">
          <cell r="E101">
            <v>40214</v>
          </cell>
        </row>
        <row r="102">
          <cell r="E102">
            <v>40217</v>
          </cell>
        </row>
        <row r="103">
          <cell r="E103">
            <v>40217</v>
          </cell>
        </row>
        <row r="104">
          <cell r="E104">
            <v>40217</v>
          </cell>
        </row>
        <row r="105">
          <cell r="E105">
            <v>40217</v>
          </cell>
        </row>
        <row r="106">
          <cell r="E106">
            <v>40214</v>
          </cell>
        </row>
        <row r="107">
          <cell r="E107">
            <v>40214</v>
          </cell>
        </row>
        <row r="108">
          <cell r="E108">
            <v>40207</v>
          </cell>
        </row>
        <row r="109">
          <cell r="E109">
            <v>40207</v>
          </cell>
        </row>
        <row r="110">
          <cell r="E110">
            <v>40212</v>
          </cell>
        </row>
        <row r="111">
          <cell r="E111">
            <v>40212</v>
          </cell>
        </row>
        <row r="112">
          <cell r="E112">
            <v>40212</v>
          </cell>
        </row>
        <row r="113">
          <cell r="E113">
            <v>40212</v>
          </cell>
        </row>
        <row r="114">
          <cell r="E114">
            <v>40212</v>
          </cell>
        </row>
        <row r="115">
          <cell r="E115">
            <v>40212</v>
          </cell>
        </row>
        <row r="116">
          <cell r="E116">
            <v>40218</v>
          </cell>
        </row>
        <row r="117">
          <cell r="E117">
            <v>40218</v>
          </cell>
        </row>
        <row r="118">
          <cell r="E118">
            <v>40218</v>
          </cell>
        </row>
        <row r="119">
          <cell r="E119">
            <v>40218</v>
          </cell>
        </row>
        <row r="120">
          <cell r="E120">
            <v>40218</v>
          </cell>
        </row>
        <row r="121">
          <cell r="E121">
            <v>40211</v>
          </cell>
        </row>
        <row r="122">
          <cell r="E122">
            <v>40211</v>
          </cell>
        </row>
        <row r="123">
          <cell r="E123">
            <v>40211</v>
          </cell>
        </row>
        <row r="124">
          <cell r="E124">
            <v>40211</v>
          </cell>
        </row>
        <row r="125">
          <cell r="E125">
            <v>40211</v>
          </cell>
        </row>
        <row r="126">
          <cell r="E126">
            <v>40214</v>
          </cell>
        </row>
        <row r="127">
          <cell r="E127">
            <v>40214</v>
          </cell>
        </row>
        <row r="128">
          <cell r="E128">
            <v>40211</v>
          </cell>
        </row>
        <row r="129">
          <cell r="E129">
            <v>40218</v>
          </cell>
        </row>
        <row r="130">
          <cell r="E130">
            <v>40218</v>
          </cell>
        </row>
        <row r="131">
          <cell r="E131">
            <v>40218</v>
          </cell>
        </row>
        <row r="132">
          <cell r="E132">
            <v>40218</v>
          </cell>
        </row>
        <row r="133">
          <cell r="E133">
            <v>40213</v>
          </cell>
        </row>
        <row r="134">
          <cell r="E134">
            <v>40213</v>
          </cell>
        </row>
        <row r="135">
          <cell r="E135">
            <v>40213</v>
          </cell>
        </row>
        <row r="136">
          <cell r="E136">
            <v>40213</v>
          </cell>
        </row>
        <row r="137">
          <cell r="E137">
            <v>40218</v>
          </cell>
        </row>
        <row r="138">
          <cell r="E138">
            <v>40218</v>
          </cell>
        </row>
        <row r="139">
          <cell r="E139">
            <v>40218</v>
          </cell>
        </row>
        <row r="140">
          <cell r="E140">
            <v>40218</v>
          </cell>
        </row>
        <row r="141">
          <cell r="E141">
            <v>40218</v>
          </cell>
        </row>
        <row r="142">
          <cell r="E142">
            <v>40210</v>
          </cell>
        </row>
        <row r="143">
          <cell r="E143">
            <v>40210</v>
          </cell>
        </row>
        <row r="144">
          <cell r="E144">
            <v>40218</v>
          </cell>
        </row>
        <row r="145">
          <cell r="E145">
            <v>40218</v>
          </cell>
        </row>
        <row r="146">
          <cell r="E146">
            <v>40218</v>
          </cell>
        </row>
        <row r="147">
          <cell r="E147">
            <v>40220</v>
          </cell>
        </row>
        <row r="148">
          <cell r="E148">
            <v>40220</v>
          </cell>
        </row>
        <row r="149">
          <cell r="E149">
            <v>40220</v>
          </cell>
        </row>
        <row r="150">
          <cell r="E150">
            <v>40220</v>
          </cell>
        </row>
        <row r="151">
          <cell r="E151">
            <v>40224</v>
          </cell>
        </row>
        <row r="152">
          <cell r="E152">
            <v>40224</v>
          </cell>
        </row>
        <row r="153">
          <cell r="E153">
            <v>40224</v>
          </cell>
        </row>
        <row r="154">
          <cell r="E154">
            <v>40224</v>
          </cell>
        </row>
        <row r="155">
          <cell r="E155">
            <v>40224</v>
          </cell>
        </row>
        <row r="156">
          <cell r="E156">
            <v>40218</v>
          </cell>
        </row>
        <row r="157">
          <cell r="E157">
            <v>40218</v>
          </cell>
        </row>
        <row r="158">
          <cell r="E158">
            <v>40218</v>
          </cell>
        </row>
        <row r="159">
          <cell r="E159">
            <v>40225</v>
          </cell>
        </row>
        <row r="160">
          <cell r="E160">
            <v>40225</v>
          </cell>
        </row>
        <row r="161">
          <cell r="E161">
            <v>40225</v>
          </cell>
        </row>
        <row r="162">
          <cell r="E162">
            <v>40227</v>
          </cell>
        </row>
        <row r="163">
          <cell r="E163">
            <v>40227</v>
          </cell>
        </row>
        <row r="164">
          <cell r="E164">
            <v>40227</v>
          </cell>
        </row>
        <row r="165">
          <cell r="E165">
            <v>40227</v>
          </cell>
        </row>
        <row r="166">
          <cell r="E166">
            <v>40228</v>
          </cell>
        </row>
        <row r="167">
          <cell r="E167">
            <v>40228</v>
          </cell>
        </row>
        <row r="168">
          <cell r="E168">
            <v>40228</v>
          </cell>
        </row>
        <row r="169">
          <cell r="E169">
            <v>40231</v>
          </cell>
        </row>
        <row r="170">
          <cell r="E170">
            <v>40231</v>
          </cell>
        </row>
        <row r="171">
          <cell r="E171">
            <v>40233</v>
          </cell>
        </row>
        <row r="172">
          <cell r="E172">
            <v>40233</v>
          </cell>
        </row>
        <row r="173">
          <cell r="E173">
            <v>40232</v>
          </cell>
        </row>
        <row r="174">
          <cell r="E174">
            <v>40232</v>
          </cell>
        </row>
        <row r="175">
          <cell r="E175">
            <v>40233</v>
          </cell>
        </row>
        <row r="176">
          <cell r="E176">
            <v>40232</v>
          </cell>
        </row>
        <row r="177">
          <cell r="E177">
            <v>40233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Consolidado área X"/>
    </sheetNames>
    <sheetDataSet>
      <sheetData sheetId="0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stificacion formulada"/>
      <sheetName val="Ciclos"/>
      <sheetName val="INGRESOS 2010"/>
      <sheetName val="anexo viaticos gastos de viaje"/>
      <sheetName val="anexo materiales y dotaciones"/>
      <sheetName val="anexo publicidad"/>
      <sheetName val="anexo impresos y publicaciones"/>
      <sheetName val="Escenario PPC"/>
      <sheetName val="Auxilios distribuidores"/>
      <sheetName val="NOMINA HONORARIOS 2010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Otros ingresos"/>
      <sheetName val="Presupuesto general"/>
      <sheetName val="2004VS2005"/>
      <sheetName val="Escenarios PPC"/>
      <sheetName val="Superávit 2006"/>
      <sheetName val="Anexo 2 Minagricultura"/>
      <sheetName val="Anexo 3 Minagricultura"/>
      <sheetName val="Anexo 4 Regionalizacion"/>
      <sheetName val="Funcionamiento"/>
      <sheetName val="NOMINA HONORARIOS 2009 1"/>
      <sheetName val="NOMINA HONORARIOS 2009 2"/>
      <sheetName val="comparativo  alternativas "/>
      <sheetName val="Inversión total en programas"/>
      <sheetName val="MODELO CONTRATISTAS"/>
      <sheetName val="Servicios personal 2005"/>
      <sheetName val="Nómina 2004"/>
    </sheetNames>
    <sheetDataSet>
      <sheetData sheetId="0">
        <row r="51">
          <cell r="C51">
            <v>2168.25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15 vs 2016"/>
      <sheetName val="justificacion formulada"/>
      <sheetName val="Consolidado área PPC "/>
      <sheetName val="Recolección desechos y archivo"/>
      <sheetName val="Admon BD 2016"/>
      <sheetName val="Aux comités 2016"/>
      <sheetName val="Vacunadores Chapeteadores"/>
      <sheetName val="Censo 2016"/>
      <sheetName val="Vigilancia PPC"/>
      <sheetName val="Ventas PPC"/>
      <sheetName val="Anexo comunicaciones"/>
      <sheetName val="REUNIÓNES (2)"/>
      <sheetName val="Ingresos 2016"/>
      <sheetName val="Anexo materiales y dotaciones"/>
      <sheetName val="Arriendos"/>
      <sheetName val="Aux distribuidores 2016"/>
      <sheetName val="Aux Coord y Gastos de Viaje"/>
      <sheetName val="Progra vigilancia enf 2015"/>
      <sheetName val="anexo impresos y publicaciones"/>
      <sheetName val="NOMINA HONORARIOS 2015"/>
      <sheetName val="BRIGADAS"/>
      <sheetName val="Correo"/>
      <sheetName val="NOMINA HONORARIOS 2013"/>
      <sheetName val="Participación x dosis"/>
      <sheetName val="SIMULACROS"/>
      <sheetName val="Biologico II"/>
      <sheetName val="BIOLÓGICO 2016"/>
      <sheetName val="Chapetas ZL"/>
      <sheetName val="Chapetas Z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Otros ingresos"/>
      <sheetName val="Presupuesto general"/>
      <sheetName val="2004VS2005"/>
      <sheetName val="Escenario PPC"/>
      <sheetName val="Ejecución ingresos 2009"/>
      <sheetName val="Ejecución gastos 2009"/>
      <sheetName val="Superavit 2009"/>
      <sheetName val="Anexo 2 "/>
      <sheetName val="Anexo 3 "/>
      <sheetName val="Anexo 4"/>
      <sheetName val="Funcionamiento"/>
      <sheetName val="Nómina y honorarios 2010"/>
      <sheetName val="Comparativo nómina 2009-2010"/>
      <sheetName val="Inversión total en programas"/>
      <sheetName val="MODELO CONTRATISTAS"/>
      <sheetName val="Servicios personal 2005"/>
      <sheetName val="Nómina 2004"/>
      <sheetName val="Hoja1"/>
    </sheetNames>
    <sheetDataSet>
      <sheetData sheetId="0">
        <row r="21">
          <cell r="C21">
            <v>1344784788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gresos"/>
      <sheetName val="Superávit 2006"/>
      <sheetName val="Otros ingresos"/>
      <sheetName val="Presupuesto general"/>
      <sheetName val="2004VS2005"/>
      <sheetName val="Escenarios PPC"/>
      <sheetName val="Anexo 2 Minagricultura"/>
      <sheetName val="Anexo 3 Minagricultura"/>
      <sheetName val="Anexo 4 Regionalizacion"/>
      <sheetName val="Funcionamiento"/>
      <sheetName val="Presupuesto de recaudo"/>
      <sheetName val="Inversión total en programas"/>
      <sheetName val="MODELO CONTRATISTAS"/>
      <sheetName val="Servicios personal 2005"/>
      <sheetName val="Nómina 2004"/>
    </sheetNames>
    <sheetDataSet>
      <sheetData sheetId="0">
        <row r="19">
          <cell r="C19">
            <v>2489922289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I"/>
      <sheetName val="ANEXO INGRESOS"/>
      <sheetName val="ANEXO II"/>
      <sheetName val="Anexo 2 x Areas"/>
      <sheetName val="SUPERAVIT"/>
      <sheetName val="RES"/>
      <sheetName val="ECO"/>
      <sheetName val="TEC"/>
      <sheetName val="PPC"/>
      <sheetName val="MER"/>
      <sheetName val="FU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nexo 1"/>
      <sheetName val="Anexo Ingresos"/>
      <sheetName val="IND VIG 2023"/>
      <sheetName val="proyec cabezas"/>
      <sheetName val="Ing programas"/>
      <sheetName val="VENTAS EPPC"/>
      <sheetName val="CONCILIACIÓN INGRESOS"/>
      <sheetName val="RES"/>
      <sheetName val="ECO"/>
      <sheetName val="TEC"/>
      <sheetName val="TRANSF"/>
      <sheetName val="FUN"/>
      <sheetName val="SAN"/>
      <sheetName val="MER"/>
      <sheetName val="COM"/>
      <sheetName val="PPC"/>
      <sheetName val="Funcionamiento"/>
      <sheetName val="Nómina y honorarios 2023"/>
      <sheetName val="Nómina y honorarios 2023 def"/>
      <sheetName val="Nómina y honorarios 2023 ajus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P13">
            <v>1198060650</v>
          </cell>
        </row>
        <row r="14">
          <cell r="P14">
            <v>50512266</v>
          </cell>
        </row>
        <row r="15">
          <cell r="P15">
            <v>77633687</v>
          </cell>
        </row>
        <row r="16">
          <cell r="P16">
            <v>44747589</v>
          </cell>
        </row>
        <row r="17">
          <cell r="P17">
            <v>1750000</v>
          </cell>
        </row>
        <row r="18">
          <cell r="P18">
            <v>77633687</v>
          </cell>
        </row>
        <row r="19">
          <cell r="P19">
            <v>8938632</v>
          </cell>
        </row>
        <row r="20">
          <cell r="P20">
            <v>239040561</v>
          </cell>
        </row>
        <row r="21">
          <cell r="P21">
            <v>44982137</v>
          </cell>
        </row>
        <row r="22">
          <cell r="P22">
            <v>56057100</v>
          </cell>
        </row>
        <row r="27">
          <cell r="P27">
            <v>151084898</v>
          </cell>
        </row>
        <row r="28">
          <cell r="P28">
            <v>504482</v>
          </cell>
        </row>
        <row r="29">
          <cell r="P29">
            <v>11770222</v>
          </cell>
        </row>
        <row r="30">
          <cell r="P30">
            <v>39652098</v>
          </cell>
        </row>
        <row r="31">
          <cell r="P31">
            <v>3128409</v>
          </cell>
        </row>
        <row r="32">
          <cell r="P32">
            <v>6929200</v>
          </cell>
        </row>
        <row r="33">
          <cell r="P33">
            <v>21101048</v>
          </cell>
        </row>
        <row r="34">
          <cell r="P34">
            <v>28029000</v>
          </cell>
        </row>
        <row r="35">
          <cell r="P35">
            <v>61871024</v>
          </cell>
        </row>
        <row r="36">
          <cell r="P36">
            <v>111714384</v>
          </cell>
        </row>
        <row r="37">
          <cell r="P37">
            <v>4999840</v>
          </cell>
        </row>
        <row r="38">
          <cell r="P38">
            <v>32174702</v>
          </cell>
        </row>
        <row r="39">
          <cell r="P39">
            <v>5098072</v>
          </cell>
        </row>
        <row r="40">
          <cell r="P40">
            <v>0</v>
          </cell>
        </row>
        <row r="41">
          <cell r="P41">
            <v>7284860</v>
          </cell>
        </row>
        <row r="70">
          <cell r="K70">
            <v>21626518497</v>
          </cell>
          <cell r="P70">
            <v>20611226545</v>
          </cell>
        </row>
      </sheetData>
      <sheetData sheetId="8">
        <row r="38">
          <cell r="AB38">
            <v>23373636</v>
          </cell>
        </row>
        <row r="39">
          <cell r="AB39">
            <v>21558189</v>
          </cell>
        </row>
        <row r="41">
          <cell r="AB41">
            <v>85803725</v>
          </cell>
        </row>
        <row r="42">
          <cell r="AB42">
            <v>148719767</v>
          </cell>
        </row>
        <row r="43">
          <cell r="AB43">
            <v>6378508</v>
          </cell>
        </row>
      </sheetData>
      <sheetData sheetId="9">
        <row r="39">
          <cell r="AB39">
            <v>438972860</v>
          </cell>
        </row>
        <row r="40">
          <cell r="AB40">
            <v>34500862</v>
          </cell>
        </row>
        <row r="41">
          <cell r="AB41">
            <v>5000000</v>
          </cell>
        </row>
        <row r="47">
          <cell r="AB47">
            <v>28106950</v>
          </cell>
        </row>
        <row r="48">
          <cell r="AB48">
            <v>361231670</v>
          </cell>
        </row>
        <row r="49">
          <cell r="AB49">
            <v>131086510</v>
          </cell>
        </row>
        <row r="50">
          <cell r="AB50">
            <v>30458124</v>
          </cell>
        </row>
      </sheetData>
      <sheetData sheetId="10">
        <row r="38">
          <cell r="AB38">
            <v>575084656</v>
          </cell>
        </row>
        <row r="40">
          <cell r="AB40">
            <v>12407640</v>
          </cell>
        </row>
        <row r="43">
          <cell r="AB43">
            <v>12621003</v>
          </cell>
        </row>
        <row r="44">
          <cell r="AB44">
            <v>20303846</v>
          </cell>
        </row>
        <row r="45">
          <cell r="AB45">
            <v>14049504</v>
          </cell>
        </row>
        <row r="47">
          <cell r="AB47">
            <v>40000000</v>
          </cell>
        </row>
        <row r="49">
          <cell r="AB49">
            <v>69800640</v>
          </cell>
        </row>
        <row r="50">
          <cell r="AB50">
            <v>8219925</v>
          </cell>
        </row>
        <row r="51">
          <cell r="AB51">
            <v>25000000</v>
          </cell>
        </row>
        <row r="52">
          <cell r="AB52">
            <v>30601619</v>
          </cell>
        </row>
        <row r="53">
          <cell r="AB53">
            <v>152500000</v>
          </cell>
        </row>
        <row r="55">
          <cell r="AB55">
            <v>18311350</v>
          </cell>
        </row>
        <row r="56">
          <cell r="AB56">
            <v>6700000</v>
          </cell>
        </row>
        <row r="58">
          <cell r="AB58">
            <v>14000000</v>
          </cell>
        </row>
        <row r="59">
          <cell r="AB59">
            <v>72400000</v>
          </cell>
        </row>
        <row r="60">
          <cell r="AB60">
            <v>67918460</v>
          </cell>
        </row>
        <row r="61">
          <cell r="AB61">
            <v>7902370</v>
          </cell>
        </row>
        <row r="64">
          <cell r="AB64">
            <v>5858375</v>
          </cell>
        </row>
        <row r="65">
          <cell r="AB65">
            <v>74553825</v>
          </cell>
        </row>
        <row r="68">
          <cell r="AB68">
            <v>490975425</v>
          </cell>
        </row>
        <row r="69">
          <cell r="AB69">
            <v>15000000</v>
          </cell>
        </row>
        <row r="70">
          <cell r="AB70">
            <v>2599640</v>
          </cell>
        </row>
        <row r="71">
          <cell r="AB71">
            <v>12510807</v>
          </cell>
        </row>
        <row r="72">
          <cell r="AB72">
            <v>77000000</v>
          </cell>
        </row>
      </sheetData>
      <sheetData sheetId="11">
        <row r="46">
          <cell r="AB46">
            <v>46921464</v>
          </cell>
        </row>
        <row r="47">
          <cell r="AB47">
            <v>47543315</v>
          </cell>
        </row>
        <row r="49">
          <cell r="AB49">
            <v>8960802</v>
          </cell>
        </row>
        <row r="50">
          <cell r="AB50">
            <v>42471521</v>
          </cell>
        </row>
        <row r="52">
          <cell r="AB52">
            <v>1700439</v>
          </cell>
        </row>
        <row r="53">
          <cell r="AB53">
            <v>148733741</v>
          </cell>
        </row>
        <row r="54">
          <cell r="AB54">
            <v>35671148</v>
          </cell>
        </row>
        <row r="55">
          <cell r="AB55">
            <v>14373780</v>
          </cell>
        </row>
        <row r="56">
          <cell r="AB56">
            <v>9558186</v>
          </cell>
        </row>
        <row r="59">
          <cell r="AB59">
            <v>1136095284</v>
          </cell>
        </row>
        <row r="60">
          <cell r="AB60">
            <v>681657172</v>
          </cell>
        </row>
      </sheetData>
      <sheetData sheetId="12">
        <row r="32">
          <cell r="AB32">
            <v>392103699</v>
          </cell>
        </row>
        <row r="33">
          <cell r="AB33">
            <v>249315748</v>
          </cell>
        </row>
        <row r="35">
          <cell r="AB35">
            <v>30000000</v>
          </cell>
        </row>
        <row r="36">
          <cell r="AB36">
            <v>350000000</v>
          </cell>
        </row>
        <row r="37">
          <cell r="AB37">
            <v>32631191</v>
          </cell>
        </row>
      </sheetData>
      <sheetData sheetId="13">
        <row r="40">
          <cell r="AB40">
            <v>9000000</v>
          </cell>
        </row>
        <row r="41">
          <cell r="AB41">
            <v>134998360</v>
          </cell>
        </row>
        <row r="42">
          <cell r="AB42">
            <v>93174942</v>
          </cell>
        </row>
        <row r="43">
          <cell r="AB43">
            <v>1098917</v>
          </cell>
        </row>
        <row r="45">
          <cell r="AB45">
            <v>2366852077</v>
          </cell>
        </row>
        <row r="46">
          <cell r="AB46">
            <v>182015674</v>
          </cell>
        </row>
        <row r="47">
          <cell r="AB47">
            <v>18990561</v>
          </cell>
        </row>
        <row r="48">
          <cell r="AB48">
            <v>60958229</v>
          </cell>
        </row>
        <row r="49">
          <cell r="AB49">
            <v>8130473</v>
          </cell>
        </row>
        <row r="50">
          <cell r="AB50">
            <v>185409309</v>
          </cell>
        </row>
        <row r="51">
          <cell r="AB51">
            <v>64231561</v>
          </cell>
        </row>
        <row r="52">
          <cell r="AB52">
            <v>150000000</v>
          </cell>
        </row>
        <row r="55">
          <cell r="AB55">
            <v>63062700</v>
          </cell>
        </row>
        <row r="56">
          <cell r="AB56">
            <v>44009469</v>
          </cell>
        </row>
        <row r="57">
          <cell r="AB57">
            <v>6399309</v>
          </cell>
        </row>
        <row r="59">
          <cell r="AB59">
            <v>22729962</v>
          </cell>
        </row>
        <row r="60">
          <cell r="AB60">
            <v>366214538</v>
          </cell>
        </row>
        <row r="61">
          <cell r="AB61">
            <v>4657360</v>
          </cell>
        </row>
        <row r="63">
          <cell r="AB63">
            <v>48000000</v>
          </cell>
        </row>
        <row r="64">
          <cell r="AB64">
            <v>893533758</v>
          </cell>
        </row>
        <row r="66">
          <cell r="AB66">
            <v>15000000</v>
          </cell>
        </row>
        <row r="67">
          <cell r="AB67">
            <v>2779600</v>
          </cell>
        </row>
        <row r="68">
          <cell r="AB68">
            <v>42308790</v>
          </cell>
        </row>
        <row r="70">
          <cell r="AB70">
            <v>19806517</v>
          </cell>
        </row>
        <row r="72">
          <cell r="AB72">
            <v>20001758</v>
          </cell>
        </row>
        <row r="73">
          <cell r="AB73">
            <v>16243700</v>
          </cell>
        </row>
        <row r="74">
          <cell r="AB74">
            <v>0</v>
          </cell>
        </row>
      </sheetData>
      <sheetData sheetId="14">
        <row r="38">
          <cell r="AB38">
            <v>3848961</v>
          </cell>
        </row>
        <row r="39">
          <cell r="AB39">
            <v>410198508</v>
          </cell>
        </row>
        <row r="40">
          <cell r="AB40">
            <v>155533118</v>
          </cell>
        </row>
        <row r="41">
          <cell r="AB41">
            <v>18842824</v>
          </cell>
        </row>
        <row r="43">
          <cell r="AB43">
            <v>0</v>
          </cell>
        </row>
        <row r="44">
          <cell r="AB44">
            <v>201756474</v>
          </cell>
        </row>
        <row r="45">
          <cell r="AB45">
            <v>17759436</v>
          </cell>
        </row>
        <row r="47">
          <cell r="AB47">
            <v>339168</v>
          </cell>
        </row>
        <row r="48">
          <cell r="AB48">
            <v>21000000</v>
          </cell>
        </row>
        <row r="49">
          <cell r="AB49">
            <v>134858500</v>
          </cell>
        </row>
      </sheetData>
      <sheetData sheetId="15">
        <row r="43">
          <cell r="AB43">
            <v>789184750</v>
          </cell>
        </row>
        <row r="44">
          <cell r="AB44">
            <v>1503686796</v>
          </cell>
        </row>
        <row r="45">
          <cell r="AB45">
            <v>199040908</v>
          </cell>
        </row>
        <row r="46">
          <cell r="AB46">
            <v>84523491</v>
          </cell>
        </row>
        <row r="47">
          <cell r="AB47">
            <v>149614486</v>
          </cell>
        </row>
        <row r="48">
          <cell r="AB48">
            <v>3071359270</v>
          </cell>
        </row>
        <row r="49">
          <cell r="AB49">
            <v>14433388</v>
          </cell>
        </row>
        <row r="51">
          <cell r="AB51">
            <v>58918384</v>
          </cell>
        </row>
        <row r="53">
          <cell r="AB53">
            <v>172845828</v>
          </cell>
        </row>
        <row r="54">
          <cell r="AB54">
            <v>24242558</v>
          </cell>
        </row>
        <row r="56">
          <cell r="AB56">
            <v>55686209</v>
          </cell>
        </row>
      </sheetData>
      <sheetData sheetId="16"/>
      <sheetData sheetId="17"/>
      <sheetData sheetId="18"/>
      <sheetData sheetId="19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2013 vs 2014"/>
      <sheetName val="justificacion formulada"/>
      <sheetName val="Escenario PPC"/>
      <sheetName val="Arriendos"/>
      <sheetName val="costos vigilancia "/>
      <sheetName val="Ingresos 2014"/>
      <sheetName val="Recolección de desechos"/>
      <sheetName val="Aux comités"/>
      <sheetName val="Barridos 2014"/>
      <sheetName val="Aux distribuidores"/>
      <sheetName val="VALLAS"/>
      <sheetName val="anexo publicidad"/>
      <sheetName val="REUNIÓNES"/>
      <sheetName val="BRIGADAS"/>
      <sheetName val="Correo"/>
      <sheetName val="anexo viaticos gastos de viaje"/>
      <sheetName val="anexo materiales y dotaciones"/>
      <sheetName val="anexo impresos y publicaciones"/>
      <sheetName val="NOMINA HONORARIOS 2013"/>
      <sheetName val="Participación x dosis"/>
      <sheetName val="SIMULACROS"/>
      <sheetName val="Chapetas ZL"/>
      <sheetName val="Biológico"/>
      <sheetName val="Biológico ZF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nexo 1"/>
      <sheetName val="Anexo Ingresos"/>
      <sheetName val="IND VIG 2023"/>
      <sheetName val="proyec cabezas"/>
      <sheetName val="Ing programas"/>
      <sheetName val="VENTAS EPPC"/>
      <sheetName val="CONCILIACIÓN INGRESOS"/>
      <sheetName val="RES"/>
      <sheetName val="ECO"/>
      <sheetName val="TEC"/>
      <sheetName val="TRANSF"/>
      <sheetName val="FUN"/>
      <sheetName val="SAN"/>
      <sheetName val="MER"/>
      <sheetName val="COM"/>
      <sheetName val="PPC"/>
      <sheetName val="Funcionamiento"/>
      <sheetName val="Nómina y honorarios 2023"/>
      <sheetName val="Nómina y honorarios 2023 def"/>
      <sheetName val="Nómina y honorarios 2023 ajuste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>
        <row r="38">
          <cell r="T38">
            <v>0</v>
          </cell>
        </row>
      </sheetData>
      <sheetData sheetId="10" refreshError="1">
        <row r="39">
          <cell r="T39">
            <v>0</v>
          </cell>
        </row>
        <row r="46">
          <cell r="T46">
            <v>0</v>
          </cell>
        </row>
        <row r="48">
          <cell r="T48">
            <v>0</v>
          </cell>
        </row>
        <row r="57">
          <cell r="T57">
            <v>0</v>
          </cell>
        </row>
        <row r="66">
          <cell r="T66">
            <v>30000000</v>
          </cell>
        </row>
      </sheetData>
      <sheetData sheetId="11" refreshError="1">
        <row r="48">
          <cell r="T48">
            <v>0</v>
          </cell>
        </row>
      </sheetData>
      <sheetData sheetId="12" refreshError="1"/>
      <sheetData sheetId="13" refreshError="1">
        <row r="38">
          <cell r="T38">
            <v>0</v>
          </cell>
        </row>
        <row r="39">
          <cell r="T39">
            <v>0</v>
          </cell>
        </row>
        <row r="53">
          <cell r="T53">
            <v>0</v>
          </cell>
        </row>
        <row r="58">
          <cell r="T58">
            <v>0</v>
          </cell>
        </row>
        <row r="62">
          <cell r="T62">
            <v>0</v>
          </cell>
        </row>
        <row r="71">
          <cell r="T71">
            <v>0</v>
          </cell>
        </row>
      </sheetData>
      <sheetData sheetId="14" refreshError="1"/>
      <sheetData sheetId="15" refreshError="1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Anexo 1"/>
      <sheetName val="Anexo Ingresos"/>
      <sheetName val="IND VIG 2023"/>
      <sheetName val="proyec cabezas"/>
      <sheetName val="Ing programas"/>
      <sheetName val="VENTAS EPPC"/>
      <sheetName val="CONCILIACIÓN INGRESOS"/>
      <sheetName val="RES"/>
      <sheetName val="ECO"/>
      <sheetName val="TEC"/>
      <sheetName val="TRANSF"/>
      <sheetName val="FUN"/>
      <sheetName val="SAN"/>
      <sheetName val="MER"/>
      <sheetName val="COM"/>
      <sheetName val="PPC"/>
      <sheetName val="Funcionamiento"/>
      <sheetName val="Nómina y honorarios 2023"/>
      <sheetName val="Nómina y honorarios 2023 def"/>
      <sheetName val="Nómina y honorarios 2023 ajus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42">
          <cell r="AA42"/>
        </row>
        <row r="43">
          <cell r="AA43"/>
        </row>
        <row r="45">
          <cell r="AA45"/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nexo 1"/>
      <sheetName val="Anexo 2 "/>
      <sheetName val="HT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 general"/>
      <sheetName val="2004VS2005"/>
      <sheetName val="Otros ingresos Modificaciones"/>
      <sheetName val="Inversión total en programas"/>
      <sheetName val="MODELO CONTRATISTAS"/>
      <sheetName val="Servicios personal 2005"/>
      <sheetName val="Nómina 2004"/>
    </sheetNames>
    <sheetDataSet>
      <sheetData sheetId="0"/>
      <sheetData sheetId="1"/>
      <sheetData sheetId="2"/>
      <sheetData sheetId="3">
        <row r="50">
          <cell r="A50" t="str">
            <v>Cadena avícola porcícola</v>
          </cell>
          <cell r="B50">
            <v>0</v>
          </cell>
        </row>
        <row r="60">
          <cell r="A60" t="str">
            <v>Honorarios director nacional</v>
          </cell>
          <cell r="B60" t="e">
            <v>#REF!</v>
          </cell>
        </row>
        <row r="61">
          <cell r="A61" t="str">
            <v>Conceptualización gráfica</v>
          </cell>
          <cell r="B61" t="e">
            <v>#REF!</v>
          </cell>
        </row>
        <row r="62">
          <cell r="A62" t="str">
            <v>Asistente Call Center</v>
          </cell>
          <cell r="B62" t="e">
            <v>#REF!</v>
          </cell>
        </row>
        <row r="63">
          <cell r="A63" t="str">
            <v>Subtotal gastos de personal</v>
          </cell>
          <cell r="B63" t="e">
            <v>#REF!</v>
          </cell>
        </row>
      </sheetData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Anexo 2 X Areas"/>
      <sheetName val="#¡REF"/>
    </sheetNames>
    <sheetDataSet>
      <sheetData sheetId="0"/>
      <sheetData sheetId="1"/>
      <sheetData sheetId="2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Nómina y honorarios 2017"/>
      <sheetName val="Hoja1"/>
      <sheetName val="Vencimientos"/>
      <sheetName val="Hoja1 (2)"/>
      <sheetName val="Vencimientos (2)"/>
      <sheetName val="Nómina anual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 1 Minagricultura"/>
      <sheetName val="Presupuesto general"/>
      <sheetName val="2004VS2005"/>
      <sheetName val="Inversión total en programas"/>
      <sheetName val="MODELO CONTRATISTAS"/>
      <sheetName val="Servicios personal 2005"/>
      <sheetName val="Nómina 2004"/>
      <sheetName val="Anexo cierre 2010"/>
      <sheetName val="Anexo 4"/>
      <sheetName val="Anexo 2 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756D3-405A-4719-8824-8DE40264FF2B}">
  <sheetPr>
    <outlinePr applyStyles="1"/>
    <pageSetUpPr fitToPage="1"/>
  </sheetPr>
  <dimension ref="A1:Q263"/>
  <sheetViews>
    <sheetView tabSelected="1" zoomScale="70" zoomScaleNormal="70" zoomScaleSheetLayoutView="7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24" sqref="D24"/>
    </sheetView>
  </sheetViews>
  <sheetFormatPr baseColWidth="10" defaultColWidth="14.6640625" defaultRowHeight="13.8" zeroHeight="1" outlineLevelRow="2" x14ac:dyDescent="0.25"/>
  <cols>
    <col min="1" max="1" width="50.5546875" style="2" customWidth="1"/>
    <col min="2" max="2" width="20.109375" style="2" customWidth="1"/>
    <col min="3" max="3" width="18.6640625" style="2" customWidth="1"/>
    <col min="4" max="4" width="22.109375" style="2" customWidth="1"/>
    <col min="5" max="5" width="19.88671875" style="2" bestFit="1" customWidth="1"/>
    <col min="6" max="8" width="19.33203125" style="2" customWidth="1"/>
    <col min="9" max="9" width="20.88671875" style="2" bestFit="1" customWidth="1"/>
    <col min="10" max="10" width="24" style="2" customWidth="1"/>
    <col min="11" max="11" width="26.88671875" style="2" customWidth="1"/>
    <col min="12" max="13" width="26.88671875" style="66" customWidth="1"/>
    <col min="14" max="14" width="11.44140625" style="2" bestFit="1" customWidth="1"/>
    <col min="15" max="16" width="17.33203125" style="2" customWidth="1"/>
    <col min="17" max="256" width="14.6640625" style="2"/>
    <col min="257" max="257" width="50.5546875" style="2" customWidth="1"/>
    <col min="258" max="258" width="20.109375" style="2" customWidth="1"/>
    <col min="259" max="259" width="18.6640625" style="2" customWidth="1"/>
    <col min="260" max="260" width="22.109375" style="2" customWidth="1"/>
    <col min="261" max="261" width="19.88671875" style="2" bestFit="1" customWidth="1"/>
    <col min="262" max="264" width="19.33203125" style="2" customWidth="1"/>
    <col min="265" max="265" width="20.88671875" style="2" bestFit="1" customWidth="1"/>
    <col min="266" max="266" width="24" style="2" customWidth="1"/>
    <col min="267" max="269" width="26.88671875" style="2" customWidth="1"/>
    <col min="270" max="270" width="11.44140625" style="2" bestFit="1" customWidth="1"/>
    <col min="271" max="272" width="17.33203125" style="2" customWidth="1"/>
    <col min="273" max="512" width="14.6640625" style="2"/>
    <col min="513" max="513" width="50.5546875" style="2" customWidth="1"/>
    <col min="514" max="514" width="20.109375" style="2" customWidth="1"/>
    <col min="515" max="515" width="18.6640625" style="2" customWidth="1"/>
    <col min="516" max="516" width="22.109375" style="2" customWidth="1"/>
    <col min="517" max="517" width="19.88671875" style="2" bestFit="1" customWidth="1"/>
    <col min="518" max="520" width="19.33203125" style="2" customWidth="1"/>
    <col min="521" max="521" width="20.88671875" style="2" bestFit="1" customWidth="1"/>
    <col min="522" max="522" width="24" style="2" customWidth="1"/>
    <col min="523" max="525" width="26.88671875" style="2" customWidth="1"/>
    <col min="526" max="526" width="11.44140625" style="2" bestFit="1" customWidth="1"/>
    <col min="527" max="528" width="17.33203125" style="2" customWidth="1"/>
    <col min="529" max="768" width="14.6640625" style="2"/>
    <col min="769" max="769" width="50.5546875" style="2" customWidth="1"/>
    <col min="770" max="770" width="20.109375" style="2" customWidth="1"/>
    <col min="771" max="771" width="18.6640625" style="2" customWidth="1"/>
    <col min="772" max="772" width="22.109375" style="2" customWidth="1"/>
    <col min="773" max="773" width="19.88671875" style="2" bestFit="1" customWidth="1"/>
    <col min="774" max="776" width="19.33203125" style="2" customWidth="1"/>
    <col min="777" max="777" width="20.88671875" style="2" bestFit="1" customWidth="1"/>
    <col min="778" max="778" width="24" style="2" customWidth="1"/>
    <col min="779" max="781" width="26.88671875" style="2" customWidth="1"/>
    <col min="782" max="782" width="11.44140625" style="2" bestFit="1" customWidth="1"/>
    <col min="783" max="784" width="17.33203125" style="2" customWidth="1"/>
    <col min="785" max="1024" width="14.6640625" style="2"/>
    <col min="1025" max="1025" width="50.5546875" style="2" customWidth="1"/>
    <col min="1026" max="1026" width="20.109375" style="2" customWidth="1"/>
    <col min="1027" max="1027" width="18.6640625" style="2" customWidth="1"/>
    <col min="1028" max="1028" width="22.109375" style="2" customWidth="1"/>
    <col min="1029" max="1029" width="19.88671875" style="2" bestFit="1" customWidth="1"/>
    <col min="1030" max="1032" width="19.33203125" style="2" customWidth="1"/>
    <col min="1033" max="1033" width="20.88671875" style="2" bestFit="1" customWidth="1"/>
    <col min="1034" max="1034" width="24" style="2" customWidth="1"/>
    <col min="1035" max="1037" width="26.88671875" style="2" customWidth="1"/>
    <col min="1038" max="1038" width="11.44140625" style="2" bestFit="1" customWidth="1"/>
    <col min="1039" max="1040" width="17.33203125" style="2" customWidth="1"/>
    <col min="1041" max="1280" width="14.6640625" style="2"/>
    <col min="1281" max="1281" width="50.5546875" style="2" customWidth="1"/>
    <col min="1282" max="1282" width="20.109375" style="2" customWidth="1"/>
    <col min="1283" max="1283" width="18.6640625" style="2" customWidth="1"/>
    <col min="1284" max="1284" width="22.109375" style="2" customWidth="1"/>
    <col min="1285" max="1285" width="19.88671875" style="2" bestFit="1" customWidth="1"/>
    <col min="1286" max="1288" width="19.33203125" style="2" customWidth="1"/>
    <col min="1289" max="1289" width="20.88671875" style="2" bestFit="1" customWidth="1"/>
    <col min="1290" max="1290" width="24" style="2" customWidth="1"/>
    <col min="1291" max="1293" width="26.88671875" style="2" customWidth="1"/>
    <col min="1294" max="1294" width="11.44140625" style="2" bestFit="1" customWidth="1"/>
    <col min="1295" max="1296" width="17.33203125" style="2" customWidth="1"/>
    <col min="1297" max="1536" width="14.6640625" style="2"/>
    <col min="1537" max="1537" width="50.5546875" style="2" customWidth="1"/>
    <col min="1538" max="1538" width="20.109375" style="2" customWidth="1"/>
    <col min="1539" max="1539" width="18.6640625" style="2" customWidth="1"/>
    <col min="1540" max="1540" width="22.109375" style="2" customWidth="1"/>
    <col min="1541" max="1541" width="19.88671875" style="2" bestFit="1" customWidth="1"/>
    <col min="1542" max="1544" width="19.33203125" style="2" customWidth="1"/>
    <col min="1545" max="1545" width="20.88671875" style="2" bestFit="1" customWidth="1"/>
    <col min="1546" max="1546" width="24" style="2" customWidth="1"/>
    <col min="1547" max="1549" width="26.88671875" style="2" customWidth="1"/>
    <col min="1550" max="1550" width="11.44140625" style="2" bestFit="1" customWidth="1"/>
    <col min="1551" max="1552" width="17.33203125" style="2" customWidth="1"/>
    <col min="1553" max="1792" width="14.6640625" style="2"/>
    <col min="1793" max="1793" width="50.5546875" style="2" customWidth="1"/>
    <col min="1794" max="1794" width="20.109375" style="2" customWidth="1"/>
    <col min="1795" max="1795" width="18.6640625" style="2" customWidth="1"/>
    <col min="1796" max="1796" width="22.109375" style="2" customWidth="1"/>
    <col min="1797" max="1797" width="19.88671875" style="2" bestFit="1" customWidth="1"/>
    <col min="1798" max="1800" width="19.33203125" style="2" customWidth="1"/>
    <col min="1801" max="1801" width="20.88671875" style="2" bestFit="1" customWidth="1"/>
    <col min="1802" max="1802" width="24" style="2" customWidth="1"/>
    <col min="1803" max="1805" width="26.88671875" style="2" customWidth="1"/>
    <col min="1806" max="1806" width="11.44140625" style="2" bestFit="1" customWidth="1"/>
    <col min="1807" max="1808" width="17.33203125" style="2" customWidth="1"/>
    <col min="1809" max="2048" width="14.6640625" style="2"/>
    <col min="2049" max="2049" width="50.5546875" style="2" customWidth="1"/>
    <col min="2050" max="2050" width="20.109375" style="2" customWidth="1"/>
    <col min="2051" max="2051" width="18.6640625" style="2" customWidth="1"/>
    <col min="2052" max="2052" width="22.109375" style="2" customWidth="1"/>
    <col min="2053" max="2053" width="19.88671875" style="2" bestFit="1" customWidth="1"/>
    <col min="2054" max="2056" width="19.33203125" style="2" customWidth="1"/>
    <col min="2057" max="2057" width="20.88671875" style="2" bestFit="1" customWidth="1"/>
    <col min="2058" max="2058" width="24" style="2" customWidth="1"/>
    <col min="2059" max="2061" width="26.88671875" style="2" customWidth="1"/>
    <col min="2062" max="2062" width="11.44140625" style="2" bestFit="1" customWidth="1"/>
    <col min="2063" max="2064" width="17.33203125" style="2" customWidth="1"/>
    <col min="2065" max="2304" width="14.6640625" style="2"/>
    <col min="2305" max="2305" width="50.5546875" style="2" customWidth="1"/>
    <col min="2306" max="2306" width="20.109375" style="2" customWidth="1"/>
    <col min="2307" max="2307" width="18.6640625" style="2" customWidth="1"/>
    <col min="2308" max="2308" width="22.109375" style="2" customWidth="1"/>
    <col min="2309" max="2309" width="19.88671875" style="2" bestFit="1" customWidth="1"/>
    <col min="2310" max="2312" width="19.33203125" style="2" customWidth="1"/>
    <col min="2313" max="2313" width="20.88671875" style="2" bestFit="1" customWidth="1"/>
    <col min="2314" max="2314" width="24" style="2" customWidth="1"/>
    <col min="2315" max="2317" width="26.88671875" style="2" customWidth="1"/>
    <col min="2318" max="2318" width="11.44140625" style="2" bestFit="1" customWidth="1"/>
    <col min="2319" max="2320" width="17.33203125" style="2" customWidth="1"/>
    <col min="2321" max="2560" width="14.6640625" style="2"/>
    <col min="2561" max="2561" width="50.5546875" style="2" customWidth="1"/>
    <col min="2562" max="2562" width="20.109375" style="2" customWidth="1"/>
    <col min="2563" max="2563" width="18.6640625" style="2" customWidth="1"/>
    <col min="2564" max="2564" width="22.109375" style="2" customWidth="1"/>
    <col min="2565" max="2565" width="19.88671875" style="2" bestFit="1" customWidth="1"/>
    <col min="2566" max="2568" width="19.33203125" style="2" customWidth="1"/>
    <col min="2569" max="2569" width="20.88671875" style="2" bestFit="1" customWidth="1"/>
    <col min="2570" max="2570" width="24" style="2" customWidth="1"/>
    <col min="2571" max="2573" width="26.88671875" style="2" customWidth="1"/>
    <col min="2574" max="2574" width="11.44140625" style="2" bestFit="1" customWidth="1"/>
    <col min="2575" max="2576" width="17.33203125" style="2" customWidth="1"/>
    <col min="2577" max="2816" width="14.6640625" style="2"/>
    <col min="2817" max="2817" width="50.5546875" style="2" customWidth="1"/>
    <col min="2818" max="2818" width="20.109375" style="2" customWidth="1"/>
    <col min="2819" max="2819" width="18.6640625" style="2" customWidth="1"/>
    <col min="2820" max="2820" width="22.109375" style="2" customWidth="1"/>
    <col min="2821" max="2821" width="19.88671875" style="2" bestFit="1" customWidth="1"/>
    <col min="2822" max="2824" width="19.33203125" style="2" customWidth="1"/>
    <col min="2825" max="2825" width="20.88671875" style="2" bestFit="1" customWidth="1"/>
    <col min="2826" max="2826" width="24" style="2" customWidth="1"/>
    <col min="2827" max="2829" width="26.88671875" style="2" customWidth="1"/>
    <col min="2830" max="2830" width="11.44140625" style="2" bestFit="1" customWidth="1"/>
    <col min="2831" max="2832" width="17.33203125" style="2" customWidth="1"/>
    <col min="2833" max="3072" width="14.6640625" style="2"/>
    <col min="3073" max="3073" width="50.5546875" style="2" customWidth="1"/>
    <col min="3074" max="3074" width="20.109375" style="2" customWidth="1"/>
    <col min="3075" max="3075" width="18.6640625" style="2" customWidth="1"/>
    <col min="3076" max="3076" width="22.109375" style="2" customWidth="1"/>
    <col min="3077" max="3077" width="19.88671875" style="2" bestFit="1" customWidth="1"/>
    <col min="3078" max="3080" width="19.33203125" style="2" customWidth="1"/>
    <col min="3081" max="3081" width="20.88671875" style="2" bestFit="1" customWidth="1"/>
    <col min="3082" max="3082" width="24" style="2" customWidth="1"/>
    <col min="3083" max="3085" width="26.88671875" style="2" customWidth="1"/>
    <col min="3086" max="3086" width="11.44140625" style="2" bestFit="1" customWidth="1"/>
    <col min="3087" max="3088" width="17.33203125" style="2" customWidth="1"/>
    <col min="3089" max="3328" width="14.6640625" style="2"/>
    <col min="3329" max="3329" width="50.5546875" style="2" customWidth="1"/>
    <col min="3330" max="3330" width="20.109375" style="2" customWidth="1"/>
    <col min="3331" max="3331" width="18.6640625" style="2" customWidth="1"/>
    <col min="3332" max="3332" width="22.109375" style="2" customWidth="1"/>
    <col min="3333" max="3333" width="19.88671875" style="2" bestFit="1" customWidth="1"/>
    <col min="3334" max="3336" width="19.33203125" style="2" customWidth="1"/>
    <col min="3337" max="3337" width="20.88671875" style="2" bestFit="1" customWidth="1"/>
    <col min="3338" max="3338" width="24" style="2" customWidth="1"/>
    <col min="3339" max="3341" width="26.88671875" style="2" customWidth="1"/>
    <col min="3342" max="3342" width="11.44140625" style="2" bestFit="1" customWidth="1"/>
    <col min="3343" max="3344" width="17.33203125" style="2" customWidth="1"/>
    <col min="3345" max="3584" width="14.6640625" style="2"/>
    <col min="3585" max="3585" width="50.5546875" style="2" customWidth="1"/>
    <col min="3586" max="3586" width="20.109375" style="2" customWidth="1"/>
    <col min="3587" max="3587" width="18.6640625" style="2" customWidth="1"/>
    <col min="3588" max="3588" width="22.109375" style="2" customWidth="1"/>
    <col min="3589" max="3589" width="19.88671875" style="2" bestFit="1" customWidth="1"/>
    <col min="3590" max="3592" width="19.33203125" style="2" customWidth="1"/>
    <col min="3593" max="3593" width="20.88671875" style="2" bestFit="1" customWidth="1"/>
    <col min="3594" max="3594" width="24" style="2" customWidth="1"/>
    <col min="3595" max="3597" width="26.88671875" style="2" customWidth="1"/>
    <col min="3598" max="3598" width="11.44140625" style="2" bestFit="1" customWidth="1"/>
    <col min="3599" max="3600" width="17.33203125" style="2" customWidth="1"/>
    <col min="3601" max="3840" width="14.6640625" style="2"/>
    <col min="3841" max="3841" width="50.5546875" style="2" customWidth="1"/>
    <col min="3842" max="3842" width="20.109375" style="2" customWidth="1"/>
    <col min="3843" max="3843" width="18.6640625" style="2" customWidth="1"/>
    <col min="3844" max="3844" width="22.109375" style="2" customWidth="1"/>
    <col min="3845" max="3845" width="19.88671875" style="2" bestFit="1" customWidth="1"/>
    <col min="3846" max="3848" width="19.33203125" style="2" customWidth="1"/>
    <col min="3849" max="3849" width="20.88671875" style="2" bestFit="1" customWidth="1"/>
    <col min="3850" max="3850" width="24" style="2" customWidth="1"/>
    <col min="3851" max="3853" width="26.88671875" style="2" customWidth="1"/>
    <col min="3854" max="3854" width="11.44140625" style="2" bestFit="1" customWidth="1"/>
    <col min="3855" max="3856" width="17.33203125" style="2" customWidth="1"/>
    <col min="3857" max="4096" width="14.6640625" style="2"/>
    <col min="4097" max="4097" width="50.5546875" style="2" customWidth="1"/>
    <col min="4098" max="4098" width="20.109375" style="2" customWidth="1"/>
    <col min="4099" max="4099" width="18.6640625" style="2" customWidth="1"/>
    <col min="4100" max="4100" width="22.109375" style="2" customWidth="1"/>
    <col min="4101" max="4101" width="19.88671875" style="2" bestFit="1" customWidth="1"/>
    <col min="4102" max="4104" width="19.33203125" style="2" customWidth="1"/>
    <col min="4105" max="4105" width="20.88671875" style="2" bestFit="1" customWidth="1"/>
    <col min="4106" max="4106" width="24" style="2" customWidth="1"/>
    <col min="4107" max="4109" width="26.88671875" style="2" customWidth="1"/>
    <col min="4110" max="4110" width="11.44140625" style="2" bestFit="1" customWidth="1"/>
    <col min="4111" max="4112" width="17.33203125" style="2" customWidth="1"/>
    <col min="4113" max="4352" width="14.6640625" style="2"/>
    <col min="4353" max="4353" width="50.5546875" style="2" customWidth="1"/>
    <col min="4354" max="4354" width="20.109375" style="2" customWidth="1"/>
    <col min="4355" max="4355" width="18.6640625" style="2" customWidth="1"/>
    <col min="4356" max="4356" width="22.109375" style="2" customWidth="1"/>
    <col min="4357" max="4357" width="19.88671875" style="2" bestFit="1" customWidth="1"/>
    <col min="4358" max="4360" width="19.33203125" style="2" customWidth="1"/>
    <col min="4361" max="4361" width="20.88671875" style="2" bestFit="1" customWidth="1"/>
    <col min="4362" max="4362" width="24" style="2" customWidth="1"/>
    <col min="4363" max="4365" width="26.88671875" style="2" customWidth="1"/>
    <col min="4366" max="4366" width="11.44140625" style="2" bestFit="1" customWidth="1"/>
    <col min="4367" max="4368" width="17.33203125" style="2" customWidth="1"/>
    <col min="4369" max="4608" width="14.6640625" style="2"/>
    <col min="4609" max="4609" width="50.5546875" style="2" customWidth="1"/>
    <col min="4610" max="4610" width="20.109375" style="2" customWidth="1"/>
    <col min="4611" max="4611" width="18.6640625" style="2" customWidth="1"/>
    <col min="4612" max="4612" width="22.109375" style="2" customWidth="1"/>
    <col min="4613" max="4613" width="19.88671875" style="2" bestFit="1" customWidth="1"/>
    <col min="4614" max="4616" width="19.33203125" style="2" customWidth="1"/>
    <col min="4617" max="4617" width="20.88671875" style="2" bestFit="1" customWidth="1"/>
    <col min="4618" max="4618" width="24" style="2" customWidth="1"/>
    <col min="4619" max="4621" width="26.88671875" style="2" customWidth="1"/>
    <col min="4622" max="4622" width="11.44140625" style="2" bestFit="1" customWidth="1"/>
    <col min="4623" max="4624" width="17.33203125" style="2" customWidth="1"/>
    <col min="4625" max="4864" width="14.6640625" style="2"/>
    <col min="4865" max="4865" width="50.5546875" style="2" customWidth="1"/>
    <col min="4866" max="4866" width="20.109375" style="2" customWidth="1"/>
    <col min="4867" max="4867" width="18.6640625" style="2" customWidth="1"/>
    <col min="4868" max="4868" width="22.109375" style="2" customWidth="1"/>
    <col min="4869" max="4869" width="19.88671875" style="2" bestFit="1" customWidth="1"/>
    <col min="4870" max="4872" width="19.33203125" style="2" customWidth="1"/>
    <col min="4873" max="4873" width="20.88671875" style="2" bestFit="1" customWidth="1"/>
    <col min="4874" max="4874" width="24" style="2" customWidth="1"/>
    <col min="4875" max="4877" width="26.88671875" style="2" customWidth="1"/>
    <col min="4878" max="4878" width="11.44140625" style="2" bestFit="1" customWidth="1"/>
    <col min="4879" max="4880" width="17.33203125" style="2" customWidth="1"/>
    <col min="4881" max="5120" width="14.6640625" style="2"/>
    <col min="5121" max="5121" width="50.5546875" style="2" customWidth="1"/>
    <col min="5122" max="5122" width="20.109375" style="2" customWidth="1"/>
    <col min="5123" max="5123" width="18.6640625" style="2" customWidth="1"/>
    <col min="5124" max="5124" width="22.109375" style="2" customWidth="1"/>
    <col min="5125" max="5125" width="19.88671875" style="2" bestFit="1" customWidth="1"/>
    <col min="5126" max="5128" width="19.33203125" style="2" customWidth="1"/>
    <col min="5129" max="5129" width="20.88671875" style="2" bestFit="1" customWidth="1"/>
    <col min="5130" max="5130" width="24" style="2" customWidth="1"/>
    <col min="5131" max="5133" width="26.88671875" style="2" customWidth="1"/>
    <col min="5134" max="5134" width="11.44140625" style="2" bestFit="1" customWidth="1"/>
    <col min="5135" max="5136" width="17.33203125" style="2" customWidth="1"/>
    <col min="5137" max="5376" width="14.6640625" style="2"/>
    <col min="5377" max="5377" width="50.5546875" style="2" customWidth="1"/>
    <col min="5378" max="5378" width="20.109375" style="2" customWidth="1"/>
    <col min="5379" max="5379" width="18.6640625" style="2" customWidth="1"/>
    <col min="5380" max="5380" width="22.109375" style="2" customWidth="1"/>
    <col min="5381" max="5381" width="19.88671875" style="2" bestFit="1" customWidth="1"/>
    <col min="5382" max="5384" width="19.33203125" style="2" customWidth="1"/>
    <col min="5385" max="5385" width="20.88671875" style="2" bestFit="1" customWidth="1"/>
    <col min="5386" max="5386" width="24" style="2" customWidth="1"/>
    <col min="5387" max="5389" width="26.88671875" style="2" customWidth="1"/>
    <col min="5390" max="5390" width="11.44140625" style="2" bestFit="1" customWidth="1"/>
    <col min="5391" max="5392" width="17.33203125" style="2" customWidth="1"/>
    <col min="5393" max="5632" width="14.6640625" style="2"/>
    <col min="5633" max="5633" width="50.5546875" style="2" customWidth="1"/>
    <col min="5634" max="5634" width="20.109375" style="2" customWidth="1"/>
    <col min="5635" max="5635" width="18.6640625" style="2" customWidth="1"/>
    <col min="5636" max="5636" width="22.109375" style="2" customWidth="1"/>
    <col min="5637" max="5637" width="19.88671875" style="2" bestFit="1" customWidth="1"/>
    <col min="5638" max="5640" width="19.33203125" style="2" customWidth="1"/>
    <col min="5641" max="5641" width="20.88671875" style="2" bestFit="1" customWidth="1"/>
    <col min="5642" max="5642" width="24" style="2" customWidth="1"/>
    <col min="5643" max="5645" width="26.88671875" style="2" customWidth="1"/>
    <col min="5646" max="5646" width="11.44140625" style="2" bestFit="1" customWidth="1"/>
    <col min="5647" max="5648" width="17.33203125" style="2" customWidth="1"/>
    <col min="5649" max="5888" width="14.6640625" style="2"/>
    <col min="5889" max="5889" width="50.5546875" style="2" customWidth="1"/>
    <col min="5890" max="5890" width="20.109375" style="2" customWidth="1"/>
    <col min="5891" max="5891" width="18.6640625" style="2" customWidth="1"/>
    <col min="5892" max="5892" width="22.109375" style="2" customWidth="1"/>
    <col min="5893" max="5893" width="19.88671875" style="2" bestFit="1" customWidth="1"/>
    <col min="5894" max="5896" width="19.33203125" style="2" customWidth="1"/>
    <col min="5897" max="5897" width="20.88671875" style="2" bestFit="1" customWidth="1"/>
    <col min="5898" max="5898" width="24" style="2" customWidth="1"/>
    <col min="5899" max="5901" width="26.88671875" style="2" customWidth="1"/>
    <col min="5902" max="5902" width="11.44140625" style="2" bestFit="1" customWidth="1"/>
    <col min="5903" max="5904" width="17.33203125" style="2" customWidth="1"/>
    <col min="5905" max="6144" width="14.6640625" style="2"/>
    <col min="6145" max="6145" width="50.5546875" style="2" customWidth="1"/>
    <col min="6146" max="6146" width="20.109375" style="2" customWidth="1"/>
    <col min="6147" max="6147" width="18.6640625" style="2" customWidth="1"/>
    <col min="6148" max="6148" width="22.109375" style="2" customWidth="1"/>
    <col min="6149" max="6149" width="19.88671875" style="2" bestFit="1" customWidth="1"/>
    <col min="6150" max="6152" width="19.33203125" style="2" customWidth="1"/>
    <col min="6153" max="6153" width="20.88671875" style="2" bestFit="1" customWidth="1"/>
    <col min="6154" max="6154" width="24" style="2" customWidth="1"/>
    <col min="6155" max="6157" width="26.88671875" style="2" customWidth="1"/>
    <col min="6158" max="6158" width="11.44140625" style="2" bestFit="1" customWidth="1"/>
    <col min="6159" max="6160" width="17.33203125" style="2" customWidth="1"/>
    <col min="6161" max="6400" width="14.6640625" style="2"/>
    <col min="6401" max="6401" width="50.5546875" style="2" customWidth="1"/>
    <col min="6402" max="6402" width="20.109375" style="2" customWidth="1"/>
    <col min="6403" max="6403" width="18.6640625" style="2" customWidth="1"/>
    <col min="6404" max="6404" width="22.109375" style="2" customWidth="1"/>
    <col min="6405" max="6405" width="19.88671875" style="2" bestFit="1" customWidth="1"/>
    <col min="6406" max="6408" width="19.33203125" style="2" customWidth="1"/>
    <col min="6409" max="6409" width="20.88671875" style="2" bestFit="1" customWidth="1"/>
    <col min="6410" max="6410" width="24" style="2" customWidth="1"/>
    <col min="6411" max="6413" width="26.88671875" style="2" customWidth="1"/>
    <col min="6414" max="6414" width="11.44140625" style="2" bestFit="1" customWidth="1"/>
    <col min="6415" max="6416" width="17.33203125" style="2" customWidth="1"/>
    <col min="6417" max="6656" width="14.6640625" style="2"/>
    <col min="6657" max="6657" width="50.5546875" style="2" customWidth="1"/>
    <col min="6658" max="6658" width="20.109375" style="2" customWidth="1"/>
    <col min="6659" max="6659" width="18.6640625" style="2" customWidth="1"/>
    <col min="6660" max="6660" width="22.109375" style="2" customWidth="1"/>
    <col min="6661" max="6661" width="19.88671875" style="2" bestFit="1" customWidth="1"/>
    <col min="6662" max="6664" width="19.33203125" style="2" customWidth="1"/>
    <col min="6665" max="6665" width="20.88671875" style="2" bestFit="1" customWidth="1"/>
    <col min="6666" max="6666" width="24" style="2" customWidth="1"/>
    <col min="6667" max="6669" width="26.88671875" style="2" customWidth="1"/>
    <col min="6670" max="6670" width="11.44140625" style="2" bestFit="1" customWidth="1"/>
    <col min="6671" max="6672" width="17.33203125" style="2" customWidth="1"/>
    <col min="6673" max="6912" width="14.6640625" style="2"/>
    <col min="6913" max="6913" width="50.5546875" style="2" customWidth="1"/>
    <col min="6914" max="6914" width="20.109375" style="2" customWidth="1"/>
    <col min="6915" max="6915" width="18.6640625" style="2" customWidth="1"/>
    <col min="6916" max="6916" width="22.109375" style="2" customWidth="1"/>
    <col min="6917" max="6917" width="19.88671875" style="2" bestFit="1" customWidth="1"/>
    <col min="6918" max="6920" width="19.33203125" style="2" customWidth="1"/>
    <col min="6921" max="6921" width="20.88671875" style="2" bestFit="1" customWidth="1"/>
    <col min="6922" max="6922" width="24" style="2" customWidth="1"/>
    <col min="6923" max="6925" width="26.88671875" style="2" customWidth="1"/>
    <col min="6926" max="6926" width="11.44140625" style="2" bestFit="1" customWidth="1"/>
    <col min="6927" max="6928" width="17.33203125" style="2" customWidth="1"/>
    <col min="6929" max="7168" width="14.6640625" style="2"/>
    <col min="7169" max="7169" width="50.5546875" style="2" customWidth="1"/>
    <col min="7170" max="7170" width="20.109375" style="2" customWidth="1"/>
    <col min="7171" max="7171" width="18.6640625" style="2" customWidth="1"/>
    <col min="7172" max="7172" width="22.109375" style="2" customWidth="1"/>
    <col min="7173" max="7173" width="19.88671875" style="2" bestFit="1" customWidth="1"/>
    <col min="7174" max="7176" width="19.33203125" style="2" customWidth="1"/>
    <col min="7177" max="7177" width="20.88671875" style="2" bestFit="1" customWidth="1"/>
    <col min="7178" max="7178" width="24" style="2" customWidth="1"/>
    <col min="7179" max="7181" width="26.88671875" style="2" customWidth="1"/>
    <col min="7182" max="7182" width="11.44140625" style="2" bestFit="1" customWidth="1"/>
    <col min="7183" max="7184" width="17.33203125" style="2" customWidth="1"/>
    <col min="7185" max="7424" width="14.6640625" style="2"/>
    <col min="7425" max="7425" width="50.5546875" style="2" customWidth="1"/>
    <col min="7426" max="7426" width="20.109375" style="2" customWidth="1"/>
    <col min="7427" max="7427" width="18.6640625" style="2" customWidth="1"/>
    <col min="7428" max="7428" width="22.109375" style="2" customWidth="1"/>
    <col min="7429" max="7429" width="19.88671875" style="2" bestFit="1" customWidth="1"/>
    <col min="7430" max="7432" width="19.33203125" style="2" customWidth="1"/>
    <col min="7433" max="7433" width="20.88671875" style="2" bestFit="1" customWidth="1"/>
    <col min="7434" max="7434" width="24" style="2" customWidth="1"/>
    <col min="7435" max="7437" width="26.88671875" style="2" customWidth="1"/>
    <col min="7438" max="7438" width="11.44140625" style="2" bestFit="1" customWidth="1"/>
    <col min="7439" max="7440" width="17.33203125" style="2" customWidth="1"/>
    <col min="7441" max="7680" width="14.6640625" style="2"/>
    <col min="7681" max="7681" width="50.5546875" style="2" customWidth="1"/>
    <col min="7682" max="7682" width="20.109375" style="2" customWidth="1"/>
    <col min="7683" max="7683" width="18.6640625" style="2" customWidth="1"/>
    <col min="7684" max="7684" width="22.109375" style="2" customWidth="1"/>
    <col min="7685" max="7685" width="19.88671875" style="2" bestFit="1" customWidth="1"/>
    <col min="7686" max="7688" width="19.33203125" style="2" customWidth="1"/>
    <col min="7689" max="7689" width="20.88671875" style="2" bestFit="1" customWidth="1"/>
    <col min="7690" max="7690" width="24" style="2" customWidth="1"/>
    <col min="7691" max="7693" width="26.88671875" style="2" customWidth="1"/>
    <col min="7694" max="7694" width="11.44140625" style="2" bestFit="1" customWidth="1"/>
    <col min="7695" max="7696" width="17.33203125" style="2" customWidth="1"/>
    <col min="7697" max="7936" width="14.6640625" style="2"/>
    <col min="7937" max="7937" width="50.5546875" style="2" customWidth="1"/>
    <col min="7938" max="7938" width="20.109375" style="2" customWidth="1"/>
    <col min="7939" max="7939" width="18.6640625" style="2" customWidth="1"/>
    <col min="7940" max="7940" width="22.109375" style="2" customWidth="1"/>
    <col min="7941" max="7941" width="19.88671875" style="2" bestFit="1" customWidth="1"/>
    <col min="7942" max="7944" width="19.33203125" style="2" customWidth="1"/>
    <col min="7945" max="7945" width="20.88671875" style="2" bestFit="1" customWidth="1"/>
    <col min="7946" max="7946" width="24" style="2" customWidth="1"/>
    <col min="7947" max="7949" width="26.88671875" style="2" customWidth="1"/>
    <col min="7950" max="7950" width="11.44140625" style="2" bestFit="1" customWidth="1"/>
    <col min="7951" max="7952" width="17.33203125" style="2" customWidth="1"/>
    <col min="7953" max="8192" width="14.6640625" style="2"/>
    <col min="8193" max="8193" width="50.5546875" style="2" customWidth="1"/>
    <col min="8194" max="8194" width="20.109375" style="2" customWidth="1"/>
    <col min="8195" max="8195" width="18.6640625" style="2" customWidth="1"/>
    <col min="8196" max="8196" width="22.109375" style="2" customWidth="1"/>
    <col min="8197" max="8197" width="19.88671875" style="2" bestFit="1" customWidth="1"/>
    <col min="8198" max="8200" width="19.33203125" style="2" customWidth="1"/>
    <col min="8201" max="8201" width="20.88671875" style="2" bestFit="1" customWidth="1"/>
    <col min="8202" max="8202" width="24" style="2" customWidth="1"/>
    <col min="8203" max="8205" width="26.88671875" style="2" customWidth="1"/>
    <col min="8206" max="8206" width="11.44140625" style="2" bestFit="1" customWidth="1"/>
    <col min="8207" max="8208" width="17.33203125" style="2" customWidth="1"/>
    <col min="8209" max="8448" width="14.6640625" style="2"/>
    <col min="8449" max="8449" width="50.5546875" style="2" customWidth="1"/>
    <col min="8450" max="8450" width="20.109375" style="2" customWidth="1"/>
    <col min="8451" max="8451" width="18.6640625" style="2" customWidth="1"/>
    <col min="8452" max="8452" width="22.109375" style="2" customWidth="1"/>
    <col min="8453" max="8453" width="19.88671875" style="2" bestFit="1" customWidth="1"/>
    <col min="8454" max="8456" width="19.33203125" style="2" customWidth="1"/>
    <col min="8457" max="8457" width="20.88671875" style="2" bestFit="1" customWidth="1"/>
    <col min="8458" max="8458" width="24" style="2" customWidth="1"/>
    <col min="8459" max="8461" width="26.88671875" style="2" customWidth="1"/>
    <col min="8462" max="8462" width="11.44140625" style="2" bestFit="1" customWidth="1"/>
    <col min="8463" max="8464" width="17.33203125" style="2" customWidth="1"/>
    <col min="8465" max="8704" width="14.6640625" style="2"/>
    <col min="8705" max="8705" width="50.5546875" style="2" customWidth="1"/>
    <col min="8706" max="8706" width="20.109375" style="2" customWidth="1"/>
    <col min="8707" max="8707" width="18.6640625" style="2" customWidth="1"/>
    <col min="8708" max="8708" width="22.109375" style="2" customWidth="1"/>
    <col min="8709" max="8709" width="19.88671875" style="2" bestFit="1" customWidth="1"/>
    <col min="8710" max="8712" width="19.33203125" style="2" customWidth="1"/>
    <col min="8713" max="8713" width="20.88671875" style="2" bestFit="1" customWidth="1"/>
    <col min="8714" max="8714" width="24" style="2" customWidth="1"/>
    <col min="8715" max="8717" width="26.88671875" style="2" customWidth="1"/>
    <col min="8718" max="8718" width="11.44140625" style="2" bestFit="1" customWidth="1"/>
    <col min="8719" max="8720" width="17.33203125" style="2" customWidth="1"/>
    <col min="8721" max="8960" width="14.6640625" style="2"/>
    <col min="8961" max="8961" width="50.5546875" style="2" customWidth="1"/>
    <col min="8962" max="8962" width="20.109375" style="2" customWidth="1"/>
    <col min="8963" max="8963" width="18.6640625" style="2" customWidth="1"/>
    <col min="8964" max="8964" width="22.109375" style="2" customWidth="1"/>
    <col min="8965" max="8965" width="19.88671875" style="2" bestFit="1" customWidth="1"/>
    <col min="8966" max="8968" width="19.33203125" style="2" customWidth="1"/>
    <col min="8969" max="8969" width="20.88671875" style="2" bestFit="1" customWidth="1"/>
    <col min="8970" max="8970" width="24" style="2" customWidth="1"/>
    <col min="8971" max="8973" width="26.88671875" style="2" customWidth="1"/>
    <col min="8974" max="8974" width="11.44140625" style="2" bestFit="1" customWidth="1"/>
    <col min="8975" max="8976" width="17.33203125" style="2" customWidth="1"/>
    <col min="8977" max="9216" width="14.6640625" style="2"/>
    <col min="9217" max="9217" width="50.5546875" style="2" customWidth="1"/>
    <col min="9218" max="9218" width="20.109375" style="2" customWidth="1"/>
    <col min="9219" max="9219" width="18.6640625" style="2" customWidth="1"/>
    <col min="9220" max="9220" width="22.109375" style="2" customWidth="1"/>
    <col min="9221" max="9221" width="19.88671875" style="2" bestFit="1" customWidth="1"/>
    <col min="9222" max="9224" width="19.33203125" style="2" customWidth="1"/>
    <col min="9225" max="9225" width="20.88671875" style="2" bestFit="1" customWidth="1"/>
    <col min="9226" max="9226" width="24" style="2" customWidth="1"/>
    <col min="9227" max="9229" width="26.88671875" style="2" customWidth="1"/>
    <col min="9230" max="9230" width="11.44140625" style="2" bestFit="1" customWidth="1"/>
    <col min="9231" max="9232" width="17.33203125" style="2" customWidth="1"/>
    <col min="9233" max="9472" width="14.6640625" style="2"/>
    <col min="9473" max="9473" width="50.5546875" style="2" customWidth="1"/>
    <col min="9474" max="9474" width="20.109375" style="2" customWidth="1"/>
    <col min="9475" max="9475" width="18.6640625" style="2" customWidth="1"/>
    <col min="9476" max="9476" width="22.109375" style="2" customWidth="1"/>
    <col min="9477" max="9477" width="19.88671875" style="2" bestFit="1" customWidth="1"/>
    <col min="9478" max="9480" width="19.33203125" style="2" customWidth="1"/>
    <col min="9481" max="9481" width="20.88671875" style="2" bestFit="1" customWidth="1"/>
    <col min="9482" max="9482" width="24" style="2" customWidth="1"/>
    <col min="9483" max="9485" width="26.88671875" style="2" customWidth="1"/>
    <col min="9486" max="9486" width="11.44140625" style="2" bestFit="1" customWidth="1"/>
    <col min="9487" max="9488" width="17.33203125" style="2" customWidth="1"/>
    <col min="9489" max="9728" width="14.6640625" style="2"/>
    <col min="9729" max="9729" width="50.5546875" style="2" customWidth="1"/>
    <col min="9730" max="9730" width="20.109375" style="2" customWidth="1"/>
    <col min="9731" max="9731" width="18.6640625" style="2" customWidth="1"/>
    <col min="9732" max="9732" width="22.109375" style="2" customWidth="1"/>
    <col min="9733" max="9733" width="19.88671875" style="2" bestFit="1" customWidth="1"/>
    <col min="9734" max="9736" width="19.33203125" style="2" customWidth="1"/>
    <col min="9737" max="9737" width="20.88671875" style="2" bestFit="1" customWidth="1"/>
    <col min="9738" max="9738" width="24" style="2" customWidth="1"/>
    <col min="9739" max="9741" width="26.88671875" style="2" customWidth="1"/>
    <col min="9742" max="9742" width="11.44140625" style="2" bestFit="1" customWidth="1"/>
    <col min="9743" max="9744" width="17.33203125" style="2" customWidth="1"/>
    <col min="9745" max="9984" width="14.6640625" style="2"/>
    <col min="9985" max="9985" width="50.5546875" style="2" customWidth="1"/>
    <col min="9986" max="9986" width="20.109375" style="2" customWidth="1"/>
    <col min="9987" max="9987" width="18.6640625" style="2" customWidth="1"/>
    <col min="9988" max="9988" width="22.109375" style="2" customWidth="1"/>
    <col min="9989" max="9989" width="19.88671875" style="2" bestFit="1" customWidth="1"/>
    <col min="9990" max="9992" width="19.33203125" style="2" customWidth="1"/>
    <col min="9993" max="9993" width="20.88671875" style="2" bestFit="1" customWidth="1"/>
    <col min="9994" max="9994" width="24" style="2" customWidth="1"/>
    <col min="9995" max="9997" width="26.88671875" style="2" customWidth="1"/>
    <col min="9998" max="9998" width="11.44140625" style="2" bestFit="1" customWidth="1"/>
    <col min="9999" max="10000" width="17.33203125" style="2" customWidth="1"/>
    <col min="10001" max="10240" width="14.6640625" style="2"/>
    <col min="10241" max="10241" width="50.5546875" style="2" customWidth="1"/>
    <col min="10242" max="10242" width="20.109375" style="2" customWidth="1"/>
    <col min="10243" max="10243" width="18.6640625" style="2" customWidth="1"/>
    <col min="10244" max="10244" width="22.109375" style="2" customWidth="1"/>
    <col min="10245" max="10245" width="19.88671875" style="2" bestFit="1" customWidth="1"/>
    <col min="10246" max="10248" width="19.33203125" style="2" customWidth="1"/>
    <col min="10249" max="10249" width="20.88671875" style="2" bestFit="1" customWidth="1"/>
    <col min="10250" max="10250" width="24" style="2" customWidth="1"/>
    <col min="10251" max="10253" width="26.88671875" style="2" customWidth="1"/>
    <col min="10254" max="10254" width="11.44140625" style="2" bestFit="1" customWidth="1"/>
    <col min="10255" max="10256" width="17.33203125" style="2" customWidth="1"/>
    <col min="10257" max="10496" width="14.6640625" style="2"/>
    <col min="10497" max="10497" width="50.5546875" style="2" customWidth="1"/>
    <col min="10498" max="10498" width="20.109375" style="2" customWidth="1"/>
    <col min="10499" max="10499" width="18.6640625" style="2" customWidth="1"/>
    <col min="10500" max="10500" width="22.109375" style="2" customWidth="1"/>
    <col min="10501" max="10501" width="19.88671875" style="2" bestFit="1" customWidth="1"/>
    <col min="10502" max="10504" width="19.33203125" style="2" customWidth="1"/>
    <col min="10505" max="10505" width="20.88671875" style="2" bestFit="1" customWidth="1"/>
    <col min="10506" max="10506" width="24" style="2" customWidth="1"/>
    <col min="10507" max="10509" width="26.88671875" style="2" customWidth="1"/>
    <col min="10510" max="10510" width="11.44140625" style="2" bestFit="1" customWidth="1"/>
    <col min="10511" max="10512" width="17.33203125" style="2" customWidth="1"/>
    <col min="10513" max="10752" width="14.6640625" style="2"/>
    <col min="10753" max="10753" width="50.5546875" style="2" customWidth="1"/>
    <col min="10754" max="10754" width="20.109375" style="2" customWidth="1"/>
    <col min="10755" max="10755" width="18.6640625" style="2" customWidth="1"/>
    <col min="10756" max="10756" width="22.109375" style="2" customWidth="1"/>
    <col min="10757" max="10757" width="19.88671875" style="2" bestFit="1" customWidth="1"/>
    <col min="10758" max="10760" width="19.33203125" style="2" customWidth="1"/>
    <col min="10761" max="10761" width="20.88671875" style="2" bestFit="1" customWidth="1"/>
    <col min="10762" max="10762" width="24" style="2" customWidth="1"/>
    <col min="10763" max="10765" width="26.88671875" style="2" customWidth="1"/>
    <col min="10766" max="10766" width="11.44140625" style="2" bestFit="1" customWidth="1"/>
    <col min="10767" max="10768" width="17.33203125" style="2" customWidth="1"/>
    <col min="10769" max="11008" width="14.6640625" style="2"/>
    <col min="11009" max="11009" width="50.5546875" style="2" customWidth="1"/>
    <col min="11010" max="11010" width="20.109375" style="2" customWidth="1"/>
    <col min="11011" max="11011" width="18.6640625" style="2" customWidth="1"/>
    <col min="11012" max="11012" width="22.109375" style="2" customWidth="1"/>
    <col min="11013" max="11013" width="19.88671875" style="2" bestFit="1" customWidth="1"/>
    <col min="11014" max="11016" width="19.33203125" style="2" customWidth="1"/>
    <col min="11017" max="11017" width="20.88671875" style="2" bestFit="1" customWidth="1"/>
    <col min="11018" max="11018" width="24" style="2" customWidth="1"/>
    <col min="11019" max="11021" width="26.88671875" style="2" customWidth="1"/>
    <col min="11022" max="11022" width="11.44140625" style="2" bestFit="1" customWidth="1"/>
    <col min="11023" max="11024" width="17.33203125" style="2" customWidth="1"/>
    <col min="11025" max="11264" width="14.6640625" style="2"/>
    <col min="11265" max="11265" width="50.5546875" style="2" customWidth="1"/>
    <col min="11266" max="11266" width="20.109375" style="2" customWidth="1"/>
    <col min="11267" max="11267" width="18.6640625" style="2" customWidth="1"/>
    <col min="11268" max="11268" width="22.109375" style="2" customWidth="1"/>
    <col min="11269" max="11269" width="19.88671875" style="2" bestFit="1" customWidth="1"/>
    <col min="11270" max="11272" width="19.33203125" style="2" customWidth="1"/>
    <col min="11273" max="11273" width="20.88671875" style="2" bestFit="1" customWidth="1"/>
    <col min="11274" max="11274" width="24" style="2" customWidth="1"/>
    <col min="11275" max="11277" width="26.88671875" style="2" customWidth="1"/>
    <col min="11278" max="11278" width="11.44140625" style="2" bestFit="1" customWidth="1"/>
    <col min="11279" max="11280" width="17.33203125" style="2" customWidth="1"/>
    <col min="11281" max="11520" width="14.6640625" style="2"/>
    <col min="11521" max="11521" width="50.5546875" style="2" customWidth="1"/>
    <col min="11522" max="11522" width="20.109375" style="2" customWidth="1"/>
    <col min="11523" max="11523" width="18.6640625" style="2" customWidth="1"/>
    <col min="11524" max="11524" width="22.109375" style="2" customWidth="1"/>
    <col min="11525" max="11525" width="19.88671875" style="2" bestFit="1" customWidth="1"/>
    <col min="11526" max="11528" width="19.33203125" style="2" customWidth="1"/>
    <col min="11529" max="11529" width="20.88671875" style="2" bestFit="1" customWidth="1"/>
    <col min="11530" max="11530" width="24" style="2" customWidth="1"/>
    <col min="11531" max="11533" width="26.88671875" style="2" customWidth="1"/>
    <col min="11534" max="11534" width="11.44140625" style="2" bestFit="1" customWidth="1"/>
    <col min="11535" max="11536" width="17.33203125" style="2" customWidth="1"/>
    <col min="11537" max="11776" width="14.6640625" style="2"/>
    <col min="11777" max="11777" width="50.5546875" style="2" customWidth="1"/>
    <col min="11778" max="11778" width="20.109375" style="2" customWidth="1"/>
    <col min="11779" max="11779" width="18.6640625" style="2" customWidth="1"/>
    <col min="11780" max="11780" width="22.109375" style="2" customWidth="1"/>
    <col min="11781" max="11781" width="19.88671875" style="2" bestFit="1" customWidth="1"/>
    <col min="11782" max="11784" width="19.33203125" style="2" customWidth="1"/>
    <col min="11785" max="11785" width="20.88671875" style="2" bestFit="1" customWidth="1"/>
    <col min="11786" max="11786" width="24" style="2" customWidth="1"/>
    <col min="11787" max="11789" width="26.88671875" style="2" customWidth="1"/>
    <col min="11790" max="11790" width="11.44140625" style="2" bestFit="1" customWidth="1"/>
    <col min="11791" max="11792" width="17.33203125" style="2" customWidth="1"/>
    <col min="11793" max="12032" width="14.6640625" style="2"/>
    <col min="12033" max="12033" width="50.5546875" style="2" customWidth="1"/>
    <col min="12034" max="12034" width="20.109375" style="2" customWidth="1"/>
    <col min="12035" max="12035" width="18.6640625" style="2" customWidth="1"/>
    <col min="12036" max="12036" width="22.109375" style="2" customWidth="1"/>
    <col min="12037" max="12037" width="19.88671875" style="2" bestFit="1" customWidth="1"/>
    <col min="12038" max="12040" width="19.33203125" style="2" customWidth="1"/>
    <col min="12041" max="12041" width="20.88671875" style="2" bestFit="1" customWidth="1"/>
    <col min="12042" max="12042" width="24" style="2" customWidth="1"/>
    <col min="12043" max="12045" width="26.88671875" style="2" customWidth="1"/>
    <col min="12046" max="12046" width="11.44140625" style="2" bestFit="1" customWidth="1"/>
    <col min="12047" max="12048" width="17.33203125" style="2" customWidth="1"/>
    <col min="12049" max="12288" width="14.6640625" style="2"/>
    <col min="12289" max="12289" width="50.5546875" style="2" customWidth="1"/>
    <col min="12290" max="12290" width="20.109375" style="2" customWidth="1"/>
    <col min="12291" max="12291" width="18.6640625" style="2" customWidth="1"/>
    <col min="12292" max="12292" width="22.109375" style="2" customWidth="1"/>
    <col min="12293" max="12293" width="19.88671875" style="2" bestFit="1" customWidth="1"/>
    <col min="12294" max="12296" width="19.33203125" style="2" customWidth="1"/>
    <col min="12297" max="12297" width="20.88671875" style="2" bestFit="1" customWidth="1"/>
    <col min="12298" max="12298" width="24" style="2" customWidth="1"/>
    <col min="12299" max="12301" width="26.88671875" style="2" customWidth="1"/>
    <col min="12302" max="12302" width="11.44140625" style="2" bestFit="1" customWidth="1"/>
    <col min="12303" max="12304" width="17.33203125" style="2" customWidth="1"/>
    <col min="12305" max="12544" width="14.6640625" style="2"/>
    <col min="12545" max="12545" width="50.5546875" style="2" customWidth="1"/>
    <col min="12546" max="12546" width="20.109375" style="2" customWidth="1"/>
    <col min="12547" max="12547" width="18.6640625" style="2" customWidth="1"/>
    <col min="12548" max="12548" width="22.109375" style="2" customWidth="1"/>
    <col min="12549" max="12549" width="19.88671875" style="2" bestFit="1" customWidth="1"/>
    <col min="12550" max="12552" width="19.33203125" style="2" customWidth="1"/>
    <col min="12553" max="12553" width="20.88671875" style="2" bestFit="1" customWidth="1"/>
    <col min="12554" max="12554" width="24" style="2" customWidth="1"/>
    <col min="12555" max="12557" width="26.88671875" style="2" customWidth="1"/>
    <col min="12558" max="12558" width="11.44140625" style="2" bestFit="1" customWidth="1"/>
    <col min="12559" max="12560" width="17.33203125" style="2" customWidth="1"/>
    <col min="12561" max="12800" width="14.6640625" style="2"/>
    <col min="12801" max="12801" width="50.5546875" style="2" customWidth="1"/>
    <col min="12802" max="12802" width="20.109375" style="2" customWidth="1"/>
    <col min="12803" max="12803" width="18.6640625" style="2" customWidth="1"/>
    <col min="12804" max="12804" width="22.109375" style="2" customWidth="1"/>
    <col min="12805" max="12805" width="19.88671875" style="2" bestFit="1" customWidth="1"/>
    <col min="12806" max="12808" width="19.33203125" style="2" customWidth="1"/>
    <col min="12809" max="12809" width="20.88671875" style="2" bestFit="1" customWidth="1"/>
    <col min="12810" max="12810" width="24" style="2" customWidth="1"/>
    <col min="12811" max="12813" width="26.88671875" style="2" customWidth="1"/>
    <col min="12814" max="12814" width="11.44140625" style="2" bestFit="1" customWidth="1"/>
    <col min="12815" max="12816" width="17.33203125" style="2" customWidth="1"/>
    <col min="12817" max="13056" width="14.6640625" style="2"/>
    <col min="13057" max="13057" width="50.5546875" style="2" customWidth="1"/>
    <col min="13058" max="13058" width="20.109375" style="2" customWidth="1"/>
    <col min="13059" max="13059" width="18.6640625" style="2" customWidth="1"/>
    <col min="13060" max="13060" width="22.109375" style="2" customWidth="1"/>
    <col min="13061" max="13061" width="19.88671875" style="2" bestFit="1" customWidth="1"/>
    <col min="13062" max="13064" width="19.33203125" style="2" customWidth="1"/>
    <col min="13065" max="13065" width="20.88671875" style="2" bestFit="1" customWidth="1"/>
    <col min="13066" max="13066" width="24" style="2" customWidth="1"/>
    <col min="13067" max="13069" width="26.88671875" style="2" customWidth="1"/>
    <col min="13070" max="13070" width="11.44140625" style="2" bestFit="1" customWidth="1"/>
    <col min="13071" max="13072" width="17.33203125" style="2" customWidth="1"/>
    <col min="13073" max="13312" width="14.6640625" style="2"/>
    <col min="13313" max="13313" width="50.5546875" style="2" customWidth="1"/>
    <col min="13314" max="13314" width="20.109375" style="2" customWidth="1"/>
    <col min="13315" max="13315" width="18.6640625" style="2" customWidth="1"/>
    <col min="13316" max="13316" width="22.109375" style="2" customWidth="1"/>
    <col min="13317" max="13317" width="19.88671875" style="2" bestFit="1" customWidth="1"/>
    <col min="13318" max="13320" width="19.33203125" style="2" customWidth="1"/>
    <col min="13321" max="13321" width="20.88671875" style="2" bestFit="1" customWidth="1"/>
    <col min="13322" max="13322" width="24" style="2" customWidth="1"/>
    <col min="13323" max="13325" width="26.88671875" style="2" customWidth="1"/>
    <col min="13326" max="13326" width="11.44140625" style="2" bestFit="1" customWidth="1"/>
    <col min="13327" max="13328" width="17.33203125" style="2" customWidth="1"/>
    <col min="13329" max="13568" width="14.6640625" style="2"/>
    <col min="13569" max="13569" width="50.5546875" style="2" customWidth="1"/>
    <col min="13570" max="13570" width="20.109375" style="2" customWidth="1"/>
    <col min="13571" max="13571" width="18.6640625" style="2" customWidth="1"/>
    <col min="13572" max="13572" width="22.109375" style="2" customWidth="1"/>
    <col min="13573" max="13573" width="19.88671875" style="2" bestFit="1" customWidth="1"/>
    <col min="13574" max="13576" width="19.33203125" style="2" customWidth="1"/>
    <col min="13577" max="13577" width="20.88671875" style="2" bestFit="1" customWidth="1"/>
    <col min="13578" max="13578" width="24" style="2" customWidth="1"/>
    <col min="13579" max="13581" width="26.88671875" style="2" customWidth="1"/>
    <col min="13582" max="13582" width="11.44140625" style="2" bestFit="1" customWidth="1"/>
    <col min="13583" max="13584" width="17.33203125" style="2" customWidth="1"/>
    <col min="13585" max="13824" width="14.6640625" style="2"/>
    <col min="13825" max="13825" width="50.5546875" style="2" customWidth="1"/>
    <col min="13826" max="13826" width="20.109375" style="2" customWidth="1"/>
    <col min="13827" max="13827" width="18.6640625" style="2" customWidth="1"/>
    <col min="13828" max="13828" width="22.109375" style="2" customWidth="1"/>
    <col min="13829" max="13829" width="19.88671875" style="2" bestFit="1" customWidth="1"/>
    <col min="13830" max="13832" width="19.33203125" style="2" customWidth="1"/>
    <col min="13833" max="13833" width="20.88671875" style="2" bestFit="1" customWidth="1"/>
    <col min="13834" max="13834" width="24" style="2" customWidth="1"/>
    <col min="13835" max="13837" width="26.88671875" style="2" customWidth="1"/>
    <col min="13838" max="13838" width="11.44140625" style="2" bestFit="1" customWidth="1"/>
    <col min="13839" max="13840" width="17.33203125" style="2" customWidth="1"/>
    <col min="13841" max="14080" width="14.6640625" style="2"/>
    <col min="14081" max="14081" width="50.5546875" style="2" customWidth="1"/>
    <col min="14082" max="14082" width="20.109375" style="2" customWidth="1"/>
    <col min="14083" max="14083" width="18.6640625" style="2" customWidth="1"/>
    <col min="14084" max="14084" width="22.109375" style="2" customWidth="1"/>
    <col min="14085" max="14085" width="19.88671875" style="2" bestFit="1" customWidth="1"/>
    <col min="14086" max="14088" width="19.33203125" style="2" customWidth="1"/>
    <col min="14089" max="14089" width="20.88671875" style="2" bestFit="1" customWidth="1"/>
    <col min="14090" max="14090" width="24" style="2" customWidth="1"/>
    <col min="14091" max="14093" width="26.88671875" style="2" customWidth="1"/>
    <col min="14094" max="14094" width="11.44140625" style="2" bestFit="1" customWidth="1"/>
    <col min="14095" max="14096" width="17.33203125" style="2" customWidth="1"/>
    <col min="14097" max="14336" width="14.6640625" style="2"/>
    <col min="14337" max="14337" width="50.5546875" style="2" customWidth="1"/>
    <col min="14338" max="14338" width="20.109375" style="2" customWidth="1"/>
    <col min="14339" max="14339" width="18.6640625" style="2" customWidth="1"/>
    <col min="14340" max="14340" width="22.109375" style="2" customWidth="1"/>
    <col min="14341" max="14341" width="19.88671875" style="2" bestFit="1" customWidth="1"/>
    <col min="14342" max="14344" width="19.33203125" style="2" customWidth="1"/>
    <col min="14345" max="14345" width="20.88671875" style="2" bestFit="1" customWidth="1"/>
    <col min="14346" max="14346" width="24" style="2" customWidth="1"/>
    <col min="14347" max="14349" width="26.88671875" style="2" customWidth="1"/>
    <col min="14350" max="14350" width="11.44140625" style="2" bestFit="1" customWidth="1"/>
    <col min="14351" max="14352" width="17.33203125" style="2" customWidth="1"/>
    <col min="14353" max="14592" width="14.6640625" style="2"/>
    <col min="14593" max="14593" width="50.5546875" style="2" customWidth="1"/>
    <col min="14594" max="14594" width="20.109375" style="2" customWidth="1"/>
    <col min="14595" max="14595" width="18.6640625" style="2" customWidth="1"/>
    <col min="14596" max="14596" width="22.109375" style="2" customWidth="1"/>
    <col min="14597" max="14597" width="19.88671875" style="2" bestFit="1" customWidth="1"/>
    <col min="14598" max="14600" width="19.33203125" style="2" customWidth="1"/>
    <col min="14601" max="14601" width="20.88671875" style="2" bestFit="1" customWidth="1"/>
    <col min="14602" max="14602" width="24" style="2" customWidth="1"/>
    <col min="14603" max="14605" width="26.88671875" style="2" customWidth="1"/>
    <col min="14606" max="14606" width="11.44140625" style="2" bestFit="1" customWidth="1"/>
    <col min="14607" max="14608" width="17.33203125" style="2" customWidth="1"/>
    <col min="14609" max="14848" width="14.6640625" style="2"/>
    <col min="14849" max="14849" width="50.5546875" style="2" customWidth="1"/>
    <col min="14850" max="14850" width="20.109375" style="2" customWidth="1"/>
    <col min="14851" max="14851" width="18.6640625" style="2" customWidth="1"/>
    <col min="14852" max="14852" width="22.109375" style="2" customWidth="1"/>
    <col min="14853" max="14853" width="19.88671875" style="2" bestFit="1" customWidth="1"/>
    <col min="14854" max="14856" width="19.33203125" style="2" customWidth="1"/>
    <col min="14857" max="14857" width="20.88671875" style="2" bestFit="1" customWidth="1"/>
    <col min="14858" max="14858" width="24" style="2" customWidth="1"/>
    <col min="14859" max="14861" width="26.88671875" style="2" customWidth="1"/>
    <col min="14862" max="14862" width="11.44140625" style="2" bestFit="1" customWidth="1"/>
    <col min="14863" max="14864" width="17.33203125" style="2" customWidth="1"/>
    <col min="14865" max="15104" width="14.6640625" style="2"/>
    <col min="15105" max="15105" width="50.5546875" style="2" customWidth="1"/>
    <col min="15106" max="15106" width="20.109375" style="2" customWidth="1"/>
    <col min="15107" max="15107" width="18.6640625" style="2" customWidth="1"/>
    <col min="15108" max="15108" width="22.109375" style="2" customWidth="1"/>
    <col min="15109" max="15109" width="19.88671875" style="2" bestFit="1" customWidth="1"/>
    <col min="15110" max="15112" width="19.33203125" style="2" customWidth="1"/>
    <col min="15113" max="15113" width="20.88671875" style="2" bestFit="1" customWidth="1"/>
    <col min="15114" max="15114" width="24" style="2" customWidth="1"/>
    <col min="15115" max="15117" width="26.88671875" style="2" customWidth="1"/>
    <col min="15118" max="15118" width="11.44140625" style="2" bestFit="1" customWidth="1"/>
    <col min="15119" max="15120" width="17.33203125" style="2" customWidth="1"/>
    <col min="15121" max="15360" width="14.6640625" style="2"/>
    <col min="15361" max="15361" width="50.5546875" style="2" customWidth="1"/>
    <col min="15362" max="15362" width="20.109375" style="2" customWidth="1"/>
    <col min="15363" max="15363" width="18.6640625" style="2" customWidth="1"/>
    <col min="15364" max="15364" width="22.109375" style="2" customWidth="1"/>
    <col min="15365" max="15365" width="19.88671875" style="2" bestFit="1" customWidth="1"/>
    <col min="15366" max="15368" width="19.33203125" style="2" customWidth="1"/>
    <col min="15369" max="15369" width="20.88671875" style="2" bestFit="1" customWidth="1"/>
    <col min="15370" max="15370" width="24" style="2" customWidth="1"/>
    <col min="15371" max="15373" width="26.88671875" style="2" customWidth="1"/>
    <col min="15374" max="15374" width="11.44140625" style="2" bestFit="1" customWidth="1"/>
    <col min="15375" max="15376" width="17.33203125" style="2" customWidth="1"/>
    <col min="15377" max="15616" width="14.6640625" style="2"/>
    <col min="15617" max="15617" width="50.5546875" style="2" customWidth="1"/>
    <col min="15618" max="15618" width="20.109375" style="2" customWidth="1"/>
    <col min="15619" max="15619" width="18.6640625" style="2" customWidth="1"/>
    <col min="15620" max="15620" width="22.109375" style="2" customWidth="1"/>
    <col min="15621" max="15621" width="19.88671875" style="2" bestFit="1" customWidth="1"/>
    <col min="15622" max="15624" width="19.33203125" style="2" customWidth="1"/>
    <col min="15625" max="15625" width="20.88671875" style="2" bestFit="1" customWidth="1"/>
    <col min="15626" max="15626" width="24" style="2" customWidth="1"/>
    <col min="15627" max="15629" width="26.88671875" style="2" customWidth="1"/>
    <col min="15630" max="15630" width="11.44140625" style="2" bestFit="1" customWidth="1"/>
    <col min="15631" max="15632" width="17.33203125" style="2" customWidth="1"/>
    <col min="15633" max="15872" width="14.6640625" style="2"/>
    <col min="15873" max="15873" width="50.5546875" style="2" customWidth="1"/>
    <col min="15874" max="15874" width="20.109375" style="2" customWidth="1"/>
    <col min="15875" max="15875" width="18.6640625" style="2" customWidth="1"/>
    <col min="15876" max="15876" width="22.109375" style="2" customWidth="1"/>
    <col min="15877" max="15877" width="19.88671875" style="2" bestFit="1" customWidth="1"/>
    <col min="15878" max="15880" width="19.33203125" style="2" customWidth="1"/>
    <col min="15881" max="15881" width="20.88671875" style="2" bestFit="1" customWidth="1"/>
    <col min="15882" max="15882" width="24" style="2" customWidth="1"/>
    <col min="15883" max="15885" width="26.88671875" style="2" customWidth="1"/>
    <col min="15886" max="15886" width="11.44140625" style="2" bestFit="1" customWidth="1"/>
    <col min="15887" max="15888" width="17.33203125" style="2" customWidth="1"/>
    <col min="15889" max="16128" width="14.6640625" style="2"/>
    <col min="16129" max="16129" width="50.5546875" style="2" customWidth="1"/>
    <col min="16130" max="16130" width="20.109375" style="2" customWidth="1"/>
    <col min="16131" max="16131" width="18.6640625" style="2" customWidth="1"/>
    <col min="16132" max="16132" width="22.109375" style="2" customWidth="1"/>
    <col min="16133" max="16133" width="19.88671875" style="2" bestFit="1" customWidth="1"/>
    <col min="16134" max="16136" width="19.33203125" style="2" customWidth="1"/>
    <col min="16137" max="16137" width="20.88671875" style="2" bestFit="1" customWidth="1"/>
    <col min="16138" max="16138" width="24" style="2" customWidth="1"/>
    <col min="16139" max="16141" width="26.88671875" style="2" customWidth="1"/>
    <col min="16142" max="16142" width="11.44140625" style="2" bestFit="1" customWidth="1"/>
    <col min="16143" max="16144" width="17.33203125" style="2" customWidth="1"/>
    <col min="16145" max="16384" width="14.6640625" style="2"/>
  </cols>
  <sheetData>
    <row r="1" spans="1:1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6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6" x14ac:dyDescent="0.25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6" x14ac:dyDescent="0.25">
      <c r="A5" s="4"/>
      <c r="B5" s="5"/>
      <c r="C5" s="6"/>
      <c r="D5" s="6"/>
      <c r="E5" s="7"/>
      <c r="F5" s="7"/>
      <c r="G5" s="7"/>
      <c r="H5" s="7"/>
      <c r="I5" s="8"/>
      <c r="J5" s="7"/>
      <c r="K5" s="9"/>
      <c r="L5" s="10"/>
      <c r="M5" s="10"/>
      <c r="N5" s="11"/>
    </row>
    <row r="6" spans="1:16" ht="73.5" customHeight="1" x14ac:dyDescent="0.25">
      <c r="A6" s="12" t="s">
        <v>4</v>
      </c>
      <c r="B6" s="13" t="s">
        <v>5</v>
      </c>
      <c r="C6" s="13" t="s">
        <v>6</v>
      </c>
      <c r="D6" s="13" t="s">
        <v>7</v>
      </c>
      <c r="E6" s="13" t="s">
        <v>8</v>
      </c>
      <c r="F6" s="13" t="s">
        <v>9</v>
      </c>
      <c r="G6" s="13" t="s">
        <v>10</v>
      </c>
      <c r="H6" s="13" t="s">
        <v>11</v>
      </c>
      <c r="I6" s="13" t="s">
        <v>12</v>
      </c>
      <c r="J6" s="13" t="s">
        <v>13</v>
      </c>
      <c r="K6" s="13" t="s">
        <v>14</v>
      </c>
      <c r="L6" s="14" t="s">
        <v>15</v>
      </c>
      <c r="M6" s="14" t="s">
        <v>16</v>
      </c>
      <c r="N6" s="13" t="s">
        <v>17</v>
      </c>
    </row>
    <row r="7" spans="1:16" x14ac:dyDescent="0.25">
      <c r="A7" s="15" t="s">
        <v>18</v>
      </c>
      <c r="B7" s="16"/>
      <c r="C7" s="16"/>
      <c r="D7" s="16"/>
      <c r="E7" s="16"/>
      <c r="F7" s="16"/>
      <c r="G7" s="16"/>
      <c r="H7" s="16"/>
      <c r="I7" s="16"/>
      <c r="J7" s="16"/>
      <c r="K7" s="16"/>
      <c r="L7" s="17"/>
      <c r="M7" s="17"/>
      <c r="N7" s="16"/>
    </row>
    <row r="8" spans="1:16" x14ac:dyDescent="0.25">
      <c r="A8" s="15" t="s">
        <v>19</v>
      </c>
      <c r="B8" s="15">
        <f>SUM(B9:B18)</f>
        <v>138767233</v>
      </c>
      <c r="C8" s="15">
        <f t="shared" ref="C8:H8" si="0">SUM(C9:C18)</f>
        <v>249722565</v>
      </c>
      <c r="D8" s="15">
        <f t="shared" si="0"/>
        <v>167124363.25</v>
      </c>
      <c r="E8" s="15">
        <f t="shared" si="0"/>
        <v>17365860</v>
      </c>
      <c r="F8" s="15">
        <f t="shared" si="0"/>
        <v>184190612</v>
      </c>
      <c r="G8" s="15">
        <f t="shared" si="0"/>
        <v>534167888</v>
      </c>
      <c r="H8" s="15">
        <f t="shared" si="0"/>
        <v>236258079</v>
      </c>
      <c r="I8" s="15">
        <f>SUM(B8:H8)</f>
        <v>1527596600.25</v>
      </c>
      <c r="J8" s="15">
        <f>SUM(J9:J18)</f>
        <v>411546213</v>
      </c>
      <c r="K8" s="15">
        <f>SUM(K9:K18)</f>
        <v>1939142813.25</v>
      </c>
      <c r="L8" s="18">
        <f>SUM(L9:L18)</f>
        <v>1799356309</v>
      </c>
      <c r="M8" s="18">
        <f>+L8-K8</f>
        <v>-139786504.25</v>
      </c>
      <c r="N8" s="19">
        <f>+L8/K8</f>
        <v>0.92791324945493925</v>
      </c>
      <c r="O8" s="20"/>
    </row>
    <row r="9" spans="1:16" outlineLevel="1" x14ac:dyDescent="0.25">
      <c r="A9" s="21" t="s">
        <v>20</v>
      </c>
      <c r="B9" s="22">
        <f>+[1]ECO!Q14</f>
        <v>97958054</v>
      </c>
      <c r="C9" s="22">
        <f>+[1]TEC!Q14</f>
        <v>170032019</v>
      </c>
      <c r="D9" s="22">
        <f>+[1]TRANSF!Q14</f>
        <v>116378179.75</v>
      </c>
      <c r="E9" s="22">
        <f>+[1]SAN!Q14</f>
        <v>11280451</v>
      </c>
      <c r="F9" s="22">
        <f>+[1]MER!Q14</f>
        <v>127464003</v>
      </c>
      <c r="G9" s="22">
        <f>+[1]PPC!Q14</f>
        <v>353923861</v>
      </c>
      <c r="H9" s="22">
        <f>+[1]COM!Q14</f>
        <v>161285799</v>
      </c>
      <c r="I9" s="22">
        <f t="shared" ref="I9:I18" si="1">SUM(B9:H9)</f>
        <v>1038322366.75</v>
      </c>
      <c r="J9" s="22">
        <f>+[1]FUN!Q14</f>
        <v>229501912</v>
      </c>
      <c r="K9" s="22">
        <f>SUM(I9:J9)</f>
        <v>1267824278.75</v>
      </c>
      <c r="L9" s="17">
        <f>+[2]RES!$P$13</f>
        <v>1198060650</v>
      </c>
      <c r="M9" s="17">
        <f t="shared" ref="M9:M19" si="2">+L9-K9</f>
        <v>-69763628.75</v>
      </c>
      <c r="N9" s="23">
        <f t="shared" ref="N9:N72" si="3">+L9/K9</f>
        <v>0.9449737397214204</v>
      </c>
      <c r="P9" s="24"/>
    </row>
    <row r="10" spans="1:16" outlineLevel="1" x14ac:dyDescent="0.25">
      <c r="A10" s="21" t="s">
        <v>21</v>
      </c>
      <c r="B10" s="22">
        <f>+[1]ECO!Q15</f>
        <v>4952936</v>
      </c>
      <c r="C10" s="22">
        <f>+[1]TEC!Q15</f>
        <v>8597124</v>
      </c>
      <c r="D10" s="22">
        <f>+[1]TRANSF!Q15</f>
        <v>5884290.25</v>
      </c>
      <c r="E10" s="22">
        <f>+[1]SAN!Q15</f>
        <v>570360</v>
      </c>
      <c r="F10" s="22">
        <f>+[1]MER!Q15</f>
        <v>6444810</v>
      </c>
      <c r="G10" s="22">
        <f>+[1]PPC!Q15</f>
        <v>17895025</v>
      </c>
      <c r="H10" s="22">
        <f>+[1]COM!Q15</f>
        <v>8154900</v>
      </c>
      <c r="I10" s="22">
        <f t="shared" si="1"/>
        <v>52499445.25</v>
      </c>
      <c r="J10" s="22">
        <f>+[1]FUN!Q15</f>
        <v>10908031</v>
      </c>
      <c r="K10" s="22">
        <f t="shared" ref="K10:K18" si="4">SUM(I10:J10)</f>
        <v>63407476.25</v>
      </c>
      <c r="L10" s="17">
        <f>+[2]RES!$P$14</f>
        <v>50512266</v>
      </c>
      <c r="M10" s="17">
        <f t="shared" si="2"/>
        <v>-12895210.25</v>
      </c>
      <c r="N10" s="23">
        <f t="shared" si="3"/>
        <v>0.79662949840240649</v>
      </c>
      <c r="P10" s="24"/>
    </row>
    <row r="11" spans="1:16" outlineLevel="1" x14ac:dyDescent="0.25">
      <c r="A11" s="21" t="s">
        <v>22</v>
      </c>
      <c r="B11" s="22">
        <f>+[1]ECO!Q16</f>
        <v>4484892</v>
      </c>
      <c r="C11" s="22">
        <f>+[1]TEC!Q16</f>
        <v>10558541</v>
      </c>
      <c r="D11" s="22">
        <f>+[1]TRANSF!Q16</f>
        <v>6037150</v>
      </c>
      <c r="E11" s="22">
        <f>+[1]SAN!Q16</f>
        <v>950600</v>
      </c>
      <c r="F11" s="22">
        <f>+[1]MER!Q16</f>
        <v>6971349</v>
      </c>
      <c r="G11" s="22">
        <f>+[1]PPC!Q16</f>
        <v>26055045</v>
      </c>
      <c r="H11" s="22">
        <f>+[1]COM!Q16</f>
        <v>9821500</v>
      </c>
      <c r="I11" s="22">
        <f t="shared" si="1"/>
        <v>64879077</v>
      </c>
      <c r="J11" s="22">
        <f>+[1]FUN!Q16</f>
        <v>18180049</v>
      </c>
      <c r="K11" s="22">
        <f t="shared" si="4"/>
        <v>83059126</v>
      </c>
      <c r="L11" s="17">
        <f>+[2]RES!$P$15</f>
        <v>77633687</v>
      </c>
      <c r="M11" s="17">
        <f t="shared" si="2"/>
        <v>-5425439</v>
      </c>
      <c r="N11" s="23">
        <f t="shared" si="3"/>
        <v>0.93467979665473488</v>
      </c>
      <c r="P11" s="24"/>
    </row>
    <row r="12" spans="1:16" outlineLevel="1" x14ac:dyDescent="0.25">
      <c r="A12" s="21" t="s">
        <v>23</v>
      </c>
      <c r="B12" s="25">
        <v>0</v>
      </c>
      <c r="C12" s="25">
        <v>0</v>
      </c>
      <c r="D12" s="25">
        <v>0</v>
      </c>
      <c r="E12" s="22">
        <v>0</v>
      </c>
      <c r="F12" s="22">
        <v>0</v>
      </c>
      <c r="G12" s="22">
        <v>0</v>
      </c>
      <c r="H12" s="22">
        <v>0</v>
      </c>
      <c r="I12" s="22">
        <f t="shared" si="1"/>
        <v>0</v>
      </c>
      <c r="J12" s="22">
        <f>+[1]FUN!Q17</f>
        <v>63008443</v>
      </c>
      <c r="K12" s="22">
        <f t="shared" si="4"/>
        <v>63008443</v>
      </c>
      <c r="L12" s="17">
        <f>+[2]RES!$P$16</f>
        <v>44747589</v>
      </c>
      <c r="M12" s="17">
        <f t="shared" si="2"/>
        <v>-18260854</v>
      </c>
      <c r="N12" s="23">
        <f t="shared" si="3"/>
        <v>0.71018401454547919</v>
      </c>
      <c r="P12" s="24"/>
    </row>
    <row r="13" spans="1:16" outlineLevel="1" x14ac:dyDescent="0.25">
      <c r="A13" s="21" t="s">
        <v>24</v>
      </c>
      <c r="B13" s="22">
        <f>+[1]ECO!Q17</f>
        <v>250000</v>
      </c>
      <c r="C13" s="22">
        <f>+[1]TEC!Q17</f>
        <v>250000</v>
      </c>
      <c r="D13" s="22">
        <f>+[1]TRANSF!Q17</f>
        <v>250000</v>
      </c>
      <c r="E13" s="22">
        <v>0</v>
      </c>
      <c r="F13" s="22">
        <f>+[1]MER!Q17</f>
        <v>250000</v>
      </c>
      <c r="G13" s="22">
        <f>+[1]PPC!Q17</f>
        <v>750000</v>
      </c>
      <c r="H13" s="22">
        <f>+[1]COM!Q17</f>
        <v>250000</v>
      </c>
      <c r="I13" s="22">
        <f t="shared" si="1"/>
        <v>2000000</v>
      </c>
      <c r="J13" s="22">
        <f>+[1]FUN!Q18</f>
        <v>250000</v>
      </c>
      <c r="K13" s="22">
        <f t="shared" si="4"/>
        <v>2250000</v>
      </c>
      <c r="L13" s="17">
        <f>+[2]RES!$P$17</f>
        <v>1750000</v>
      </c>
      <c r="M13" s="17">
        <f t="shared" si="2"/>
        <v>-500000</v>
      </c>
      <c r="N13" s="23">
        <f t="shared" si="3"/>
        <v>0.77777777777777779</v>
      </c>
      <c r="P13" s="24"/>
    </row>
    <row r="14" spans="1:16" outlineLevel="1" x14ac:dyDescent="0.25">
      <c r="A14" s="21" t="s">
        <v>25</v>
      </c>
      <c r="B14" s="22">
        <f>+[1]ECO!Q18</f>
        <v>4484892</v>
      </c>
      <c r="C14" s="22">
        <f>+[1]TEC!Q18</f>
        <v>10558541</v>
      </c>
      <c r="D14" s="22">
        <f>+[1]TRANSF!Q18</f>
        <v>6037150</v>
      </c>
      <c r="E14" s="22">
        <f>+[1]SAN!Q17</f>
        <v>950600</v>
      </c>
      <c r="F14" s="22">
        <f>+[1]MER!Q18</f>
        <v>6971349</v>
      </c>
      <c r="G14" s="22">
        <f>+[1]PPC!Q18</f>
        <v>26055045</v>
      </c>
      <c r="H14" s="22">
        <f>+[1]COM!Q18</f>
        <v>9821500</v>
      </c>
      <c r="I14" s="22">
        <f t="shared" si="1"/>
        <v>64879077</v>
      </c>
      <c r="J14" s="22">
        <f>+[1]FUN!Q19</f>
        <v>18180049</v>
      </c>
      <c r="K14" s="21">
        <f t="shared" si="4"/>
        <v>83059126</v>
      </c>
      <c r="L14" s="17">
        <f>+[2]RES!$P$18</f>
        <v>77633687</v>
      </c>
      <c r="M14" s="17">
        <f t="shared" si="2"/>
        <v>-5425439</v>
      </c>
      <c r="N14" s="23">
        <f t="shared" si="3"/>
        <v>0.93467979665473488</v>
      </c>
      <c r="P14" s="24"/>
    </row>
    <row r="15" spans="1:16" outlineLevel="1" x14ac:dyDescent="0.25">
      <c r="A15" s="21" t="s">
        <v>26</v>
      </c>
      <c r="B15" s="22">
        <f>+[1]ECO!Q19</f>
        <v>538188</v>
      </c>
      <c r="C15" s="22">
        <f>+[1]TEC!Q19</f>
        <v>1267024</v>
      </c>
      <c r="D15" s="22">
        <f>+[1]TRANSF!Q19</f>
        <v>724458.25</v>
      </c>
      <c r="E15" s="22">
        <f>+[1]SAN!Q18</f>
        <v>114072</v>
      </c>
      <c r="F15" s="22">
        <f>+[1]MER!Q19</f>
        <v>836562</v>
      </c>
      <c r="G15" s="22">
        <f>+[1]PPC!Q19</f>
        <v>3126606</v>
      </c>
      <c r="H15" s="22">
        <f>+[1]COM!Q19</f>
        <v>1178581</v>
      </c>
      <c r="I15" s="22">
        <f t="shared" si="1"/>
        <v>7785491.25</v>
      </c>
      <c r="J15" s="22">
        <f>+[1]FUN!Q20</f>
        <v>2181608</v>
      </c>
      <c r="K15" s="21">
        <f t="shared" si="4"/>
        <v>9967099.25</v>
      </c>
      <c r="L15" s="17">
        <f>+[2]RES!$P$19</f>
        <v>8938632</v>
      </c>
      <c r="M15" s="17">
        <f t="shared" si="2"/>
        <v>-1028467.25</v>
      </c>
      <c r="N15" s="23">
        <f t="shared" si="3"/>
        <v>0.89681378461240868</v>
      </c>
      <c r="P15" s="24"/>
    </row>
    <row r="16" spans="1:16" outlineLevel="1" x14ac:dyDescent="0.25">
      <c r="A16" s="21" t="s">
        <v>27</v>
      </c>
      <c r="B16" s="22">
        <f>+[1]ECO!Q20</f>
        <v>17932043</v>
      </c>
      <c r="C16" s="22">
        <f>+[1]TEC!Q20</f>
        <v>33296221</v>
      </c>
      <c r="D16" s="22">
        <f>+[1]TRANSF!Q20</f>
        <v>21858697</v>
      </c>
      <c r="E16" s="22">
        <f>+[1]SAN!Q19</f>
        <v>2404678</v>
      </c>
      <c r="F16" s="22">
        <f>+[1]MER!Q20</f>
        <v>24221893</v>
      </c>
      <c r="G16" s="22">
        <f>+[1]PPC!Q20</f>
        <v>73428246</v>
      </c>
      <c r="H16" s="22">
        <f>+[1]COM!Q20</f>
        <v>31431797</v>
      </c>
      <c r="I16" s="22">
        <f t="shared" si="1"/>
        <v>204573575</v>
      </c>
      <c r="J16" s="22">
        <f>+[1]FUN!Q21</f>
        <v>48433201</v>
      </c>
      <c r="K16" s="21">
        <f t="shared" si="4"/>
        <v>253006776</v>
      </c>
      <c r="L16" s="17">
        <f>+[2]RES!$P$20</f>
        <v>239040561</v>
      </c>
      <c r="M16" s="17">
        <f t="shared" si="2"/>
        <v>-13966215</v>
      </c>
      <c r="N16" s="23">
        <f t="shared" si="3"/>
        <v>0.9447990475954684</v>
      </c>
      <c r="P16" s="24"/>
    </row>
    <row r="17" spans="1:17" outlineLevel="1" x14ac:dyDescent="0.25">
      <c r="A17" s="21" t="s">
        <v>28</v>
      </c>
      <c r="B17" s="22">
        <f>+[1]ECO!Q21</f>
        <v>3629433</v>
      </c>
      <c r="C17" s="22">
        <f>+[1]TEC!Q21</f>
        <v>6739146</v>
      </c>
      <c r="D17" s="22">
        <f>+[1]TRANSF!Q21</f>
        <v>4424196</v>
      </c>
      <c r="E17" s="22">
        <f>+[1]SAN!Q20</f>
        <v>486714</v>
      </c>
      <c r="F17" s="22">
        <f>+[1]MER!Q21</f>
        <v>4902510</v>
      </c>
      <c r="G17" s="22">
        <f>+[1]PPC!Q21</f>
        <v>14637348</v>
      </c>
      <c r="H17" s="22">
        <f>+[1]COM!Q21</f>
        <v>6361770</v>
      </c>
      <c r="I17" s="22">
        <f t="shared" si="1"/>
        <v>41181117</v>
      </c>
      <c r="J17" s="22">
        <f>+[1]FUN!Q22</f>
        <v>9290172</v>
      </c>
      <c r="K17" s="21">
        <f t="shared" si="4"/>
        <v>50471289</v>
      </c>
      <c r="L17" s="17">
        <f>+[2]RES!$P$21</f>
        <v>44982137</v>
      </c>
      <c r="M17" s="17">
        <f t="shared" si="2"/>
        <v>-5489152</v>
      </c>
      <c r="N17" s="23">
        <f t="shared" si="3"/>
        <v>0.89124208815035411</v>
      </c>
      <c r="P17" s="24"/>
    </row>
    <row r="18" spans="1:17" outlineLevel="1" x14ac:dyDescent="0.25">
      <c r="A18" s="21" t="s">
        <v>29</v>
      </c>
      <c r="B18" s="22">
        <f>+[1]ECO!Q22</f>
        <v>4536795</v>
      </c>
      <c r="C18" s="22">
        <f>+[1]TEC!Q22</f>
        <v>8423949</v>
      </c>
      <c r="D18" s="22">
        <f>+[1]TRANSF!Q22</f>
        <v>5530242</v>
      </c>
      <c r="E18" s="22">
        <f>+[1]SAN!Q21</f>
        <v>608385</v>
      </c>
      <c r="F18" s="22">
        <f>+[1]MER!Q22</f>
        <v>6128136</v>
      </c>
      <c r="G18" s="22">
        <f>+[1]PPC!Q22</f>
        <v>18296712</v>
      </c>
      <c r="H18" s="22">
        <f>+[1]COM!Q22</f>
        <v>7952232</v>
      </c>
      <c r="I18" s="22">
        <f t="shared" si="1"/>
        <v>51476451</v>
      </c>
      <c r="J18" s="22">
        <f>+[1]FUN!Q23</f>
        <v>11612748</v>
      </c>
      <c r="K18" s="21">
        <f t="shared" si="4"/>
        <v>63089199</v>
      </c>
      <c r="L18" s="17">
        <f>+[2]RES!$P$22</f>
        <v>56057100</v>
      </c>
      <c r="M18" s="17">
        <f t="shared" si="2"/>
        <v>-7032099</v>
      </c>
      <c r="N18" s="23">
        <f t="shared" si="3"/>
        <v>0.8885371963590788</v>
      </c>
      <c r="P18" s="24"/>
    </row>
    <row r="19" spans="1:17" x14ac:dyDescent="0.25">
      <c r="A19" s="26" t="s">
        <v>30</v>
      </c>
      <c r="B19" s="27">
        <f>SUM(B9:B18)</f>
        <v>138767233</v>
      </c>
      <c r="C19" s="27">
        <f t="shared" ref="C19:H19" si="5">SUM(C9:C18)</f>
        <v>249722565</v>
      </c>
      <c r="D19" s="27">
        <f t="shared" si="5"/>
        <v>167124363.25</v>
      </c>
      <c r="E19" s="27">
        <f t="shared" si="5"/>
        <v>17365860</v>
      </c>
      <c r="F19" s="27">
        <f t="shared" si="5"/>
        <v>184190612</v>
      </c>
      <c r="G19" s="27">
        <f t="shared" si="5"/>
        <v>534167888</v>
      </c>
      <c r="H19" s="27">
        <f t="shared" si="5"/>
        <v>236258079</v>
      </c>
      <c r="I19" s="27">
        <f>SUM(I9:I18)</f>
        <v>1527596600.25</v>
      </c>
      <c r="J19" s="27">
        <f>SUM(J9:J18)</f>
        <v>411546213</v>
      </c>
      <c r="K19" s="27">
        <f>SUM(K9:K18)</f>
        <v>1939142813.25</v>
      </c>
      <c r="L19" s="18">
        <f>SUM(L9:L18)</f>
        <v>1799356309</v>
      </c>
      <c r="M19" s="18">
        <f t="shared" si="2"/>
        <v>-139786504.25</v>
      </c>
      <c r="N19" s="19">
        <f t="shared" si="3"/>
        <v>0.92791324945493925</v>
      </c>
      <c r="O19" s="20"/>
      <c r="P19" s="28"/>
      <c r="Q19" s="29"/>
    </row>
    <row r="20" spans="1:17" x14ac:dyDescent="0.25">
      <c r="A20" s="15" t="s">
        <v>31</v>
      </c>
      <c r="B20" s="22"/>
      <c r="C20" s="22"/>
      <c r="D20" s="22"/>
      <c r="E20" s="22"/>
      <c r="F20" s="22"/>
      <c r="G20" s="22"/>
      <c r="H20" s="22"/>
      <c r="I20" s="22"/>
      <c r="J20" s="30"/>
      <c r="K20" s="21"/>
      <c r="L20" s="17"/>
      <c r="M20" s="17"/>
      <c r="N20" s="19"/>
      <c r="O20" s="20"/>
      <c r="P20" s="31"/>
    </row>
    <row r="21" spans="1:17" outlineLevel="1" x14ac:dyDescent="0.25">
      <c r="A21" s="16" t="s">
        <v>32</v>
      </c>
      <c r="B21" s="32">
        <v>0</v>
      </c>
      <c r="C21" s="32">
        <v>0</v>
      </c>
      <c r="D21" s="32">
        <v>0</v>
      </c>
      <c r="E21" s="32">
        <v>0</v>
      </c>
      <c r="F21" s="32">
        <f>+[1]MER!$Q$26</f>
        <v>1500000</v>
      </c>
      <c r="G21" s="32">
        <f>+[1]PPC!$Q$26</f>
        <v>15986325</v>
      </c>
      <c r="H21" s="32">
        <v>0</v>
      </c>
      <c r="I21" s="32">
        <f>SUM(B21:H21)</f>
        <v>17486325</v>
      </c>
      <c r="J21" s="22">
        <f>+[1]FUN!Q27-3521000</f>
        <v>140045083</v>
      </c>
      <c r="K21" s="21">
        <f>SUM(I21:J21)</f>
        <v>157531408</v>
      </c>
      <c r="L21" s="17">
        <f>+[2]RES!P27</f>
        <v>151084898</v>
      </c>
      <c r="M21" s="17">
        <f t="shared" ref="M21:M35" si="6">+L21-K21</f>
        <v>-6446510</v>
      </c>
      <c r="N21" s="23">
        <f t="shared" si="3"/>
        <v>0.95907793828643995</v>
      </c>
      <c r="O21" s="20"/>
      <c r="P21" s="33"/>
    </row>
    <row r="22" spans="1:17" outlineLevel="1" x14ac:dyDescent="0.25">
      <c r="A22" s="16" t="s">
        <v>33</v>
      </c>
      <c r="B22" s="32">
        <v>0</v>
      </c>
      <c r="C22" s="32">
        <f>+[1]TEC!$Q$26</f>
        <v>412125</v>
      </c>
      <c r="D22" s="32">
        <v>0</v>
      </c>
      <c r="E22" s="32">
        <v>0</v>
      </c>
      <c r="F22" s="32">
        <v>0</v>
      </c>
      <c r="G22" s="32">
        <f>+[1]PPC!$Q$27</f>
        <v>1500000</v>
      </c>
      <c r="H22" s="32">
        <f>+[1]COM!$Q$26</f>
        <v>375000</v>
      </c>
      <c r="I22" s="32">
        <f t="shared" ref="I22:I36" si="7">SUM(B22:H22)</f>
        <v>2287125</v>
      </c>
      <c r="J22" s="22">
        <f>+[1]FUN!Q28</f>
        <v>18000000</v>
      </c>
      <c r="K22" s="21">
        <f t="shared" ref="K22:K36" si="8">SUM(I22:J22)</f>
        <v>20287125</v>
      </c>
      <c r="L22" s="17">
        <f>+[2]RES!P28</f>
        <v>504482</v>
      </c>
      <c r="M22" s="17">
        <f>+L22-K22</f>
        <v>-19782643</v>
      </c>
      <c r="N22" s="23">
        <f t="shared" si="3"/>
        <v>2.4867101671626708E-2</v>
      </c>
      <c r="O22" s="20"/>
      <c r="P22" s="33"/>
    </row>
    <row r="23" spans="1:17" outlineLevel="1" x14ac:dyDescent="0.25">
      <c r="A23" s="16" t="s">
        <v>34</v>
      </c>
      <c r="B23" s="32">
        <v>0</v>
      </c>
      <c r="C23" s="32">
        <v>0</v>
      </c>
      <c r="D23" s="32">
        <v>0</v>
      </c>
      <c r="E23" s="32">
        <v>0</v>
      </c>
      <c r="F23" s="32">
        <v>0</v>
      </c>
      <c r="G23" s="32">
        <f>+[1]PPC!$Q$28</f>
        <v>4000000</v>
      </c>
      <c r="H23" s="32">
        <v>0</v>
      </c>
      <c r="I23" s="32">
        <f t="shared" si="7"/>
        <v>4000000</v>
      </c>
      <c r="J23" s="22">
        <f>+[1]FUN!Q29</f>
        <v>7852147</v>
      </c>
      <c r="K23" s="21">
        <f t="shared" si="8"/>
        <v>11852147</v>
      </c>
      <c r="L23" s="17">
        <f>+[2]RES!P29</f>
        <v>11770222</v>
      </c>
      <c r="M23" s="17">
        <f t="shared" si="6"/>
        <v>-81925</v>
      </c>
      <c r="N23" s="23">
        <f t="shared" si="3"/>
        <v>0.99308775026161922</v>
      </c>
      <c r="O23" s="20"/>
      <c r="P23" s="33"/>
    </row>
    <row r="24" spans="1:17" outlineLevel="1" x14ac:dyDescent="0.25">
      <c r="A24" s="16" t="s">
        <v>35</v>
      </c>
      <c r="B24" s="32">
        <f>+[1]ECO!$Q$26</f>
        <v>150000</v>
      </c>
      <c r="C24" s="32">
        <f>+[1]TEC!$Q$27</f>
        <v>3819413</v>
      </c>
      <c r="D24" s="32">
        <f>+[1]TRANSF!$Q$26</f>
        <v>3113136</v>
      </c>
      <c r="E24" s="32">
        <v>0</v>
      </c>
      <c r="F24" s="32">
        <f>+[1]MER!$Q$27</f>
        <v>5200000</v>
      </c>
      <c r="G24" s="32">
        <f>+[1]PPC!$Q$29</f>
        <v>12000000</v>
      </c>
      <c r="H24" s="32">
        <f>+[1]COM!$Q$27</f>
        <v>2500000</v>
      </c>
      <c r="I24" s="32">
        <f t="shared" si="7"/>
        <v>26782549</v>
      </c>
      <c r="J24" s="22">
        <f>+[1]FUN!Q30</f>
        <v>15000000</v>
      </c>
      <c r="K24" s="21">
        <f t="shared" si="8"/>
        <v>41782549</v>
      </c>
      <c r="L24" s="17">
        <f>+[2]RES!P30</f>
        <v>39652098</v>
      </c>
      <c r="M24" s="17">
        <f t="shared" si="6"/>
        <v>-2130451</v>
      </c>
      <c r="N24" s="23">
        <f t="shared" si="3"/>
        <v>0.94901098542360351</v>
      </c>
      <c r="O24" s="20"/>
      <c r="P24" s="33"/>
    </row>
    <row r="25" spans="1:17" outlineLevel="1" x14ac:dyDescent="0.25">
      <c r="A25" s="16" t="s">
        <v>36</v>
      </c>
      <c r="B25" s="32">
        <f>+[1]ECO!$Q$27</f>
        <v>120000</v>
      </c>
      <c r="C25" s="32">
        <f>+[1]TEC!$Q$28</f>
        <v>1000000</v>
      </c>
      <c r="D25" s="32">
        <f>+[1]TRANSF!$Q$27</f>
        <v>954142</v>
      </c>
      <c r="E25" s="32">
        <v>0</v>
      </c>
      <c r="F25" s="32">
        <f>+[1]MER!$Q$28</f>
        <v>895369</v>
      </c>
      <c r="G25" s="32">
        <f>+[1]PPC!$Q$30</f>
        <v>1000000</v>
      </c>
      <c r="H25" s="32">
        <f>+[1]COM!$Q$28</f>
        <v>500000</v>
      </c>
      <c r="I25" s="32">
        <f t="shared" si="7"/>
        <v>4469511</v>
      </c>
      <c r="J25" s="22">
        <f>+[1]FUN!Q31</f>
        <v>2000000</v>
      </c>
      <c r="K25" s="21">
        <f t="shared" si="8"/>
        <v>6469511</v>
      </c>
      <c r="L25" s="17">
        <f>+[2]RES!P31</f>
        <v>3128409</v>
      </c>
      <c r="M25" s="17">
        <f t="shared" si="6"/>
        <v>-3341102</v>
      </c>
      <c r="N25" s="23">
        <f t="shared" si="3"/>
        <v>0.48356189517260267</v>
      </c>
      <c r="O25" s="20"/>
      <c r="P25" s="33"/>
    </row>
    <row r="26" spans="1:17" outlineLevel="1" x14ac:dyDescent="0.25">
      <c r="A26" s="21" t="s">
        <v>37</v>
      </c>
      <c r="B26" s="32">
        <v>0</v>
      </c>
      <c r="C26" s="32">
        <v>0</v>
      </c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f t="shared" si="7"/>
        <v>0</v>
      </c>
      <c r="J26" s="22">
        <f>+[1]FUN!Q32</f>
        <v>10000000</v>
      </c>
      <c r="K26" s="21">
        <f t="shared" si="8"/>
        <v>10000000</v>
      </c>
      <c r="L26" s="17">
        <f>+[2]RES!P32</f>
        <v>6929200</v>
      </c>
      <c r="M26" s="17">
        <f t="shared" si="6"/>
        <v>-3070800</v>
      </c>
      <c r="N26" s="23">
        <f t="shared" si="3"/>
        <v>0.69291999999999998</v>
      </c>
      <c r="O26" s="20"/>
      <c r="P26" s="33"/>
    </row>
    <row r="27" spans="1:17" outlineLevel="1" x14ac:dyDescent="0.25">
      <c r="A27" s="16" t="s">
        <v>38</v>
      </c>
      <c r="B27" s="32">
        <f>+[1]ECO!$Q$28</f>
        <v>4000000</v>
      </c>
      <c r="C27" s="32">
        <f>+[1]TEC!$Q$29</f>
        <v>3702662</v>
      </c>
      <c r="D27" s="32">
        <f>+[1]TRANSF!$Q$28</f>
        <v>3824393</v>
      </c>
      <c r="E27" s="32">
        <f>+[1]SAN!$Q$25</f>
        <v>3800000</v>
      </c>
      <c r="F27" s="32">
        <f>+[1]MER!$Q$29</f>
        <v>2587412</v>
      </c>
      <c r="G27" s="32">
        <f>+[1]PPC!$Q$31-726445</f>
        <v>2976217</v>
      </c>
      <c r="H27" s="32">
        <f>+[1]COM!$Q$29</f>
        <v>3702662</v>
      </c>
      <c r="I27" s="32">
        <f t="shared" si="7"/>
        <v>24593346</v>
      </c>
      <c r="J27" s="22">
        <f>+[1]FUN!Q33-3445838</f>
        <v>6554162</v>
      </c>
      <c r="K27" s="21">
        <f t="shared" si="8"/>
        <v>31147508</v>
      </c>
      <c r="L27" s="17">
        <f>+[2]RES!P33</f>
        <v>21101048</v>
      </c>
      <c r="M27" s="17">
        <f t="shared" si="6"/>
        <v>-10046460</v>
      </c>
      <c r="N27" s="23">
        <f t="shared" si="3"/>
        <v>0.67745541633699879</v>
      </c>
      <c r="O27" s="20"/>
      <c r="P27" s="33"/>
    </row>
    <row r="28" spans="1:17" outlineLevel="1" x14ac:dyDescent="0.25">
      <c r="A28" s="16" t="s">
        <v>39</v>
      </c>
      <c r="B28" s="32">
        <f>+[1]ECO!$Q$29</f>
        <v>100000</v>
      </c>
      <c r="C28" s="32">
        <v>0</v>
      </c>
      <c r="D28" s="32">
        <f>+[1]TRANSF!$Q$29</f>
        <v>2298030</v>
      </c>
      <c r="E28" s="32">
        <v>0</v>
      </c>
      <c r="F28" s="32">
        <v>0</v>
      </c>
      <c r="G28" s="32">
        <f>+[1]PPC!$Q$32+6508000</f>
        <v>18508000</v>
      </c>
      <c r="H28" s="32">
        <v>0</v>
      </c>
      <c r="I28" s="32">
        <f t="shared" si="7"/>
        <v>20906030</v>
      </c>
      <c r="J28" s="22">
        <f>+[1]FUN!Q34+3521000</f>
        <v>9521000</v>
      </c>
      <c r="K28" s="21">
        <f t="shared" si="8"/>
        <v>30427030</v>
      </c>
      <c r="L28" s="17">
        <f>+[2]RES!P34</f>
        <v>28029000</v>
      </c>
      <c r="M28" s="17">
        <f t="shared" si="6"/>
        <v>-2398030</v>
      </c>
      <c r="N28" s="23">
        <f t="shared" si="3"/>
        <v>0.92118750992127718</v>
      </c>
      <c r="O28" s="20"/>
      <c r="P28" s="33"/>
    </row>
    <row r="29" spans="1:17" outlineLevel="1" x14ac:dyDescent="0.25">
      <c r="A29" s="16" t="s">
        <v>40</v>
      </c>
      <c r="B29" s="32">
        <v>0</v>
      </c>
      <c r="C29" s="32">
        <v>0</v>
      </c>
      <c r="D29" s="32">
        <v>0</v>
      </c>
      <c r="E29" s="32">
        <v>0</v>
      </c>
      <c r="F29" s="32">
        <v>0</v>
      </c>
      <c r="G29" s="32">
        <f>+[1]PPC!$Q$33+726445</f>
        <v>23425186</v>
      </c>
      <c r="H29" s="32">
        <v>0</v>
      </c>
      <c r="I29" s="32">
        <f>SUM(B29:H29)</f>
        <v>23425186</v>
      </c>
      <c r="J29" s="22">
        <f>+[1]FUN!Q35+3445838</f>
        <v>38445838</v>
      </c>
      <c r="K29" s="21">
        <f>SUM(I29:J29)</f>
        <v>61871024</v>
      </c>
      <c r="L29" s="17">
        <f>+[2]RES!P35</f>
        <v>61871024</v>
      </c>
      <c r="M29" s="17">
        <f t="shared" si="6"/>
        <v>0</v>
      </c>
      <c r="N29" s="23">
        <f t="shared" si="3"/>
        <v>1</v>
      </c>
      <c r="O29" s="20"/>
      <c r="P29" s="33"/>
    </row>
    <row r="30" spans="1:17" outlineLevel="1" x14ac:dyDescent="0.25">
      <c r="A30" s="16" t="s">
        <v>41</v>
      </c>
      <c r="B30" s="32">
        <f>+[1]ECO!$Q$30</f>
        <v>4000000</v>
      </c>
      <c r="C30" s="32">
        <f>+[1]TEC!$Q$30</f>
        <v>6000000</v>
      </c>
      <c r="D30" s="32">
        <f>+[1]TRANSF!$Q$30</f>
        <v>3931537</v>
      </c>
      <c r="E30" s="32">
        <v>0</v>
      </c>
      <c r="F30" s="32">
        <f>+[1]MER!$Q$30</f>
        <v>7584963</v>
      </c>
      <c r="G30" s="32">
        <f>+[1]PPC!$Q$34-6508000</f>
        <v>103492000</v>
      </c>
      <c r="H30" s="32">
        <f>+[1]COM!$Q$30</f>
        <v>3000000</v>
      </c>
      <c r="I30" s="32">
        <f t="shared" si="7"/>
        <v>128008500</v>
      </c>
      <c r="J30" s="22">
        <f>+[1]FUN!Q36</f>
        <v>11500000</v>
      </c>
      <c r="K30" s="21">
        <f t="shared" si="8"/>
        <v>139508500</v>
      </c>
      <c r="L30" s="17">
        <f>+[2]RES!P36</f>
        <v>111714384</v>
      </c>
      <c r="M30" s="17">
        <f t="shared" si="6"/>
        <v>-27794116</v>
      </c>
      <c r="N30" s="23">
        <f t="shared" si="3"/>
        <v>0.80077116448101726</v>
      </c>
      <c r="O30" s="20"/>
      <c r="P30" s="33"/>
    </row>
    <row r="31" spans="1:17" outlineLevel="1" x14ac:dyDescent="0.25">
      <c r="A31" s="16" t="s">
        <v>42</v>
      </c>
      <c r="B31" s="32">
        <v>0</v>
      </c>
      <c r="C31" s="32">
        <v>0</v>
      </c>
      <c r="D31" s="32">
        <v>0</v>
      </c>
      <c r="E31" s="32">
        <v>0</v>
      </c>
      <c r="F31" s="32">
        <v>0</v>
      </c>
      <c r="G31" s="32">
        <v>0</v>
      </c>
      <c r="H31" s="32">
        <v>0</v>
      </c>
      <c r="I31" s="32">
        <f t="shared" si="7"/>
        <v>0</v>
      </c>
      <c r="J31" s="22">
        <f>+[1]FUN!Q37</f>
        <v>5000000</v>
      </c>
      <c r="K31" s="21">
        <f t="shared" si="8"/>
        <v>5000000</v>
      </c>
      <c r="L31" s="17">
        <f>+[2]RES!P37</f>
        <v>4999840</v>
      </c>
      <c r="M31" s="17">
        <f t="shared" si="6"/>
        <v>-160</v>
      </c>
      <c r="N31" s="23">
        <f t="shared" si="3"/>
        <v>0.99996799999999997</v>
      </c>
      <c r="O31" s="20"/>
      <c r="P31" s="33"/>
    </row>
    <row r="32" spans="1:17" outlineLevel="1" x14ac:dyDescent="0.25">
      <c r="A32" s="16" t="s">
        <v>43</v>
      </c>
      <c r="B32" s="32">
        <f>+[1]ECO!$Q$31</f>
        <v>5000000</v>
      </c>
      <c r="C32" s="32">
        <f>+[1]TEC!$Q$31</f>
        <v>2318201</v>
      </c>
      <c r="D32" s="32">
        <f>+[1]TRANSF!$Q$31</f>
        <v>1323168</v>
      </c>
      <c r="E32" s="32">
        <f>+[1]SAN!$Q$26</f>
        <v>152180</v>
      </c>
      <c r="F32" s="32">
        <f>+[1]MER!$Q$31</f>
        <v>1568742</v>
      </c>
      <c r="G32" s="32">
        <f>+[1]PPC!$Q$35</f>
        <v>13140303</v>
      </c>
      <c r="H32" s="32">
        <f>+[1]COM!$Q$31</f>
        <v>318200</v>
      </c>
      <c r="I32" s="32">
        <f t="shared" si="7"/>
        <v>23820794</v>
      </c>
      <c r="J32" s="22">
        <f>+[1]FUN!Q38</f>
        <v>21962217</v>
      </c>
      <c r="K32" s="21">
        <f t="shared" si="8"/>
        <v>45783011</v>
      </c>
      <c r="L32" s="17">
        <f>+[2]RES!P38</f>
        <v>32174702</v>
      </c>
      <c r="M32" s="17">
        <f t="shared" si="6"/>
        <v>-13608309</v>
      </c>
      <c r="N32" s="23">
        <f t="shared" si="3"/>
        <v>0.70276509336618331</v>
      </c>
      <c r="O32" s="20"/>
      <c r="P32" s="33"/>
    </row>
    <row r="33" spans="1:16" outlineLevel="1" x14ac:dyDescent="0.25">
      <c r="A33" s="16" t="s">
        <v>44</v>
      </c>
      <c r="B33" s="32">
        <v>0</v>
      </c>
      <c r="C33" s="32">
        <v>0</v>
      </c>
      <c r="D33" s="32">
        <v>0</v>
      </c>
      <c r="E33" s="32">
        <v>0</v>
      </c>
      <c r="F33" s="32">
        <v>0</v>
      </c>
      <c r="G33" s="32">
        <f>+[1]PPC!$Q$36</f>
        <v>4238014</v>
      </c>
      <c r="H33" s="32">
        <v>0</v>
      </c>
      <c r="I33" s="32">
        <f t="shared" si="7"/>
        <v>4238014</v>
      </c>
      <c r="J33" s="22">
        <f>+[1]FUN!Q39</f>
        <v>5226721</v>
      </c>
      <c r="K33" s="21">
        <f t="shared" si="8"/>
        <v>9464735</v>
      </c>
      <c r="L33" s="17">
        <f>+[2]RES!P39</f>
        <v>5098072</v>
      </c>
      <c r="M33" s="17">
        <f t="shared" si="6"/>
        <v>-4366663</v>
      </c>
      <c r="N33" s="23">
        <f t="shared" si="3"/>
        <v>0.53863864122978611</v>
      </c>
      <c r="O33" s="20"/>
      <c r="P33" s="33"/>
    </row>
    <row r="34" spans="1:16" outlineLevel="1" x14ac:dyDescent="0.25">
      <c r="A34" s="16" t="s">
        <v>45</v>
      </c>
      <c r="B34" s="32">
        <v>0</v>
      </c>
      <c r="C34" s="32">
        <v>0</v>
      </c>
      <c r="D34" s="32">
        <v>0</v>
      </c>
      <c r="E34" s="32">
        <v>0</v>
      </c>
      <c r="F34" s="32">
        <v>0</v>
      </c>
      <c r="G34" s="32">
        <v>0</v>
      </c>
      <c r="H34" s="32">
        <v>0</v>
      </c>
      <c r="I34" s="32">
        <f t="shared" si="7"/>
        <v>0</v>
      </c>
      <c r="J34" s="22">
        <f>+[1]FUN!Q40</f>
        <v>0</v>
      </c>
      <c r="K34" s="21">
        <f t="shared" si="8"/>
        <v>0</v>
      </c>
      <c r="L34" s="17">
        <f>+[2]RES!P40</f>
        <v>0</v>
      </c>
      <c r="M34" s="17">
        <f t="shared" si="6"/>
        <v>0</v>
      </c>
      <c r="N34" s="23">
        <v>0</v>
      </c>
      <c r="O34" s="20"/>
      <c r="P34" s="33"/>
    </row>
    <row r="35" spans="1:16" outlineLevel="1" x14ac:dyDescent="0.25">
      <c r="A35" s="16" t="s">
        <v>46</v>
      </c>
      <c r="B35" s="32">
        <v>0</v>
      </c>
      <c r="C35" s="32">
        <v>0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f t="shared" si="7"/>
        <v>0</v>
      </c>
      <c r="J35" s="22">
        <f>+[1]FUN!Q41</f>
        <v>10000000</v>
      </c>
      <c r="K35" s="21">
        <f t="shared" si="8"/>
        <v>10000000</v>
      </c>
      <c r="L35" s="17">
        <f>+[2]RES!P41</f>
        <v>7284860</v>
      </c>
      <c r="M35" s="17">
        <f t="shared" si="6"/>
        <v>-2715140</v>
      </c>
      <c r="N35" s="23">
        <f t="shared" si="3"/>
        <v>0.72848599999999997</v>
      </c>
      <c r="O35" s="20"/>
      <c r="P35" s="33"/>
    </row>
    <row r="36" spans="1:16" x14ac:dyDescent="0.25">
      <c r="A36" s="26" t="s">
        <v>47</v>
      </c>
      <c r="B36" s="34">
        <f>SUM(B21:B35)</f>
        <v>13370000</v>
      </c>
      <c r="C36" s="34">
        <f t="shared" ref="C36:H36" si="9">SUM(C21:C35)</f>
        <v>17252401</v>
      </c>
      <c r="D36" s="34">
        <f t="shared" si="9"/>
        <v>15444406</v>
      </c>
      <c r="E36" s="34">
        <f t="shared" si="9"/>
        <v>3952180</v>
      </c>
      <c r="F36" s="34">
        <f t="shared" si="9"/>
        <v>19336486</v>
      </c>
      <c r="G36" s="34">
        <f t="shared" si="9"/>
        <v>200266045</v>
      </c>
      <c r="H36" s="34">
        <f t="shared" si="9"/>
        <v>10395862</v>
      </c>
      <c r="I36" s="34">
        <f t="shared" si="7"/>
        <v>280017380</v>
      </c>
      <c r="J36" s="15">
        <f>SUM(J21:J35)</f>
        <v>301107168</v>
      </c>
      <c r="K36" s="15">
        <f t="shared" si="8"/>
        <v>581124548</v>
      </c>
      <c r="L36" s="18">
        <f>SUM(L21:L35)</f>
        <v>485342239</v>
      </c>
      <c r="M36" s="18">
        <f>+L36-K36</f>
        <v>-95782309</v>
      </c>
      <c r="N36" s="19">
        <f t="shared" si="3"/>
        <v>0.83517765799148447</v>
      </c>
      <c r="O36" s="20"/>
      <c r="P36" s="33"/>
    </row>
    <row r="37" spans="1:16" x14ac:dyDescent="0.25">
      <c r="A37" s="26" t="s">
        <v>48</v>
      </c>
      <c r="B37" s="34"/>
      <c r="C37" s="34"/>
      <c r="D37" s="34"/>
      <c r="E37" s="34"/>
      <c r="F37" s="34"/>
      <c r="G37" s="34"/>
      <c r="H37" s="34"/>
      <c r="I37" s="34"/>
      <c r="J37" s="15"/>
      <c r="K37" s="15"/>
      <c r="L37" s="17"/>
      <c r="M37" s="17"/>
      <c r="N37" s="19"/>
    </row>
    <row r="38" spans="1:16" x14ac:dyDescent="0.25">
      <c r="A38" s="35" t="s">
        <v>49</v>
      </c>
      <c r="B38" s="27"/>
      <c r="C38" s="27"/>
      <c r="D38" s="27"/>
      <c r="E38" s="27"/>
      <c r="F38" s="27"/>
      <c r="G38" s="27"/>
      <c r="H38" s="27"/>
      <c r="I38" s="15"/>
      <c r="J38" s="27">
        <f>SUM(J39:J43)</f>
        <v>180553322</v>
      </c>
      <c r="K38" s="27">
        <f>SUM(J38)</f>
        <v>180553322</v>
      </c>
      <c r="L38" s="18">
        <f>SUM(L39:L43)</f>
        <v>145897102</v>
      </c>
      <c r="M38" s="18">
        <f>+L38-K38</f>
        <v>-34656220</v>
      </c>
      <c r="N38" s="19">
        <f t="shared" si="3"/>
        <v>0.80805548401928595</v>
      </c>
      <c r="O38" s="36"/>
    </row>
    <row r="39" spans="1:16" hidden="1" outlineLevel="1" x14ac:dyDescent="0.25">
      <c r="A39" s="37" t="s">
        <v>50</v>
      </c>
      <c r="B39" s="22"/>
      <c r="C39" s="22"/>
      <c r="D39" s="22"/>
      <c r="E39" s="22"/>
      <c r="F39" s="22"/>
      <c r="G39" s="22"/>
      <c r="H39" s="22"/>
      <c r="I39" s="21"/>
      <c r="J39" s="22">
        <f>+[1]FUN!Q46</f>
        <v>54161503</v>
      </c>
      <c r="K39" s="22">
        <f t="shared" ref="K39:K50" si="10">SUM(J39)</f>
        <v>54161503</v>
      </c>
      <c r="L39" s="17">
        <f>+[2]FUN!$AB$46</f>
        <v>46921464</v>
      </c>
      <c r="M39" s="17">
        <f t="shared" ref="M39:M50" si="11">+L39-K39</f>
        <v>-7240039</v>
      </c>
      <c r="N39" s="23">
        <f t="shared" si="3"/>
        <v>0.86632499840338628</v>
      </c>
    </row>
    <row r="40" spans="1:16" hidden="1" outlineLevel="1" x14ac:dyDescent="0.25">
      <c r="A40" s="37" t="s">
        <v>51</v>
      </c>
      <c r="B40" s="22"/>
      <c r="C40" s="22"/>
      <c r="D40" s="22"/>
      <c r="E40" s="22"/>
      <c r="F40" s="22"/>
      <c r="G40" s="22"/>
      <c r="H40" s="22"/>
      <c r="I40" s="21"/>
      <c r="J40" s="22">
        <f>+[1]FUN!Q47</f>
        <v>50738619</v>
      </c>
      <c r="K40" s="22">
        <f t="shared" si="10"/>
        <v>50738619</v>
      </c>
      <c r="L40" s="17">
        <f>+[2]FUN!$AB$47</f>
        <v>47543315</v>
      </c>
      <c r="M40" s="17">
        <f t="shared" si="11"/>
        <v>-3195304</v>
      </c>
      <c r="N40" s="23">
        <f t="shared" si="3"/>
        <v>0.93702422212161507</v>
      </c>
    </row>
    <row r="41" spans="1:16" hidden="1" outlineLevel="1" x14ac:dyDescent="0.25">
      <c r="A41" s="37" t="s">
        <v>52</v>
      </c>
      <c r="B41" s="22"/>
      <c r="C41" s="22"/>
      <c r="D41" s="22"/>
      <c r="E41" s="22"/>
      <c r="F41" s="22"/>
      <c r="G41" s="22"/>
      <c r="H41" s="22"/>
      <c r="I41" s="21"/>
      <c r="J41" s="22">
        <f>+[1]FUN!Q48</f>
        <v>0</v>
      </c>
      <c r="K41" s="22">
        <f t="shared" si="10"/>
        <v>0</v>
      </c>
      <c r="L41" s="17">
        <f>+[3]FUN!T48</f>
        <v>0</v>
      </c>
      <c r="M41" s="17">
        <f t="shared" si="11"/>
        <v>0</v>
      </c>
      <c r="N41" s="23" t="e">
        <f t="shared" si="3"/>
        <v>#DIV/0!</v>
      </c>
    </row>
    <row r="42" spans="1:16" hidden="1" outlineLevel="1" x14ac:dyDescent="0.25">
      <c r="A42" s="37" t="s">
        <v>53</v>
      </c>
      <c r="B42" s="22"/>
      <c r="C42" s="22"/>
      <c r="D42" s="22"/>
      <c r="E42" s="22"/>
      <c r="F42" s="22"/>
      <c r="G42" s="22"/>
      <c r="H42" s="22"/>
      <c r="I42" s="21"/>
      <c r="J42" s="22">
        <f>+[1]FUN!Q49</f>
        <v>8960802</v>
      </c>
      <c r="K42" s="22">
        <f t="shared" si="10"/>
        <v>8960802</v>
      </c>
      <c r="L42" s="17">
        <f>+[2]FUN!$AB$49</f>
        <v>8960802</v>
      </c>
      <c r="M42" s="17">
        <f t="shared" si="11"/>
        <v>0</v>
      </c>
      <c r="N42" s="23">
        <f t="shared" si="3"/>
        <v>1</v>
      </c>
    </row>
    <row r="43" spans="1:16" hidden="1" outlineLevel="1" x14ac:dyDescent="0.25">
      <c r="A43" s="37" t="s">
        <v>54</v>
      </c>
      <c r="B43" s="22"/>
      <c r="C43" s="22"/>
      <c r="D43" s="22"/>
      <c r="E43" s="22"/>
      <c r="F43" s="22"/>
      <c r="G43" s="22"/>
      <c r="H43" s="22"/>
      <c r="I43" s="21"/>
      <c r="J43" s="22">
        <f>+[1]FUN!Q50</f>
        <v>66692398</v>
      </c>
      <c r="K43" s="22">
        <f t="shared" si="10"/>
        <v>66692398</v>
      </c>
      <c r="L43" s="17">
        <f>+[2]FUN!$AB$50</f>
        <v>42471521</v>
      </c>
      <c r="M43" s="17">
        <f t="shared" si="11"/>
        <v>-24220877</v>
      </c>
      <c r="N43" s="23">
        <f t="shared" si="3"/>
        <v>0.63682701887552462</v>
      </c>
    </row>
    <row r="44" spans="1:16" collapsed="1" x14ac:dyDescent="0.25">
      <c r="A44" s="35" t="s">
        <v>55</v>
      </c>
      <c r="B44" s="27"/>
      <c r="C44" s="27"/>
      <c r="D44" s="27"/>
      <c r="E44" s="27"/>
      <c r="F44" s="27"/>
      <c r="G44" s="27"/>
      <c r="H44" s="27"/>
      <c r="I44" s="15"/>
      <c r="J44" s="27">
        <f>SUM(J45:J49)</f>
        <v>222540177</v>
      </c>
      <c r="K44" s="27">
        <f t="shared" si="10"/>
        <v>222540177</v>
      </c>
      <c r="L44" s="18">
        <f>SUM(L45:L49)</f>
        <v>210037294</v>
      </c>
      <c r="M44" s="18">
        <f t="shared" si="11"/>
        <v>-12502883</v>
      </c>
      <c r="N44" s="19">
        <f t="shared" si="3"/>
        <v>0.9438174123497709</v>
      </c>
      <c r="O44" s="36"/>
    </row>
    <row r="45" spans="1:16" s="38" customFormat="1" ht="15" hidden="1" customHeight="1" outlineLevel="1" x14ac:dyDescent="0.25">
      <c r="A45" s="37" t="s">
        <v>56</v>
      </c>
      <c r="B45" s="22"/>
      <c r="C45" s="27"/>
      <c r="D45" s="27"/>
      <c r="E45" s="27"/>
      <c r="F45" s="27"/>
      <c r="G45" s="27"/>
      <c r="H45" s="27"/>
      <c r="I45" s="21"/>
      <c r="J45" s="22">
        <f>+[1]FUN!Q52</f>
        <v>3277467</v>
      </c>
      <c r="K45" s="22">
        <f t="shared" si="10"/>
        <v>3277467</v>
      </c>
      <c r="L45" s="17">
        <f>+[2]FUN!$AB$52</f>
        <v>1700439</v>
      </c>
      <c r="M45" s="17">
        <f t="shared" si="11"/>
        <v>-1577028</v>
      </c>
      <c r="N45" s="23">
        <f t="shared" si="3"/>
        <v>0.51882719185273263</v>
      </c>
    </row>
    <row r="46" spans="1:16" s="38" customFormat="1" ht="15" hidden="1" customHeight="1" outlineLevel="1" x14ac:dyDescent="0.25">
      <c r="A46" s="37" t="s">
        <v>57</v>
      </c>
      <c r="B46" s="22"/>
      <c r="C46" s="27"/>
      <c r="D46" s="27"/>
      <c r="E46" s="27"/>
      <c r="F46" s="27"/>
      <c r="G46" s="27"/>
      <c r="H46" s="27"/>
      <c r="I46" s="21"/>
      <c r="J46" s="22">
        <f>+[1]FUN!Q53</f>
        <v>150000000</v>
      </c>
      <c r="K46" s="22">
        <f t="shared" si="10"/>
        <v>150000000</v>
      </c>
      <c r="L46" s="17">
        <f>+[2]FUN!$AB$53</f>
        <v>148733741</v>
      </c>
      <c r="M46" s="17">
        <f t="shared" si="11"/>
        <v>-1266259</v>
      </c>
      <c r="N46" s="23">
        <f t="shared" si="3"/>
        <v>0.99155827333333335</v>
      </c>
    </row>
    <row r="47" spans="1:16" s="38" customFormat="1" ht="15" hidden="1" customHeight="1" outlineLevel="1" x14ac:dyDescent="0.25">
      <c r="A47" s="37" t="s">
        <v>58</v>
      </c>
      <c r="B47" s="22"/>
      <c r="C47" s="27"/>
      <c r="D47" s="27"/>
      <c r="E47" s="27"/>
      <c r="F47" s="27"/>
      <c r="G47" s="27"/>
      <c r="H47" s="27"/>
      <c r="I47" s="21"/>
      <c r="J47" s="22">
        <f>+[1]FUN!Q54-2397828</f>
        <v>44708130</v>
      </c>
      <c r="K47" s="22">
        <f t="shared" si="10"/>
        <v>44708130</v>
      </c>
      <c r="L47" s="17">
        <f>+[2]FUN!$AB$54</f>
        <v>35671148</v>
      </c>
      <c r="M47" s="17">
        <f t="shared" si="11"/>
        <v>-9036982</v>
      </c>
      <c r="N47" s="23">
        <f t="shared" si="3"/>
        <v>0.79786714407424331</v>
      </c>
    </row>
    <row r="48" spans="1:16" s="38" customFormat="1" ht="15" hidden="1" customHeight="1" outlineLevel="1" x14ac:dyDescent="0.25">
      <c r="A48" s="37" t="s">
        <v>59</v>
      </c>
      <c r="B48" s="22"/>
      <c r="C48" s="27"/>
      <c r="D48" s="27"/>
      <c r="E48" s="27"/>
      <c r="F48" s="27"/>
      <c r="G48" s="27"/>
      <c r="H48" s="27"/>
      <c r="I48" s="21"/>
      <c r="J48" s="22">
        <f>+[1]FUN!Q55+2397828</f>
        <v>14373780</v>
      </c>
      <c r="K48" s="22">
        <f t="shared" si="10"/>
        <v>14373780</v>
      </c>
      <c r="L48" s="17">
        <f>+[2]FUN!$AB$55</f>
        <v>14373780</v>
      </c>
      <c r="M48" s="17">
        <f t="shared" si="11"/>
        <v>0</v>
      </c>
      <c r="N48" s="23">
        <f t="shared" si="3"/>
        <v>1</v>
      </c>
    </row>
    <row r="49" spans="1:15" s="38" customFormat="1" ht="15" hidden="1" customHeight="1" outlineLevel="1" x14ac:dyDescent="0.25">
      <c r="A49" s="37" t="s">
        <v>60</v>
      </c>
      <c r="B49" s="22"/>
      <c r="C49" s="27"/>
      <c r="D49" s="27"/>
      <c r="E49" s="27"/>
      <c r="F49" s="27"/>
      <c r="G49" s="27"/>
      <c r="H49" s="27"/>
      <c r="I49" s="21"/>
      <c r="J49" s="22">
        <f>+[1]FUN!Q56</f>
        <v>10180800</v>
      </c>
      <c r="K49" s="22">
        <f t="shared" si="10"/>
        <v>10180800</v>
      </c>
      <c r="L49" s="17">
        <f>+[2]FUN!$AB$56</f>
        <v>9558186</v>
      </c>
      <c r="M49" s="17">
        <f t="shared" si="11"/>
        <v>-622614</v>
      </c>
      <c r="N49" s="23">
        <f t="shared" si="3"/>
        <v>0.93884429514380008</v>
      </c>
    </row>
    <row r="50" spans="1:15" collapsed="1" x14ac:dyDescent="0.25">
      <c r="A50" s="26" t="s">
        <v>61</v>
      </c>
      <c r="B50" s="39"/>
      <c r="C50" s="39"/>
      <c r="D50" s="39"/>
      <c r="E50" s="39"/>
      <c r="F50" s="39"/>
      <c r="G50" s="39"/>
      <c r="H50" s="39"/>
      <c r="I50" s="39"/>
      <c r="J50" s="27">
        <f>+J44+J38</f>
        <v>403093499</v>
      </c>
      <c r="K50" s="27">
        <f t="shared" si="10"/>
        <v>403093499</v>
      </c>
      <c r="L50" s="18">
        <f>+L44+L38</f>
        <v>355934396</v>
      </c>
      <c r="M50" s="18">
        <f t="shared" si="11"/>
        <v>-47159103</v>
      </c>
      <c r="N50" s="40">
        <f t="shared" si="3"/>
        <v>0.88300703653868651</v>
      </c>
      <c r="O50" s="36"/>
    </row>
    <row r="51" spans="1:15" x14ac:dyDescent="0.25">
      <c r="A51" s="26"/>
      <c r="B51" s="39"/>
      <c r="C51" s="39"/>
      <c r="D51" s="39"/>
      <c r="E51" s="39"/>
      <c r="F51" s="39"/>
      <c r="G51" s="39"/>
      <c r="H51" s="39"/>
      <c r="I51" s="39"/>
      <c r="J51" s="27"/>
      <c r="K51" s="27"/>
      <c r="L51" s="17"/>
      <c r="M51" s="17"/>
      <c r="N51" s="40"/>
      <c r="O51" s="20"/>
    </row>
    <row r="52" spans="1:15" x14ac:dyDescent="0.25">
      <c r="A52" s="26" t="s">
        <v>62</v>
      </c>
      <c r="B52" s="39">
        <f>+B19+B36</f>
        <v>152137233</v>
      </c>
      <c r="C52" s="39">
        <f t="shared" ref="C52:H52" si="12">+C19+C36</f>
        <v>266974966</v>
      </c>
      <c r="D52" s="39">
        <f t="shared" si="12"/>
        <v>182568769.25</v>
      </c>
      <c r="E52" s="39">
        <f t="shared" si="12"/>
        <v>21318040</v>
      </c>
      <c r="F52" s="39">
        <f t="shared" si="12"/>
        <v>203527098</v>
      </c>
      <c r="G52" s="39">
        <f t="shared" si="12"/>
        <v>734433933</v>
      </c>
      <c r="H52" s="39">
        <f t="shared" si="12"/>
        <v>246653941</v>
      </c>
      <c r="I52" s="39">
        <f>SUM(B52:H52)</f>
        <v>1807613980.25</v>
      </c>
      <c r="J52" s="27">
        <f>+J50+J36+J19</f>
        <v>1115746880</v>
      </c>
      <c r="K52" s="27">
        <f>SUM(I52:J52)</f>
        <v>2923360860.25</v>
      </c>
      <c r="L52" s="18">
        <f>+L50+L36+L19</f>
        <v>2640632944</v>
      </c>
      <c r="M52" s="18">
        <f>+L52-K52</f>
        <v>-282727916.25</v>
      </c>
      <c r="N52" s="40">
        <f t="shared" si="3"/>
        <v>0.9032866861924731</v>
      </c>
      <c r="O52" s="20"/>
    </row>
    <row r="53" spans="1:15" x14ac:dyDescent="0.25">
      <c r="A53" s="26"/>
      <c r="B53" s="39"/>
      <c r="C53" s="39"/>
      <c r="D53" s="39"/>
      <c r="E53" s="39"/>
      <c r="F53" s="39"/>
      <c r="G53" s="39"/>
      <c r="H53" s="39"/>
      <c r="I53" s="39"/>
      <c r="J53" s="27"/>
      <c r="K53" s="27"/>
      <c r="L53" s="17"/>
      <c r="M53" s="17"/>
      <c r="N53" s="40"/>
    </row>
    <row r="54" spans="1:15" x14ac:dyDescent="0.25">
      <c r="A54" s="26" t="s">
        <v>63</v>
      </c>
      <c r="B54" s="39">
        <f>+B56</f>
        <v>295130306.97280002</v>
      </c>
      <c r="C54" s="39">
        <f>+C122</f>
        <v>1087061836</v>
      </c>
      <c r="D54" s="39">
        <f>+D137</f>
        <v>2113831282</v>
      </c>
      <c r="E54" s="39">
        <f>+E175</f>
        <v>1090000000</v>
      </c>
      <c r="F54" s="39">
        <f>+F65</f>
        <v>5059871958.9362001</v>
      </c>
      <c r="G54" s="39">
        <f>+G105</f>
        <v>6158397830</v>
      </c>
      <c r="H54" s="39">
        <f>+H184</f>
        <v>1027085007.1334935</v>
      </c>
      <c r="I54" s="39">
        <f>SUM(B54:H54)</f>
        <v>16831378221.042494</v>
      </c>
      <c r="J54" s="27"/>
      <c r="K54" s="27">
        <f>SUM(I54:J54)</f>
        <v>16831378221.042494</v>
      </c>
      <c r="L54" s="18">
        <f>+L56+L65+L105+L122+L137+L175+L184</f>
        <v>16152841145</v>
      </c>
      <c r="M54" s="18">
        <f>+L54-K54</f>
        <v>-678537076.04249382</v>
      </c>
      <c r="N54" s="40">
        <f t="shared" si="3"/>
        <v>0.95968618451017929</v>
      </c>
      <c r="O54" s="20"/>
    </row>
    <row r="55" spans="1:15" x14ac:dyDescent="0.25">
      <c r="A55" s="26"/>
      <c r="B55" s="34"/>
      <c r="C55" s="34"/>
      <c r="D55" s="34"/>
      <c r="E55" s="34"/>
      <c r="F55" s="34"/>
      <c r="G55" s="34"/>
      <c r="H55" s="34"/>
      <c r="I55" s="34"/>
      <c r="J55" s="15"/>
      <c r="K55" s="15"/>
      <c r="L55" s="17"/>
      <c r="M55" s="17"/>
      <c r="N55" s="19"/>
    </row>
    <row r="56" spans="1:15" x14ac:dyDescent="0.25">
      <c r="A56" s="26" t="s">
        <v>64</v>
      </c>
      <c r="B56" s="27">
        <f>SUM(B60+B57)</f>
        <v>295130306.97280002</v>
      </c>
      <c r="C56" s="27"/>
      <c r="D56" s="27"/>
      <c r="E56" s="27"/>
      <c r="F56" s="27"/>
      <c r="G56" s="27"/>
      <c r="H56" s="27"/>
      <c r="I56" s="15">
        <f t="shared" ref="I56:I63" si="13">SUM(B56:H56)</f>
        <v>295130306.97280002</v>
      </c>
      <c r="J56" s="27"/>
      <c r="K56" s="27">
        <f t="shared" ref="K56:K63" si="14">SUM(I56:J56)</f>
        <v>295130306.97280002</v>
      </c>
      <c r="L56" s="18">
        <f>+L57+L60</f>
        <v>285833825</v>
      </c>
      <c r="M56" s="18">
        <f t="shared" ref="M56:M62" si="15">+L56-K56</f>
        <v>-9296481.9728000164</v>
      </c>
      <c r="N56" s="19">
        <f t="shared" si="3"/>
        <v>0.96850041573786316</v>
      </c>
      <c r="O56" s="36"/>
    </row>
    <row r="57" spans="1:15" s="38" customFormat="1" x14ac:dyDescent="0.25">
      <c r="A57" s="41" t="s">
        <v>65</v>
      </c>
      <c r="B57" s="27">
        <f>SUM(B58:B59)</f>
        <v>47122585</v>
      </c>
      <c r="C57" s="27"/>
      <c r="D57" s="27"/>
      <c r="E57" s="27"/>
      <c r="F57" s="27"/>
      <c r="G57" s="27"/>
      <c r="H57" s="27"/>
      <c r="I57" s="27">
        <f t="shared" si="13"/>
        <v>47122585</v>
      </c>
      <c r="J57" s="27"/>
      <c r="K57" s="27">
        <f t="shared" si="14"/>
        <v>47122585</v>
      </c>
      <c r="L57" s="18">
        <f>SUM(L58:L59)</f>
        <v>44931825</v>
      </c>
      <c r="M57" s="18">
        <f t="shared" si="15"/>
        <v>-2190760</v>
      </c>
      <c r="N57" s="19">
        <f t="shared" si="3"/>
        <v>0.95350934164583712</v>
      </c>
    </row>
    <row r="58" spans="1:15" s="38" customFormat="1" hidden="1" outlineLevel="1" x14ac:dyDescent="0.25">
      <c r="A58" s="37" t="s">
        <v>66</v>
      </c>
      <c r="B58" s="22">
        <f>+[1]ECO!Q38-1</f>
        <v>25564396</v>
      </c>
      <c r="C58" s="27"/>
      <c r="D58" s="27"/>
      <c r="E58" s="27"/>
      <c r="F58" s="27"/>
      <c r="G58" s="27"/>
      <c r="H58" s="27"/>
      <c r="I58" s="21">
        <f t="shared" si="13"/>
        <v>25564396</v>
      </c>
      <c r="J58" s="27"/>
      <c r="K58" s="22">
        <f t="shared" si="14"/>
        <v>25564396</v>
      </c>
      <c r="L58" s="17">
        <f>+[2]ECO!$AB$38</f>
        <v>23373636</v>
      </c>
      <c r="M58" s="17">
        <f t="shared" si="15"/>
        <v>-2190760</v>
      </c>
      <c r="N58" s="23">
        <f t="shared" si="3"/>
        <v>0.91430425346251087</v>
      </c>
    </row>
    <row r="59" spans="1:15" s="38" customFormat="1" hidden="1" outlineLevel="1" x14ac:dyDescent="0.25">
      <c r="A59" s="37" t="s">
        <v>67</v>
      </c>
      <c r="B59" s="22">
        <f>+[1]ECO!Q39+1</f>
        <v>21558189</v>
      </c>
      <c r="C59" s="27"/>
      <c r="D59" s="27"/>
      <c r="E59" s="27"/>
      <c r="F59" s="27"/>
      <c r="G59" s="27"/>
      <c r="H59" s="27"/>
      <c r="I59" s="21">
        <f t="shared" si="13"/>
        <v>21558189</v>
      </c>
      <c r="J59" s="27"/>
      <c r="K59" s="22">
        <f t="shared" si="14"/>
        <v>21558189</v>
      </c>
      <c r="L59" s="17">
        <f>+[2]ECO!$AB$39</f>
        <v>21558189</v>
      </c>
      <c r="M59" s="17">
        <f t="shared" si="15"/>
        <v>0</v>
      </c>
      <c r="N59" s="23">
        <f t="shared" si="3"/>
        <v>1</v>
      </c>
    </row>
    <row r="60" spans="1:15" s="38" customFormat="1" collapsed="1" x14ac:dyDescent="0.25">
      <c r="A60" s="35" t="s">
        <v>68</v>
      </c>
      <c r="B60" s="27">
        <f>SUM(B61:B63)</f>
        <v>248007721.97280002</v>
      </c>
      <c r="C60" s="27"/>
      <c r="D60" s="27"/>
      <c r="E60" s="27"/>
      <c r="F60" s="27"/>
      <c r="G60" s="27"/>
      <c r="H60" s="27"/>
      <c r="I60" s="15">
        <f t="shared" si="13"/>
        <v>248007721.97280002</v>
      </c>
      <c r="J60" s="27"/>
      <c r="K60" s="27">
        <f t="shared" si="14"/>
        <v>248007721.97280002</v>
      </c>
      <c r="L60" s="18">
        <f>SUM(L61:L63)</f>
        <v>240902000</v>
      </c>
      <c r="M60" s="18">
        <f t="shared" si="15"/>
        <v>-7105721.9728000164</v>
      </c>
      <c r="N60" s="19">
        <f t="shared" si="3"/>
        <v>0.97134878738340524</v>
      </c>
    </row>
    <row r="61" spans="1:15" s="38" customFormat="1" hidden="1" outlineLevel="1" x14ac:dyDescent="0.25">
      <c r="A61" s="37" t="s">
        <v>69</v>
      </c>
      <c r="B61" s="22">
        <f>+[1]ECO!Q41+13000000+1000000</f>
        <v>86269938.400000006</v>
      </c>
      <c r="C61" s="27"/>
      <c r="D61" s="27"/>
      <c r="E61" s="27"/>
      <c r="F61" s="27"/>
      <c r="G61" s="27"/>
      <c r="H61" s="27"/>
      <c r="I61" s="21">
        <f t="shared" si="13"/>
        <v>86269938.400000006</v>
      </c>
      <c r="J61" s="27"/>
      <c r="K61" s="22">
        <f t="shared" si="14"/>
        <v>86269938.400000006</v>
      </c>
      <c r="L61" s="17">
        <f>+[2]ECO!$AB$41</f>
        <v>85803725</v>
      </c>
      <c r="M61" s="17">
        <f t="shared" si="15"/>
        <v>-466213.40000000596</v>
      </c>
      <c r="N61" s="23">
        <f t="shared" si="3"/>
        <v>0.99459587651681913</v>
      </c>
    </row>
    <row r="62" spans="1:15" s="38" customFormat="1" hidden="1" outlineLevel="1" x14ac:dyDescent="0.25">
      <c r="A62" s="37" t="s">
        <v>70</v>
      </c>
      <c r="B62" s="22">
        <f>+[1]ECO!Q42+11000000+200000</f>
        <v>148771315.59999999</v>
      </c>
      <c r="C62" s="27"/>
      <c r="D62" s="27"/>
      <c r="E62" s="27"/>
      <c r="F62" s="27"/>
      <c r="G62" s="27"/>
      <c r="H62" s="27"/>
      <c r="I62" s="21">
        <f t="shared" si="13"/>
        <v>148771315.59999999</v>
      </c>
      <c r="J62" s="27"/>
      <c r="K62" s="22">
        <f t="shared" si="14"/>
        <v>148771315.59999999</v>
      </c>
      <c r="L62" s="17">
        <f>+[2]ECO!$AB$42</f>
        <v>148719767</v>
      </c>
      <c r="M62" s="17">
        <f t="shared" si="15"/>
        <v>-51548.59999999404</v>
      </c>
      <c r="N62" s="23">
        <f t="shared" si="3"/>
        <v>0.99965350444208889</v>
      </c>
    </row>
    <row r="63" spans="1:15" s="38" customFormat="1" hidden="1" outlineLevel="1" x14ac:dyDescent="0.25">
      <c r="A63" s="37" t="s">
        <v>71</v>
      </c>
      <c r="B63" s="22">
        <f>+[1]ECO!Q43-11000000-13000000-200000-1000000</f>
        <v>12966467.972800002</v>
      </c>
      <c r="C63" s="27"/>
      <c r="D63" s="27"/>
      <c r="E63" s="27"/>
      <c r="F63" s="27"/>
      <c r="G63" s="27"/>
      <c r="H63" s="27"/>
      <c r="I63" s="21">
        <f t="shared" si="13"/>
        <v>12966467.972800002</v>
      </c>
      <c r="J63" s="27"/>
      <c r="K63" s="22">
        <f t="shared" si="14"/>
        <v>12966467.972800002</v>
      </c>
      <c r="L63" s="17">
        <f>+[2]ECO!$AB$43</f>
        <v>6378508</v>
      </c>
      <c r="M63" s="17">
        <f>+L63-K63</f>
        <v>-6587959.9728000015</v>
      </c>
      <c r="N63" s="23">
        <f t="shared" si="3"/>
        <v>0.4919233220164746</v>
      </c>
    </row>
    <row r="64" spans="1:15" s="38" customFormat="1" collapsed="1" x14ac:dyDescent="0.25">
      <c r="A64" s="37"/>
      <c r="B64" s="22"/>
      <c r="C64" s="27"/>
      <c r="D64" s="27"/>
      <c r="E64" s="27"/>
      <c r="F64" s="27"/>
      <c r="G64" s="27"/>
      <c r="H64" s="27"/>
      <c r="I64" s="21"/>
      <c r="J64" s="27"/>
      <c r="K64" s="22"/>
      <c r="L64" s="17"/>
      <c r="M64" s="17"/>
      <c r="N64" s="23"/>
    </row>
    <row r="65" spans="1:15" s="38" customFormat="1" x14ac:dyDescent="0.25">
      <c r="A65" s="35" t="s">
        <v>72</v>
      </c>
      <c r="B65" s="22"/>
      <c r="C65" s="27"/>
      <c r="D65" s="27"/>
      <c r="E65" s="27"/>
      <c r="F65" s="27">
        <f>+F66+F73+F83+F94+F98</f>
        <v>5059871958.9362001</v>
      </c>
      <c r="G65" s="27"/>
      <c r="H65" s="27"/>
      <c r="I65" s="27">
        <f t="shared" ref="I65:I103" si="16">SUM(B65:H65)</f>
        <v>5059871958.9362001</v>
      </c>
      <c r="J65" s="27"/>
      <c r="K65" s="27">
        <f t="shared" ref="K65:K103" si="17">SUM(I65:J65)</f>
        <v>5059871958.9362001</v>
      </c>
      <c r="L65" s="18">
        <f>+L66+L73+L83+L94+L98</f>
        <v>4839607564</v>
      </c>
      <c r="M65" s="18">
        <f t="shared" ref="M65:M113" si="18">+L65-K65</f>
        <v>-220264394.93620014</v>
      </c>
      <c r="N65" s="19">
        <f t="shared" si="3"/>
        <v>0.95646838561849512</v>
      </c>
      <c r="O65" s="42"/>
    </row>
    <row r="66" spans="1:15" s="38" customFormat="1" x14ac:dyDescent="0.25">
      <c r="A66" s="35" t="s">
        <v>73</v>
      </c>
      <c r="B66" s="22"/>
      <c r="C66" s="27"/>
      <c r="D66" s="27"/>
      <c r="E66" s="27"/>
      <c r="F66" s="27">
        <f>SUM(F67:F72)</f>
        <v>242504530</v>
      </c>
      <c r="G66" s="27"/>
      <c r="H66" s="27"/>
      <c r="I66" s="27">
        <f t="shared" si="16"/>
        <v>242504530</v>
      </c>
      <c r="J66" s="27"/>
      <c r="K66" s="27">
        <f t="shared" si="17"/>
        <v>242504530</v>
      </c>
      <c r="L66" s="18">
        <f>SUM(L67:L72)</f>
        <v>238272219</v>
      </c>
      <c r="M66" s="18">
        <f t="shared" si="18"/>
        <v>-4232311</v>
      </c>
      <c r="N66" s="19">
        <f t="shared" si="3"/>
        <v>0.98254749715397072</v>
      </c>
    </row>
    <row r="67" spans="1:15" s="38" customFormat="1" hidden="1" outlineLevel="1" x14ac:dyDescent="0.25">
      <c r="A67" s="37" t="s">
        <v>74</v>
      </c>
      <c r="B67" s="22"/>
      <c r="C67" s="27"/>
      <c r="D67" s="27"/>
      <c r="E67" s="27"/>
      <c r="F67" s="22">
        <f>+[1]MER!Q38</f>
        <v>0</v>
      </c>
      <c r="G67" s="27"/>
      <c r="H67" s="22"/>
      <c r="I67" s="21">
        <f t="shared" si="16"/>
        <v>0</v>
      </c>
      <c r="J67" s="27"/>
      <c r="K67" s="22">
        <f t="shared" si="17"/>
        <v>0</v>
      </c>
      <c r="L67" s="17">
        <f>+[3]MER!T38</f>
        <v>0</v>
      </c>
      <c r="M67" s="17">
        <f t="shared" si="18"/>
        <v>0</v>
      </c>
      <c r="N67" s="23" t="e">
        <f t="shared" si="3"/>
        <v>#DIV/0!</v>
      </c>
    </row>
    <row r="68" spans="1:15" s="38" customFormat="1" hidden="1" outlineLevel="1" x14ac:dyDescent="0.25">
      <c r="A68" s="37" t="s">
        <v>75</v>
      </c>
      <c r="B68" s="22"/>
      <c r="C68" s="27"/>
      <c r="D68" s="27"/>
      <c r="E68" s="27"/>
      <c r="F68" s="22">
        <f>+[1]MER!Q39</f>
        <v>0</v>
      </c>
      <c r="G68" s="27"/>
      <c r="H68" s="22"/>
      <c r="I68" s="21">
        <f t="shared" si="16"/>
        <v>0</v>
      </c>
      <c r="J68" s="27"/>
      <c r="K68" s="22">
        <f t="shared" si="17"/>
        <v>0</v>
      </c>
      <c r="L68" s="17">
        <f>+[3]MER!T39</f>
        <v>0</v>
      </c>
      <c r="M68" s="17">
        <f t="shared" si="18"/>
        <v>0</v>
      </c>
      <c r="N68" s="23" t="e">
        <f t="shared" si="3"/>
        <v>#DIV/0!</v>
      </c>
    </row>
    <row r="69" spans="1:15" s="38" customFormat="1" hidden="1" outlineLevel="1" x14ac:dyDescent="0.25">
      <c r="A69" s="37" t="s">
        <v>76</v>
      </c>
      <c r="B69" s="22"/>
      <c r="C69" s="27"/>
      <c r="D69" s="27"/>
      <c r="E69" s="27"/>
      <c r="F69" s="22">
        <f>+[1]MER!Q40</f>
        <v>9000000</v>
      </c>
      <c r="G69" s="27"/>
      <c r="H69" s="22"/>
      <c r="I69" s="21">
        <f t="shared" si="16"/>
        <v>9000000</v>
      </c>
      <c r="J69" s="27"/>
      <c r="K69" s="22">
        <f t="shared" si="17"/>
        <v>9000000</v>
      </c>
      <c r="L69" s="17">
        <f>+[2]MER!$AB$40</f>
        <v>9000000</v>
      </c>
      <c r="M69" s="17">
        <f t="shared" si="18"/>
        <v>0</v>
      </c>
      <c r="N69" s="23">
        <f t="shared" si="3"/>
        <v>1</v>
      </c>
    </row>
    <row r="70" spans="1:15" s="38" customFormat="1" hidden="1" outlineLevel="1" x14ac:dyDescent="0.25">
      <c r="A70" s="37" t="s">
        <v>77</v>
      </c>
      <c r="B70" s="22"/>
      <c r="C70" s="27"/>
      <c r="D70" s="27"/>
      <c r="E70" s="27"/>
      <c r="F70" s="22">
        <f>+[1]MER!Q41+20842292</f>
        <v>135151933</v>
      </c>
      <c r="G70" s="27"/>
      <c r="H70" s="22"/>
      <c r="I70" s="21">
        <f t="shared" si="16"/>
        <v>135151933</v>
      </c>
      <c r="J70" s="27"/>
      <c r="K70" s="22">
        <f t="shared" si="17"/>
        <v>135151933</v>
      </c>
      <c r="L70" s="17">
        <f>+[2]MER!$AB$41</f>
        <v>134998360</v>
      </c>
      <c r="M70" s="17">
        <f t="shared" si="18"/>
        <v>-153573</v>
      </c>
      <c r="N70" s="23">
        <f t="shared" si="3"/>
        <v>0.99886370104673239</v>
      </c>
    </row>
    <row r="71" spans="1:15" s="38" customFormat="1" hidden="1" outlineLevel="1" x14ac:dyDescent="0.25">
      <c r="A71" s="37" t="s">
        <v>78</v>
      </c>
      <c r="B71" s="22"/>
      <c r="C71" s="27"/>
      <c r="D71" s="27"/>
      <c r="E71" s="27"/>
      <c r="F71" s="22">
        <f>+[1]MER!Q42-20842292</f>
        <v>93467349</v>
      </c>
      <c r="G71" s="27"/>
      <c r="H71" s="22"/>
      <c r="I71" s="21">
        <f t="shared" si="16"/>
        <v>93467349</v>
      </c>
      <c r="J71" s="27"/>
      <c r="K71" s="22">
        <f t="shared" si="17"/>
        <v>93467349</v>
      </c>
      <c r="L71" s="17">
        <f>+[2]MER!$AB$42</f>
        <v>93174942</v>
      </c>
      <c r="M71" s="17">
        <f t="shared" si="18"/>
        <v>-292407</v>
      </c>
      <c r="N71" s="23">
        <f t="shared" si="3"/>
        <v>0.99687155992837673</v>
      </c>
    </row>
    <row r="72" spans="1:15" s="38" customFormat="1" hidden="1" outlineLevel="1" x14ac:dyDescent="0.25">
      <c r="A72" s="37" t="s">
        <v>79</v>
      </c>
      <c r="B72" s="22"/>
      <c r="C72" s="27"/>
      <c r="D72" s="27"/>
      <c r="E72" s="27"/>
      <c r="F72" s="22">
        <f>+[1]MER!Q43</f>
        <v>4885248</v>
      </c>
      <c r="G72" s="27"/>
      <c r="H72" s="22"/>
      <c r="I72" s="21">
        <f t="shared" si="16"/>
        <v>4885248</v>
      </c>
      <c r="J72" s="27"/>
      <c r="K72" s="22">
        <f t="shared" si="17"/>
        <v>4885248</v>
      </c>
      <c r="L72" s="17">
        <f>+[2]MER!$AB$43</f>
        <v>1098917</v>
      </c>
      <c r="M72" s="17">
        <f t="shared" si="18"/>
        <v>-3786331</v>
      </c>
      <c r="N72" s="23">
        <f t="shared" si="3"/>
        <v>0.22494600069433526</v>
      </c>
    </row>
    <row r="73" spans="1:15" s="38" customFormat="1" collapsed="1" x14ac:dyDescent="0.25">
      <c r="A73" s="35" t="s">
        <v>80</v>
      </c>
      <c r="B73" s="22"/>
      <c r="C73" s="27"/>
      <c r="D73" s="27"/>
      <c r="E73" s="27"/>
      <c r="F73" s="27">
        <f>SUM(F74:F82)</f>
        <v>3074249444.4201713</v>
      </c>
      <c r="G73" s="27"/>
      <c r="H73" s="27"/>
      <c r="I73" s="27">
        <f t="shared" si="16"/>
        <v>3074249444.4201713</v>
      </c>
      <c r="J73" s="27"/>
      <c r="K73" s="27">
        <f t="shared" si="17"/>
        <v>3074249444.4201713</v>
      </c>
      <c r="L73" s="18">
        <f>SUM(L74:L82)</f>
        <v>3036587884</v>
      </c>
      <c r="M73" s="18">
        <f t="shared" si="18"/>
        <v>-37661560.420171261</v>
      </c>
      <c r="N73" s="19">
        <f t="shared" ref="N73:N135" si="19">+L73/K73</f>
        <v>0.98774934789741031</v>
      </c>
    </row>
    <row r="74" spans="1:15" s="38" customFormat="1" hidden="1" outlineLevel="1" x14ac:dyDescent="0.25">
      <c r="A74" s="37" t="s">
        <v>81</v>
      </c>
      <c r="B74" s="22"/>
      <c r="C74" s="27"/>
      <c r="D74" s="27"/>
      <c r="E74" s="27"/>
      <c r="F74" s="22">
        <f>+[1]MER!Q45</f>
        <v>2369828069.571485</v>
      </c>
      <c r="G74" s="27"/>
      <c r="H74" s="22"/>
      <c r="I74" s="21">
        <f t="shared" si="16"/>
        <v>2369828069.571485</v>
      </c>
      <c r="J74" s="27"/>
      <c r="K74" s="22">
        <f t="shared" si="17"/>
        <v>2369828069.571485</v>
      </c>
      <c r="L74" s="17">
        <f>+[2]MER!$AB$45</f>
        <v>2366852077</v>
      </c>
      <c r="M74" s="17">
        <f t="shared" si="18"/>
        <v>-2975992.5714850426</v>
      </c>
      <c r="N74" s="23">
        <f t="shared" si="19"/>
        <v>0.99874421583164763</v>
      </c>
    </row>
    <row r="75" spans="1:15" s="38" customFormat="1" hidden="1" outlineLevel="1" x14ac:dyDescent="0.25">
      <c r="A75" s="37" t="s">
        <v>82</v>
      </c>
      <c r="B75" s="22"/>
      <c r="C75" s="27"/>
      <c r="D75" s="27"/>
      <c r="E75" s="27"/>
      <c r="F75" s="22">
        <f>+[1]MER!Q46</f>
        <v>183063149.98578709</v>
      </c>
      <c r="G75" s="27"/>
      <c r="H75" s="22"/>
      <c r="I75" s="21">
        <f t="shared" si="16"/>
        <v>183063149.98578709</v>
      </c>
      <c r="J75" s="27"/>
      <c r="K75" s="22">
        <f t="shared" si="17"/>
        <v>183063149.98578709</v>
      </c>
      <c r="L75" s="17">
        <f>+[2]MER!$AB$46</f>
        <v>182015674</v>
      </c>
      <c r="M75" s="17">
        <f t="shared" si="18"/>
        <v>-1047475.9857870936</v>
      </c>
      <c r="N75" s="23">
        <f t="shared" si="19"/>
        <v>0.99427806204652103</v>
      </c>
    </row>
    <row r="76" spans="1:15" s="38" customFormat="1" hidden="1" outlineLevel="1" x14ac:dyDescent="0.25">
      <c r="A76" s="37" t="s">
        <v>83</v>
      </c>
      <c r="B76" s="22"/>
      <c r="C76" s="27"/>
      <c r="D76" s="27"/>
      <c r="E76" s="27"/>
      <c r="F76" s="22">
        <f>+[1]MER!Q47</f>
        <v>22677577.523261901</v>
      </c>
      <c r="G76" s="27"/>
      <c r="H76" s="22"/>
      <c r="I76" s="21">
        <f t="shared" si="16"/>
        <v>22677577.523261901</v>
      </c>
      <c r="J76" s="27"/>
      <c r="K76" s="22">
        <f t="shared" si="17"/>
        <v>22677577.523261901</v>
      </c>
      <c r="L76" s="17">
        <f>+[2]MER!$AB$47</f>
        <v>18990561</v>
      </c>
      <c r="M76" s="17">
        <f t="shared" si="18"/>
        <v>-3687016.523261901</v>
      </c>
      <c r="N76" s="23">
        <f t="shared" si="19"/>
        <v>0.83741576808722706</v>
      </c>
    </row>
    <row r="77" spans="1:15" s="38" customFormat="1" hidden="1" outlineLevel="1" x14ac:dyDescent="0.25">
      <c r="A77" s="37" t="s">
        <v>84</v>
      </c>
      <c r="B77" s="22"/>
      <c r="C77" s="27"/>
      <c r="D77" s="27"/>
      <c r="E77" s="27"/>
      <c r="F77" s="22">
        <f>+[1]MER!Q48</f>
        <v>60958229.339637384</v>
      </c>
      <c r="G77" s="27"/>
      <c r="H77" s="22"/>
      <c r="I77" s="21">
        <f t="shared" si="16"/>
        <v>60958229.339637384</v>
      </c>
      <c r="J77" s="27"/>
      <c r="K77" s="22">
        <f t="shared" si="17"/>
        <v>60958229.339637384</v>
      </c>
      <c r="L77" s="17">
        <f>+[2]MER!$AB$48</f>
        <v>60958229</v>
      </c>
      <c r="M77" s="17">
        <f t="shared" si="18"/>
        <v>-0.3396373838186264</v>
      </c>
      <c r="N77" s="23">
        <f t="shared" si="19"/>
        <v>0.99999999442835874</v>
      </c>
    </row>
    <row r="78" spans="1:15" s="38" customFormat="1" hidden="1" outlineLevel="1" x14ac:dyDescent="0.25">
      <c r="A78" s="37" t="s">
        <v>85</v>
      </c>
      <c r="B78" s="22"/>
      <c r="C78" s="27"/>
      <c r="D78" s="27"/>
      <c r="E78" s="27"/>
      <c r="F78" s="22">
        <f>+[1]MER!Q49</f>
        <v>37343840</v>
      </c>
      <c r="G78" s="27"/>
      <c r="H78" s="22"/>
      <c r="I78" s="21">
        <f t="shared" si="16"/>
        <v>37343840</v>
      </c>
      <c r="J78" s="27"/>
      <c r="K78" s="22">
        <f t="shared" si="17"/>
        <v>37343840</v>
      </c>
      <c r="L78" s="17">
        <f>+[2]MER!$AB$49</f>
        <v>8130473</v>
      </c>
      <c r="M78" s="17">
        <f t="shared" si="18"/>
        <v>-29213367</v>
      </c>
      <c r="N78" s="23">
        <f t="shared" si="19"/>
        <v>0.2177192543669853</v>
      </c>
    </row>
    <row r="79" spans="1:15" s="38" customFormat="1" hidden="1" outlineLevel="1" x14ac:dyDescent="0.25">
      <c r="A79" s="37" t="s">
        <v>86</v>
      </c>
      <c r="B79" s="22"/>
      <c r="C79" s="27"/>
      <c r="D79" s="27"/>
      <c r="E79" s="27"/>
      <c r="F79" s="22">
        <f>+[1]MER!Q50</f>
        <v>186138578</v>
      </c>
      <c r="G79" s="27"/>
      <c r="H79" s="22"/>
      <c r="I79" s="21">
        <f t="shared" si="16"/>
        <v>186138578</v>
      </c>
      <c r="J79" s="27"/>
      <c r="K79" s="22">
        <f t="shared" si="17"/>
        <v>186138578</v>
      </c>
      <c r="L79" s="17">
        <f>+[2]MER!$AB$50</f>
        <v>185409309</v>
      </c>
      <c r="M79" s="17">
        <f t="shared" si="18"/>
        <v>-729269</v>
      </c>
      <c r="N79" s="23">
        <f t="shared" si="19"/>
        <v>0.99608211791539525</v>
      </c>
    </row>
    <row r="80" spans="1:15" s="38" customFormat="1" hidden="1" outlineLevel="1" x14ac:dyDescent="0.25">
      <c r="A80" s="37" t="s">
        <v>87</v>
      </c>
      <c r="B80" s="22"/>
      <c r="C80" s="27"/>
      <c r="D80" s="27"/>
      <c r="E80" s="27"/>
      <c r="F80" s="22">
        <f>+[1]MER!Q51</f>
        <v>64240000</v>
      </c>
      <c r="G80" s="27"/>
      <c r="H80" s="22"/>
      <c r="I80" s="21">
        <f t="shared" si="16"/>
        <v>64240000</v>
      </c>
      <c r="J80" s="27"/>
      <c r="K80" s="22">
        <f t="shared" si="17"/>
        <v>64240000</v>
      </c>
      <c r="L80" s="17">
        <f>+[2]MER!$AB$51</f>
        <v>64231561</v>
      </c>
      <c r="M80" s="17">
        <f t="shared" si="18"/>
        <v>-8439</v>
      </c>
      <c r="N80" s="23">
        <f t="shared" si="19"/>
        <v>0.99986863325031128</v>
      </c>
    </row>
    <row r="81" spans="1:14" s="38" customFormat="1" hidden="1" outlineLevel="1" x14ac:dyDescent="0.25">
      <c r="A81" s="37" t="s">
        <v>88</v>
      </c>
      <c r="B81" s="22"/>
      <c r="C81" s="27"/>
      <c r="D81" s="27"/>
      <c r="E81" s="27"/>
      <c r="F81" s="22">
        <f>+[1]MER!Q52</f>
        <v>150000000</v>
      </c>
      <c r="G81" s="27"/>
      <c r="H81" s="22"/>
      <c r="I81" s="21">
        <f t="shared" si="16"/>
        <v>150000000</v>
      </c>
      <c r="J81" s="27"/>
      <c r="K81" s="22">
        <f t="shared" si="17"/>
        <v>150000000</v>
      </c>
      <c r="L81" s="17">
        <f>+[2]MER!$AB$52</f>
        <v>150000000</v>
      </c>
      <c r="M81" s="17">
        <f t="shared" si="18"/>
        <v>0</v>
      </c>
      <c r="N81" s="23">
        <f t="shared" si="19"/>
        <v>1</v>
      </c>
    </row>
    <row r="82" spans="1:14" s="38" customFormat="1" hidden="1" outlineLevel="1" x14ac:dyDescent="0.25">
      <c r="A82" s="37" t="s">
        <v>89</v>
      </c>
      <c r="B82" s="22"/>
      <c r="C82" s="27"/>
      <c r="D82" s="27"/>
      <c r="E82" s="27"/>
      <c r="F82" s="22">
        <f>+[1]MER!Q53</f>
        <v>0</v>
      </c>
      <c r="G82" s="27"/>
      <c r="H82" s="22"/>
      <c r="I82" s="21">
        <f t="shared" si="16"/>
        <v>0</v>
      </c>
      <c r="J82" s="27"/>
      <c r="K82" s="22">
        <f t="shared" si="17"/>
        <v>0</v>
      </c>
      <c r="L82" s="17">
        <f>+[3]MER!T53</f>
        <v>0</v>
      </c>
      <c r="M82" s="17">
        <f t="shared" si="18"/>
        <v>0</v>
      </c>
      <c r="N82" s="23" t="e">
        <f t="shared" si="19"/>
        <v>#DIV/0!</v>
      </c>
    </row>
    <row r="83" spans="1:14" s="38" customFormat="1" collapsed="1" x14ac:dyDescent="0.25">
      <c r="A83" s="35" t="s">
        <v>90</v>
      </c>
      <c r="B83" s="22"/>
      <c r="C83" s="27"/>
      <c r="D83" s="27"/>
      <c r="E83" s="27"/>
      <c r="F83" s="27">
        <f>SUM(F84:F93)</f>
        <v>1615401935.6322298</v>
      </c>
      <c r="G83" s="27"/>
      <c r="H83" s="27"/>
      <c r="I83" s="15">
        <f t="shared" si="16"/>
        <v>1615401935.6322298</v>
      </c>
      <c r="J83" s="27"/>
      <c r="K83" s="27">
        <f t="shared" si="17"/>
        <v>1615401935.6322298</v>
      </c>
      <c r="L83" s="18">
        <f>SUM(L84:L93)</f>
        <v>1448607096</v>
      </c>
      <c r="M83" s="18">
        <f t="shared" si="18"/>
        <v>-166794839.6322298</v>
      </c>
      <c r="N83" s="19">
        <f t="shared" si="19"/>
        <v>0.89674715873919619</v>
      </c>
    </row>
    <row r="84" spans="1:14" s="38" customFormat="1" hidden="1" outlineLevel="1" x14ac:dyDescent="0.25">
      <c r="A84" s="37" t="s">
        <v>91</v>
      </c>
      <c r="B84" s="22"/>
      <c r="C84" s="27"/>
      <c r="D84" s="27"/>
      <c r="E84" s="27"/>
      <c r="F84" s="22">
        <f>+[1]MER!Q55</f>
        <v>123370117.783154</v>
      </c>
      <c r="G84" s="27"/>
      <c r="H84" s="22"/>
      <c r="I84" s="21">
        <f t="shared" si="16"/>
        <v>123370117.783154</v>
      </c>
      <c r="J84" s="27"/>
      <c r="K84" s="22">
        <f t="shared" si="17"/>
        <v>123370117.783154</v>
      </c>
      <c r="L84" s="17">
        <f>+[2]MER!$AB$55</f>
        <v>63062700</v>
      </c>
      <c r="M84" s="17">
        <f t="shared" si="18"/>
        <v>-60307417.783153996</v>
      </c>
      <c r="N84" s="23">
        <f t="shared" si="19"/>
        <v>0.51116673253765121</v>
      </c>
    </row>
    <row r="85" spans="1:14" s="38" customFormat="1" hidden="1" outlineLevel="1" x14ac:dyDescent="0.25">
      <c r="A85" s="37" t="s">
        <v>92</v>
      </c>
      <c r="B85" s="22"/>
      <c r="C85" s="27"/>
      <c r="D85" s="27"/>
      <c r="E85" s="27"/>
      <c r="F85" s="22">
        <f>+[1]MER!Q56</f>
        <v>44009469</v>
      </c>
      <c r="G85" s="27"/>
      <c r="H85" s="22"/>
      <c r="I85" s="21">
        <f t="shared" si="16"/>
        <v>44009469</v>
      </c>
      <c r="J85" s="27"/>
      <c r="K85" s="22">
        <f t="shared" si="17"/>
        <v>44009469</v>
      </c>
      <c r="L85" s="17">
        <f>+[2]MER!$AB$56</f>
        <v>44009469</v>
      </c>
      <c r="M85" s="17">
        <f t="shared" si="18"/>
        <v>0</v>
      </c>
      <c r="N85" s="23">
        <f t="shared" si="19"/>
        <v>1</v>
      </c>
    </row>
    <row r="86" spans="1:14" s="38" customFormat="1" hidden="1" outlineLevel="1" x14ac:dyDescent="0.25">
      <c r="A86" s="37" t="s">
        <v>93</v>
      </c>
      <c r="B86" s="22"/>
      <c r="C86" s="27"/>
      <c r="D86" s="27"/>
      <c r="E86" s="27"/>
      <c r="F86" s="22">
        <f>+[1]MER!Q57</f>
        <v>6787379.3690757696</v>
      </c>
      <c r="G86" s="27"/>
      <c r="H86" s="22"/>
      <c r="I86" s="21">
        <f t="shared" si="16"/>
        <v>6787379.3690757696</v>
      </c>
      <c r="J86" s="27"/>
      <c r="K86" s="22">
        <f t="shared" si="17"/>
        <v>6787379.3690757696</v>
      </c>
      <c r="L86" s="17">
        <f>+[2]MER!$AB$57</f>
        <v>6399309</v>
      </c>
      <c r="M86" s="17">
        <f t="shared" si="18"/>
        <v>-388070.36907576956</v>
      </c>
      <c r="N86" s="23">
        <f t="shared" si="19"/>
        <v>0.94282471216448116</v>
      </c>
    </row>
    <row r="87" spans="1:14" s="38" customFormat="1" hidden="1" outlineLevel="1" x14ac:dyDescent="0.25">
      <c r="A87" s="37" t="s">
        <v>94</v>
      </c>
      <c r="B87" s="22"/>
      <c r="C87" s="27"/>
      <c r="D87" s="27"/>
      <c r="E87" s="27"/>
      <c r="F87" s="22">
        <f>+[1]MER!Q58</f>
        <v>0</v>
      </c>
      <c r="G87" s="27"/>
      <c r="H87" s="22"/>
      <c r="I87" s="21">
        <f t="shared" si="16"/>
        <v>0</v>
      </c>
      <c r="J87" s="27"/>
      <c r="K87" s="22">
        <f t="shared" si="17"/>
        <v>0</v>
      </c>
      <c r="L87" s="17">
        <f>+[3]MER!T58</f>
        <v>0</v>
      </c>
      <c r="M87" s="17">
        <f t="shared" si="18"/>
        <v>0</v>
      </c>
      <c r="N87" s="23" t="e">
        <f t="shared" si="19"/>
        <v>#DIV/0!</v>
      </c>
    </row>
    <row r="88" spans="1:14" s="38" customFormat="1" hidden="1" outlineLevel="1" x14ac:dyDescent="0.25">
      <c r="A88" s="37" t="s">
        <v>95</v>
      </c>
      <c r="B88" s="22"/>
      <c r="C88" s="27"/>
      <c r="D88" s="27"/>
      <c r="E88" s="27"/>
      <c r="F88" s="22">
        <f>+[1]MER!Q59</f>
        <v>50000000</v>
      </c>
      <c r="G88" s="27"/>
      <c r="H88" s="22"/>
      <c r="I88" s="21">
        <f t="shared" si="16"/>
        <v>50000000</v>
      </c>
      <c r="J88" s="27"/>
      <c r="K88" s="22">
        <f t="shared" si="17"/>
        <v>50000000</v>
      </c>
      <c r="L88" s="17">
        <f>+[2]MER!$AB$59</f>
        <v>22729962</v>
      </c>
      <c r="M88" s="17">
        <f t="shared" si="18"/>
        <v>-27270038</v>
      </c>
      <c r="N88" s="23">
        <f t="shared" si="19"/>
        <v>0.45459924000000002</v>
      </c>
    </row>
    <row r="89" spans="1:14" s="38" customFormat="1" hidden="1" outlineLevel="1" x14ac:dyDescent="0.25">
      <c r="A89" s="37" t="s">
        <v>96</v>
      </c>
      <c r="B89" s="22"/>
      <c r="C89" s="27"/>
      <c r="D89" s="27"/>
      <c r="E89" s="27"/>
      <c r="F89" s="22">
        <f>+[1]MER!Q60</f>
        <v>388465844.48000002</v>
      </c>
      <c r="G89" s="27"/>
      <c r="H89" s="22"/>
      <c r="I89" s="21">
        <f t="shared" si="16"/>
        <v>388465844.48000002</v>
      </c>
      <c r="J89" s="27"/>
      <c r="K89" s="22">
        <f t="shared" si="17"/>
        <v>388465844.48000002</v>
      </c>
      <c r="L89" s="17">
        <f>+[2]MER!$AB$60</f>
        <v>366214538</v>
      </c>
      <c r="M89" s="17">
        <f t="shared" si="18"/>
        <v>-22251306.480000019</v>
      </c>
      <c r="N89" s="23">
        <f t="shared" si="19"/>
        <v>0.94272004399824239</v>
      </c>
    </row>
    <row r="90" spans="1:14" s="38" customFormat="1" hidden="1" outlineLevel="1" x14ac:dyDescent="0.25">
      <c r="A90" s="37" t="s">
        <v>97</v>
      </c>
      <c r="B90" s="22"/>
      <c r="C90" s="27"/>
      <c r="D90" s="27"/>
      <c r="E90" s="27"/>
      <c r="F90" s="22">
        <f>+[1]MER!Q61</f>
        <v>5281000</v>
      </c>
      <c r="G90" s="27"/>
      <c r="H90" s="22"/>
      <c r="I90" s="21">
        <f t="shared" si="16"/>
        <v>5281000</v>
      </c>
      <c r="J90" s="27"/>
      <c r="K90" s="22">
        <f t="shared" si="17"/>
        <v>5281000</v>
      </c>
      <c r="L90" s="17">
        <f>+[2]MER!$AB$61</f>
        <v>4657360</v>
      </c>
      <c r="M90" s="17">
        <f t="shared" si="18"/>
        <v>-623640</v>
      </c>
      <c r="N90" s="23">
        <f t="shared" si="19"/>
        <v>0.88190872940730924</v>
      </c>
    </row>
    <row r="91" spans="1:14" s="38" customFormat="1" hidden="1" outlineLevel="1" x14ac:dyDescent="0.25">
      <c r="A91" s="37" t="s">
        <v>98</v>
      </c>
      <c r="B91" s="22"/>
      <c r="C91" s="27"/>
      <c r="D91" s="27"/>
      <c r="E91" s="27"/>
      <c r="F91" s="22">
        <f>+[1]MER!Q62</f>
        <v>0</v>
      </c>
      <c r="G91" s="27"/>
      <c r="H91" s="22"/>
      <c r="I91" s="21">
        <f t="shared" si="16"/>
        <v>0</v>
      </c>
      <c r="J91" s="27"/>
      <c r="K91" s="22">
        <f t="shared" si="17"/>
        <v>0</v>
      </c>
      <c r="L91" s="17">
        <f>+[3]MER!T62</f>
        <v>0</v>
      </c>
      <c r="M91" s="17">
        <f t="shared" si="18"/>
        <v>0</v>
      </c>
      <c r="N91" s="23" t="e">
        <f t="shared" si="19"/>
        <v>#DIV/0!</v>
      </c>
    </row>
    <row r="92" spans="1:14" s="38" customFormat="1" hidden="1" outlineLevel="1" x14ac:dyDescent="0.25">
      <c r="A92" s="37" t="s">
        <v>99</v>
      </c>
      <c r="B92" s="22"/>
      <c r="C92" s="27"/>
      <c r="D92" s="27"/>
      <c r="E92" s="27"/>
      <c r="F92" s="22">
        <f>+[1]MER!Q63</f>
        <v>48000000</v>
      </c>
      <c r="G92" s="27"/>
      <c r="H92" s="22"/>
      <c r="I92" s="21">
        <f t="shared" si="16"/>
        <v>48000000</v>
      </c>
      <c r="J92" s="27"/>
      <c r="K92" s="22">
        <f t="shared" si="17"/>
        <v>48000000</v>
      </c>
      <c r="L92" s="17">
        <f>+[2]MER!$AB$63</f>
        <v>48000000</v>
      </c>
      <c r="M92" s="17">
        <f t="shared" si="18"/>
        <v>0</v>
      </c>
      <c r="N92" s="23">
        <f t="shared" si="19"/>
        <v>1</v>
      </c>
    </row>
    <row r="93" spans="1:14" s="38" customFormat="1" hidden="1" outlineLevel="1" x14ac:dyDescent="0.25">
      <c r="A93" s="37" t="s">
        <v>100</v>
      </c>
      <c r="B93" s="22"/>
      <c r="C93" s="27"/>
      <c r="D93" s="27"/>
      <c r="E93" s="27"/>
      <c r="F93" s="22">
        <f>+[1]MER!Q64</f>
        <v>949488125</v>
      </c>
      <c r="G93" s="27"/>
      <c r="H93" s="22"/>
      <c r="I93" s="21">
        <f t="shared" si="16"/>
        <v>949488125</v>
      </c>
      <c r="J93" s="27"/>
      <c r="K93" s="22">
        <f t="shared" si="17"/>
        <v>949488125</v>
      </c>
      <c r="L93" s="17">
        <f>+[2]MER!$AB$64</f>
        <v>893533758</v>
      </c>
      <c r="M93" s="17">
        <f t="shared" si="18"/>
        <v>-55954367</v>
      </c>
      <c r="N93" s="23">
        <f t="shared" si="19"/>
        <v>0.94106891331579323</v>
      </c>
    </row>
    <row r="94" spans="1:14" s="38" customFormat="1" collapsed="1" x14ac:dyDescent="0.25">
      <c r="A94" s="35" t="s">
        <v>101</v>
      </c>
      <c r="B94" s="27"/>
      <c r="C94" s="27"/>
      <c r="D94" s="27"/>
      <c r="E94" s="27"/>
      <c r="F94" s="27">
        <f>SUM(F95:F97)</f>
        <v>63393696.8838</v>
      </c>
      <c r="G94" s="27"/>
      <c r="H94" s="27"/>
      <c r="I94" s="27">
        <f t="shared" si="16"/>
        <v>63393696.8838</v>
      </c>
      <c r="J94" s="27"/>
      <c r="K94" s="27">
        <f t="shared" si="17"/>
        <v>63393696.8838</v>
      </c>
      <c r="L94" s="18">
        <f>SUM(L95:L97)</f>
        <v>60088390</v>
      </c>
      <c r="M94" s="18">
        <f t="shared" si="18"/>
        <v>-3305306.8838</v>
      </c>
      <c r="N94" s="19">
        <f t="shared" si="19"/>
        <v>0.9478606384186965</v>
      </c>
    </row>
    <row r="95" spans="1:14" s="38" customFormat="1" hidden="1" outlineLevel="1" x14ac:dyDescent="0.25">
      <c r="A95" s="37" t="s">
        <v>102</v>
      </c>
      <c r="B95" s="22"/>
      <c r="C95" s="27"/>
      <c r="D95" s="27"/>
      <c r="E95" s="27"/>
      <c r="F95" s="22">
        <f>+[1]MER!Q66</f>
        <v>15000000</v>
      </c>
      <c r="G95" s="27"/>
      <c r="H95" s="22"/>
      <c r="I95" s="21">
        <f t="shared" si="16"/>
        <v>15000000</v>
      </c>
      <c r="J95" s="27"/>
      <c r="K95" s="22">
        <f t="shared" si="17"/>
        <v>15000000</v>
      </c>
      <c r="L95" s="17">
        <f>+[2]MER!$AB$66</f>
        <v>15000000</v>
      </c>
      <c r="M95" s="17">
        <f t="shared" si="18"/>
        <v>0</v>
      </c>
      <c r="N95" s="23">
        <f t="shared" si="19"/>
        <v>1</v>
      </c>
    </row>
    <row r="96" spans="1:14" s="38" customFormat="1" hidden="1" outlineLevel="1" x14ac:dyDescent="0.25">
      <c r="A96" s="37" t="s">
        <v>103</v>
      </c>
      <c r="B96" s="22"/>
      <c r="C96" s="27"/>
      <c r="D96" s="27"/>
      <c r="E96" s="27"/>
      <c r="F96" s="22">
        <f>+[1]MER!Q67</f>
        <v>2779600.4838</v>
      </c>
      <c r="G96" s="27"/>
      <c r="H96" s="22"/>
      <c r="I96" s="21">
        <f t="shared" si="16"/>
        <v>2779600.4838</v>
      </c>
      <c r="J96" s="27"/>
      <c r="K96" s="22">
        <f t="shared" si="17"/>
        <v>2779600.4838</v>
      </c>
      <c r="L96" s="17">
        <f>+[2]MER!$AB$67</f>
        <v>2779600</v>
      </c>
      <c r="M96" s="17">
        <f t="shared" si="18"/>
        <v>-0.48380000004544854</v>
      </c>
      <c r="N96" s="23">
        <f t="shared" si="19"/>
        <v>0.99999982594620962</v>
      </c>
    </row>
    <row r="97" spans="1:15" s="38" customFormat="1" hidden="1" outlineLevel="1" x14ac:dyDescent="0.25">
      <c r="A97" s="37" t="s">
        <v>104</v>
      </c>
      <c r="B97" s="22"/>
      <c r="C97" s="27"/>
      <c r="D97" s="27"/>
      <c r="E97" s="27"/>
      <c r="F97" s="22">
        <f>+[1]MER!Q68</f>
        <v>45614096.399999999</v>
      </c>
      <c r="G97" s="27"/>
      <c r="H97" s="22"/>
      <c r="I97" s="21">
        <f t="shared" si="16"/>
        <v>45614096.399999999</v>
      </c>
      <c r="J97" s="27"/>
      <c r="K97" s="22">
        <f t="shared" si="17"/>
        <v>45614096.399999999</v>
      </c>
      <c r="L97" s="17">
        <f>+[2]MER!$AB$68</f>
        <v>42308790</v>
      </c>
      <c r="M97" s="17">
        <f t="shared" si="18"/>
        <v>-3305306.3999999985</v>
      </c>
      <c r="N97" s="23">
        <f t="shared" si="19"/>
        <v>0.92753761093906051</v>
      </c>
    </row>
    <row r="98" spans="1:15" s="38" customFormat="1" collapsed="1" x14ac:dyDescent="0.25">
      <c r="A98" s="35" t="s">
        <v>105</v>
      </c>
      <c r="B98" s="22"/>
      <c r="C98" s="27"/>
      <c r="D98" s="27"/>
      <c r="E98" s="27"/>
      <c r="F98" s="27">
        <f>SUM(F99:F103)</f>
        <v>64322352</v>
      </c>
      <c r="G98" s="27"/>
      <c r="H98" s="27"/>
      <c r="I98" s="27">
        <f t="shared" si="16"/>
        <v>64322352</v>
      </c>
      <c r="J98" s="27"/>
      <c r="K98" s="27">
        <f t="shared" si="17"/>
        <v>64322352</v>
      </c>
      <c r="L98" s="18">
        <f>SUM(L99:L103)</f>
        <v>56051975</v>
      </c>
      <c r="M98" s="18">
        <f t="shared" si="18"/>
        <v>-8270377</v>
      </c>
      <c r="N98" s="19">
        <f t="shared" si="19"/>
        <v>0.87142296973220135</v>
      </c>
    </row>
    <row r="99" spans="1:15" s="38" customFormat="1" hidden="1" outlineLevel="1" x14ac:dyDescent="0.25">
      <c r="A99" s="37" t="s">
        <v>106</v>
      </c>
      <c r="B99" s="22"/>
      <c r="C99" s="27"/>
      <c r="D99" s="27"/>
      <c r="E99" s="27"/>
      <c r="F99" s="22">
        <f>+[1]MER!Q70</f>
        <v>20400750</v>
      </c>
      <c r="G99" s="27"/>
      <c r="H99" s="22"/>
      <c r="I99" s="21">
        <f t="shared" si="16"/>
        <v>20400750</v>
      </c>
      <c r="J99" s="27"/>
      <c r="K99" s="22">
        <f t="shared" si="17"/>
        <v>20400750</v>
      </c>
      <c r="L99" s="17">
        <f>+[2]MER!$AB$70</f>
        <v>19806517</v>
      </c>
      <c r="M99" s="17">
        <f t="shared" si="18"/>
        <v>-594233</v>
      </c>
      <c r="N99" s="23">
        <f t="shared" si="19"/>
        <v>0.97087200225481907</v>
      </c>
    </row>
    <row r="100" spans="1:15" s="38" customFormat="1" hidden="1" outlineLevel="1" x14ac:dyDescent="0.25">
      <c r="A100" s="37" t="s">
        <v>107</v>
      </c>
      <c r="B100" s="22"/>
      <c r="C100" s="27"/>
      <c r="D100" s="27"/>
      <c r="E100" s="27"/>
      <c r="F100" s="22">
        <f>+[1]MER!Q71</f>
        <v>0</v>
      </c>
      <c r="G100" s="27"/>
      <c r="H100" s="22"/>
      <c r="I100" s="21">
        <f t="shared" si="16"/>
        <v>0</v>
      </c>
      <c r="J100" s="27"/>
      <c r="K100" s="22">
        <f t="shared" si="17"/>
        <v>0</v>
      </c>
      <c r="L100" s="17">
        <f>+[3]MER!T71</f>
        <v>0</v>
      </c>
      <c r="M100" s="17">
        <f t="shared" si="18"/>
        <v>0</v>
      </c>
      <c r="N100" s="23" t="e">
        <f t="shared" si="19"/>
        <v>#DIV/0!</v>
      </c>
    </row>
    <row r="101" spans="1:15" s="38" customFormat="1" hidden="1" outlineLevel="1" x14ac:dyDescent="0.25">
      <c r="A101" s="37" t="s">
        <v>108</v>
      </c>
      <c r="B101" s="22"/>
      <c r="C101" s="27"/>
      <c r="D101" s="27"/>
      <c r="E101" s="27"/>
      <c r="F101" s="22">
        <f>+[1]MER!Q72</f>
        <v>21000000</v>
      </c>
      <c r="G101" s="27"/>
      <c r="H101" s="22"/>
      <c r="I101" s="21">
        <f t="shared" si="16"/>
        <v>21000000</v>
      </c>
      <c r="J101" s="27"/>
      <c r="K101" s="22">
        <f t="shared" si="17"/>
        <v>21000000</v>
      </c>
      <c r="L101" s="17">
        <f>+[2]MER!$AB$72</f>
        <v>20001758</v>
      </c>
      <c r="M101" s="17">
        <f t="shared" si="18"/>
        <v>-998242</v>
      </c>
      <c r="N101" s="23">
        <f t="shared" si="19"/>
        <v>0.95246466666666663</v>
      </c>
    </row>
    <row r="102" spans="1:15" s="38" customFormat="1" hidden="1" outlineLevel="1" x14ac:dyDescent="0.25">
      <c r="A102" s="37" t="s">
        <v>109</v>
      </c>
      <c r="B102" s="22"/>
      <c r="C102" s="27"/>
      <c r="D102" s="27"/>
      <c r="E102" s="27"/>
      <c r="F102" s="22">
        <f>+[1]MER!Q73</f>
        <v>17921602</v>
      </c>
      <c r="G102" s="27"/>
      <c r="H102" s="22"/>
      <c r="I102" s="21">
        <f t="shared" si="16"/>
        <v>17921602</v>
      </c>
      <c r="J102" s="27"/>
      <c r="K102" s="22">
        <f t="shared" si="17"/>
        <v>17921602</v>
      </c>
      <c r="L102" s="17">
        <f>+[2]MER!$AB$73</f>
        <v>16243700</v>
      </c>
      <c r="M102" s="17">
        <f t="shared" si="18"/>
        <v>-1677902</v>
      </c>
      <c r="N102" s="23">
        <f t="shared" si="19"/>
        <v>0.90637544567723349</v>
      </c>
    </row>
    <row r="103" spans="1:15" s="38" customFormat="1" hidden="1" outlineLevel="1" x14ac:dyDescent="0.25">
      <c r="A103" s="37" t="s">
        <v>110</v>
      </c>
      <c r="B103" s="22"/>
      <c r="C103" s="27"/>
      <c r="D103" s="27"/>
      <c r="E103" s="27"/>
      <c r="F103" s="22">
        <f>+[1]MER!Q74</f>
        <v>5000000</v>
      </c>
      <c r="G103" s="27"/>
      <c r="H103" s="22"/>
      <c r="I103" s="21">
        <f t="shared" si="16"/>
        <v>5000000</v>
      </c>
      <c r="J103" s="27"/>
      <c r="K103" s="22">
        <f t="shared" si="17"/>
        <v>5000000</v>
      </c>
      <c r="L103" s="17">
        <f>+[2]MER!$AB$74</f>
        <v>0</v>
      </c>
      <c r="M103" s="17">
        <f t="shared" si="18"/>
        <v>-5000000</v>
      </c>
      <c r="N103" s="23">
        <f t="shared" si="19"/>
        <v>0</v>
      </c>
    </row>
    <row r="104" spans="1:15" s="38" customFormat="1" collapsed="1" x14ac:dyDescent="0.25">
      <c r="A104" s="37"/>
      <c r="B104" s="22"/>
      <c r="C104" s="27"/>
      <c r="D104" s="27"/>
      <c r="E104" s="27"/>
      <c r="F104" s="22"/>
      <c r="G104" s="27"/>
      <c r="H104" s="22"/>
      <c r="I104" s="21"/>
      <c r="J104" s="27"/>
      <c r="K104" s="22"/>
      <c r="L104" s="17"/>
      <c r="M104" s="17"/>
      <c r="N104" s="23"/>
    </row>
    <row r="105" spans="1:15" s="38" customFormat="1" x14ac:dyDescent="0.25">
      <c r="A105" s="35" t="s">
        <v>111</v>
      </c>
      <c r="B105" s="27"/>
      <c r="C105" s="27"/>
      <c r="D105" s="27"/>
      <c r="E105" s="27"/>
      <c r="F105" s="27"/>
      <c r="G105" s="27">
        <f>+G106+G114+G116+G119</f>
        <v>6158397830</v>
      </c>
      <c r="H105" s="27"/>
      <c r="I105" s="15">
        <f t="shared" ref="I105:I120" si="20">SUM(B105:H105)</f>
        <v>6158397830</v>
      </c>
      <c r="J105" s="27"/>
      <c r="K105" s="27">
        <f t="shared" ref="K105:K120" si="21">SUM(I105:J105)</f>
        <v>6158397830</v>
      </c>
      <c r="L105" s="18">
        <f>+L106+L114+L116+L119</f>
        <v>6123536068</v>
      </c>
      <c r="M105" s="18">
        <f>+L105-K105</f>
        <v>-34861762</v>
      </c>
      <c r="N105" s="19">
        <f t="shared" si="19"/>
        <v>0.9943391507073196</v>
      </c>
      <c r="O105" s="43"/>
    </row>
    <row r="106" spans="1:15" s="38" customFormat="1" x14ac:dyDescent="0.25">
      <c r="A106" s="35" t="s">
        <v>112</v>
      </c>
      <c r="B106" s="27"/>
      <c r="C106" s="27"/>
      <c r="D106" s="27"/>
      <c r="E106" s="27"/>
      <c r="F106" s="27"/>
      <c r="G106" s="27">
        <f>SUM(G107:G113)</f>
        <v>5816500000</v>
      </c>
      <c r="H106" s="27"/>
      <c r="I106" s="15">
        <f t="shared" si="20"/>
        <v>5816500000</v>
      </c>
      <c r="J106" s="27"/>
      <c r="K106" s="27">
        <f t="shared" si="21"/>
        <v>5816500000</v>
      </c>
      <c r="L106" s="18">
        <f>+SUM(L107:L113)</f>
        <v>5811843089</v>
      </c>
      <c r="M106" s="18">
        <f>+L106-K106</f>
        <v>-4656911</v>
      </c>
      <c r="N106" s="19">
        <f t="shared" si="19"/>
        <v>0.99919936198744952</v>
      </c>
    </row>
    <row r="107" spans="1:15" s="38" customFormat="1" hidden="1" outlineLevel="1" x14ac:dyDescent="0.25">
      <c r="A107" s="37" t="s">
        <v>113</v>
      </c>
      <c r="B107" s="27"/>
      <c r="C107" s="27"/>
      <c r="D107" s="27"/>
      <c r="E107" s="22"/>
      <c r="F107" s="27"/>
      <c r="G107" s="22">
        <f>+[1]PPC!Q43</f>
        <v>789500000</v>
      </c>
      <c r="H107" s="27"/>
      <c r="I107" s="21">
        <f t="shared" si="20"/>
        <v>789500000</v>
      </c>
      <c r="J107" s="27"/>
      <c r="K107" s="22">
        <f t="shared" si="21"/>
        <v>789500000</v>
      </c>
      <c r="L107" s="17">
        <f>+[2]PPC!$AB$43</f>
        <v>789184750</v>
      </c>
      <c r="M107" s="17">
        <f t="shared" si="18"/>
        <v>-315250</v>
      </c>
      <c r="N107" s="23">
        <f t="shared" si="19"/>
        <v>0.9996006966434452</v>
      </c>
    </row>
    <row r="108" spans="1:15" s="38" customFormat="1" hidden="1" outlineLevel="1" x14ac:dyDescent="0.25">
      <c r="A108" s="37" t="s">
        <v>114</v>
      </c>
      <c r="B108" s="27"/>
      <c r="C108" s="27"/>
      <c r="D108" s="27"/>
      <c r="E108" s="22"/>
      <c r="F108" s="27"/>
      <c r="G108" s="22">
        <f>+[1]PPC!Q44+224000000</f>
        <v>1504000000</v>
      </c>
      <c r="H108" s="27"/>
      <c r="I108" s="21">
        <f t="shared" si="20"/>
        <v>1504000000</v>
      </c>
      <c r="J108" s="27"/>
      <c r="K108" s="22">
        <f t="shared" si="21"/>
        <v>1504000000</v>
      </c>
      <c r="L108" s="17">
        <f>+[2]PPC!$AB$44</f>
        <v>1503686796</v>
      </c>
      <c r="M108" s="17">
        <f t="shared" si="18"/>
        <v>-313204</v>
      </c>
      <c r="N108" s="23">
        <f t="shared" si="19"/>
        <v>0.99979175265957443</v>
      </c>
    </row>
    <row r="109" spans="1:15" s="38" customFormat="1" hidden="1" outlineLevel="1" x14ac:dyDescent="0.25">
      <c r="A109" s="37" t="s">
        <v>115</v>
      </c>
      <c r="B109" s="27"/>
      <c r="C109" s="27"/>
      <c r="D109" s="27"/>
      <c r="E109" s="22"/>
      <c r="F109" s="27"/>
      <c r="G109" s="22">
        <f>+[1]PPC!Q45</f>
        <v>200000000</v>
      </c>
      <c r="H109" s="27"/>
      <c r="I109" s="21">
        <f t="shared" si="20"/>
        <v>200000000</v>
      </c>
      <c r="J109" s="27"/>
      <c r="K109" s="22">
        <f t="shared" si="21"/>
        <v>200000000</v>
      </c>
      <c r="L109" s="17">
        <f>+[2]PPC!$AB$45</f>
        <v>199040908</v>
      </c>
      <c r="M109" s="17">
        <f>+L109-K109</f>
        <v>-959092</v>
      </c>
      <c r="N109" s="23">
        <f t="shared" si="19"/>
        <v>0.99520454000000003</v>
      </c>
    </row>
    <row r="110" spans="1:15" s="38" customFormat="1" hidden="1" outlineLevel="1" x14ac:dyDescent="0.25">
      <c r="A110" s="37" t="s">
        <v>116</v>
      </c>
      <c r="B110" s="27"/>
      <c r="C110" s="27"/>
      <c r="D110" s="27"/>
      <c r="E110" s="22"/>
      <c r="F110" s="27"/>
      <c r="G110" s="22">
        <f>+[1]PPC!Q46</f>
        <v>85000000</v>
      </c>
      <c r="H110" s="27"/>
      <c r="I110" s="21">
        <f t="shared" si="20"/>
        <v>85000000</v>
      </c>
      <c r="J110" s="27"/>
      <c r="K110" s="22">
        <f t="shared" si="21"/>
        <v>85000000</v>
      </c>
      <c r="L110" s="17">
        <f>+[2]PPC!$AB$46</f>
        <v>84523491</v>
      </c>
      <c r="M110" s="17">
        <f t="shared" si="18"/>
        <v>-476509</v>
      </c>
      <c r="N110" s="23">
        <f t="shared" si="19"/>
        <v>0.99439401176470588</v>
      </c>
    </row>
    <row r="111" spans="1:15" s="38" customFormat="1" hidden="1" outlineLevel="1" x14ac:dyDescent="0.25">
      <c r="A111" s="37" t="s">
        <v>117</v>
      </c>
      <c r="B111" s="27"/>
      <c r="C111" s="27"/>
      <c r="D111" s="27"/>
      <c r="E111" s="22"/>
      <c r="F111" s="27"/>
      <c r="G111" s="22">
        <f>+[1]PPC!Q47</f>
        <v>150000000</v>
      </c>
      <c r="H111" s="27"/>
      <c r="I111" s="21">
        <f t="shared" si="20"/>
        <v>150000000</v>
      </c>
      <c r="J111" s="27"/>
      <c r="K111" s="22">
        <f t="shared" si="21"/>
        <v>150000000</v>
      </c>
      <c r="L111" s="17">
        <f>+[2]PPC!$AB$47</f>
        <v>149614486</v>
      </c>
      <c r="M111" s="17">
        <f t="shared" si="18"/>
        <v>-385514</v>
      </c>
      <c r="N111" s="23">
        <f t="shared" si="19"/>
        <v>0.99742990666666664</v>
      </c>
    </row>
    <row r="112" spans="1:15" s="38" customFormat="1" hidden="1" outlineLevel="1" x14ac:dyDescent="0.25">
      <c r="A112" s="37" t="s">
        <v>118</v>
      </c>
      <c r="B112" s="27"/>
      <c r="C112" s="27"/>
      <c r="D112" s="27"/>
      <c r="E112" s="22"/>
      <c r="F112" s="27"/>
      <c r="G112" s="22">
        <f>+[1]PPC!Q48-3500000-224000000</f>
        <v>3072500000</v>
      </c>
      <c r="H112" s="27"/>
      <c r="I112" s="21">
        <f t="shared" si="20"/>
        <v>3072500000</v>
      </c>
      <c r="J112" s="27"/>
      <c r="K112" s="22">
        <f t="shared" si="21"/>
        <v>3072500000</v>
      </c>
      <c r="L112" s="17">
        <f>+[2]PPC!$AB$48</f>
        <v>3071359270</v>
      </c>
      <c r="M112" s="17">
        <f t="shared" si="18"/>
        <v>-1140730</v>
      </c>
      <c r="N112" s="23">
        <f t="shared" si="19"/>
        <v>0.99962872904800648</v>
      </c>
    </row>
    <row r="113" spans="1:14" s="38" customFormat="1" hidden="1" outlineLevel="1" x14ac:dyDescent="0.25">
      <c r="A113" s="37" t="s">
        <v>119</v>
      </c>
      <c r="B113" s="27"/>
      <c r="C113" s="27"/>
      <c r="D113" s="27"/>
      <c r="E113" s="22"/>
      <c r="F113" s="27"/>
      <c r="G113" s="22">
        <f>+[1]PPC!Q49+3500000</f>
        <v>15500000</v>
      </c>
      <c r="H113" s="27"/>
      <c r="I113" s="21">
        <f t="shared" si="20"/>
        <v>15500000</v>
      </c>
      <c r="J113" s="27"/>
      <c r="K113" s="22">
        <f t="shared" si="21"/>
        <v>15500000</v>
      </c>
      <c r="L113" s="17">
        <f>+[2]PPC!$AB$49</f>
        <v>14433388</v>
      </c>
      <c r="M113" s="17">
        <f t="shared" si="18"/>
        <v>-1066612</v>
      </c>
      <c r="N113" s="23">
        <f t="shared" si="19"/>
        <v>0.93118632258064515</v>
      </c>
    </row>
    <row r="114" spans="1:14" s="38" customFormat="1" collapsed="1" x14ac:dyDescent="0.25">
      <c r="A114" s="35" t="s">
        <v>120</v>
      </c>
      <c r="B114" s="27"/>
      <c r="C114" s="27"/>
      <c r="D114" s="27"/>
      <c r="E114" s="27"/>
      <c r="F114" s="27"/>
      <c r="G114" s="27">
        <f>+G115</f>
        <v>59897830</v>
      </c>
      <c r="H114" s="27"/>
      <c r="I114" s="15">
        <f t="shared" si="20"/>
        <v>59897830</v>
      </c>
      <c r="J114" s="27"/>
      <c r="K114" s="27">
        <f t="shared" si="21"/>
        <v>59897830</v>
      </c>
      <c r="L114" s="18">
        <f>+L115</f>
        <v>58918384</v>
      </c>
      <c r="M114" s="18">
        <f>+L114-K114</f>
        <v>-979446</v>
      </c>
      <c r="N114" s="19">
        <f t="shared" si="19"/>
        <v>0.98364805536360833</v>
      </c>
    </row>
    <row r="115" spans="1:14" s="38" customFormat="1" hidden="1" outlineLevel="1" x14ac:dyDescent="0.25">
      <c r="A115" s="37" t="s">
        <v>121</v>
      </c>
      <c r="B115" s="27"/>
      <c r="C115" s="27"/>
      <c r="D115" s="27"/>
      <c r="E115" s="22"/>
      <c r="F115" s="27"/>
      <c r="G115" s="22">
        <f>+[1]PPC!Q51</f>
        <v>59897830</v>
      </c>
      <c r="H115" s="27"/>
      <c r="I115" s="21">
        <f t="shared" si="20"/>
        <v>59897830</v>
      </c>
      <c r="J115" s="27"/>
      <c r="K115" s="22">
        <f t="shared" si="21"/>
        <v>59897830</v>
      </c>
      <c r="L115" s="17">
        <f>+[2]PPC!$AB$51</f>
        <v>58918384</v>
      </c>
      <c r="M115" s="17">
        <f t="shared" ref="M115:M141" si="22">+L115-K115</f>
        <v>-979446</v>
      </c>
      <c r="N115" s="23">
        <f t="shared" si="19"/>
        <v>0.98364805536360833</v>
      </c>
    </row>
    <row r="116" spans="1:14" s="38" customFormat="1" collapsed="1" x14ac:dyDescent="0.25">
      <c r="A116" s="35" t="s">
        <v>122</v>
      </c>
      <c r="B116" s="27"/>
      <c r="C116" s="27"/>
      <c r="D116" s="27"/>
      <c r="E116" s="27"/>
      <c r="F116" s="27"/>
      <c r="G116" s="27">
        <f>SUM(G117:G118)</f>
        <v>225000000</v>
      </c>
      <c r="H116" s="27"/>
      <c r="I116" s="15">
        <f t="shared" si="20"/>
        <v>225000000</v>
      </c>
      <c r="J116" s="27"/>
      <c r="K116" s="27">
        <f t="shared" si="21"/>
        <v>225000000</v>
      </c>
      <c r="L116" s="18">
        <f>+SUM(L117:L118)</f>
        <v>197088386</v>
      </c>
      <c r="M116" s="18">
        <f>+L116-K116</f>
        <v>-27911614</v>
      </c>
      <c r="N116" s="19">
        <f t="shared" si="19"/>
        <v>0.87594838222222227</v>
      </c>
    </row>
    <row r="117" spans="1:14" s="38" customFormat="1" hidden="1" outlineLevel="1" x14ac:dyDescent="0.25">
      <c r="A117" s="37" t="s">
        <v>123</v>
      </c>
      <c r="B117" s="27"/>
      <c r="C117" s="27"/>
      <c r="D117" s="27"/>
      <c r="E117" s="22"/>
      <c r="F117" s="27"/>
      <c r="G117" s="22">
        <f>+[1]PPC!Q53</f>
        <v>200000000</v>
      </c>
      <c r="H117" s="27"/>
      <c r="I117" s="21">
        <f t="shared" si="20"/>
        <v>200000000</v>
      </c>
      <c r="J117" s="27"/>
      <c r="K117" s="22">
        <f t="shared" si="21"/>
        <v>200000000</v>
      </c>
      <c r="L117" s="17">
        <f>+[2]PPC!$AB$53</f>
        <v>172845828</v>
      </c>
      <c r="M117" s="17">
        <f t="shared" si="22"/>
        <v>-27154172</v>
      </c>
      <c r="N117" s="23">
        <f t="shared" si="19"/>
        <v>0.86422913999999995</v>
      </c>
    </row>
    <row r="118" spans="1:14" s="38" customFormat="1" hidden="1" outlineLevel="1" x14ac:dyDescent="0.25">
      <c r="A118" s="37" t="s">
        <v>124</v>
      </c>
      <c r="B118" s="27"/>
      <c r="C118" s="27"/>
      <c r="D118" s="27"/>
      <c r="E118" s="22"/>
      <c r="F118" s="27"/>
      <c r="G118" s="22">
        <f>+[1]PPC!Q54</f>
        <v>25000000</v>
      </c>
      <c r="H118" s="27"/>
      <c r="I118" s="21">
        <f t="shared" si="20"/>
        <v>25000000</v>
      </c>
      <c r="J118" s="27"/>
      <c r="K118" s="22">
        <f t="shared" si="21"/>
        <v>25000000</v>
      </c>
      <c r="L118" s="17">
        <f>+[2]PPC!$AB$54</f>
        <v>24242558</v>
      </c>
      <c r="M118" s="17">
        <f t="shared" si="22"/>
        <v>-757442</v>
      </c>
      <c r="N118" s="23">
        <f t="shared" si="19"/>
        <v>0.96970232000000001</v>
      </c>
    </row>
    <row r="119" spans="1:14" s="38" customFormat="1" collapsed="1" x14ac:dyDescent="0.25">
      <c r="A119" s="35" t="s">
        <v>125</v>
      </c>
      <c r="B119" s="27"/>
      <c r="C119" s="27"/>
      <c r="D119" s="27"/>
      <c r="E119" s="27"/>
      <c r="F119" s="27"/>
      <c r="G119" s="27">
        <f>+G120</f>
        <v>57000000</v>
      </c>
      <c r="H119" s="27"/>
      <c r="I119" s="15">
        <f t="shared" si="20"/>
        <v>57000000</v>
      </c>
      <c r="J119" s="27"/>
      <c r="K119" s="27">
        <f t="shared" si="21"/>
        <v>57000000</v>
      </c>
      <c r="L119" s="18">
        <f>+L120</f>
        <v>55686209</v>
      </c>
      <c r="M119" s="18">
        <f t="shared" si="22"/>
        <v>-1313791</v>
      </c>
      <c r="N119" s="19">
        <f t="shared" si="19"/>
        <v>0.9769510350877193</v>
      </c>
    </row>
    <row r="120" spans="1:14" s="38" customFormat="1" hidden="1" outlineLevel="1" x14ac:dyDescent="0.25">
      <c r="A120" s="37" t="s">
        <v>126</v>
      </c>
      <c r="B120" s="27"/>
      <c r="C120" s="27"/>
      <c r="D120" s="27"/>
      <c r="E120" s="22"/>
      <c r="F120" s="27"/>
      <c r="G120" s="22">
        <f>+[1]PPC!Q56</f>
        <v>57000000</v>
      </c>
      <c r="H120" s="27"/>
      <c r="I120" s="21">
        <f t="shared" si="20"/>
        <v>57000000</v>
      </c>
      <c r="J120" s="27"/>
      <c r="K120" s="22">
        <f t="shared" si="21"/>
        <v>57000000</v>
      </c>
      <c r="L120" s="17">
        <f>+[2]PPC!$AB$56</f>
        <v>55686209</v>
      </c>
      <c r="M120" s="17">
        <f t="shared" si="22"/>
        <v>-1313791</v>
      </c>
      <c r="N120" s="23">
        <f t="shared" si="19"/>
        <v>0.9769510350877193</v>
      </c>
    </row>
    <row r="121" spans="1:14" s="38" customFormat="1" collapsed="1" x14ac:dyDescent="0.25">
      <c r="A121" s="37"/>
      <c r="B121" s="27"/>
      <c r="C121" s="27"/>
      <c r="D121" s="27"/>
      <c r="E121" s="22"/>
      <c r="F121" s="27"/>
      <c r="G121" s="22"/>
      <c r="H121" s="27"/>
      <c r="I121" s="21"/>
      <c r="J121" s="27"/>
      <c r="K121" s="22"/>
      <c r="L121" s="17"/>
      <c r="M121" s="17"/>
      <c r="N121" s="23"/>
    </row>
    <row r="122" spans="1:14" s="46" customFormat="1" x14ac:dyDescent="0.25">
      <c r="A122" s="35" t="s">
        <v>127</v>
      </c>
      <c r="B122" s="44"/>
      <c r="C122" s="27">
        <f>+C123+C131</f>
        <v>1087061836</v>
      </c>
      <c r="D122" s="44"/>
      <c r="E122" s="45"/>
      <c r="F122" s="44"/>
      <c r="G122" s="45"/>
      <c r="H122" s="44"/>
      <c r="I122" s="27">
        <f t="shared" ref="I122:I135" si="23">SUM(B122:H122)</f>
        <v>1087061836</v>
      </c>
      <c r="J122" s="44"/>
      <c r="K122" s="27">
        <f t="shared" ref="K122:K135" si="24">SUM(I122:J122)</f>
        <v>1087061836</v>
      </c>
      <c r="L122" s="18">
        <f>+L123+L131</f>
        <v>1029356976</v>
      </c>
      <c r="M122" s="18">
        <f t="shared" si="22"/>
        <v>-57704860</v>
      </c>
      <c r="N122" s="19">
        <f t="shared" si="19"/>
        <v>0.94691667199693685</v>
      </c>
    </row>
    <row r="123" spans="1:14" s="38" customFormat="1" x14ac:dyDescent="0.25">
      <c r="A123" s="35" t="s">
        <v>128</v>
      </c>
      <c r="B123" s="44"/>
      <c r="C123" s="27">
        <f>SUM(C124:C128)</f>
        <v>515797740</v>
      </c>
      <c r="D123" s="27"/>
      <c r="E123" s="27"/>
      <c r="F123" s="27"/>
      <c r="G123" s="27"/>
      <c r="H123" s="27"/>
      <c r="I123" s="27">
        <f t="shared" si="23"/>
        <v>515797740</v>
      </c>
      <c r="J123" s="27"/>
      <c r="K123" s="27">
        <f t="shared" si="24"/>
        <v>515797740</v>
      </c>
      <c r="L123" s="18">
        <f>SUM(L124:L128)</f>
        <v>478473722</v>
      </c>
      <c r="M123" s="18">
        <f t="shared" si="22"/>
        <v>-37324018</v>
      </c>
      <c r="N123" s="19">
        <f t="shared" si="19"/>
        <v>0.9276382676667021</v>
      </c>
    </row>
    <row r="124" spans="1:14" s="38" customFormat="1" hidden="1" outlineLevel="1" x14ac:dyDescent="0.25">
      <c r="A124" s="37" t="s">
        <v>129</v>
      </c>
      <c r="B124" s="44"/>
      <c r="C124" s="22">
        <f>+[1]TEC!Q38</f>
        <v>0</v>
      </c>
      <c r="D124" s="27"/>
      <c r="E124" s="27"/>
      <c r="F124" s="27"/>
      <c r="G124" s="27"/>
      <c r="H124" s="27"/>
      <c r="I124" s="21">
        <f t="shared" si="23"/>
        <v>0</v>
      </c>
      <c r="J124" s="27"/>
      <c r="K124" s="22">
        <f t="shared" si="24"/>
        <v>0</v>
      </c>
      <c r="L124" s="17">
        <f>+[3]TEC!T38</f>
        <v>0</v>
      </c>
      <c r="M124" s="17">
        <f t="shared" si="22"/>
        <v>0</v>
      </c>
      <c r="N124" s="23" t="e">
        <f t="shared" si="19"/>
        <v>#DIV/0!</v>
      </c>
    </row>
    <row r="125" spans="1:14" s="38" customFormat="1" hidden="1" outlineLevel="1" x14ac:dyDescent="0.25">
      <c r="A125" s="37" t="s">
        <v>130</v>
      </c>
      <c r="B125" s="44"/>
      <c r="C125" s="22">
        <f>+[1]TEC!Q39</f>
        <v>475461676</v>
      </c>
      <c r="D125" s="27"/>
      <c r="E125" s="27"/>
      <c r="F125" s="27"/>
      <c r="G125" s="27"/>
      <c r="H125" s="27"/>
      <c r="I125" s="21">
        <f t="shared" si="23"/>
        <v>475461676</v>
      </c>
      <c r="J125" s="27"/>
      <c r="K125" s="22">
        <f t="shared" si="24"/>
        <v>475461676</v>
      </c>
      <c r="L125" s="17">
        <f>+[2]TEC!$AB$39</f>
        <v>438972860</v>
      </c>
      <c r="M125" s="17">
        <f t="shared" si="22"/>
        <v>-36488816</v>
      </c>
      <c r="N125" s="23">
        <f t="shared" si="19"/>
        <v>0.9232560312600252</v>
      </c>
    </row>
    <row r="126" spans="1:14" s="38" customFormat="1" hidden="1" outlineLevel="1" x14ac:dyDescent="0.25">
      <c r="A126" s="37" t="s">
        <v>131</v>
      </c>
      <c r="B126" s="44"/>
      <c r="C126" s="22">
        <f>+[1]TEC!Q40</f>
        <v>35336064</v>
      </c>
      <c r="D126" s="27"/>
      <c r="E126" s="27"/>
      <c r="F126" s="27"/>
      <c r="G126" s="27"/>
      <c r="H126" s="27"/>
      <c r="I126" s="21">
        <f t="shared" si="23"/>
        <v>35336064</v>
      </c>
      <c r="J126" s="27"/>
      <c r="K126" s="22">
        <f t="shared" si="24"/>
        <v>35336064</v>
      </c>
      <c r="L126" s="17">
        <f>+[2]TEC!$AB$40</f>
        <v>34500862</v>
      </c>
      <c r="M126" s="17">
        <f t="shared" si="22"/>
        <v>-835202</v>
      </c>
      <c r="N126" s="23">
        <f t="shared" si="19"/>
        <v>0.97636403420596019</v>
      </c>
    </row>
    <row r="127" spans="1:14" s="38" customFormat="1" hidden="1" outlineLevel="1" x14ac:dyDescent="0.25">
      <c r="A127" s="37" t="s">
        <v>132</v>
      </c>
      <c r="B127" s="44"/>
      <c r="C127" s="22">
        <f>+[1]TEC!Q41</f>
        <v>5000000</v>
      </c>
      <c r="D127" s="27"/>
      <c r="E127" s="27"/>
      <c r="F127" s="27"/>
      <c r="G127" s="27"/>
      <c r="H127" s="27"/>
      <c r="I127" s="21">
        <f t="shared" si="23"/>
        <v>5000000</v>
      </c>
      <c r="J127" s="27"/>
      <c r="K127" s="22">
        <f t="shared" si="24"/>
        <v>5000000</v>
      </c>
      <c r="L127" s="17">
        <f>+[2]TEC!$AB$41</f>
        <v>5000000</v>
      </c>
      <c r="M127" s="17">
        <f t="shared" si="22"/>
        <v>0</v>
      </c>
      <c r="N127" s="23">
        <f t="shared" si="19"/>
        <v>1</v>
      </c>
    </row>
    <row r="128" spans="1:14" s="38" customFormat="1" hidden="1" outlineLevel="1" x14ac:dyDescent="0.25">
      <c r="A128" s="37" t="s">
        <v>133</v>
      </c>
      <c r="B128" s="44"/>
      <c r="C128" s="22">
        <f>+C129+C130</f>
        <v>0</v>
      </c>
      <c r="D128" s="27"/>
      <c r="E128" s="27"/>
      <c r="F128" s="27"/>
      <c r="G128" s="27"/>
      <c r="H128" s="27"/>
      <c r="I128" s="21">
        <f t="shared" si="23"/>
        <v>0</v>
      </c>
      <c r="J128" s="27"/>
      <c r="K128" s="22">
        <f t="shared" si="24"/>
        <v>0</v>
      </c>
      <c r="L128" s="17">
        <f>+[4]TEC!$AA$42</f>
        <v>0</v>
      </c>
      <c r="M128" s="17">
        <f t="shared" si="22"/>
        <v>0</v>
      </c>
      <c r="N128" s="23" t="e">
        <f t="shared" si="19"/>
        <v>#DIV/0!</v>
      </c>
    </row>
    <row r="129" spans="1:15" s="38" customFormat="1" hidden="1" outlineLevel="2" x14ac:dyDescent="0.25">
      <c r="A129" s="37" t="s">
        <v>134</v>
      </c>
      <c r="B129" s="44"/>
      <c r="C129" s="22">
        <v>0</v>
      </c>
      <c r="D129" s="27"/>
      <c r="E129" s="27"/>
      <c r="F129" s="27"/>
      <c r="G129" s="27"/>
      <c r="H129" s="27"/>
      <c r="I129" s="21">
        <f t="shared" si="23"/>
        <v>0</v>
      </c>
      <c r="J129" s="27"/>
      <c r="K129" s="22">
        <f t="shared" si="24"/>
        <v>0</v>
      </c>
      <c r="L129" s="17">
        <f>+[4]TEC!$AA$43</f>
        <v>0</v>
      </c>
      <c r="M129" s="17">
        <f t="shared" si="22"/>
        <v>0</v>
      </c>
      <c r="N129" s="23" t="e">
        <f t="shared" si="19"/>
        <v>#DIV/0!</v>
      </c>
    </row>
    <row r="130" spans="1:15" s="38" customFormat="1" hidden="1" outlineLevel="2" x14ac:dyDescent="0.25">
      <c r="A130" s="37" t="s">
        <v>135</v>
      </c>
      <c r="B130" s="27"/>
      <c r="C130" s="22">
        <v>0</v>
      </c>
      <c r="D130" s="27"/>
      <c r="E130" s="27"/>
      <c r="F130" s="27"/>
      <c r="G130" s="27"/>
      <c r="H130" s="27"/>
      <c r="I130" s="21">
        <f t="shared" si="23"/>
        <v>0</v>
      </c>
      <c r="J130" s="27"/>
      <c r="K130" s="22">
        <f t="shared" si="24"/>
        <v>0</v>
      </c>
      <c r="L130" s="17">
        <f>+[4]TEC!$AA$45</f>
        <v>0</v>
      </c>
      <c r="M130" s="17">
        <f t="shared" si="22"/>
        <v>0</v>
      </c>
      <c r="N130" s="23" t="e">
        <f t="shared" si="19"/>
        <v>#DIV/0!</v>
      </c>
    </row>
    <row r="131" spans="1:15" s="38" customFormat="1" ht="33" customHeight="1" collapsed="1" x14ac:dyDescent="0.25">
      <c r="A131" s="47" t="s">
        <v>136</v>
      </c>
      <c r="B131" s="44"/>
      <c r="C131" s="27">
        <f>SUM(C132:C135)</f>
        <v>571264096</v>
      </c>
      <c r="D131" s="27"/>
      <c r="E131" s="27"/>
      <c r="F131" s="27"/>
      <c r="G131" s="27"/>
      <c r="H131" s="27"/>
      <c r="I131" s="27">
        <f t="shared" si="23"/>
        <v>571264096</v>
      </c>
      <c r="J131" s="27"/>
      <c r="K131" s="27">
        <f t="shared" si="24"/>
        <v>571264096</v>
      </c>
      <c r="L131" s="18">
        <f>SUM(L132:L135)</f>
        <v>550883254</v>
      </c>
      <c r="M131" s="18">
        <f t="shared" si="22"/>
        <v>-20380842</v>
      </c>
      <c r="N131" s="19">
        <f t="shared" si="19"/>
        <v>0.9643232575918792</v>
      </c>
    </row>
    <row r="132" spans="1:15" s="38" customFormat="1" hidden="1" outlineLevel="1" x14ac:dyDescent="0.25">
      <c r="A132" s="37" t="s">
        <v>137</v>
      </c>
      <c r="B132" s="44"/>
      <c r="C132" s="22">
        <f>+[1]TEC!Q47</f>
        <v>28500000</v>
      </c>
      <c r="D132" s="27"/>
      <c r="E132" s="27"/>
      <c r="F132" s="27"/>
      <c r="G132" s="27"/>
      <c r="H132" s="27"/>
      <c r="I132" s="21">
        <f t="shared" si="23"/>
        <v>28500000</v>
      </c>
      <c r="J132" s="27"/>
      <c r="K132" s="22">
        <f t="shared" si="24"/>
        <v>28500000</v>
      </c>
      <c r="L132" s="17">
        <f>+[2]TEC!$AB$47</f>
        <v>28106950</v>
      </c>
      <c r="M132" s="17">
        <f t="shared" si="22"/>
        <v>-393050</v>
      </c>
      <c r="N132" s="23">
        <f t="shared" si="19"/>
        <v>0.98620877192982459</v>
      </c>
    </row>
    <row r="133" spans="1:15" s="38" customFormat="1" hidden="1" outlineLevel="1" x14ac:dyDescent="0.25">
      <c r="A133" s="37" t="s">
        <v>138</v>
      </c>
      <c r="B133" s="44"/>
      <c r="C133" s="22">
        <f>+[1]TEC!Q48</f>
        <v>373210000</v>
      </c>
      <c r="D133" s="27"/>
      <c r="E133" s="27"/>
      <c r="F133" s="27"/>
      <c r="G133" s="27"/>
      <c r="H133" s="27"/>
      <c r="I133" s="21">
        <f t="shared" si="23"/>
        <v>373210000</v>
      </c>
      <c r="J133" s="27"/>
      <c r="K133" s="22">
        <f t="shared" si="24"/>
        <v>373210000</v>
      </c>
      <c r="L133" s="17">
        <f>+[2]TEC!$AB$48</f>
        <v>361231670</v>
      </c>
      <c r="M133" s="17">
        <f t="shared" si="22"/>
        <v>-11978330</v>
      </c>
      <c r="N133" s="23">
        <f t="shared" si="19"/>
        <v>0.96790458455025319</v>
      </c>
    </row>
    <row r="134" spans="1:15" s="38" customFormat="1" hidden="1" outlineLevel="1" x14ac:dyDescent="0.25">
      <c r="A134" s="37" t="s">
        <v>139</v>
      </c>
      <c r="B134" s="44"/>
      <c r="C134" s="22">
        <f>+[1]TEC!Q49</f>
        <v>136336064</v>
      </c>
      <c r="D134" s="27"/>
      <c r="E134" s="27"/>
      <c r="F134" s="27"/>
      <c r="G134" s="27"/>
      <c r="H134" s="27"/>
      <c r="I134" s="21">
        <f t="shared" si="23"/>
        <v>136336064</v>
      </c>
      <c r="J134" s="27"/>
      <c r="K134" s="22">
        <f t="shared" si="24"/>
        <v>136336064</v>
      </c>
      <c r="L134" s="17">
        <f>+[2]TEC!$AB$49</f>
        <v>131086510</v>
      </c>
      <c r="M134" s="17">
        <f t="shared" si="22"/>
        <v>-5249554</v>
      </c>
      <c r="N134" s="23">
        <f t="shared" si="19"/>
        <v>0.96149548515644401</v>
      </c>
    </row>
    <row r="135" spans="1:15" s="38" customFormat="1" hidden="1" outlineLevel="1" x14ac:dyDescent="0.25">
      <c r="A135" s="37" t="s">
        <v>140</v>
      </c>
      <c r="B135" s="44"/>
      <c r="C135" s="22">
        <f>+[1]TEC!Q50</f>
        <v>33218032</v>
      </c>
      <c r="D135" s="27"/>
      <c r="E135" s="27"/>
      <c r="F135" s="27"/>
      <c r="G135" s="27"/>
      <c r="H135" s="27"/>
      <c r="I135" s="21">
        <f t="shared" si="23"/>
        <v>33218032</v>
      </c>
      <c r="J135" s="27"/>
      <c r="K135" s="22">
        <f t="shared" si="24"/>
        <v>33218032</v>
      </c>
      <c r="L135" s="17">
        <f>+[2]TEC!$AB$50</f>
        <v>30458124</v>
      </c>
      <c r="M135" s="17">
        <f t="shared" si="22"/>
        <v>-2759908</v>
      </c>
      <c r="N135" s="23">
        <f t="shared" si="19"/>
        <v>0.91691536693082842</v>
      </c>
    </row>
    <row r="136" spans="1:15" s="38" customFormat="1" collapsed="1" x14ac:dyDescent="0.25">
      <c r="A136" s="37"/>
      <c r="B136" s="44"/>
      <c r="C136" s="27"/>
      <c r="D136" s="27"/>
      <c r="E136" s="27"/>
      <c r="F136" s="27"/>
      <c r="G136" s="27"/>
      <c r="H136" s="27"/>
      <c r="I136" s="21"/>
      <c r="J136" s="27"/>
      <c r="K136" s="22"/>
      <c r="L136" s="17"/>
      <c r="M136" s="17"/>
      <c r="N136" s="23"/>
    </row>
    <row r="137" spans="1:15" s="38" customFormat="1" x14ac:dyDescent="0.25">
      <c r="A137" s="35" t="s">
        <v>141</v>
      </c>
      <c r="B137" s="44"/>
      <c r="C137" s="27"/>
      <c r="D137" s="27">
        <f>+D138+D142+D163</f>
        <v>2113831282</v>
      </c>
      <c r="E137" s="27"/>
      <c r="F137" s="27"/>
      <c r="G137" s="27"/>
      <c r="H137" s="27"/>
      <c r="I137" s="15">
        <f t="shared" ref="I137:I173" si="25">SUM(B137:H137)</f>
        <v>2113831282</v>
      </c>
      <c r="J137" s="27"/>
      <c r="K137" s="27">
        <f t="shared" ref="K137:K173" si="26">SUM(I137:J137)</f>
        <v>2113831282</v>
      </c>
      <c r="L137" s="18">
        <f>+L138+L142+L163</f>
        <v>1856319085</v>
      </c>
      <c r="M137" s="18">
        <f t="shared" si="22"/>
        <v>-257512197</v>
      </c>
      <c r="N137" s="19">
        <f t="shared" ref="N137:N200" si="27">+L137/K137</f>
        <v>0.87817750678930484</v>
      </c>
      <c r="O137" s="42"/>
    </row>
    <row r="138" spans="1:15" s="38" customFormat="1" x14ac:dyDescent="0.25">
      <c r="A138" s="35" t="s">
        <v>142</v>
      </c>
      <c r="B138" s="27"/>
      <c r="C138" s="27"/>
      <c r="D138" s="27">
        <f>SUM(D139:D141)</f>
        <v>723000000</v>
      </c>
      <c r="E138" s="27"/>
      <c r="F138" s="27"/>
      <c r="G138" s="27"/>
      <c r="H138" s="27"/>
      <c r="I138" s="15">
        <f t="shared" si="25"/>
        <v>723000000</v>
      </c>
      <c r="J138" s="27"/>
      <c r="K138" s="27">
        <f t="shared" si="26"/>
        <v>723000000</v>
      </c>
      <c r="L138" s="18">
        <f>SUM(L139:L141)</f>
        <v>587492296</v>
      </c>
      <c r="M138" s="18">
        <f t="shared" si="22"/>
        <v>-135507704</v>
      </c>
      <c r="N138" s="19">
        <f t="shared" si="27"/>
        <v>0.81257578976486855</v>
      </c>
      <c r="O138" s="43"/>
    </row>
    <row r="139" spans="1:15" s="38" customFormat="1" hidden="1" outlineLevel="1" x14ac:dyDescent="0.25">
      <c r="A139" s="37" t="s">
        <v>143</v>
      </c>
      <c r="B139" s="27"/>
      <c r="C139" s="27"/>
      <c r="D139" s="22">
        <f>+[1]TRANSF!Q38</f>
        <v>703000000</v>
      </c>
      <c r="E139" s="27"/>
      <c r="F139" s="27"/>
      <c r="G139" s="27"/>
      <c r="H139" s="27"/>
      <c r="I139" s="21">
        <f t="shared" si="25"/>
        <v>703000000</v>
      </c>
      <c r="J139" s="27"/>
      <c r="K139" s="22">
        <f t="shared" si="26"/>
        <v>703000000</v>
      </c>
      <c r="L139" s="17">
        <f>+[2]TRANSF!$AB$38</f>
        <v>575084656</v>
      </c>
      <c r="M139" s="17">
        <f t="shared" si="22"/>
        <v>-127915344</v>
      </c>
      <c r="N139" s="23">
        <f t="shared" si="27"/>
        <v>0.81804360739687054</v>
      </c>
    </row>
    <row r="140" spans="1:15" s="38" customFormat="1" hidden="1" outlineLevel="1" x14ac:dyDescent="0.25">
      <c r="A140" s="37" t="s">
        <v>94</v>
      </c>
      <c r="B140" s="27"/>
      <c r="C140" s="27"/>
      <c r="D140" s="22">
        <f>+[1]TRANSF!Q39</f>
        <v>0</v>
      </c>
      <c r="E140" s="27"/>
      <c r="F140" s="27"/>
      <c r="G140" s="27"/>
      <c r="H140" s="27"/>
      <c r="I140" s="21">
        <f t="shared" si="25"/>
        <v>0</v>
      </c>
      <c r="J140" s="27"/>
      <c r="K140" s="22">
        <f t="shared" si="26"/>
        <v>0</v>
      </c>
      <c r="L140" s="17">
        <f>+[3]TRANSF!T39</f>
        <v>0</v>
      </c>
      <c r="M140" s="17">
        <f t="shared" si="22"/>
        <v>0</v>
      </c>
      <c r="N140" s="23" t="e">
        <f t="shared" si="27"/>
        <v>#DIV/0!</v>
      </c>
    </row>
    <row r="141" spans="1:15" s="38" customFormat="1" hidden="1" outlineLevel="1" x14ac:dyDescent="0.25">
      <c r="A141" s="37" t="s">
        <v>144</v>
      </c>
      <c r="B141" s="27"/>
      <c r="C141" s="27"/>
      <c r="D141" s="22">
        <f>+[1]TRANSF!Q40</f>
        <v>20000000</v>
      </c>
      <c r="E141" s="27"/>
      <c r="F141" s="27"/>
      <c r="G141" s="27"/>
      <c r="H141" s="27"/>
      <c r="I141" s="21">
        <f t="shared" si="25"/>
        <v>20000000</v>
      </c>
      <c r="J141" s="27"/>
      <c r="K141" s="22">
        <f t="shared" si="26"/>
        <v>20000000</v>
      </c>
      <c r="L141" s="17">
        <f>+[2]TRANSF!$AB$40</f>
        <v>12407640</v>
      </c>
      <c r="M141" s="17">
        <f t="shared" si="22"/>
        <v>-7592360</v>
      </c>
      <c r="N141" s="23">
        <f t="shared" si="27"/>
        <v>0.62038199999999999</v>
      </c>
    </row>
    <row r="142" spans="1:15" s="38" customFormat="1" collapsed="1" x14ac:dyDescent="0.25">
      <c r="A142" s="35" t="s">
        <v>145</v>
      </c>
      <c r="B142" s="27"/>
      <c r="C142" s="27"/>
      <c r="D142" s="27">
        <f>+D143+D155</f>
        <v>678231282</v>
      </c>
      <c r="E142" s="27"/>
      <c r="F142" s="27"/>
      <c r="G142" s="27"/>
      <c r="H142" s="27"/>
      <c r="I142" s="15">
        <f t="shared" si="25"/>
        <v>678231282</v>
      </c>
      <c r="J142" s="27"/>
      <c r="K142" s="27">
        <f t="shared" si="26"/>
        <v>678231282</v>
      </c>
      <c r="L142" s="18">
        <f>+L143+L155</f>
        <v>560328717</v>
      </c>
      <c r="M142" s="18">
        <f>+L142-K142</f>
        <v>-117902565</v>
      </c>
      <c r="N142" s="19">
        <f t="shared" si="27"/>
        <v>0.82616171189815457</v>
      </c>
    </row>
    <row r="143" spans="1:15" s="38" customFormat="1" hidden="1" outlineLevel="1" x14ac:dyDescent="0.25">
      <c r="A143" s="35" t="s">
        <v>146</v>
      </c>
      <c r="B143" s="27"/>
      <c r="C143" s="27"/>
      <c r="D143" s="27">
        <f>SUM(D144:D154)</f>
        <v>454521507</v>
      </c>
      <c r="E143" s="27"/>
      <c r="F143" s="27"/>
      <c r="G143" s="27"/>
      <c r="H143" s="27"/>
      <c r="I143" s="15">
        <f t="shared" si="25"/>
        <v>454521507</v>
      </c>
      <c r="J143" s="27"/>
      <c r="K143" s="27">
        <f t="shared" si="26"/>
        <v>454521507</v>
      </c>
      <c r="L143" s="18">
        <f>SUM(L144:L154)</f>
        <v>373096537</v>
      </c>
      <c r="M143" s="18">
        <f t="shared" ref="M143:M203" si="28">+L143-K143</f>
        <v>-81424970</v>
      </c>
      <c r="N143" s="19">
        <f t="shared" si="27"/>
        <v>0.820855627850411</v>
      </c>
    </row>
    <row r="144" spans="1:15" s="38" customFormat="1" hidden="1" outlineLevel="2" x14ac:dyDescent="0.25">
      <c r="A144" s="37" t="s">
        <v>147</v>
      </c>
      <c r="B144" s="27"/>
      <c r="C144" s="27"/>
      <c r="D144" s="22">
        <f>+[1]TRANSF!Q43</f>
        <v>12621003</v>
      </c>
      <c r="E144" s="27"/>
      <c r="F144" s="27"/>
      <c r="G144" s="27"/>
      <c r="H144" s="27"/>
      <c r="I144" s="21">
        <f t="shared" si="25"/>
        <v>12621003</v>
      </c>
      <c r="J144" s="27"/>
      <c r="K144" s="22">
        <f t="shared" si="26"/>
        <v>12621003</v>
      </c>
      <c r="L144" s="17">
        <f>+[2]TRANSF!$AB$43</f>
        <v>12621003</v>
      </c>
      <c r="M144" s="17">
        <f t="shared" si="28"/>
        <v>0</v>
      </c>
      <c r="N144" s="23">
        <f t="shared" si="27"/>
        <v>1</v>
      </c>
    </row>
    <row r="145" spans="1:14" s="38" customFormat="1" hidden="1" outlineLevel="2" x14ac:dyDescent="0.25">
      <c r="A145" s="37" t="s">
        <v>148</v>
      </c>
      <c r="B145" s="27"/>
      <c r="C145" s="27"/>
      <c r="D145" s="22">
        <f>+[1]TRANSF!Q44</f>
        <v>22000000</v>
      </c>
      <c r="E145" s="27"/>
      <c r="F145" s="27"/>
      <c r="G145" s="27"/>
      <c r="H145" s="27"/>
      <c r="I145" s="21">
        <f t="shared" si="25"/>
        <v>22000000</v>
      </c>
      <c r="J145" s="27"/>
      <c r="K145" s="22">
        <f t="shared" si="26"/>
        <v>22000000</v>
      </c>
      <c r="L145" s="17">
        <f>+[2]TRANSF!$AB$44</f>
        <v>20303846</v>
      </c>
      <c r="M145" s="17">
        <f t="shared" si="28"/>
        <v>-1696154</v>
      </c>
      <c r="N145" s="23">
        <f t="shared" si="27"/>
        <v>0.92290209090909092</v>
      </c>
    </row>
    <row r="146" spans="1:14" s="38" customFormat="1" hidden="1" outlineLevel="2" x14ac:dyDescent="0.25">
      <c r="A146" s="37" t="s">
        <v>149</v>
      </c>
      <c r="B146" s="27"/>
      <c r="C146" s="27"/>
      <c r="D146" s="22">
        <f>+[1]TRANSF!Q45-11140496</f>
        <v>14049504</v>
      </c>
      <c r="E146" s="27"/>
      <c r="F146" s="27"/>
      <c r="G146" s="27"/>
      <c r="H146" s="27"/>
      <c r="I146" s="21">
        <f t="shared" si="25"/>
        <v>14049504</v>
      </c>
      <c r="J146" s="27"/>
      <c r="K146" s="22">
        <f t="shared" si="26"/>
        <v>14049504</v>
      </c>
      <c r="L146" s="17">
        <f>+[2]TRANSF!$AB$45</f>
        <v>14049504</v>
      </c>
      <c r="M146" s="17">
        <f t="shared" si="28"/>
        <v>0</v>
      </c>
      <c r="N146" s="23">
        <f t="shared" si="27"/>
        <v>1</v>
      </c>
    </row>
    <row r="147" spans="1:14" s="38" customFormat="1" hidden="1" outlineLevel="2" x14ac:dyDescent="0.25">
      <c r="A147" s="37" t="s">
        <v>150</v>
      </c>
      <c r="B147" s="27"/>
      <c r="C147" s="27"/>
      <c r="D147" s="22">
        <f>+[1]TRANSF!Q46</f>
        <v>20000000</v>
      </c>
      <c r="E147" s="27"/>
      <c r="F147" s="27"/>
      <c r="G147" s="27"/>
      <c r="H147" s="27"/>
      <c r="I147" s="21">
        <f t="shared" si="25"/>
        <v>20000000</v>
      </c>
      <c r="J147" s="27"/>
      <c r="K147" s="22">
        <f t="shared" si="26"/>
        <v>20000000</v>
      </c>
      <c r="L147" s="17">
        <f>+[3]TRANSF!T46</f>
        <v>0</v>
      </c>
      <c r="M147" s="17">
        <f t="shared" si="28"/>
        <v>-20000000</v>
      </c>
      <c r="N147" s="23">
        <f t="shared" si="27"/>
        <v>0</v>
      </c>
    </row>
    <row r="148" spans="1:14" s="38" customFormat="1" hidden="1" outlineLevel="2" x14ac:dyDescent="0.25">
      <c r="A148" s="37" t="s">
        <v>151</v>
      </c>
      <c r="B148" s="27"/>
      <c r="C148" s="27"/>
      <c r="D148" s="22">
        <f>+[1]TRANSF!Q47+7000000</f>
        <v>40000000</v>
      </c>
      <c r="E148" s="27"/>
      <c r="F148" s="27"/>
      <c r="G148" s="27"/>
      <c r="H148" s="27"/>
      <c r="I148" s="21">
        <f t="shared" si="25"/>
        <v>40000000</v>
      </c>
      <c r="J148" s="27"/>
      <c r="K148" s="22">
        <f t="shared" si="26"/>
        <v>40000000</v>
      </c>
      <c r="L148" s="17">
        <f>+[2]TRANSF!$AB$47</f>
        <v>40000000</v>
      </c>
      <c r="M148" s="17">
        <f t="shared" si="28"/>
        <v>0</v>
      </c>
      <c r="N148" s="23">
        <f t="shared" si="27"/>
        <v>1</v>
      </c>
    </row>
    <row r="149" spans="1:14" s="38" customFormat="1" hidden="1" outlineLevel="2" x14ac:dyDescent="0.25">
      <c r="A149" s="37" t="s">
        <v>152</v>
      </c>
      <c r="B149" s="27"/>
      <c r="C149" s="27"/>
      <c r="D149" s="22">
        <f>+[1]TRANSF!Q48</f>
        <v>0</v>
      </c>
      <c r="E149" s="27"/>
      <c r="F149" s="27"/>
      <c r="G149" s="27"/>
      <c r="H149" s="27"/>
      <c r="I149" s="21">
        <f t="shared" si="25"/>
        <v>0</v>
      </c>
      <c r="J149" s="27"/>
      <c r="K149" s="22">
        <f t="shared" si="26"/>
        <v>0</v>
      </c>
      <c r="L149" s="17">
        <f>+[3]TRANSF!T48</f>
        <v>0</v>
      </c>
      <c r="M149" s="17">
        <f t="shared" si="28"/>
        <v>0</v>
      </c>
      <c r="N149" s="23" t="e">
        <f t="shared" si="27"/>
        <v>#DIV/0!</v>
      </c>
    </row>
    <row r="150" spans="1:14" s="38" customFormat="1" hidden="1" outlineLevel="2" x14ac:dyDescent="0.25">
      <c r="A150" s="37" t="s">
        <v>153</v>
      </c>
      <c r="B150" s="27"/>
      <c r="C150" s="27"/>
      <c r="D150" s="22">
        <f>+[1]TRANSF!Q49+11140496+7556504</f>
        <v>88697000</v>
      </c>
      <c r="E150" s="27"/>
      <c r="F150" s="27"/>
      <c r="G150" s="27"/>
      <c r="H150" s="27"/>
      <c r="I150" s="21">
        <f t="shared" si="25"/>
        <v>88697000</v>
      </c>
      <c r="J150" s="27"/>
      <c r="K150" s="22">
        <f t="shared" si="26"/>
        <v>88697000</v>
      </c>
      <c r="L150" s="17">
        <f>+[2]TRANSF!$AB$49</f>
        <v>69800640</v>
      </c>
      <c r="M150" s="17">
        <f t="shared" si="28"/>
        <v>-18896360</v>
      </c>
      <c r="N150" s="23">
        <f t="shared" si="27"/>
        <v>0.78695604135427355</v>
      </c>
    </row>
    <row r="151" spans="1:14" s="38" customFormat="1" hidden="1" outlineLevel="2" x14ac:dyDescent="0.25">
      <c r="A151" s="37" t="s">
        <v>154</v>
      </c>
      <c r="B151" s="27"/>
      <c r="C151" s="27"/>
      <c r="D151" s="22">
        <f>+[1]TRANSF!Q50+154000</f>
        <v>9154000</v>
      </c>
      <c r="E151" s="27"/>
      <c r="F151" s="27"/>
      <c r="G151" s="27"/>
      <c r="H151" s="27"/>
      <c r="I151" s="21">
        <f t="shared" si="25"/>
        <v>9154000</v>
      </c>
      <c r="J151" s="27"/>
      <c r="K151" s="22">
        <f t="shared" si="26"/>
        <v>9154000</v>
      </c>
      <c r="L151" s="17">
        <f>+[2]TRANSF!$AB$50</f>
        <v>8219925</v>
      </c>
      <c r="M151" s="17">
        <f t="shared" si="28"/>
        <v>-934075</v>
      </c>
      <c r="N151" s="23">
        <f t="shared" si="27"/>
        <v>0.89795990823683636</v>
      </c>
    </row>
    <row r="152" spans="1:14" s="38" customFormat="1" hidden="1" outlineLevel="2" x14ac:dyDescent="0.25">
      <c r="A152" s="37" t="s">
        <v>155</v>
      </c>
      <c r="B152" s="27"/>
      <c r="C152" s="27"/>
      <c r="D152" s="22">
        <f>+[1]TRANSF!Q51-5000000</f>
        <v>25000000</v>
      </c>
      <c r="E152" s="27"/>
      <c r="F152" s="27"/>
      <c r="G152" s="27"/>
      <c r="H152" s="27"/>
      <c r="I152" s="21">
        <f t="shared" si="25"/>
        <v>25000000</v>
      </c>
      <c r="J152" s="27"/>
      <c r="K152" s="22">
        <f t="shared" si="26"/>
        <v>25000000</v>
      </c>
      <c r="L152" s="17">
        <f>+[2]TRANSF!$AB$51</f>
        <v>25000000</v>
      </c>
      <c r="M152" s="17">
        <f t="shared" si="28"/>
        <v>0</v>
      </c>
      <c r="N152" s="23">
        <f t="shared" si="27"/>
        <v>1</v>
      </c>
    </row>
    <row r="153" spans="1:14" s="38" customFormat="1" hidden="1" outlineLevel="2" x14ac:dyDescent="0.25">
      <c r="A153" s="37" t="s">
        <v>156</v>
      </c>
      <c r="B153" s="27"/>
      <c r="C153" s="27"/>
      <c r="D153" s="22">
        <f>+[1]TRANSF!Q52-10000000</f>
        <v>33000000</v>
      </c>
      <c r="E153" s="27"/>
      <c r="F153" s="27"/>
      <c r="G153" s="27"/>
      <c r="H153" s="27"/>
      <c r="I153" s="21">
        <f t="shared" si="25"/>
        <v>33000000</v>
      </c>
      <c r="J153" s="27"/>
      <c r="K153" s="22">
        <f t="shared" si="26"/>
        <v>33000000</v>
      </c>
      <c r="L153" s="17">
        <f>+[2]TRANSF!$AB$52</f>
        <v>30601619</v>
      </c>
      <c r="M153" s="17">
        <f t="shared" si="28"/>
        <v>-2398381</v>
      </c>
      <c r="N153" s="23">
        <f t="shared" si="27"/>
        <v>0.92732178787878783</v>
      </c>
    </row>
    <row r="154" spans="1:14" s="38" customFormat="1" hidden="1" outlineLevel="2" x14ac:dyDescent="0.25">
      <c r="A154" s="37" t="s">
        <v>157</v>
      </c>
      <c r="B154" s="27"/>
      <c r="C154" s="27"/>
      <c r="D154" s="22">
        <f>+[1]TRANSF!Q53</f>
        <v>190000000</v>
      </c>
      <c r="E154" s="27"/>
      <c r="F154" s="27"/>
      <c r="G154" s="27"/>
      <c r="H154" s="27"/>
      <c r="I154" s="21">
        <f t="shared" si="25"/>
        <v>190000000</v>
      </c>
      <c r="J154" s="27"/>
      <c r="K154" s="22">
        <f t="shared" si="26"/>
        <v>190000000</v>
      </c>
      <c r="L154" s="17">
        <f>+[2]TRANSF!$AB$53</f>
        <v>152500000</v>
      </c>
      <c r="M154" s="17">
        <f t="shared" si="28"/>
        <v>-37500000</v>
      </c>
      <c r="N154" s="23">
        <f t="shared" si="27"/>
        <v>0.80263157894736847</v>
      </c>
    </row>
    <row r="155" spans="1:14" s="38" customFormat="1" hidden="1" outlineLevel="1" collapsed="1" x14ac:dyDescent="0.25">
      <c r="A155" s="35" t="s">
        <v>158</v>
      </c>
      <c r="B155" s="27"/>
      <c r="C155" s="27"/>
      <c r="D155" s="27">
        <f>SUM(D156:D162)</f>
        <v>223709775</v>
      </c>
      <c r="E155" s="27"/>
      <c r="F155" s="27"/>
      <c r="G155" s="27"/>
      <c r="H155" s="27"/>
      <c r="I155" s="15">
        <f t="shared" si="25"/>
        <v>223709775</v>
      </c>
      <c r="J155" s="27"/>
      <c r="K155" s="27">
        <f t="shared" si="26"/>
        <v>223709775</v>
      </c>
      <c r="L155" s="18">
        <f>SUM(L156:L162)</f>
        <v>187232180</v>
      </c>
      <c r="M155" s="18">
        <f t="shared" si="28"/>
        <v>-36477595</v>
      </c>
      <c r="N155" s="19">
        <f t="shared" si="27"/>
        <v>0.83694232851470174</v>
      </c>
    </row>
    <row r="156" spans="1:14" s="38" customFormat="1" hidden="1" outlineLevel="2" x14ac:dyDescent="0.25">
      <c r="A156" s="37" t="s">
        <v>159</v>
      </c>
      <c r="B156" s="27"/>
      <c r="C156" s="27"/>
      <c r="D156" s="22">
        <f>+[1]TRANSF!Q55</f>
        <v>20000000</v>
      </c>
      <c r="E156" s="27"/>
      <c r="F156" s="27"/>
      <c r="G156" s="27"/>
      <c r="H156" s="27"/>
      <c r="I156" s="21">
        <f t="shared" si="25"/>
        <v>20000000</v>
      </c>
      <c r="J156" s="27"/>
      <c r="K156" s="22">
        <f t="shared" si="26"/>
        <v>20000000</v>
      </c>
      <c r="L156" s="17">
        <f>+[2]TRANSF!$AB$55</f>
        <v>18311350</v>
      </c>
      <c r="M156" s="17">
        <f t="shared" si="28"/>
        <v>-1688650</v>
      </c>
      <c r="N156" s="23">
        <f t="shared" si="27"/>
        <v>0.91556749999999998</v>
      </c>
    </row>
    <row r="157" spans="1:14" s="38" customFormat="1" hidden="1" outlineLevel="2" x14ac:dyDescent="0.25">
      <c r="A157" s="37" t="s">
        <v>160</v>
      </c>
      <c r="B157" s="27"/>
      <c r="C157" s="27"/>
      <c r="D157" s="22">
        <f>+[1]TRANSF!Q56-7556504-154000</f>
        <v>6709775</v>
      </c>
      <c r="E157" s="27"/>
      <c r="F157" s="27"/>
      <c r="G157" s="27"/>
      <c r="H157" s="27"/>
      <c r="I157" s="21">
        <f t="shared" si="25"/>
        <v>6709775</v>
      </c>
      <c r="J157" s="27"/>
      <c r="K157" s="22">
        <f t="shared" si="26"/>
        <v>6709775</v>
      </c>
      <c r="L157" s="17">
        <f>+[2]TRANSF!$AB$56</f>
        <v>6700000</v>
      </c>
      <c r="M157" s="17">
        <f t="shared" si="28"/>
        <v>-9775</v>
      </c>
      <c r="N157" s="23">
        <f t="shared" si="27"/>
        <v>0.99854317022552919</v>
      </c>
    </row>
    <row r="158" spans="1:14" s="38" customFormat="1" hidden="1" outlineLevel="2" x14ac:dyDescent="0.25">
      <c r="A158" s="37" t="s">
        <v>161</v>
      </c>
      <c r="B158" s="27"/>
      <c r="C158" s="27"/>
      <c r="D158" s="22">
        <f>+[1]TRANSF!Q57</f>
        <v>30000000</v>
      </c>
      <c r="E158" s="27"/>
      <c r="F158" s="27"/>
      <c r="G158" s="27"/>
      <c r="H158" s="27"/>
      <c r="I158" s="21">
        <f t="shared" si="25"/>
        <v>30000000</v>
      </c>
      <c r="J158" s="27"/>
      <c r="K158" s="22">
        <f t="shared" si="26"/>
        <v>30000000</v>
      </c>
      <c r="L158" s="17">
        <f>+[3]TRANSF!T57</f>
        <v>0</v>
      </c>
      <c r="M158" s="17">
        <f t="shared" si="28"/>
        <v>-30000000</v>
      </c>
      <c r="N158" s="23">
        <f t="shared" si="27"/>
        <v>0</v>
      </c>
    </row>
    <row r="159" spans="1:14" s="38" customFormat="1" hidden="1" outlineLevel="2" x14ac:dyDescent="0.25">
      <c r="A159" s="37" t="s">
        <v>162</v>
      </c>
      <c r="B159" s="27"/>
      <c r="C159" s="27"/>
      <c r="D159" s="22">
        <f>+[1]TRANSF!Q58-10000000</f>
        <v>14000000</v>
      </c>
      <c r="E159" s="27"/>
      <c r="F159" s="27"/>
      <c r="G159" s="27"/>
      <c r="H159" s="27"/>
      <c r="I159" s="21">
        <f t="shared" si="25"/>
        <v>14000000</v>
      </c>
      <c r="J159" s="27"/>
      <c r="K159" s="22">
        <f t="shared" si="26"/>
        <v>14000000</v>
      </c>
      <c r="L159" s="17">
        <f>+[2]TRANSF!$AB$58</f>
        <v>14000000</v>
      </c>
      <c r="M159" s="17">
        <f t="shared" si="28"/>
        <v>0</v>
      </c>
      <c r="N159" s="23">
        <f t="shared" si="27"/>
        <v>1</v>
      </c>
    </row>
    <row r="160" spans="1:14" s="38" customFormat="1" hidden="1" outlineLevel="2" x14ac:dyDescent="0.25">
      <c r="A160" s="37" t="s">
        <v>163</v>
      </c>
      <c r="B160" s="27"/>
      <c r="C160" s="27"/>
      <c r="D160" s="22">
        <f>+[1]TRANSF!Q59+10000000+10000000+5000000</f>
        <v>75000000</v>
      </c>
      <c r="E160" s="27"/>
      <c r="F160" s="27"/>
      <c r="G160" s="27"/>
      <c r="H160" s="27"/>
      <c r="I160" s="21">
        <f t="shared" si="25"/>
        <v>75000000</v>
      </c>
      <c r="J160" s="27"/>
      <c r="K160" s="22">
        <f t="shared" si="26"/>
        <v>75000000</v>
      </c>
      <c r="L160" s="17">
        <f>+[2]TRANSF!$AB$59</f>
        <v>72400000</v>
      </c>
      <c r="M160" s="17">
        <f t="shared" si="28"/>
        <v>-2600000</v>
      </c>
      <c r="N160" s="23">
        <f t="shared" si="27"/>
        <v>0.96533333333333338</v>
      </c>
    </row>
    <row r="161" spans="1:15" s="38" customFormat="1" hidden="1" outlineLevel="2" x14ac:dyDescent="0.25">
      <c r="A161" s="37" t="s">
        <v>164</v>
      </c>
      <c r="B161" s="27"/>
      <c r="C161" s="27"/>
      <c r="D161" s="22">
        <f>+[1]TRANSF!Q60-7000000</f>
        <v>68000000</v>
      </c>
      <c r="E161" s="27"/>
      <c r="F161" s="27"/>
      <c r="G161" s="27"/>
      <c r="H161" s="27"/>
      <c r="I161" s="21">
        <f t="shared" si="25"/>
        <v>68000000</v>
      </c>
      <c r="J161" s="27"/>
      <c r="K161" s="22">
        <f t="shared" si="26"/>
        <v>68000000</v>
      </c>
      <c r="L161" s="17">
        <f>+[2]TRANSF!$AB$60</f>
        <v>67918460</v>
      </c>
      <c r="M161" s="17">
        <f t="shared" si="28"/>
        <v>-81540</v>
      </c>
      <c r="N161" s="23">
        <f t="shared" si="27"/>
        <v>0.99880088235294118</v>
      </c>
    </row>
    <row r="162" spans="1:15" s="38" customFormat="1" hidden="1" outlineLevel="2" x14ac:dyDescent="0.25">
      <c r="A162" s="37" t="s">
        <v>165</v>
      </c>
      <c r="B162" s="27"/>
      <c r="C162" s="27"/>
      <c r="D162" s="22">
        <f>+[1]TRANSF!Q61</f>
        <v>10000000</v>
      </c>
      <c r="E162" s="27"/>
      <c r="F162" s="27"/>
      <c r="G162" s="27"/>
      <c r="H162" s="27"/>
      <c r="I162" s="21">
        <f t="shared" si="25"/>
        <v>10000000</v>
      </c>
      <c r="J162" s="27"/>
      <c r="K162" s="22">
        <f t="shared" si="26"/>
        <v>10000000</v>
      </c>
      <c r="L162" s="17">
        <f>+[2]TRANSF!$AB$61</f>
        <v>7902370</v>
      </c>
      <c r="M162" s="17">
        <f t="shared" si="28"/>
        <v>-2097630</v>
      </c>
      <c r="N162" s="23">
        <f t="shared" si="27"/>
        <v>0.79023699999999997</v>
      </c>
    </row>
    <row r="163" spans="1:15" s="38" customFormat="1" collapsed="1" x14ac:dyDescent="0.25">
      <c r="A163" s="35" t="s">
        <v>166</v>
      </c>
      <c r="B163" s="27"/>
      <c r="C163" s="27"/>
      <c r="D163" s="27">
        <f>+D164+D168</f>
        <v>712600000</v>
      </c>
      <c r="E163" s="27"/>
      <c r="F163" s="27"/>
      <c r="G163" s="27"/>
      <c r="H163" s="27"/>
      <c r="I163" s="15">
        <f t="shared" si="25"/>
        <v>712600000</v>
      </c>
      <c r="J163" s="27"/>
      <c r="K163" s="27">
        <f t="shared" si="26"/>
        <v>712600000</v>
      </c>
      <c r="L163" s="18">
        <f>+L164+L168</f>
        <v>708498072</v>
      </c>
      <c r="M163" s="18">
        <f t="shared" si="28"/>
        <v>-4101928</v>
      </c>
      <c r="N163" s="19">
        <f t="shared" si="27"/>
        <v>0.99424371596968841</v>
      </c>
    </row>
    <row r="164" spans="1:15" s="38" customFormat="1" hidden="1" outlineLevel="1" x14ac:dyDescent="0.25">
      <c r="A164" s="35" t="s">
        <v>167</v>
      </c>
      <c r="B164" s="27"/>
      <c r="C164" s="27"/>
      <c r="D164" s="27">
        <f>SUM(D165:D167)</f>
        <v>114000000</v>
      </c>
      <c r="E164" s="27"/>
      <c r="F164" s="27"/>
      <c r="G164" s="27"/>
      <c r="H164" s="27"/>
      <c r="I164" s="15">
        <f t="shared" si="25"/>
        <v>114000000</v>
      </c>
      <c r="J164" s="27"/>
      <c r="K164" s="27">
        <f t="shared" si="26"/>
        <v>114000000</v>
      </c>
      <c r="L164" s="18">
        <f>SUM(L165:L167)</f>
        <v>110412200</v>
      </c>
      <c r="M164" s="18">
        <f t="shared" si="28"/>
        <v>-3587800</v>
      </c>
      <c r="N164" s="19">
        <f t="shared" si="27"/>
        <v>0.96852807017543863</v>
      </c>
    </row>
    <row r="165" spans="1:15" s="38" customFormat="1" hidden="1" outlineLevel="2" x14ac:dyDescent="0.25">
      <c r="A165" s="37" t="s">
        <v>168</v>
      </c>
      <c r="B165" s="27"/>
      <c r="C165" s="27"/>
      <c r="D165" s="22">
        <f>+[1]TRANSF!Q64-22500000-6500000</f>
        <v>8000000</v>
      </c>
      <c r="E165" s="27"/>
      <c r="F165" s="27"/>
      <c r="G165" s="27"/>
      <c r="H165" s="27"/>
      <c r="I165" s="21">
        <f t="shared" si="25"/>
        <v>8000000</v>
      </c>
      <c r="J165" s="27"/>
      <c r="K165" s="22">
        <f t="shared" si="26"/>
        <v>8000000</v>
      </c>
      <c r="L165" s="17">
        <f>+[2]TRANSF!$AB$64</f>
        <v>5858375</v>
      </c>
      <c r="M165" s="17">
        <f t="shared" si="28"/>
        <v>-2141625</v>
      </c>
      <c r="N165" s="23">
        <f t="shared" si="27"/>
        <v>0.73229687499999996</v>
      </c>
    </row>
    <row r="166" spans="1:15" s="38" customFormat="1" hidden="1" outlineLevel="2" x14ac:dyDescent="0.25">
      <c r="A166" s="37" t="s">
        <v>169</v>
      </c>
      <c r="B166" s="27"/>
      <c r="C166" s="27"/>
      <c r="D166" s="22">
        <f>+[1]TRANSF!Q65+6500000+2000000</f>
        <v>76000000</v>
      </c>
      <c r="E166" s="27"/>
      <c r="F166" s="27"/>
      <c r="G166" s="27"/>
      <c r="H166" s="27"/>
      <c r="I166" s="21">
        <f t="shared" si="25"/>
        <v>76000000</v>
      </c>
      <c r="J166" s="27"/>
      <c r="K166" s="22">
        <f t="shared" si="26"/>
        <v>76000000</v>
      </c>
      <c r="L166" s="17">
        <f>+[2]TRANSF!$AB$65</f>
        <v>74553825</v>
      </c>
      <c r="M166" s="17">
        <f t="shared" si="28"/>
        <v>-1446175</v>
      </c>
      <c r="N166" s="23">
        <f t="shared" si="27"/>
        <v>0.98097138157894737</v>
      </c>
    </row>
    <row r="167" spans="1:15" s="38" customFormat="1" hidden="1" outlineLevel="2" x14ac:dyDescent="0.25">
      <c r="A167" s="37" t="s">
        <v>170</v>
      </c>
      <c r="B167" s="27"/>
      <c r="C167" s="27"/>
      <c r="D167" s="22">
        <f>+[1]TRANSF!Q66</f>
        <v>30000000</v>
      </c>
      <c r="E167" s="27"/>
      <c r="F167" s="27"/>
      <c r="G167" s="27"/>
      <c r="H167" s="27"/>
      <c r="I167" s="21">
        <f t="shared" si="25"/>
        <v>30000000</v>
      </c>
      <c r="J167" s="27"/>
      <c r="K167" s="22">
        <f t="shared" si="26"/>
        <v>30000000</v>
      </c>
      <c r="L167" s="17">
        <f>+[3]TRANSF!T66</f>
        <v>30000000</v>
      </c>
      <c r="M167" s="17">
        <f t="shared" si="28"/>
        <v>0</v>
      </c>
      <c r="N167" s="23">
        <f t="shared" si="27"/>
        <v>1</v>
      </c>
    </row>
    <row r="168" spans="1:15" s="38" customFormat="1" hidden="1" outlineLevel="1" collapsed="1" x14ac:dyDescent="0.25">
      <c r="A168" s="35" t="s">
        <v>171</v>
      </c>
      <c r="B168" s="27"/>
      <c r="C168" s="27"/>
      <c r="D168" s="27">
        <f>SUM(D169:D173)</f>
        <v>598600000</v>
      </c>
      <c r="E168" s="27"/>
      <c r="F168" s="27"/>
      <c r="G168" s="27"/>
      <c r="H168" s="27"/>
      <c r="I168" s="15">
        <f t="shared" si="25"/>
        <v>598600000</v>
      </c>
      <c r="J168" s="27"/>
      <c r="K168" s="27">
        <f t="shared" si="26"/>
        <v>598600000</v>
      </c>
      <c r="L168" s="18">
        <f>SUM(L169:L173)</f>
        <v>598085872</v>
      </c>
      <c r="M168" s="18">
        <f t="shared" si="28"/>
        <v>-514128</v>
      </c>
      <c r="N168" s="19">
        <f t="shared" si="27"/>
        <v>0.9991411159371868</v>
      </c>
    </row>
    <row r="169" spans="1:15" s="38" customFormat="1" hidden="1" outlineLevel="2" x14ac:dyDescent="0.25">
      <c r="A169" s="37" t="s">
        <v>172</v>
      </c>
      <c r="B169" s="27"/>
      <c r="C169" s="27"/>
      <c r="D169" s="22">
        <f>+[1]TRANSF!Q68+22500000</f>
        <v>491000000</v>
      </c>
      <c r="E169" s="27"/>
      <c r="F169" s="27"/>
      <c r="G169" s="27"/>
      <c r="H169" s="27"/>
      <c r="I169" s="21">
        <f t="shared" si="25"/>
        <v>491000000</v>
      </c>
      <c r="J169" s="27"/>
      <c r="K169" s="22">
        <f t="shared" si="26"/>
        <v>491000000</v>
      </c>
      <c r="L169" s="17">
        <f>+[2]TRANSF!$AB$68</f>
        <v>490975425</v>
      </c>
      <c r="M169" s="17">
        <f t="shared" si="28"/>
        <v>-24575</v>
      </c>
      <c r="N169" s="23">
        <f t="shared" si="27"/>
        <v>0.9999499490835031</v>
      </c>
    </row>
    <row r="170" spans="1:15" s="38" customFormat="1" hidden="1" outlineLevel="2" x14ac:dyDescent="0.25">
      <c r="A170" s="37" t="s">
        <v>173</v>
      </c>
      <c r="B170" s="27"/>
      <c r="C170" s="27"/>
      <c r="D170" s="22">
        <f>+[1]TRANSF!Q69</f>
        <v>15000000</v>
      </c>
      <c r="E170" s="22"/>
      <c r="F170" s="22"/>
      <c r="G170" s="22"/>
      <c r="H170" s="22"/>
      <c r="I170" s="21">
        <f t="shared" si="25"/>
        <v>15000000</v>
      </c>
      <c r="J170" s="22"/>
      <c r="K170" s="22">
        <f t="shared" si="26"/>
        <v>15000000</v>
      </c>
      <c r="L170" s="17">
        <f>+[2]TRANSF!$AB$69</f>
        <v>15000000</v>
      </c>
      <c r="M170" s="17">
        <f t="shared" si="28"/>
        <v>0</v>
      </c>
      <c r="N170" s="23">
        <f t="shared" si="27"/>
        <v>1</v>
      </c>
    </row>
    <row r="171" spans="1:15" s="38" customFormat="1" hidden="1" outlineLevel="2" x14ac:dyDescent="0.25">
      <c r="A171" s="37" t="s">
        <v>174</v>
      </c>
      <c r="B171" s="27"/>
      <c r="C171" s="27"/>
      <c r="D171" s="22">
        <f>+[1]TRANSF!Q70-600000-2000000</f>
        <v>3000000</v>
      </c>
      <c r="E171" s="22"/>
      <c r="F171" s="22"/>
      <c r="G171" s="22"/>
      <c r="H171" s="22"/>
      <c r="I171" s="21">
        <f t="shared" si="25"/>
        <v>3000000</v>
      </c>
      <c r="J171" s="22"/>
      <c r="K171" s="22">
        <f t="shared" si="26"/>
        <v>3000000</v>
      </c>
      <c r="L171" s="17">
        <f>+[2]TRANSF!$AB$70</f>
        <v>2599640</v>
      </c>
      <c r="M171" s="17">
        <f t="shared" si="28"/>
        <v>-400360</v>
      </c>
      <c r="N171" s="23">
        <f t="shared" si="27"/>
        <v>0.86654666666666669</v>
      </c>
    </row>
    <row r="172" spans="1:15" s="38" customFormat="1" hidden="1" outlineLevel="1" collapsed="1" x14ac:dyDescent="0.25">
      <c r="A172" s="35" t="s">
        <v>175</v>
      </c>
      <c r="B172" s="27"/>
      <c r="C172" s="27"/>
      <c r="D172" s="27">
        <f>+[1]TRANSF!Q71+600000</f>
        <v>12600000</v>
      </c>
      <c r="E172" s="27"/>
      <c r="F172" s="27"/>
      <c r="G172" s="27"/>
      <c r="H172" s="27"/>
      <c r="I172" s="15">
        <f>SUM(B172:H172)</f>
        <v>12600000</v>
      </c>
      <c r="J172" s="27"/>
      <c r="K172" s="27">
        <f t="shared" si="26"/>
        <v>12600000</v>
      </c>
      <c r="L172" s="18">
        <f>+[2]TRANSF!$AB$71</f>
        <v>12510807</v>
      </c>
      <c r="M172" s="18">
        <f t="shared" si="28"/>
        <v>-89193</v>
      </c>
      <c r="N172" s="19">
        <f t="shared" si="27"/>
        <v>0.99292119047619043</v>
      </c>
    </row>
    <row r="173" spans="1:15" s="38" customFormat="1" hidden="1" outlineLevel="1" x14ac:dyDescent="0.25">
      <c r="A173" s="35" t="s">
        <v>176</v>
      </c>
      <c r="B173" s="27"/>
      <c r="C173" s="27"/>
      <c r="D173" s="27">
        <f>+[1]TRANSF!Q72</f>
        <v>77000000</v>
      </c>
      <c r="E173" s="27"/>
      <c r="F173" s="27"/>
      <c r="G173" s="27"/>
      <c r="H173" s="27"/>
      <c r="I173" s="15">
        <f t="shared" si="25"/>
        <v>77000000</v>
      </c>
      <c r="J173" s="27"/>
      <c r="K173" s="27">
        <f t="shared" si="26"/>
        <v>77000000</v>
      </c>
      <c r="L173" s="18">
        <f>+[2]TRANSF!$AB$72</f>
        <v>77000000</v>
      </c>
      <c r="M173" s="18">
        <f t="shared" si="28"/>
        <v>0</v>
      </c>
      <c r="N173" s="19">
        <f t="shared" si="27"/>
        <v>1</v>
      </c>
    </row>
    <row r="174" spans="1:15" s="38" customFormat="1" collapsed="1" x14ac:dyDescent="0.25">
      <c r="A174" s="37"/>
      <c r="B174" s="27"/>
      <c r="C174" s="27"/>
      <c r="D174" s="27"/>
      <c r="E174" s="27"/>
      <c r="F174" s="27"/>
      <c r="G174" s="27"/>
      <c r="H174" s="27"/>
      <c r="I174" s="21"/>
      <c r="J174" s="27"/>
      <c r="K174" s="22"/>
      <c r="L174" s="17"/>
      <c r="M174" s="17"/>
      <c r="N174" s="23"/>
    </row>
    <row r="175" spans="1:15" s="38" customFormat="1" x14ac:dyDescent="0.25">
      <c r="A175" s="35" t="s">
        <v>177</v>
      </c>
      <c r="B175" s="27"/>
      <c r="C175" s="27"/>
      <c r="D175" s="27"/>
      <c r="E175" s="27">
        <f>+E176+E179</f>
        <v>1090000000</v>
      </c>
      <c r="F175" s="27"/>
      <c r="G175" s="27"/>
      <c r="H175" s="27"/>
      <c r="I175" s="27">
        <f t="shared" ref="I175:I182" si="29">SUM(B175:H175)</f>
        <v>1090000000</v>
      </c>
      <c r="J175" s="27"/>
      <c r="K175" s="27">
        <f t="shared" ref="K175:K182" si="30">SUM(I175:J175)</f>
        <v>1090000000</v>
      </c>
      <c r="L175" s="18">
        <f>+L176+L179</f>
        <v>1054050638</v>
      </c>
      <c r="M175" s="18">
        <f t="shared" si="28"/>
        <v>-35949362</v>
      </c>
      <c r="N175" s="19">
        <f t="shared" si="27"/>
        <v>0.96701893394495408</v>
      </c>
      <c r="O175" s="42"/>
    </row>
    <row r="176" spans="1:15" s="38" customFormat="1" x14ac:dyDescent="0.25">
      <c r="A176" s="35" t="s">
        <v>178</v>
      </c>
      <c r="B176" s="27"/>
      <c r="C176" s="27"/>
      <c r="D176" s="27"/>
      <c r="E176" s="27">
        <f>SUM(E177:E178)</f>
        <v>650000000</v>
      </c>
      <c r="F176" s="27"/>
      <c r="G176" s="27"/>
      <c r="H176" s="27"/>
      <c r="I176" s="27">
        <f t="shared" si="29"/>
        <v>650000000</v>
      </c>
      <c r="J176" s="27"/>
      <c r="K176" s="27">
        <f t="shared" si="30"/>
        <v>650000000</v>
      </c>
      <c r="L176" s="18">
        <f>SUM(L177:L178)</f>
        <v>641419447</v>
      </c>
      <c r="M176" s="18">
        <f t="shared" si="28"/>
        <v>-8580553</v>
      </c>
      <c r="N176" s="19">
        <f t="shared" si="27"/>
        <v>0.98679914923076928</v>
      </c>
    </row>
    <row r="177" spans="1:15" s="38" customFormat="1" hidden="1" outlineLevel="1" x14ac:dyDescent="0.25">
      <c r="A177" s="37" t="s">
        <v>179</v>
      </c>
      <c r="B177" s="27"/>
      <c r="C177" s="27"/>
      <c r="D177" s="27"/>
      <c r="E177" s="22">
        <f>+[1]SAN!Q32</f>
        <v>400000000</v>
      </c>
      <c r="F177" s="27"/>
      <c r="G177" s="27"/>
      <c r="H177" s="27"/>
      <c r="I177" s="21">
        <f t="shared" si="29"/>
        <v>400000000</v>
      </c>
      <c r="J177" s="27"/>
      <c r="K177" s="22">
        <f t="shared" si="30"/>
        <v>400000000</v>
      </c>
      <c r="L177" s="17">
        <f>+[2]SAN!$AB$32</f>
        <v>392103699</v>
      </c>
      <c r="M177" s="17">
        <f t="shared" si="28"/>
        <v>-7896301</v>
      </c>
      <c r="N177" s="23">
        <f t="shared" si="27"/>
        <v>0.98025924750000004</v>
      </c>
    </row>
    <row r="178" spans="1:15" s="38" customFormat="1" hidden="1" outlineLevel="1" x14ac:dyDescent="0.25">
      <c r="A178" s="37" t="s">
        <v>180</v>
      </c>
      <c r="B178" s="27"/>
      <c r="C178" s="27"/>
      <c r="D178" s="27"/>
      <c r="E178" s="22">
        <f>+[1]SAN!Q33</f>
        <v>250000000</v>
      </c>
      <c r="F178" s="27"/>
      <c r="G178" s="27"/>
      <c r="H178" s="27"/>
      <c r="I178" s="21">
        <f t="shared" si="29"/>
        <v>250000000</v>
      </c>
      <c r="J178" s="27"/>
      <c r="K178" s="22">
        <f t="shared" si="30"/>
        <v>250000000</v>
      </c>
      <c r="L178" s="17">
        <f>+[2]SAN!$AB$33</f>
        <v>249315748</v>
      </c>
      <c r="M178" s="17">
        <f t="shared" si="28"/>
        <v>-684252</v>
      </c>
      <c r="N178" s="23">
        <f t="shared" si="27"/>
        <v>0.99726299200000001</v>
      </c>
    </row>
    <row r="179" spans="1:15" s="38" customFormat="1" collapsed="1" x14ac:dyDescent="0.25">
      <c r="A179" s="35" t="s">
        <v>181</v>
      </c>
      <c r="B179" s="27"/>
      <c r="C179" s="27"/>
      <c r="D179" s="27"/>
      <c r="E179" s="27">
        <f>SUM(E180:E182)</f>
        <v>440000000</v>
      </c>
      <c r="F179" s="27"/>
      <c r="G179" s="27"/>
      <c r="H179" s="27"/>
      <c r="I179" s="27">
        <f t="shared" si="29"/>
        <v>440000000</v>
      </c>
      <c r="J179" s="27"/>
      <c r="K179" s="27">
        <f t="shared" si="30"/>
        <v>440000000</v>
      </c>
      <c r="L179" s="18">
        <f>SUM(L180:L182)</f>
        <v>412631191</v>
      </c>
      <c r="M179" s="18">
        <f t="shared" si="28"/>
        <v>-27368809</v>
      </c>
      <c r="N179" s="19">
        <f t="shared" si="27"/>
        <v>0.93779816136363636</v>
      </c>
    </row>
    <row r="180" spans="1:15" s="38" customFormat="1" hidden="1" outlineLevel="1" x14ac:dyDescent="0.25">
      <c r="A180" s="37" t="s">
        <v>182</v>
      </c>
      <c r="B180" s="27"/>
      <c r="C180" s="27"/>
      <c r="D180" s="27"/>
      <c r="E180" s="22">
        <f>+[1]SAN!Q35</f>
        <v>50000000</v>
      </c>
      <c r="F180" s="27"/>
      <c r="G180" s="27"/>
      <c r="H180" s="27"/>
      <c r="I180" s="21">
        <f t="shared" si="29"/>
        <v>50000000</v>
      </c>
      <c r="J180" s="27"/>
      <c r="K180" s="22">
        <f t="shared" si="30"/>
        <v>50000000</v>
      </c>
      <c r="L180" s="17">
        <f>+[2]SAN!$AB$35</f>
        <v>30000000</v>
      </c>
      <c r="M180" s="17">
        <f t="shared" si="28"/>
        <v>-20000000</v>
      </c>
      <c r="N180" s="23">
        <f t="shared" si="27"/>
        <v>0.6</v>
      </c>
    </row>
    <row r="181" spans="1:15" s="38" customFormat="1" hidden="1" outlineLevel="1" x14ac:dyDescent="0.25">
      <c r="A181" s="37" t="s">
        <v>183</v>
      </c>
      <c r="B181" s="27"/>
      <c r="C181" s="27"/>
      <c r="D181" s="27"/>
      <c r="E181" s="22">
        <f>+[1]SAN!Q36</f>
        <v>350000000</v>
      </c>
      <c r="F181" s="27"/>
      <c r="G181" s="27"/>
      <c r="H181" s="27"/>
      <c r="I181" s="21">
        <f t="shared" si="29"/>
        <v>350000000</v>
      </c>
      <c r="J181" s="27"/>
      <c r="K181" s="22">
        <f t="shared" si="30"/>
        <v>350000000</v>
      </c>
      <c r="L181" s="17">
        <f>+[2]SAN!$AB$36</f>
        <v>350000000</v>
      </c>
      <c r="M181" s="17">
        <f t="shared" si="28"/>
        <v>0</v>
      </c>
      <c r="N181" s="23">
        <f t="shared" si="27"/>
        <v>1</v>
      </c>
    </row>
    <row r="182" spans="1:15" s="38" customFormat="1" hidden="1" outlineLevel="1" x14ac:dyDescent="0.25">
      <c r="A182" s="37" t="s">
        <v>184</v>
      </c>
      <c r="B182" s="27"/>
      <c r="C182" s="27"/>
      <c r="D182" s="27"/>
      <c r="E182" s="22">
        <f>+[1]SAN!Q37</f>
        <v>40000000</v>
      </c>
      <c r="F182" s="27"/>
      <c r="G182" s="27"/>
      <c r="H182" s="27"/>
      <c r="I182" s="21">
        <f t="shared" si="29"/>
        <v>40000000</v>
      </c>
      <c r="J182" s="27"/>
      <c r="K182" s="22">
        <f t="shared" si="30"/>
        <v>40000000</v>
      </c>
      <c r="L182" s="17">
        <f>+[2]SAN!$AB$37</f>
        <v>32631191</v>
      </c>
      <c r="M182" s="17">
        <f t="shared" si="28"/>
        <v>-7368809</v>
      </c>
      <c r="N182" s="23">
        <f t="shared" si="27"/>
        <v>0.81577977499999998</v>
      </c>
    </row>
    <row r="183" spans="1:15" s="38" customFormat="1" collapsed="1" x14ac:dyDescent="0.25">
      <c r="A183" s="37"/>
      <c r="B183" s="22"/>
      <c r="C183" s="27"/>
      <c r="D183" s="27"/>
      <c r="E183" s="27"/>
      <c r="F183" s="27"/>
      <c r="G183" s="27"/>
      <c r="H183" s="27"/>
      <c r="I183" s="21"/>
      <c r="J183" s="27"/>
      <c r="K183" s="22"/>
      <c r="L183" s="17"/>
      <c r="M183" s="17"/>
      <c r="N183" s="23"/>
    </row>
    <row r="184" spans="1:15" s="38" customFormat="1" x14ac:dyDescent="0.25">
      <c r="A184" s="35" t="s">
        <v>185</v>
      </c>
      <c r="B184" s="27"/>
      <c r="C184" s="27"/>
      <c r="D184" s="27"/>
      <c r="E184" s="27"/>
      <c r="F184" s="27"/>
      <c r="G184" s="27"/>
      <c r="H184" s="27">
        <f>+H185+H190+H194</f>
        <v>1027085007.1334935</v>
      </c>
      <c r="I184" s="27">
        <f t="shared" ref="I184:I197" si="31">SUM(B184:H184)</f>
        <v>1027085007.1334935</v>
      </c>
      <c r="J184" s="27"/>
      <c r="K184" s="27">
        <f t="shared" ref="K184:K197" si="32">SUM(I184:J184)</f>
        <v>1027085007.1334935</v>
      </c>
      <c r="L184" s="18">
        <f>+L185+L190+L194</f>
        <v>964136989</v>
      </c>
      <c r="M184" s="18">
        <f t="shared" si="28"/>
        <v>-62948018.133493543</v>
      </c>
      <c r="N184" s="19">
        <f t="shared" si="27"/>
        <v>0.93871196863327211</v>
      </c>
      <c r="O184" s="42"/>
    </row>
    <row r="185" spans="1:15" s="38" customFormat="1" x14ac:dyDescent="0.25">
      <c r="A185" s="35" t="s">
        <v>186</v>
      </c>
      <c r="B185" s="27"/>
      <c r="C185" s="27"/>
      <c r="D185" s="27"/>
      <c r="E185" s="27"/>
      <c r="F185" s="27"/>
      <c r="G185" s="27"/>
      <c r="H185" s="27">
        <f>SUM(H186:H189)</f>
        <v>623175753.13349354</v>
      </c>
      <c r="I185" s="27">
        <f t="shared" si="31"/>
        <v>623175753.13349354</v>
      </c>
      <c r="J185" s="27"/>
      <c r="K185" s="27">
        <f t="shared" si="32"/>
        <v>623175753.13349354</v>
      </c>
      <c r="L185" s="18">
        <f>SUM(L186:L189)</f>
        <v>588423411</v>
      </c>
      <c r="M185" s="18">
        <f t="shared" si="28"/>
        <v>-34752342.133493543</v>
      </c>
      <c r="N185" s="19">
        <f t="shared" si="27"/>
        <v>0.94423348155195463</v>
      </c>
    </row>
    <row r="186" spans="1:15" s="38" customFormat="1" hidden="1" outlineLevel="1" x14ac:dyDescent="0.25">
      <c r="A186" s="37" t="s">
        <v>187</v>
      </c>
      <c r="B186" s="27"/>
      <c r="C186" s="27"/>
      <c r="D186" s="27"/>
      <c r="E186" s="22"/>
      <c r="F186" s="27"/>
      <c r="G186" s="27"/>
      <c r="H186" s="22">
        <f>+[1]COM!Q38</f>
        <v>5345490</v>
      </c>
      <c r="I186" s="21">
        <f t="shared" si="31"/>
        <v>5345490</v>
      </c>
      <c r="J186" s="27"/>
      <c r="K186" s="22">
        <f t="shared" si="32"/>
        <v>5345490</v>
      </c>
      <c r="L186" s="17">
        <f>+[2]COM!$AB$38</f>
        <v>3848961</v>
      </c>
      <c r="M186" s="17">
        <f t="shared" si="28"/>
        <v>-1496529</v>
      </c>
      <c r="N186" s="23">
        <f t="shared" si="27"/>
        <v>0.72003894872125851</v>
      </c>
    </row>
    <row r="187" spans="1:15" s="38" customFormat="1" hidden="1" outlineLevel="1" x14ac:dyDescent="0.25">
      <c r="A187" s="37" t="s">
        <v>188</v>
      </c>
      <c r="B187" s="27"/>
      <c r="C187" s="27"/>
      <c r="D187" s="27"/>
      <c r="E187" s="22"/>
      <c r="F187" s="27"/>
      <c r="G187" s="27"/>
      <c r="H187" s="22">
        <f>+[1]COM!Q40</f>
        <v>166235244</v>
      </c>
      <c r="I187" s="21">
        <f>SUM(B187:H187)</f>
        <v>166235244</v>
      </c>
      <c r="J187" s="27"/>
      <c r="K187" s="22">
        <f t="shared" si="32"/>
        <v>166235244</v>
      </c>
      <c r="L187" s="17">
        <f>+[2]COM!$AB$40</f>
        <v>155533118</v>
      </c>
      <c r="M187" s="17">
        <f t="shared" si="28"/>
        <v>-10702126</v>
      </c>
      <c r="N187" s="23">
        <f t="shared" si="27"/>
        <v>0.93562059559403665</v>
      </c>
    </row>
    <row r="188" spans="1:15" s="38" customFormat="1" hidden="1" outlineLevel="1" x14ac:dyDescent="0.25">
      <c r="A188" s="37" t="s">
        <v>189</v>
      </c>
      <c r="B188" s="27"/>
      <c r="C188" s="27"/>
      <c r="D188" s="27"/>
      <c r="E188" s="22"/>
      <c r="F188" s="27"/>
      <c r="G188" s="27"/>
      <c r="H188" s="22">
        <f>+[1]COM!Q39</f>
        <v>431595019.13349354</v>
      </c>
      <c r="I188" s="21">
        <f>SUM(B188:H188)</f>
        <v>431595019.13349354</v>
      </c>
      <c r="J188" s="27"/>
      <c r="K188" s="22">
        <f t="shared" si="32"/>
        <v>431595019.13349354</v>
      </c>
      <c r="L188" s="17">
        <f>+[2]COM!$AB$39</f>
        <v>410198508</v>
      </c>
      <c r="M188" s="17">
        <f t="shared" si="28"/>
        <v>-21396511.133493543</v>
      </c>
      <c r="N188" s="48">
        <f t="shared" si="27"/>
        <v>0.95042456426756039</v>
      </c>
    </row>
    <row r="189" spans="1:15" s="38" customFormat="1" hidden="1" outlineLevel="1" x14ac:dyDescent="0.25">
      <c r="A189" s="37" t="s">
        <v>190</v>
      </c>
      <c r="B189" s="27"/>
      <c r="C189" s="27"/>
      <c r="D189" s="27"/>
      <c r="E189" s="22"/>
      <c r="F189" s="27"/>
      <c r="G189" s="27"/>
      <c r="H189" s="22">
        <f>+[1]COM!Q41</f>
        <v>20000000</v>
      </c>
      <c r="I189" s="21">
        <f t="shared" si="31"/>
        <v>20000000</v>
      </c>
      <c r="J189" s="27"/>
      <c r="K189" s="22">
        <f t="shared" si="32"/>
        <v>20000000</v>
      </c>
      <c r="L189" s="17">
        <f>+[2]COM!$AB$41</f>
        <v>18842824</v>
      </c>
      <c r="M189" s="17">
        <f t="shared" si="28"/>
        <v>-1157176</v>
      </c>
      <c r="N189" s="23">
        <f t="shared" si="27"/>
        <v>0.94214120000000001</v>
      </c>
    </row>
    <row r="190" spans="1:15" s="38" customFormat="1" collapsed="1" x14ac:dyDescent="0.25">
      <c r="A190" s="35" t="s">
        <v>191</v>
      </c>
      <c r="B190" s="27"/>
      <c r="C190" s="27"/>
      <c r="D190" s="27"/>
      <c r="E190" s="27"/>
      <c r="F190" s="27"/>
      <c r="G190" s="27"/>
      <c r="H190" s="27">
        <f>SUM(H191:H193)</f>
        <v>237693095</v>
      </c>
      <c r="I190" s="27">
        <f t="shared" si="31"/>
        <v>237693095</v>
      </c>
      <c r="J190" s="27"/>
      <c r="K190" s="27">
        <f t="shared" si="32"/>
        <v>237693095</v>
      </c>
      <c r="L190" s="18">
        <f>SUM(L191:L193)</f>
        <v>219515910</v>
      </c>
      <c r="M190" s="18">
        <f t="shared" si="28"/>
        <v>-18177185</v>
      </c>
      <c r="N190" s="19">
        <f t="shared" si="27"/>
        <v>0.92352665945133994</v>
      </c>
    </row>
    <row r="191" spans="1:15" s="38" customFormat="1" hidden="1" outlineLevel="1" x14ac:dyDescent="0.25">
      <c r="A191" s="37" t="s">
        <v>187</v>
      </c>
      <c r="B191" s="27"/>
      <c r="C191" s="27"/>
      <c r="D191" s="27"/>
      <c r="E191" s="22"/>
      <c r="F191" s="27"/>
      <c r="G191" s="27"/>
      <c r="H191" s="22">
        <f>+[1]COM!Q43</f>
        <v>0</v>
      </c>
      <c r="I191" s="21">
        <f t="shared" si="31"/>
        <v>0</v>
      </c>
      <c r="J191" s="27"/>
      <c r="K191" s="22">
        <f t="shared" si="32"/>
        <v>0</v>
      </c>
      <c r="L191" s="17">
        <f>+[2]COM!$AB$43</f>
        <v>0</v>
      </c>
      <c r="M191" s="17">
        <f t="shared" si="28"/>
        <v>0</v>
      </c>
      <c r="N191" s="23" t="e">
        <f t="shared" si="27"/>
        <v>#DIV/0!</v>
      </c>
    </row>
    <row r="192" spans="1:15" s="38" customFormat="1" hidden="1" outlineLevel="1" x14ac:dyDescent="0.25">
      <c r="A192" s="37" t="s">
        <v>192</v>
      </c>
      <c r="B192" s="27"/>
      <c r="C192" s="27"/>
      <c r="D192" s="27"/>
      <c r="E192" s="22"/>
      <c r="F192" s="27"/>
      <c r="G192" s="27"/>
      <c r="H192" s="22">
        <f>+[1]COM!Q44</f>
        <v>219489339</v>
      </c>
      <c r="I192" s="21">
        <f t="shared" si="31"/>
        <v>219489339</v>
      </c>
      <c r="J192" s="27"/>
      <c r="K192" s="22">
        <f t="shared" si="32"/>
        <v>219489339</v>
      </c>
      <c r="L192" s="17">
        <f>+[2]COM!$AB$44</f>
        <v>201756474</v>
      </c>
      <c r="M192" s="17">
        <f t="shared" si="28"/>
        <v>-17732865</v>
      </c>
      <c r="N192" s="23">
        <f t="shared" si="27"/>
        <v>0.91920853613760256</v>
      </c>
    </row>
    <row r="193" spans="1:16" s="38" customFormat="1" hidden="1" outlineLevel="1" x14ac:dyDescent="0.25">
      <c r="A193" s="37" t="s">
        <v>193</v>
      </c>
      <c r="B193" s="27"/>
      <c r="C193" s="27"/>
      <c r="D193" s="27"/>
      <c r="E193" s="22"/>
      <c r="F193" s="27"/>
      <c r="G193" s="27"/>
      <c r="H193" s="22">
        <f>+[1]COM!Q45</f>
        <v>18203756</v>
      </c>
      <c r="I193" s="21">
        <f t="shared" si="31"/>
        <v>18203756</v>
      </c>
      <c r="J193" s="27"/>
      <c r="K193" s="22">
        <f t="shared" si="32"/>
        <v>18203756</v>
      </c>
      <c r="L193" s="17">
        <f>+[2]COM!$AB$45</f>
        <v>17759436</v>
      </c>
      <c r="M193" s="17">
        <f>+L193-K193</f>
        <v>-444320</v>
      </c>
      <c r="N193" s="23">
        <f t="shared" si="27"/>
        <v>0.97559185038516227</v>
      </c>
    </row>
    <row r="194" spans="1:16" s="38" customFormat="1" collapsed="1" x14ac:dyDescent="0.25">
      <c r="A194" s="35" t="s">
        <v>194</v>
      </c>
      <c r="B194" s="27"/>
      <c r="C194" s="27"/>
      <c r="D194" s="27"/>
      <c r="E194" s="27"/>
      <c r="F194" s="27"/>
      <c r="G194" s="27"/>
      <c r="H194" s="27">
        <f>SUM(H195:H197)</f>
        <v>166216159</v>
      </c>
      <c r="I194" s="27">
        <f t="shared" si="31"/>
        <v>166216159</v>
      </c>
      <c r="J194" s="27"/>
      <c r="K194" s="27">
        <f t="shared" si="32"/>
        <v>166216159</v>
      </c>
      <c r="L194" s="18">
        <f>SUM(L195:L197)</f>
        <v>156197668</v>
      </c>
      <c r="M194" s="18">
        <f t="shared" si="28"/>
        <v>-10018491</v>
      </c>
      <c r="N194" s="19">
        <f t="shared" si="27"/>
        <v>0.93972613095938529</v>
      </c>
    </row>
    <row r="195" spans="1:16" s="38" customFormat="1" hidden="1" outlineLevel="1" x14ac:dyDescent="0.25">
      <c r="A195" s="37" t="s">
        <v>187</v>
      </c>
      <c r="B195" s="27"/>
      <c r="C195" s="27"/>
      <c r="D195" s="27"/>
      <c r="E195" s="22"/>
      <c r="F195" s="27"/>
      <c r="G195" s="27"/>
      <c r="H195" s="22">
        <f>+[1]COM!Q47</f>
        <v>339168</v>
      </c>
      <c r="I195" s="21">
        <f t="shared" si="31"/>
        <v>339168</v>
      </c>
      <c r="J195" s="27"/>
      <c r="K195" s="22">
        <f t="shared" si="32"/>
        <v>339168</v>
      </c>
      <c r="L195" s="17">
        <f>+[2]COM!$AB$47</f>
        <v>339168</v>
      </c>
      <c r="M195" s="17">
        <f t="shared" si="28"/>
        <v>0</v>
      </c>
      <c r="N195" s="23">
        <f t="shared" si="27"/>
        <v>1</v>
      </c>
    </row>
    <row r="196" spans="1:16" s="38" customFormat="1" hidden="1" outlineLevel="1" x14ac:dyDescent="0.25">
      <c r="A196" s="37" t="s">
        <v>195</v>
      </c>
      <c r="B196" s="27"/>
      <c r="C196" s="27"/>
      <c r="D196" s="27"/>
      <c r="E196" s="22"/>
      <c r="F196" s="27"/>
      <c r="G196" s="27"/>
      <c r="H196" s="22">
        <f>+[1]COM!Q48</f>
        <v>21463240</v>
      </c>
      <c r="I196" s="21">
        <f t="shared" si="31"/>
        <v>21463240</v>
      </c>
      <c r="J196" s="27"/>
      <c r="K196" s="22">
        <f t="shared" si="32"/>
        <v>21463240</v>
      </c>
      <c r="L196" s="17">
        <f>+[2]COM!$AB$48</f>
        <v>21000000</v>
      </c>
      <c r="M196" s="17">
        <f t="shared" si="28"/>
        <v>-463240</v>
      </c>
      <c r="N196" s="23">
        <f t="shared" si="27"/>
        <v>0.97841705166601123</v>
      </c>
    </row>
    <row r="197" spans="1:16" s="38" customFormat="1" hidden="1" outlineLevel="1" x14ac:dyDescent="0.25">
      <c r="A197" s="37" t="s">
        <v>196</v>
      </c>
      <c r="B197" s="27"/>
      <c r="C197" s="27"/>
      <c r="D197" s="27"/>
      <c r="E197" s="22"/>
      <c r="F197" s="27"/>
      <c r="G197" s="27"/>
      <c r="H197" s="22">
        <f>+[1]COM!Q49</f>
        <v>144413751</v>
      </c>
      <c r="I197" s="21">
        <f t="shared" si="31"/>
        <v>144413751</v>
      </c>
      <c r="J197" s="27"/>
      <c r="K197" s="22">
        <f t="shared" si="32"/>
        <v>144413751</v>
      </c>
      <c r="L197" s="17">
        <f>+[2]COM!$AB$49</f>
        <v>134858500</v>
      </c>
      <c r="M197" s="17">
        <f t="shared" si="28"/>
        <v>-9555251</v>
      </c>
      <c r="N197" s="23">
        <f t="shared" si="27"/>
        <v>0.93383420253380167</v>
      </c>
    </row>
    <row r="198" spans="1:16" s="38" customFormat="1" collapsed="1" x14ac:dyDescent="0.25">
      <c r="A198" s="37"/>
      <c r="B198" s="22"/>
      <c r="C198" s="27"/>
      <c r="D198" s="27"/>
      <c r="E198" s="27"/>
      <c r="F198" s="27"/>
      <c r="G198" s="27"/>
      <c r="H198" s="27"/>
      <c r="I198" s="21"/>
      <c r="J198" s="27"/>
      <c r="K198" s="22"/>
      <c r="L198" s="17"/>
      <c r="M198" s="17"/>
      <c r="N198" s="23"/>
    </row>
    <row r="199" spans="1:16" x14ac:dyDescent="0.25">
      <c r="A199" s="41" t="s">
        <v>197</v>
      </c>
      <c r="B199" s="22"/>
      <c r="C199" s="22"/>
      <c r="D199" s="22"/>
      <c r="E199" s="22"/>
      <c r="F199" s="22"/>
      <c r="G199" s="22"/>
      <c r="H199" s="22"/>
      <c r="I199" s="21"/>
      <c r="J199" s="27">
        <f>SUM(J200:J201)</f>
        <v>1871779417.2</v>
      </c>
      <c r="K199" s="27">
        <f>SUM(I199:J199)</f>
        <v>1871779417.2</v>
      </c>
      <c r="L199" s="18">
        <f>SUM(L200:L201)</f>
        <v>1817752456</v>
      </c>
      <c r="M199" s="18">
        <f t="shared" si="28"/>
        <v>-54026961.200000048</v>
      </c>
      <c r="N199" s="19">
        <f t="shared" si="27"/>
        <v>0.97113604268561782</v>
      </c>
    </row>
    <row r="200" spans="1:16" outlineLevel="1" x14ac:dyDescent="0.25">
      <c r="A200" s="49" t="s">
        <v>198</v>
      </c>
      <c r="B200" s="22"/>
      <c r="C200" s="22"/>
      <c r="D200" s="22"/>
      <c r="E200" s="22"/>
      <c r="F200" s="22"/>
      <c r="G200" s="22"/>
      <c r="H200" s="22"/>
      <c r="I200" s="21"/>
      <c r="J200" s="22">
        <f>+[1]FUN!Q59</f>
        <v>1170298140.3</v>
      </c>
      <c r="K200" s="22">
        <f>SUM(I200:J200)</f>
        <v>1170298140.3</v>
      </c>
      <c r="L200" s="17">
        <f>+[2]FUN!$AB$59</f>
        <v>1136095284</v>
      </c>
      <c r="M200" s="17">
        <f t="shared" si="28"/>
        <v>-34202856.299999952</v>
      </c>
      <c r="N200" s="23">
        <f t="shared" si="27"/>
        <v>0.97077423681863473</v>
      </c>
    </row>
    <row r="201" spans="1:16" outlineLevel="1" x14ac:dyDescent="0.25">
      <c r="A201" s="49" t="s">
        <v>199</v>
      </c>
      <c r="B201" s="22"/>
      <c r="C201" s="22"/>
      <c r="D201" s="22"/>
      <c r="E201" s="22"/>
      <c r="F201" s="22"/>
      <c r="H201" s="22"/>
      <c r="I201" s="21"/>
      <c r="J201" s="22">
        <f>+[1]FUN!Q60</f>
        <v>701481276.9000001</v>
      </c>
      <c r="K201" s="22">
        <f>SUM(I201:J201)</f>
        <v>701481276.9000001</v>
      </c>
      <c r="L201" s="17">
        <f>+[2]FUN!$AB$60</f>
        <v>681657172</v>
      </c>
      <c r="M201" s="17">
        <f t="shared" si="28"/>
        <v>-19824104.900000095</v>
      </c>
      <c r="N201" s="23">
        <f>+L201/K201</f>
        <v>0.97173965214352243</v>
      </c>
    </row>
    <row r="202" spans="1:16" x14ac:dyDescent="0.25">
      <c r="A202" s="26"/>
      <c r="B202" s="22"/>
      <c r="C202" s="22"/>
      <c r="D202" s="22"/>
      <c r="E202" s="22"/>
      <c r="F202" s="22"/>
      <c r="G202" s="22"/>
      <c r="H202" s="22"/>
      <c r="I202" s="21"/>
      <c r="J202" s="22"/>
      <c r="K202" s="22"/>
      <c r="L202" s="17"/>
      <c r="M202" s="17"/>
      <c r="N202" s="19"/>
    </row>
    <row r="203" spans="1:16" x14ac:dyDescent="0.25">
      <c r="A203" s="41" t="s">
        <v>200</v>
      </c>
      <c r="B203" s="27"/>
      <c r="C203" s="27"/>
      <c r="D203" s="27"/>
      <c r="E203" s="27"/>
      <c r="F203" s="27"/>
      <c r="G203" s="27"/>
      <c r="H203" s="27"/>
      <c r="I203" s="27"/>
      <c r="J203" s="27">
        <v>0</v>
      </c>
      <c r="K203" s="27">
        <f>SUM(I203:J203)</f>
        <v>0</v>
      </c>
      <c r="L203" s="17">
        <v>0</v>
      </c>
      <c r="M203" s="17">
        <f t="shared" si="28"/>
        <v>0</v>
      </c>
      <c r="N203" s="19">
        <v>0</v>
      </c>
      <c r="O203" s="20"/>
      <c r="P203" s="50"/>
    </row>
    <row r="204" spans="1:16" x14ac:dyDescent="0.25">
      <c r="A204" s="41"/>
      <c r="B204" s="27"/>
      <c r="C204" s="27"/>
      <c r="D204" s="27"/>
      <c r="E204" s="27"/>
      <c r="F204" s="27"/>
      <c r="G204" s="27"/>
      <c r="H204" s="27"/>
      <c r="I204" s="27"/>
      <c r="J204" s="27"/>
      <c r="K204" s="51"/>
      <c r="L204" s="17"/>
      <c r="M204" s="17"/>
      <c r="N204" s="19"/>
      <c r="O204" s="20"/>
      <c r="P204" s="33"/>
    </row>
    <row r="205" spans="1:16" x14ac:dyDescent="0.25">
      <c r="A205" s="41" t="s">
        <v>201</v>
      </c>
      <c r="B205" s="27"/>
      <c r="C205" s="27"/>
      <c r="D205" s="27"/>
      <c r="E205" s="27"/>
      <c r="F205" s="27"/>
      <c r="G205" s="27">
        <v>0</v>
      </c>
      <c r="H205" s="27"/>
      <c r="I205" s="27">
        <f>SUM(B205:H205)</f>
        <v>0</v>
      </c>
      <c r="J205" s="27"/>
      <c r="K205" s="51">
        <f>SUM(I205:J205)</f>
        <v>0</v>
      </c>
      <c r="L205" s="17">
        <v>0</v>
      </c>
      <c r="M205" s="17">
        <v>0</v>
      </c>
      <c r="N205" s="19">
        <v>0</v>
      </c>
    </row>
    <row r="206" spans="1:16" x14ac:dyDescent="0.25">
      <c r="A206" s="26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17"/>
      <c r="M206" s="17"/>
      <c r="N206" s="19"/>
    </row>
    <row r="207" spans="1:16" x14ac:dyDescent="0.25">
      <c r="A207" s="41" t="s">
        <v>202</v>
      </c>
      <c r="B207" s="22"/>
      <c r="C207" s="22"/>
      <c r="D207" s="22"/>
      <c r="E207" s="22"/>
      <c r="F207" s="22"/>
      <c r="G207" s="22"/>
      <c r="H207" s="22"/>
      <c r="I207" s="27"/>
      <c r="J207" s="27">
        <f>SUM(J208:J209)</f>
        <v>0</v>
      </c>
      <c r="K207" s="27">
        <f>SUM(I207:J207)</f>
        <v>0</v>
      </c>
      <c r="L207" s="17">
        <v>0</v>
      </c>
      <c r="M207" s="17">
        <f>+L207-K207</f>
        <v>0</v>
      </c>
      <c r="N207" s="19">
        <v>0</v>
      </c>
    </row>
    <row r="208" spans="1:16" hidden="1" outlineLevel="1" x14ac:dyDescent="0.25">
      <c r="A208" s="16" t="s">
        <v>203</v>
      </c>
      <c r="B208" s="22"/>
      <c r="C208" s="22"/>
      <c r="D208" s="22"/>
      <c r="E208" s="22"/>
      <c r="F208" s="22"/>
      <c r="G208" s="22"/>
      <c r="H208" s="22"/>
      <c r="I208" s="21"/>
      <c r="J208" s="22">
        <v>0</v>
      </c>
      <c r="K208" s="22">
        <f>SUM(I208:J208)</f>
        <v>0</v>
      </c>
      <c r="L208" s="17">
        <v>0</v>
      </c>
      <c r="M208" s="17">
        <f>+L208-K208</f>
        <v>0</v>
      </c>
      <c r="N208" s="23">
        <v>0</v>
      </c>
    </row>
    <row r="209" spans="1:16" hidden="1" outlineLevel="1" x14ac:dyDescent="0.25">
      <c r="A209" s="16" t="s">
        <v>204</v>
      </c>
      <c r="B209" s="22"/>
      <c r="C209" s="22"/>
      <c r="D209" s="22"/>
      <c r="E209" s="22"/>
      <c r="F209" s="22"/>
      <c r="G209" s="22"/>
      <c r="H209" s="22"/>
      <c r="I209" s="21"/>
      <c r="J209" s="22">
        <v>0</v>
      </c>
      <c r="K209" s="22">
        <f>SUM(I209:J209)</f>
        <v>0</v>
      </c>
      <c r="L209" s="17">
        <v>0</v>
      </c>
      <c r="M209" s="17">
        <v>0</v>
      </c>
      <c r="N209" s="23">
        <v>0</v>
      </c>
    </row>
    <row r="210" spans="1:16" collapsed="1" x14ac:dyDescent="0.25">
      <c r="A210" s="26"/>
      <c r="B210" s="22"/>
      <c r="C210" s="22"/>
      <c r="D210" s="22"/>
      <c r="E210" s="22"/>
      <c r="F210" s="22"/>
      <c r="G210" s="22"/>
      <c r="H210" s="22"/>
      <c r="I210" s="21"/>
      <c r="J210" s="22"/>
      <c r="K210" s="22"/>
      <c r="L210" s="17"/>
      <c r="M210" s="17"/>
      <c r="N210" s="19"/>
      <c r="P210" s="52"/>
    </row>
    <row r="211" spans="1:16" x14ac:dyDescent="0.25">
      <c r="A211" s="26" t="s">
        <v>205</v>
      </c>
      <c r="B211" s="27">
        <f>+B52+B54</f>
        <v>447267539.97280002</v>
      </c>
      <c r="C211" s="27">
        <f t="shared" ref="C211:H211" si="33">+C52+C54</f>
        <v>1354036802</v>
      </c>
      <c r="D211" s="27">
        <f t="shared" si="33"/>
        <v>2296400051.25</v>
      </c>
      <c r="E211" s="27">
        <f t="shared" si="33"/>
        <v>1111318040</v>
      </c>
      <c r="F211" s="27">
        <f t="shared" si="33"/>
        <v>5263399056.9362001</v>
      </c>
      <c r="G211" s="27">
        <f t="shared" si="33"/>
        <v>6892831763</v>
      </c>
      <c r="H211" s="27">
        <f t="shared" si="33"/>
        <v>1273738948.1334934</v>
      </c>
      <c r="I211" s="27">
        <f>SUM(B211:H211)</f>
        <v>18638992201.292496</v>
      </c>
      <c r="J211" s="27">
        <f>+J199+J52</f>
        <v>2987526297.1999998</v>
      </c>
      <c r="K211" s="27">
        <f>+K52+K54+K199</f>
        <v>21626518498.492496</v>
      </c>
      <c r="L211" s="18">
        <f>+L52+L54+L199</f>
        <v>20611226545</v>
      </c>
      <c r="M211" s="18">
        <f>+L211-K211</f>
        <v>-1015291953.4924965</v>
      </c>
      <c r="N211" s="19">
        <f>+L211/K211</f>
        <v>0.95305337964761783</v>
      </c>
      <c r="O211" s="20"/>
      <c r="P211" s="53"/>
    </row>
    <row r="212" spans="1:16" x14ac:dyDescent="0.25">
      <c r="A212" s="16"/>
      <c r="B212" s="27"/>
      <c r="C212" s="54"/>
      <c r="D212" s="54"/>
      <c r="E212" s="22"/>
      <c r="F212" s="54"/>
      <c r="G212" s="22"/>
      <c r="H212" s="54"/>
      <c r="I212" s="16"/>
      <c r="J212" s="54"/>
      <c r="K212" s="54"/>
      <c r="L212" s="55"/>
      <c r="M212" s="55"/>
      <c r="N212" s="16"/>
      <c r="O212" s="31"/>
      <c r="P212" s="56"/>
    </row>
    <row r="213" spans="1:16" hidden="1" x14ac:dyDescent="0.25">
      <c r="B213" s="20">
        <f>+B211-[1]ECO!$T$46</f>
        <v>0</v>
      </c>
      <c r="C213" s="20">
        <f>+C211-[1]TEC!$T$54</f>
        <v>0</v>
      </c>
      <c r="D213" s="20">
        <f>+D211-[1]TRANSF!$T$75</f>
        <v>0</v>
      </c>
      <c r="E213" s="20">
        <f>+E211-[1]SAN!$T$40</f>
        <v>0</v>
      </c>
      <c r="F213" s="20">
        <f>+F211-[1]MER!$T$77</f>
        <v>0</v>
      </c>
      <c r="G213" s="57">
        <f>+G211-[1]PPC!$T$62</f>
        <v>0</v>
      </c>
      <c r="H213" s="20">
        <f>+H211-[1]COM!$T$53</f>
        <v>0</v>
      </c>
      <c r="I213" s="20"/>
      <c r="J213" s="20">
        <f>+J211-[1]FUN!$T$68</f>
        <v>0</v>
      </c>
      <c r="K213" s="20">
        <f>+K211-[2]RES!$K$70</f>
        <v>1.4924964904785156</v>
      </c>
      <c r="L213" s="58">
        <f>+L211-[2]RES!$P$70</f>
        <v>0</v>
      </c>
      <c r="M213" s="59"/>
      <c r="N213" s="60"/>
    </row>
    <row r="214" spans="1:16" x14ac:dyDescent="0.25">
      <c r="B214" s="20"/>
      <c r="C214" s="20"/>
      <c r="D214" s="20"/>
      <c r="E214" s="20"/>
      <c r="F214" s="20"/>
      <c r="G214" s="57"/>
      <c r="I214" s="20"/>
      <c r="J214" s="20"/>
      <c r="K214" s="61"/>
      <c r="L214" s="59"/>
      <c r="M214" s="62"/>
      <c r="N214" s="63"/>
    </row>
    <row r="215" spans="1:16" hidden="1" outlineLevel="1" x14ac:dyDescent="0.25">
      <c r="I215" s="64"/>
      <c r="J215" s="64"/>
      <c r="K215" s="65"/>
      <c r="L215" s="62"/>
    </row>
    <row r="216" spans="1:16" hidden="1" outlineLevel="1" x14ac:dyDescent="0.25">
      <c r="A216" s="20"/>
      <c r="G216" s="38"/>
      <c r="I216" s="20"/>
      <c r="J216" s="67"/>
      <c r="K216" s="67"/>
      <c r="M216" s="68"/>
    </row>
    <row r="217" spans="1:16" ht="14.4" hidden="1" outlineLevel="1" thickBot="1" x14ac:dyDescent="0.3">
      <c r="C217" s="20"/>
      <c r="D217" s="31"/>
      <c r="G217" s="38"/>
      <c r="I217" s="69"/>
      <c r="J217" s="70"/>
      <c r="K217" s="70"/>
      <c r="L217" s="68"/>
    </row>
    <row r="218" spans="1:16" hidden="1" outlineLevel="1" x14ac:dyDescent="0.25">
      <c r="B218" s="20"/>
      <c r="C218" s="20"/>
      <c r="D218" s="31"/>
      <c r="I218" s="43"/>
      <c r="J218" s="71"/>
      <c r="K218" s="71"/>
    </row>
    <row r="219" spans="1:16" collapsed="1" x14ac:dyDescent="0.25">
      <c r="I219" s="20"/>
      <c r="J219" s="72"/>
      <c r="K219" s="61"/>
    </row>
    <row r="220" spans="1:16" hidden="1" x14ac:dyDescent="0.25">
      <c r="I220" s="64"/>
      <c r="J220" s="64"/>
      <c r="K220" s="73"/>
    </row>
    <row r="221" spans="1:16" hidden="1" x14ac:dyDescent="0.25">
      <c r="I221" s="74"/>
      <c r="J221" s="75"/>
      <c r="K221" s="76"/>
    </row>
    <row r="222" spans="1:16" hidden="1" x14ac:dyDescent="0.25">
      <c r="I222" s="20"/>
      <c r="J222" s="28"/>
      <c r="K222" s="67"/>
    </row>
    <row r="223" spans="1:16" hidden="1" x14ac:dyDescent="0.25">
      <c r="I223" s="20"/>
      <c r="J223" s="20"/>
      <c r="K223" s="20"/>
    </row>
    <row r="224" spans="1:16" hidden="1" x14ac:dyDescent="0.25">
      <c r="F224" s="38"/>
      <c r="H224" s="38"/>
      <c r="I224" s="43"/>
      <c r="J224" s="43"/>
      <c r="K224" s="43"/>
    </row>
    <row r="225" spans="11:11" x14ac:dyDescent="0.25">
      <c r="K225" s="20"/>
    </row>
    <row r="226" spans="11:11" x14ac:dyDescent="0.25">
      <c r="K226" s="20"/>
    </row>
    <row r="227" spans="11:11" x14ac:dyDescent="0.25"/>
    <row r="228" spans="11:11" x14ac:dyDescent="0.25"/>
    <row r="229" spans="11:11" x14ac:dyDescent="0.25"/>
    <row r="230" spans="11:11" x14ac:dyDescent="0.25"/>
    <row r="231" spans="11:11" x14ac:dyDescent="0.25"/>
    <row r="232" spans="11:11" x14ac:dyDescent="0.25"/>
    <row r="233" spans="11:11" x14ac:dyDescent="0.25"/>
    <row r="234" spans="11:11" x14ac:dyDescent="0.25"/>
    <row r="235" spans="11:11" x14ac:dyDescent="0.25"/>
    <row r="236" spans="11:11" x14ac:dyDescent="0.25"/>
    <row r="237" spans="11:11" x14ac:dyDescent="0.25"/>
    <row r="238" spans="11:11" x14ac:dyDescent="0.25"/>
    <row r="239" spans="11:11" x14ac:dyDescent="0.25"/>
    <row r="240" spans="11:11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</sheetData>
  <mergeCells count="4">
    <mergeCell ref="A1:N1"/>
    <mergeCell ref="A2:N2"/>
    <mergeCell ref="A3:N3"/>
    <mergeCell ref="A4:N4"/>
  </mergeCells>
  <printOptions horizontalCentered="1"/>
  <pageMargins left="0.7" right="0.7" top="0.75" bottom="0.75" header="0.3" footer="0.3"/>
  <pageSetup scale="24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 2 </vt:lpstr>
      <vt:lpstr>'Anexo 2 '!Área_de_impresión</vt:lpstr>
      <vt:lpstr>'Anexo 2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Rubio Roldan</dc:creator>
  <cp:lastModifiedBy>Oscar Rubio Roldan</cp:lastModifiedBy>
  <dcterms:created xsi:type="dcterms:W3CDTF">2026-03-31T15:51:40Z</dcterms:created>
  <dcterms:modified xsi:type="dcterms:W3CDTF">2026-03-31T15:52:07Z</dcterms:modified>
</cp:coreProperties>
</file>