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F9E834F3-F13E-4747-AC85-193780455802}" xr6:coauthVersionLast="47" xr6:coauthVersionMax="47" xr10:uidLastSave="{00000000-0000-0000-0000-000000000000}"/>
  <bookViews>
    <workbookView xWindow="-108" yWindow="-108" windowWidth="23256" windowHeight="12456" xr2:uid="{E57E825B-CCDF-4691-A1AA-01D647663CDF}"/>
  </bookViews>
  <sheets>
    <sheet name="Anexo 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hidden="1">#REF!</definedName>
    <definedName name="ANEXO" hidden="1">'[6]Inversión total en programas'!$50:$50,'[6]Inversión total en programas'!$60:$63</definedName>
    <definedName name="_xlnm.Print_Area" localSheetId="0">'Anexo 2 '!$A$1:$Y$213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'[9]Anexo 1 Minagricultura'!#REF!</definedName>
    <definedName name="CABEZAS_PROYEC" localSheetId="0">'[10]Anexo 1 Minagricultura'!$C$46</definedName>
    <definedName name="CABEZAS_PROYEC">'[5]Anexo 1'!#REF!</definedName>
    <definedName name="CONTRATOS">#REF!</definedName>
    <definedName name="CUOTAPPC2005" localSheetId="0">'[10]Anexo 1 Minagricultura'!#REF!</definedName>
    <definedName name="CUOTAPPC2005">'[5]Anexo 1'!#REF!</definedName>
    <definedName name="CUOTAPPC2013" localSheetId="0">'[10]Anexo 1 Minagricultura'!#REF!</definedName>
    <definedName name="CUOTAPPC2013">'[5]Anexo 1'!#REF!</definedName>
    <definedName name="CUOTAPPC203" localSheetId="0">'[10]Anexo 1 Minagricultura'!#REF!</definedName>
    <definedName name="CUOTAPPC203">'[5]Anexo 1'!#REF!</definedName>
    <definedName name="DIAG_PPC">#REF!</definedName>
    <definedName name="DIRECCION">[11]consecutivo!$M$9:$M$13</definedName>
    <definedName name="DISTRIBUIDOR">#REF!</definedName>
    <definedName name="Dólar" localSheetId="0">#REF!</definedName>
    <definedName name="Dólar">#REF!</definedName>
    <definedName name="eeeee" localSheetId="0">'[10]Ejecución ingresos 2014'!#REF!</definedName>
    <definedName name="eeeee">#REF!</definedName>
    <definedName name="EPPC" localSheetId="0">'[10]Anexo 1 Minagricultura'!$C$54</definedName>
    <definedName name="EPPC">'[5]Anexo 1'!#REF!</definedName>
    <definedName name="Euro" localSheetId="0">#REF!</definedName>
    <definedName name="Euro">#REF!</definedName>
    <definedName name="FDGFDG">#REF!</definedName>
    <definedName name="FECHA_DE_RECIBIDO">[12]BASE!$E$3:$E$177</definedName>
    <definedName name="FOMENTO" localSheetId="0">'[10]Anexo 1 Minagricultura'!$C$53</definedName>
    <definedName name="FOMENTO">'[5]Anexo 1'!#REF!</definedName>
    <definedName name="FOMENTOS">'[15]Anexo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 localSheetId="0">#REF!</definedName>
    <definedName name="Incremento">#REF!</definedName>
    <definedName name="Inflación" localSheetId="0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 localSheetId="0">#REF!</definedName>
    <definedName name="Pasajes">#REF!</definedName>
    <definedName name="ppc">'[5]Anexo 1'!$B$15</definedName>
    <definedName name="RESERV_FUTU">#REF!</definedName>
    <definedName name="saldo" localSheetId="0">'[10]Ejecución ingresos 2014'!#REF!</definedName>
    <definedName name="saldo">#REF!</definedName>
    <definedName name="saldos" localSheetId="0">'[10]Ejecución ingresos 2014'!#REF!</definedName>
    <definedName name="saldos">#REF!</definedName>
    <definedName name="SUPERA2004" localSheetId="0">'[10]Anexo 1 Minagricultura'!#REF!</definedName>
    <definedName name="SUPERA2004">'[5]Anexo 1'!#REF!</definedName>
    <definedName name="SUPERA2005" localSheetId="0">'[10]Anexo 1 Minagricultura'!#REF!</definedName>
    <definedName name="SUPERA2005">'[5]Anexo 1'!#REF!</definedName>
    <definedName name="SUPERA2010">'[17]Anexo 1 Minagricultura'!$C$21</definedName>
    <definedName name="SUPERA2012" localSheetId="0">'[10]Anexo 1 Minagricultura'!#REF!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2 '!$1:$6</definedName>
    <definedName name="_xlnm.Print_Titles">#REF!</definedName>
    <definedName name="VTAS2005">'[5]Anexo 1'!$B$32</definedName>
    <definedName name="xx">[18]Ingresos!$C$19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 localSheetId="0">'[20]Ingresos 2014'!#REF!</definedName>
    <definedName name="ZFRONTERA">'[20]Ingresos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1" l="1"/>
  <c r="K208" i="1"/>
  <c r="M208" i="1" s="1"/>
  <c r="J207" i="1"/>
  <c r="K207" i="1" s="1"/>
  <c r="M207" i="1" s="1"/>
  <c r="I205" i="1"/>
  <c r="K205" i="1" s="1"/>
  <c r="K203" i="1"/>
  <c r="M203" i="1" s="1"/>
  <c r="L201" i="1"/>
  <c r="J201" i="1"/>
  <c r="J199" i="1" s="1"/>
  <c r="L200" i="1"/>
  <c r="L199" i="1" s="1"/>
  <c r="K200" i="1"/>
  <c r="J200" i="1"/>
  <c r="L197" i="1"/>
  <c r="H197" i="1"/>
  <c r="I197" i="1" s="1"/>
  <c r="K197" i="1" s="1"/>
  <c r="L196" i="1"/>
  <c r="L194" i="1" s="1"/>
  <c r="K196" i="1"/>
  <c r="I196" i="1"/>
  <c r="H196" i="1"/>
  <c r="L195" i="1"/>
  <c r="H195" i="1"/>
  <c r="I195" i="1" s="1"/>
  <c r="K195" i="1" s="1"/>
  <c r="H194" i="1"/>
  <c r="I194" i="1" s="1"/>
  <c r="K194" i="1" s="1"/>
  <c r="L193" i="1"/>
  <c r="I193" i="1"/>
  <c r="K193" i="1" s="1"/>
  <c r="H193" i="1"/>
  <c r="L192" i="1"/>
  <c r="M192" i="1" s="1"/>
  <c r="I192" i="1"/>
  <c r="K192" i="1" s="1"/>
  <c r="N192" i="1" s="1"/>
  <c r="H192" i="1"/>
  <c r="L191" i="1"/>
  <c r="L190" i="1" s="1"/>
  <c r="H191" i="1"/>
  <c r="I191" i="1" s="1"/>
  <c r="K191" i="1" s="1"/>
  <c r="L189" i="1"/>
  <c r="H189" i="1"/>
  <c r="I189" i="1" s="1"/>
  <c r="K189" i="1" s="1"/>
  <c r="L188" i="1"/>
  <c r="N188" i="1" s="1"/>
  <c r="K188" i="1"/>
  <c r="I188" i="1"/>
  <c r="H188" i="1"/>
  <c r="L187" i="1"/>
  <c r="I187" i="1"/>
  <c r="K187" i="1" s="1"/>
  <c r="H187" i="1"/>
  <c r="L186" i="1"/>
  <c r="L185" i="1" s="1"/>
  <c r="H186" i="1"/>
  <c r="H185" i="1" s="1"/>
  <c r="L182" i="1"/>
  <c r="N182" i="1" s="1"/>
  <c r="E182" i="1"/>
  <c r="I182" i="1" s="1"/>
  <c r="K182" i="1" s="1"/>
  <c r="L181" i="1"/>
  <c r="I181" i="1"/>
  <c r="K181" i="1" s="1"/>
  <c r="E181" i="1"/>
  <c r="L180" i="1"/>
  <c r="E180" i="1"/>
  <c r="E179" i="1" s="1"/>
  <c r="I179" i="1" s="1"/>
  <c r="K179" i="1" s="1"/>
  <c r="L179" i="1"/>
  <c r="N179" i="1" s="1"/>
  <c r="L178" i="1"/>
  <c r="N178" i="1" s="1"/>
  <c r="I178" i="1"/>
  <c r="K178" i="1" s="1"/>
  <c r="E178" i="1"/>
  <c r="L177" i="1"/>
  <c r="L176" i="1" s="1"/>
  <c r="E177" i="1"/>
  <c r="E176" i="1" s="1"/>
  <c r="L173" i="1"/>
  <c r="D173" i="1"/>
  <c r="I173" i="1" s="1"/>
  <c r="K173" i="1" s="1"/>
  <c r="L172" i="1"/>
  <c r="I172" i="1"/>
  <c r="K172" i="1" s="1"/>
  <c r="D172" i="1"/>
  <c r="L171" i="1"/>
  <c r="D171" i="1"/>
  <c r="I171" i="1" s="1"/>
  <c r="K171" i="1" s="1"/>
  <c r="L170" i="1"/>
  <c r="L168" i="1" s="1"/>
  <c r="K170" i="1"/>
  <c r="I170" i="1"/>
  <c r="D170" i="1"/>
  <c r="L169" i="1"/>
  <c r="N169" i="1" s="1"/>
  <c r="D169" i="1"/>
  <c r="I169" i="1" s="1"/>
  <c r="K169" i="1" s="1"/>
  <c r="L167" i="1"/>
  <c r="I167" i="1"/>
  <c r="K167" i="1" s="1"/>
  <c r="D167" i="1"/>
  <c r="L166" i="1"/>
  <c r="I166" i="1"/>
  <c r="K166" i="1" s="1"/>
  <c r="N166" i="1" s="1"/>
  <c r="D166" i="1"/>
  <c r="L165" i="1"/>
  <c r="L164" i="1" s="1"/>
  <c r="D165" i="1"/>
  <c r="I165" i="1" s="1"/>
  <c r="K165" i="1" s="1"/>
  <c r="L162" i="1"/>
  <c r="N162" i="1" s="1"/>
  <c r="K162" i="1"/>
  <c r="I162" i="1"/>
  <c r="D162" i="1"/>
  <c r="L161" i="1"/>
  <c r="D161" i="1"/>
  <c r="I161" i="1" s="1"/>
  <c r="K161" i="1" s="1"/>
  <c r="L160" i="1"/>
  <c r="M160" i="1" s="1"/>
  <c r="D160" i="1"/>
  <c r="I160" i="1" s="1"/>
  <c r="K160" i="1" s="1"/>
  <c r="N160" i="1" s="1"/>
  <c r="L159" i="1"/>
  <c r="I159" i="1"/>
  <c r="K159" i="1" s="1"/>
  <c r="D159" i="1"/>
  <c r="L158" i="1"/>
  <c r="I158" i="1"/>
  <c r="K158" i="1" s="1"/>
  <c r="N158" i="1" s="1"/>
  <c r="D158" i="1"/>
  <c r="L157" i="1"/>
  <c r="L155" i="1" s="1"/>
  <c r="D157" i="1"/>
  <c r="I157" i="1" s="1"/>
  <c r="K157" i="1" s="1"/>
  <c r="L156" i="1"/>
  <c r="I156" i="1"/>
  <c r="K156" i="1" s="1"/>
  <c r="D156" i="1"/>
  <c r="L154" i="1"/>
  <c r="D154" i="1"/>
  <c r="I154" i="1" s="1"/>
  <c r="K154" i="1" s="1"/>
  <c r="L153" i="1"/>
  <c r="D153" i="1"/>
  <c r="I153" i="1" s="1"/>
  <c r="K153" i="1" s="1"/>
  <c r="L152" i="1"/>
  <c r="M152" i="1" s="1"/>
  <c r="D152" i="1"/>
  <c r="I152" i="1" s="1"/>
  <c r="K152" i="1" s="1"/>
  <c r="N152" i="1" s="1"/>
  <c r="L151" i="1"/>
  <c r="I151" i="1"/>
  <c r="K151" i="1" s="1"/>
  <c r="D151" i="1"/>
  <c r="L150" i="1"/>
  <c r="I150" i="1"/>
  <c r="K150" i="1" s="1"/>
  <c r="N150" i="1" s="1"/>
  <c r="D150" i="1"/>
  <c r="L149" i="1"/>
  <c r="D149" i="1"/>
  <c r="I149" i="1" s="1"/>
  <c r="K149" i="1" s="1"/>
  <c r="L148" i="1"/>
  <c r="I148" i="1"/>
  <c r="K148" i="1" s="1"/>
  <c r="D148" i="1"/>
  <c r="L147" i="1"/>
  <c r="D147" i="1"/>
  <c r="I147" i="1" s="1"/>
  <c r="K147" i="1" s="1"/>
  <c r="L146" i="1"/>
  <c r="N146" i="1" s="1"/>
  <c r="D146" i="1"/>
  <c r="I146" i="1" s="1"/>
  <c r="K146" i="1" s="1"/>
  <c r="L145" i="1"/>
  <c r="D145" i="1"/>
  <c r="I145" i="1" s="1"/>
  <c r="K145" i="1" s="1"/>
  <c r="L144" i="1"/>
  <c r="L143" i="1" s="1"/>
  <c r="D144" i="1"/>
  <c r="D143" i="1" s="1"/>
  <c r="L141" i="1"/>
  <c r="D141" i="1"/>
  <c r="I141" i="1" s="1"/>
  <c r="K141" i="1" s="1"/>
  <c r="L140" i="1"/>
  <c r="N140" i="1" s="1"/>
  <c r="I140" i="1"/>
  <c r="K140" i="1" s="1"/>
  <c r="D140" i="1"/>
  <c r="L139" i="1"/>
  <c r="D139" i="1"/>
  <c r="D138" i="1" s="1"/>
  <c r="L138" i="1"/>
  <c r="L135" i="1"/>
  <c r="C135" i="1"/>
  <c r="I135" i="1" s="1"/>
  <c r="K135" i="1" s="1"/>
  <c r="N135" i="1" s="1"/>
  <c r="L134" i="1"/>
  <c r="C134" i="1"/>
  <c r="I134" i="1" s="1"/>
  <c r="K134" i="1" s="1"/>
  <c r="L133" i="1"/>
  <c r="I133" i="1"/>
  <c r="K133" i="1" s="1"/>
  <c r="N133" i="1" s="1"/>
  <c r="C133" i="1"/>
  <c r="L132" i="1"/>
  <c r="L131" i="1" s="1"/>
  <c r="C132" i="1"/>
  <c r="I132" i="1" s="1"/>
  <c r="K132" i="1" s="1"/>
  <c r="L130" i="1"/>
  <c r="M130" i="1" s="1"/>
  <c r="K130" i="1"/>
  <c r="I130" i="1"/>
  <c r="L129" i="1"/>
  <c r="I129" i="1"/>
  <c r="K129" i="1" s="1"/>
  <c r="L128" i="1"/>
  <c r="C128" i="1"/>
  <c r="I128" i="1" s="1"/>
  <c r="K128" i="1" s="1"/>
  <c r="L127" i="1"/>
  <c r="C127" i="1"/>
  <c r="I127" i="1" s="1"/>
  <c r="K127" i="1" s="1"/>
  <c r="M127" i="1" s="1"/>
  <c r="L126" i="1"/>
  <c r="N126" i="1" s="1"/>
  <c r="C126" i="1"/>
  <c r="I126" i="1" s="1"/>
  <c r="K126" i="1" s="1"/>
  <c r="L125" i="1"/>
  <c r="C125" i="1"/>
  <c r="I125" i="1" s="1"/>
  <c r="K125" i="1" s="1"/>
  <c r="N125" i="1" s="1"/>
  <c r="L124" i="1"/>
  <c r="C124" i="1"/>
  <c r="C123" i="1" s="1"/>
  <c r="L120" i="1"/>
  <c r="G120" i="1"/>
  <c r="G119" i="1" s="1"/>
  <c r="I119" i="1" s="1"/>
  <c r="K119" i="1" s="1"/>
  <c r="L119" i="1"/>
  <c r="N119" i="1" s="1"/>
  <c r="L118" i="1"/>
  <c r="G118" i="1"/>
  <c r="I118" i="1" s="1"/>
  <c r="K118" i="1" s="1"/>
  <c r="L117" i="1"/>
  <c r="L116" i="1" s="1"/>
  <c r="G117" i="1"/>
  <c r="G116" i="1" s="1"/>
  <c r="I116" i="1" s="1"/>
  <c r="K116" i="1" s="1"/>
  <c r="L115" i="1"/>
  <c r="G115" i="1"/>
  <c r="G114" i="1" s="1"/>
  <c r="I114" i="1" s="1"/>
  <c r="K114" i="1" s="1"/>
  <c r="L114" i="1"/>
  <c r="N114" i="1" s="1"/>
  <c r="L113" i="1"/>
  <c r="K113" i="1"/>
  <c r="N113" i="1" s="1"/>
  <c r="I113" i="1"/>
  <c r="G113" i="1"/>
  <c r="L112" i="1"/>
  <c r="G112" i="1"/>
  <c r="I112" i="1" s="1"/>
  <c r="K112" i="1" s="1"/>
  <c r="M112" i="1" s="1"/>
  <c r="L111" i="1"/>
  <c r="L106" i="1" s="1"/>
  <c r="G111" i="1"/>
  <c r="I111" i="1" s="1"/>
  <c r="K111" i="1" s="1"/>
  <c r="L110" i="1"/>
  <c r="G110" i="1"/>
  <c r="I110" i="1" s="1"/>
  <c r="K110" i="1" s="1"/>
  <c r="L109" i="1"/>
  <c r="G109" i="1"/>
  <c r="I109" i="1" s="1"/>
  <c r="K109" i="1" s="1"/>
  <c r="L108" i="1"/>
  <c r="G108" i="1"/>
  <c r="I108" i="1" s="1"/>
  <c r="K108" i="1" s="1"/>
  <c r="N108" i="1" s="1"/>
  <c r="L107" i="1"/>
  <c r="G107" i="1"/>
  <c r="G106" i="1" s="1"/>
  <c r="L103" i="1"/>
  <c r="N103" i="1" s="1"/>
  <c r="F103" i="1"/>
  <c r="I103" i="1" s="1"/>
  <c r="K103" i="1" s="1"/>
  <c r="M103" i="1" s="1"/>
  <c r="L102" i="1"/>
  <c r="F102" i="1"/>
  <c r="I102" i="1" s="1"/>
  <c r="K102" i="1" s="1"/>
  <c r="L101" i="1"/>
  <c r="F101" i="1"/>
  <c r="I101" i="1" s="1"/>
  <c r="K101" i="1" s="1"/>
  <c r="L100" i="1"/>
  <c r="F100" i="1"/>
  <c r="I100" i="1" s="1"/>
  <c r="K100" i="1" s="1"/>
  <c r="L99" i="1"/>
  <c r="L98" i="1" s="1"/>
  <c r="F99" i="1"/>
  <c r="I99" i="1" s="1"/>
  <c r="K99" i="1" s="1"/>
  <c r="L97" i="1"/>
  <c r="F97" i="1"/>
  <c r="I97" i="1" s="1"/>
  <c r="K97" i="1" s="1"/>
  <c r="L96" i="1"/>
  <c r="F96" i="1"/>
  <c r="I96" i="1" s="1"/>
  <c r="K96" i="1" s="1"/>
  <c r="L95" i="1"/>
  <c r="I95" i="1"/>
  <c r="K95" i="1" s="1"/>
  <c r="F95" i="1"/>
  <c r="L94" i="1"/>
  <c r="N94" i="1" s="1"/>
  <c r="F94" i="1"/>
  <c r="I94" i="1" s="1"/>
  <c r="K94" i="1" s="1"/>
  <c r="L93" i="1"/>
  <c r="N93" i="1" s="1"/>
  <c r="K93" i="1"/>
  <c r="I93" i="1"/>
  <c r="F93" i="1"/>
  <c r="L92" i="1"/>
  <c r="F92" i="1"/>
  <c r="I92" i="1" s="1"/>
  <c r="K92" i="1" s="1"/>
  <c r="L91" i="1"/>
  <c r="F91" i="1"/>
  <c r="I91" i="1" s="1"/>
  <c r="K91" i="1" s="1"/>
  <c r="L90" i="1"/>
  <c r="F90" i="1"/>
  <c r="I90" i="1" s="1"/>
  <c r="K90" i="1" s="1"/>
  <c r="L89" i="1"/>
  <c r="F89" i="1"/>
  <c r="I89" i="1" s="1"/>
  <c r="K89" i="1" s="1"/>
  <c r="L88" i="1"/>
  <c r="F88" i="1"/>
  <c r="I88" i="1" s="1"/>
  <c r="K88" i="1" s="1"/>
  <c r="L87" i="1"/>
  <c r="M87" i="1" s="1"/>
  <c r="I87" i="1"/>
  <c r="K87" i="1" s="1"/>
  <c r="N87" i="1" s="1"/>
  <c r="F87" i="1"/>
  <c r="L86" i="1"/>
  <c r="F86" i="1"/>
  <c r="I86" i="1" s="1"/>
  <c r="K86" i="1" s="1"/>
  <c r="L85" i="1"/>
  <c r="N85" i="1" s="1"/>
  <c r="K85" i="1"/>
  <c r="I85" i="1"/>
  <c r="F85" i="1"/>
  <c r="L84" i="1"/>
  <c r="F84" i="1"/>
  <c r="F83" i="1" s="1"/>
  <c r="I83" i="1" s="1"/>
  <c r="K83" i="1" s="1"/>
  <c r="L83" i="1"/>
  <c r="M83" i="1" s="1"/>
  <c r="L82" i="1"/>
  <c r="F82" i="1"/>
  <c r="I82" i="1" s="1"/>
  <c r="K82" i="1" s="1"/>
  <c r="L81" i="1"/>
  <c r="F81" i="1"/>
  <c r="I81" i="1" s="1"/>
  <c r="K81" i="1" s="1"/>
  <c r="L80" i="1"/>
  <c r="F80" i="1"/>
  <c r="I80" i="1" s="1"/>
  <c r="K80" i="1" s="1"/>
  <c r="L79" i="1"/>
  <c r="I79" i="1"/>
  <c r="K79" i="1" s="1"/>
  <c r="N79" i="1" s="1"/>
  <c r="F79" i="1"/>
  <c r="L78" i="1"/>
  <c r="F78" i="1"/>
  <c r="F73" i="1" s="1"/>
  <c r="I73" i="1" s="1"/>
  <c r="K73" i="1" s="1"/>
  <c r="L77" i="1"/>
  <c r="N77" i="1" s="1"/>
  <c r="K77" i="1"/>
  <c r="I77" i="1"/>
  <c r="F77" i="1"/>
  <c r="L76" i="1"/>
  <c r="F76" i="1"/>
  <c r="I76" i="1" s="1"/>
  <c r="K76" i="1" s="1"/>
  <c r="L75" i="1"/>
  <c r="L73" i="1" s="1"/>
  <c r="F75" i="1"/>
  <c r="I75" i="1" s="1"/>
  <c r="K75" i="1" s="1"/>
  <c r="L74" i="1"/>
  <c r="F74" i="1"/>
  <c r="I74" i="1" s="1"/>
  <c r="K74" i="1" s="1"/>
  <c r="L72" i="1"/>
  <c r="F72" i="1"/>
  <c r="I72" i="1" s="1"/>
  <c r="K72" i="1" s="1"/>
  <c r="L71" i="1"/>
  <c r="I71" i="1"/>
  <c r="K71" i="1" s="1"/>
  <c r="N71" i="1" s="1"/>
  <c r="F71" i="1"/>
  <c r="L70" i="1"/>
  <c r="F70" i="1"/>
  <c r="I70" i="1" s="1"/>
  <c r="K70" i="1" s="1"/>
  <c r="L69" i="1"/>
  <c r="N69" i="1" s="1"/>
  <c r="K69" i="1"/>
  <c r="I69" i="1"/>
  <c r="F69" i="1"/>
  <c r="L68" i="1"/>
  <c r="F68" i="1"/>
  <c r="I68" i="1" s="1"/>
  <c r="K68" i="1" s="1"/>
  <c r="L67" i="1"/>
  <c r="L66" i="1" s="1"/>
  <c r="F67" i="1"/>
  <c r="I67" i="1" s="1"/>
  <c r="K67" i="1" s="1"/>
  <c r="L63" i="1"/>
  <c r="B63" i="1"/>
  <c r="I63" i="1" s="1"/>
  <c r="K63" i="1" s="1"/>
  <c r="L62" i="1"/>
  <c r="B62" i="1"/>
  <c r="I62" i="1" s="1"/>
  <c r="K62" i="1" s="1"/>
  <c r="L61" i="1"/>
  <c r="L60" i="1" s="1"/>
  <c r="B61" i="1"/>
  <c r="B60" i="1" s="1"/>
  <c r="L59" i="1"/>
  <c r="B59" i="1"/>
  <c r="I59" i="1" s="1"/>
  <c r="K59" i="1" s="1"/>
  <c r="L58" i="1"/>
  <c r="L57" i="1" s="1"/>
  <c r="B58" i="1"/>
  <c r="I58" i="1" s="1"/>
  <c r="K58" i="1" s="1"/>
  <c r="L49" i="1"/>
  <c r="N49" i="1" s="1"/>
  <c r="K49" i="1"/>
  <c r="J49" i="1"/>
  <c r="L48" i="1"/>
  <c r="N48" i="1" s="1"/>
  <c r="K48" i="1"/>
  <c r="J48" i="1"/>
  <c r="L47" i="1"/>
  <c r="N47" i="1" s="1"/>
  <c r="J47" i="1"/>
  <c r="K47" i="1" s="1"/>
  <c r="L46" i="1"/>
  <c r="J46" i="1"/>
  <c r="K46" i="1" s="1"/>
  <c r="L45" i="1"/>
  <c r="N45" i="1" s="1"/>
  <c r="K45" i="1"/>
  <c r="J45" i="1"/>
  <c r="L43" i="1"/>
  <c r="N43" i="1" s="1"/>
  <c r="J43" i="1"/>
  <c r="K43" i="1" s="1"/>
  <c r="L42" i="1"/>
  <c r="J42" i="1"/>
  <c r="K42" i="1" s="1"/>
  <c r="N42" i="1" s="1"/>
  <c r="L41" i="1"/>
  <c r="J41" i="1"/>
  <c r="K41" i="1" s="1"/>
  <c r="N41" i="1" s="1"/>
  <c r="L40" i="1"/>
  <c r="L38" i="1" s="1"/>
  <c r="J40" i="1"/>
  <c r="K40" i="1" s="1"/>
  <c r="L39" i="1"/>
  <c r="J39" i="1"/>
  <c r="K39" i="1" s="1"/>
  <c r="L35" i="1"/>
  <c r="J35" i="1"/>
  <c r="I35" i="1"/>
  <c r="K35" i="1" s="1"/>
  <c r="L34" i="1"/>
  <c r="M34" i="1" s="1"/>
  <c r="J34" i="1"/>
  <c r="I34" i="1"/>
  <c r="K34" i="1" s="1"/>
  <c r="L33" i="1"/>
  <c r="J33" i="1"/>
  <c r="G33" i="1"/>
  <c r="I33" i="1" s="1"/>
  <c r="K33" i="1" s="1"/>
  <c r="L32" i="1"/>
  <c r="J32" i="1"/>
  <c r="H32" i="1"/>
  <c r="G32" i="1"/>
  <c r="F32" i="1"/>
  <c r="I32" i="1" s="1"/>
  <c r="K32" i="1" s="1"/>
  <c r="E32" i="1"/>
  <c r="D32" i="1"/>
  <c r="C32" i="1"/>
  <c r="B32" i="1"/>
  <c r="L31" i="1"/>
  <c r="J31" i="1"/>
  <c r="I31" i="1"/>
  <c r="K31" i="1" s="1"/>
  <c r="L30" i="1"/>
  <c r="J30" i="1"/>
  <c r="I30" i="1"/>
  <c r="K30" i="1" s="1"/>
  <c r="H30" i="1"/>
  <c r="G30" i="1"/>
  <c r="F30" i="1"/>
  <c r="D30" i="1"/>
  <c r="C30" i="1"/>
  <c r="B30" i="1"/>
  <c r="L29" i="1"/>
  <c r="N29" i="1" s="1"/>
  <c r="J29" i="1"/>
  <c r="G29" i="1"/>
  <c r="I29" i="1" s="1"/>
  <c r="K29" i="1" s="1"/>
  <c r="L28" i="1"/>
  <c r="J28" i="1"/>
  <c r="G28" i="1"/>
  <c r="I28" i="1" s="1"/>
  <c r="K28" i="1" s="1"/>
  <c r="D28" i="1"/>
  <c r="B28" i="1"/>
  <c r="L27" i="1"/>
  <c r="J27" i="1"/>
  <c r="H27" i="1"/>
  <c r="G27" i="1"/>
  <c r="F27" i="1"/>
  <c r="E27" i="1"/>
  <c r="E36" i="1" s="1"/>
  <c r="D27" i="1"/>
  <c r="C27" i="1"/>
  <c r="B27" i="1"/>
  <c r="L26" i="1"/>
  <c r="M26" i="1" s="1"/>
  <c r="J26" i="1"/>
  <c r="I26" i="1"/>
  <c r="K26" i="1" s="1"/>
  <c r="N26" i="1" s="1"/>
  <c r="L25" i="1"/>
  <c r="J25" i="1"/>
  <c r="H25" i="1"/>
  <c r="I25" i="1" s="1"/>
  <c r="K25" i="1" s="1"/>
  <c r="G25" i="1"/>
  <c r="F25" i="1"/>
  <c r="D25" i="1"/>
  <c r="C25" i="1"/>
  <c r="B25" i="1"/>
  <c r="L24" i="1"/>
  <c r="M24" i="1" s="1"/>
  <c r="J24" i="1"/>
  <c r="H24" i="1"/>
  <c r="G24" i="1"/>
  <c r="F24" i="1"/>
  <c r="D24" i="1"/>
  <c r="D36" i="1" s="1"/>
  <c r="C24" i="1"/>
  <c r="I24" i="1" s="1"/>
  <c r="K24" i="1" s="1"/>
  <c r="N24" i="1" s="1"/>
  <c r="B24" i="1"/>
  <c r="B36" i="1" s="1"/>
  <c r="L23" i="1"/>
  <c r="J23" i="1"/>
  <c r="G23" i="1"/>
  <c r="I23" i="1" s="1"/>
  <c r="K23" i="1" s="1"/>
  <c r="N23" i="1" s="1"/>
  <c r="L22" i="1"/>
  <c r="J22" i="1"/>
  <c r="J36" i="1" s="1"/>
  <c r="H22" i="1"/>
  <c r="H36" i="1" s="1"/>
  <c r="G22" i="1"/>
  <c r="G36" i="1" s="1"/>
  <c r="C22" i="1"/>
  <c r="C36" i="1" s="1"/>
  <c r="L21" i="1"/>
  <c r="J21" i="1"/>
  <c r="G21" i="1"/>
  <c r="F21" i="1"/>
  <c r="F36" i="1" s="1"/>
  <c r="H19" i="1"/>
  <c r="H52" i="1" s="1"/>
  <c r="L18" i="1"/>
  <c r="N18" i="1" s="1"/>
  <c r="J18" i="1"/>
  <c r="H18" i="1"/>
  <c r="G18" i="1"/>
  <c r="F18" i="1"/>
  <c r="E18" i="1"/>
  <c r="I18" i="1" s="1"/>
  <c r="K18" i="1" s="1"/>
  <c r="D18" i="1"/>
  <c r="C18" i="1"/>
  <c r="B18" i="1"/>
  <c r="L17" i="1"/>
  <c r="M17" i="1" s="1"/>
  <c r="J17" i="1"/>
  <c r="H17" i="1"/>
  <c r="G17" i="1"/>
  <c r="F17" i="1"/>
  <c r="E17" i="1"/>
  <c r="D17" i="1"/>
  <c r="C17" i="1"/>
  <c r="B17" i="1"/>
  <c r="I17" i="1" s="1"/>
  <c r="K17" i="1" s="1"/>
  <c r="N17" i="1" s="1"/>
  <c r="L16" i="1"/>
  <c r="J16" i="1"/>
  <c r="H16" i="1"/>
  <c r="G16" i="1"/>
  <c r="F16" i="1"/>
  <c r="E16" i="1"/>
  <c r="D16" i="1"/>
  <c r="C16" i="1"/>
  <c r="B16" i="1"/>
  <c r="I16" i="1" s="1"/>
  <c r="K16" i="1" s="1"/>
  <c r="M16" i="1" s="1"/>
  <c r="L15" i="1"/>
  <c r="N15" i="1" s="1"/>
  <c r="J15" i="1"/>
  <c r="H15" i="1"/>
  <c r="G15" i="1"/>
  <c r="F15" i="1"/>
  <c r="E15" i="1"/>
  <c r="D15" i="1"/>
  <c r="C15" i="1"/>
  <c r="B15" i="1"/>
  <c r="I15" i="1" s="1"/>
  <c r="K15" i="1" s="1"/>
  <c r="L14" i="1"/>
  <c r="N14" i="1" s="1"/>
  <c r="J14" i="1"/>
  <c r="I14" i="1"/>
  <c r="K14" i="1" s="1"/>
  <c r="H14" i="1"/>
  <c r="G14" i="1"/>
  <c r="F14" i="1"/>
  <c r="E14" i="1"/>
  <c r="D14" i="1"/>
  <c r="C14" i="1"/>
  <c r="B14" i="1"/>
  <c r="L13" i="1"/>
  <c r="N13" i="1" s="1"/>
  <c r="J13" i="1"/>
  <c r="H13" i="1"/>
  <c r="G13" i="1"/>
  <c r="F13" i="1"/>
  <c r="I13" i="1" s="1"/>
  <c r="K13" i="1" s="1"/>
  <c r="D13" i="1"/>
  <c r="C13" i="1"/>
  <c r="B13" i="1"/>
  <c r="L12" i="1"/>
  <c r="J12" i="1"/>
  <c r="I12" i="1"/>
  <c r="K12" i="1" s="1"/>
  <c r="N12" i="1" s="1"/>
  <c r="L11" i="1"/>
  <c r="J11" i="1"/>
  <c r="J19" i="1" s="1"/>
  <c r="H11" i="1"/>
  <c r="I11" i="1" s="1"/>
  <c r="K11" i="1" s="1"/>
  <c r="G11" i="1"/>
  <c r="F11" i="1"/>
  <c r="E11" i="1"/>
  <c r="D11" i="1"/>
  <c r="C11" i="1"/>
  <c r="B11" i="1"/>
  <c r="L10" i="1"/>
  <c r="L8" i="1" s="1"/>
  <c r="J10" i="1"/>
  <c r="J8" i="1" s="1"/>
  <c r="H10" i="1"/>
  <c r="G10" i="1"/>
  <c r="F10" i="1"/>
  <c r="E10" i="1"/>
  <c r="I10" i="1" s="1"/>
  <c r="K10" i="1" s="1"/>
  <c r="D10" i="1"/>
  <c r="C10" i="1"/>
  <c r="B10" i="1"/>
  <c r="L9" i="1"/>
  <c r="J9" i="1"/>
  <c r="H9" i="1"/>
  <c r="H8" i="1" s="1"/>
  <c r="G9" i="1"/>
  <c r="G19" i="1" s="1"/>
  <c r="G52" i="1" s="1"/>
  <c r="F9" i="1"/>
  <c r="F19" i="1" s="1"/>
  <c r="F52" i="1" s="1"/>
  <c r="E9" i="1"/>
  <c r="E19" i="1" s="1"/>
  <c r="E52" i="1" s="1"/>
  <c r="D9" i="1"/>
  <c r="D19" i="1" s="1"/>
  <c r="C9" i="1"/>
  <c r="C19" i="1" s="1"/>
  <c r="B9" i="1"/>
  <c r="B19" i="1" s="1"/>
  <c r="B52" i="1" s="1"/>
  <c r="M39" i="1" l="1"/>
  <c r="N39" i="1"/>
  <c r="N74" i="1"/>
  <c r="M74" i="1"/>
  <c r="M134" i="1"/>
  <c r="N134" i="1"/>
  <c r="N127" i="1"/>
  <c r="M135" i="1"/>
  <c r="N147" i="1"/>
  <c r="N161" i="1"/>
  <c r="N194" i="1"/>
  <c r="M194" i="1"/>
  <c r="L65" i="1"/>
  <c r="N89" i="1"/>
  <c r="M96" i="1"/>
  <c r="N96" i="1"/>
  <c r="M154" i="1"/>
  <c r="N180" i="1"/>
  <c r="N189" i="1"/>
  <c r="M108" i="1"/>
  <c r="M128" i="1"/>
  <c r="I138" i="1"/>
  <c r="K138" i="1" s="1"/>
  <c r="M138" i="1" s="1"/>
  <c r="N168" i="1"/>
  <c r="M168" i="1"/>
  <c r="N197" i="1"/>
  <c r="N32" i="1"/>
  <c r="N90" i="1"/>
  <c r="M116" i="1"/>
  <c r="N116" i="1"/>
  <c r="N148" i="1"/>
  <c r="N76" i="1"/>
  <c r="M42" i="1"/>
  <c r="N84" i="1"/>
  <c r="N97" i="1"/>
  <c r="N109" i="1"/>
  <c r="M129" i="1"/>
  <c r="N156" i="1"/>
  <c r="N171" i="1"/>
  <c r="N181" i="1"/>
  <c r="N73" i="1"/>
  <c r="M73" i="1"/>
  <c r="M41" i="1"/>
  <c r="L56" i="1"/>
  <c r="M91" i="1"/>
  <c r="N118" i="1"/>
  <c r="N149" i="1"/>
  <c r="N199" i="1"/>
  <c r="M199" i="1"/>
  <c r="N95" i="1"/>
  <c r="N98" i="1"/>
  <c r="N110" i="1"/>
  <c r="L163" i="1"/>
  <c r="K199" i="1"/>
  <c r="N88" i="1"/>
  <c r="M88" i="1"/>
  <c r="N153" i="1"/>
  <c r="N68" i="1"/>
  <c r="M12" i="1"/>
  <c r="N30" i="1"/>
  <c r="N59" i="1"/>
  <c r="N70" i="1"/>
  <c r="N92" i="1"/>
  <c r="N172" i="1"/>
  <c r="I185" i="1"/>
  <c r="K185" i="1" s="1"/>
  <c r="N201" i="1"/>
  <c r="I106" i="1"/>
  <c r="K106" i="1" s="1"/>
  <c r="N106" i="1" s="1"/>
  <c r="G105" i="1"/>
  <c r="N33" i="1"/>
  <c r="B56" i="1"/>
  <c r="I60" i="1"/>
  <c r="K60" i="1" s="1"/>
  <c r="M60" i="1" s="1"/>
  <c r="N78" i="1"/>
  <c r="M100" i="1"/>
  <c r="L105" i="1"/>
  <c r="N141" i="1"/>
  <c r="M150" i="1"/>
  <c r="M185" i="1"/>
  <c r="L184" i="1"/>
  <c r="N185" i="1"/>
  <c r="N193" i="1"/>
  <c r="M193" i="1"/>
  <c r="N81" i="1"/>
  <c r="I123" i="1"/>
  <c r="K123" i="1" s="1"/>
  <c r="I143" i="1"/>
  <c r="K143" i="1" s="1"/>
  <c r="M158" i="1"/>
  <c r="M166" i="1"/>
  <c r="N173" i="1"/>
  <c r="N82" i="1"/>
  <c r="M82" i="1"/>
  <c r="M23" i="1"/>
  <c r="N25" i="1"/>
  <c r="N31" i="1"/>
  <c r="M71" i="1"/>
  <c r="N86" i="1"/>
  <c r="M101" i="1"/>
  <c r="N112" i="1"/>
  <c r="L142" i="1"/>
  <c r="N143" i="1"/>
  <c r="M143" i="1"/>
  <c r="N151" i="1"/>
  <c r="M151" i="1"/>
  <c r="I176" i="1"/>
  <c r="K176" i="1" s="1"/>
  <c r="M176" i="1" s="1"/>
  <c r="E175" i="1"/>
  <c r="M21" i="1"/>
  <c r="N11" i="1"/>
  <c r="C52" i="1"/>
  <c r="I52" i="1" s="1"/>
  <c r="N16" i="1"/>
  <c r="I36" i="1"/>
  <c r="K36" i="1" s="1"/>
  <c r="M28" i="1"/>
  <c r="N46" i="1"/>
  <c r="N62" i="1"/>
  <c r="N72" i="1"/>
  <c r="M72" i="1"/>
  <c r="M79" i="1"/>
  <c r="N159" i="1"/>
  <c r="M159" i="1"/>
  <c r="M167" i="1"/>
  <c r="N167" i="1"/>
  <c r="L175" i="1"/>
  <c r="N176" i="1"/>
  <c r="N187" i="1"/>
  <c r="D52" i="1"/>
  <c r="N35" i="1"/>
  <c r="M63" i="1"/>
  <c r="N63" i="1"/>
  <c r="N80" i="1"/>
  <c r="M80" i="1"/>
  <c r="M102" i="1"/>
  <c r="M125" i="1"/>
  <c r="M133" i="1"/>
  <c r="N145" i="1"/>
  <c r="N195" i="1"/>
  <c r="I61" i="1"/>
  <c r="K61" i="1" s="1"/>
  <c r="M61" i="1" s="1"/>
  <c r="N111" i="1"/>
  <c r="I117" i="1"/>
  <c r="K117" i="1" s="1"/>
  <c r="M117" i="1" s="1"/>
  <c r="M146" i="1"/>
  <c r="D168" i="1"/>
  <c r="I168" i="1" s="1"/>
  <c r="K168" i="1" s="1"/>
  <c r="M170" i="1"/>
  <c r="M179" i="1"/>
  <c r="M188" i="1"/>
  <c r="M196" i="1"/>
  <c r="M200" i="1"/>
  <c r="M49" i="1"/>
  <c r="M99" i="1"/>
  <c r="M162" i="1"/>
  <c r="B8" i="1"/>
  <c r="M46" i="1"/>
  <c r="N58" i="1"/>
  <c r="N67" i="1"/>
  <c r="N75" i="1"/>
  <c r="N83" i="1"/>
  <c r="N91" i="1"/>
  <c r="N99" i="1"/>
  <c r="M114" i="1"/>
  <c r="I144" i="1"/>
  <c r="K144" i="1" s="1"/>
  <c r="N144" i="1" s="1"/>
  <c r="N154" i="1"/>
  <c r="N170" i="1"/>
  <c r="I177" i="1"/>
  <c r="K177" i="1" s="1"/>
  <c r="N177" i="1" s="1"/>
  <c r="I186" i="1"/>
  <c r="K186" i="1" s="1"/>
  <c r="N186" i="1" s="1"/>
  <c r="N196" i="1"/>
  <c r="N200" i="1"/>
  <c r="C8" i="1"/>
  <c r="M14" i="1"/>
  <c r="L19" i="1"/>
  <c r="I27" i="1"/>
  <c r="K27" i="1" s="1"/>
  <c r="N27" i="1" s="1"/>
  <c r="M30" i="1"/>
  <c r="M43" i="1"/>
  <c r="M70" i="1"/>
  <c r="M78" i="1"/>
  <c r="M86" i="1"/>
  <c r="M94" i="1"/>
  <c r="I120" i="1"/>
  <c r="K120" i="1" s="1"/>
  <c r="M120" i="1" s="1"/>
  <c r="M132" i="1"/>
  <c r="M141" i="1"/>
  <c r="M149" i="1"/>
  <c r="D155" i="1"/>
  <c r="I155" i="1" s="1"/>
  <c r="K155" i="1" s="1"/>
  <c r="N155" i="1" s="1"/>
  <c r="M157" i="1"/>
  <c r="M165" i="1"/>
  <c r="M173" i="1"/>
  <c r="M182" i="1"/>
  <c r="M191" i="1"/>
  <c r="M75" i="1"/>
  <c r="D8" i="1"/>
  <c r="M11" i="1"/>
  <c r="M25" i="1"/>
  <c r="L36" i="1"/>
  <c r="M40" i="1"/>
  <c r="I84" i="1"/>
  <c r="K84" i="1" s="1"/>
  <c r="M109" i="1"/>
  <c r="M126" i="1"/>
  <c r="N132" i="1"/>
  <c r="I139" i="1"/>
  <c r="K139" i="1" s="1"/>
  <c r="N139" i="1" s="1"/>
  <c r="N157" i="1"/>
  <c r="N165" i="1"/>
  <c r="I180" i="1"/>
  <c r="K180" i="1" s="1"/>
  <c r="N191" i="1"/>
  <c r="K201" i="1"/>
  <c r="I22" i="1"/>
  <c r="K22" i="1" s="1"/>
  <c r="N22" i="1" s="1"/>
  <c r="E8" i="1"/>
  <c r="M22" i="1"/>
  <c r="N40" i="1"/>
  <c r="J44" i="1"/>
  <c r="M81" i="1"/>
  <c r="M89" i="1"/>
  <c r="M97" i="1"/>
  <c r="I107" i="1"/>
  <c r="K107" i="1" s="1"/>
  <c r="M107" i="1" s="1"/>
  <c r="I115" i="1"/>
  <c r="K115" i="1" s="1"/>
  <c r="N115" i="1" s="1"/>
  <c r="I124" i="1"/>
  <c r="K124" i="1" s="1"/>
  <c r="N124" i="1" s="1"/>
  <c r="M144" i="1"/>
  <c r="I78" i="1"/>
  <c r="K78" i="1" s="1"/>
  <c r="M111" i="1"/>
  <c r="M119" i="1"/>
  <c r="F8" i="1"/>
  <c r="I9" i="1"/>
  <c r="M13" i="1"/>
  <c r="M32" i="1"/>
  <c r="M201" i="1"/>
  <c r="G8" i="1"/>
  <c r="M10" i="1"/>
  <c r="M18" i="1"/>
  <c r="M29" i="1"/>
  <c r="J38" i="1"/>
  <c r="K38" i="1" s="1"/>
  <c r="N38" i="1" s="1"/>
  <c r="L44" i="1"/>
  <c r="M47" i="1"/>
  <c r="B57" i="1"/>
  <c r="I57" i="1" s="1"/>
  <c r="K57" i="1" s="1"/>
  <c r="N57" i="1" s="1"/>
  <c r="M59" i="1"/>
  <c r="F66" i="1"/>
  <c r="M68" i="1"/>
  <c r="M76" i="1"/>
  <c r="M84" i="1"/>
  <c r="M92" i="1"/>
  <c r="F98" i="1"/>
  <c r="I98" i="1" s="1"/>
  <c r="K98" i="1" s="1"/>
  <c r="M98" i="1" s="1"/>
  <c r="M147" i="1"/>
  <c r="M171" i="1"/>
  <c r="M180" i="1"/>
  <c r="M189" i="1"/>
  <c r="M197" i="1"/>
  <c r="M58" i="1"/>
  <c r="N10" i="1"/>
  <c r="I21" i="1"/>
  <c r="K21" i="1" s="1"/>
  <c r="N21" i="1" s="1"/>
  <c r="M35" i="1"/>
  <c r="N28" i="1"/>
  <c r="M67" i="1"/>
  <c r="M31" i="1"/>
  <c r="M62" i="1"/>
  <c r="M95" i="1"/>
  <c r="C131" i="1"/>
  <c r="I131" i="1" s="1"/>
  <c r="K131" i="1" s="1"/>
  <c r="N131" i="1" s="1"/>
  <c r="D164" i="1"/>
  <c r="H190" i="1"/>
  <c r="I190" i="1" s="1"/>
  <c r="K190" i="1" s="1"/>
  <c r="N190" i="1" s="1"/>
  <c r="M110" i="1"/>
  <c r="M118" i="1"/>
  <c r="L123" i="1"/>
  <c r="M90" i="1"/>
  <c r="M145" i="1"/>
  <c r="M153" i="1"/>
  <c r="M161" i="1"/>
  <c r="M169" i="1"/>
  <c r="M178" i="1"/>
  <c r="M187" i="1"/>
  <c r="M195" i="1"/>
  <c r="M48" i="1"/>
  <c r="M113" i="1"/>
  <c r="M33" i="1"/>
  <c r="M45" i="1"/>
  <c r="M69" i="1"/>
  <c r="M77" i="1"/>
  <c r="M85" i="1"/>
  <c r="M93" i="1"/>
  <c r="M140" i="1"/>
  <c r="M148" i="1"/>
  <c r="M156" i="1"/>
  <c r="M172" i="1"/>
  <c r="M181" i="1"/>
  <c r="M15" i="1"/>
  <c r="I164" i="1" l="1"/>
  <c r="K164" i="1" s="1"/>
  <c r="D163" i="1"/>
  <c r="I163" i="1" s="1"/>
  <c r="K163" i="1" s="1"/>
  <c r="M27" i="1"/>
  <c r="N117" i="1"/>
  <c r="N60" i="1"/>
  <c r="B54" i="1"/>
  <c r="I56" i="1"/>
  <c r="K56" i="1" s="1"/>
  <c r="N107" i="1"/>
  <c r="M38" i="1"/>
  <c r="I8" i="1"/>
  <c r="G54" i="1"/>
  <c r="G211" i="1" s="1"/>
  <c r="I105" i="1"/>
  <c r="K105" i="1" s="1"/>
  <c r="N105" i="1" s="1"/>
  <c r="M139" i="1"/>
  <c r="E54" i="1"/>
  <c r="E211" i="1" s="1"/>
  <c r="I175" i="1"/>
  <c r="K175" i="1" s="1"/>
  <c r="N175" i="1" s="1"/>
  <c r="K44" i="1"/>
  <c r="J50" i="1"/>
  <c r="N61" i="1"/>
  <c r="H184" i="1"/>
  <c r="M190" i="1"/>
  <c r="M124" i="1"/>
  <c r="I19" i="1"/>
  <c r="K9" i="1"/>
  <c r="N163" i="1"/>
  <c r="M163" i="1"/>
  <c r="N56" i="1"/>
  <c r="M56" i="1"/>
  <c r="M115" i="1"/>
  <c r="N36" i="1"/>
  <c r="M36" i="1"/>
  <c r="M57" i="1"/>
  <c r="F65" i="1"/>
  <c r="I66" i="1"/>
  <c r="K66" i="1" s="1"/>
  <c r="N138" i="1"/>
  <c r="D142" i="1"/>
  <c r="N120" i="1"/>
  <c r="L137" i="1"/>
  <c r="M106" i="1"/>
  <c r="M155" i="1"/>
  <c r="M131" i="1"/>
  <c r="L122" i="1"/>
  <c r="N123" i="1"/>
  <c r="M123" i="1"/>
  <c r="M186" i="1"/>
  <c r="N44" i="1"/>
  <c r="M44" i="1"/>
  <c r="L50" i="1"/>
  <c r="M177" i="1"/>
  <c r="C122" i="1"/>
  <c r="L52" i="1" l="1"/>
  <c r="I142" i="1"/>
  <c r="K142" i="1" s="1"/>
  <c r="D137" i="1"/>
  <c r="L54" i="1"/>
  <c r="N9" i="1"/>
  <c r="K8" i="1"/>
  <c r="K19" i="1"/>
  <c r="M9" i="1"/>
  <c r="M105" i="1"/>
  <c r="M66" i="1"/>
  <c r="N66" i="1"/>
  <c r="F54" i="1"/>
  <c r="F211" i="1" s="1"/>
  <c r="I65" i="1"/>
  <c r="K65" i="1" s="1"/>
  <c r="M175" i="1"/>
  <c r="H54" i="1"/>
  <c r="H211" i="1" s="1"/>
  <c r="I184" i="1"/>
  <c r="K184" i="1" s="1"/>
  <c r="B211" i="1"/>
  <c r="J52" i="1"/>
  <c r="K50" i="1"/>
  <c r="N50" i="1" s="1"/>
  <c r="N164" i="1"/>
  <c r="M164" i="1"/>
  <c r="I122" i="1"/>
  <c r="K122" i="1" s="1"/>
  <c r="M122" i="1" s="1"/>
  <c r="C54" i="1"/>
  <c r="C211" i="1" s="1"/>
  <c r="N19" i="1" l="1"/>
  <c r="M19" i="1"/>
  <c r="J211" i="1"/>
  <c r="K52" i="1"/>
  <c r="N122" i="1"/>
  <c r="N142" i="1"/>
  <c r="M142" i="1"/>
  <c r="N8" i="1"/>
  <c r="M8" i="1"/>
  <c r="M50" i="1"/>
  <c r="I137" i="1"/>
  <c r="K137" i="1" s="1"/>
  <c r="D54" i="1"/>
  <c r="D211" i="1" s="1"/>
  <c r="I211" i="1" s="1"/>
  <c r="L211" i="1"/>
  <c r="N184" i="1"/>
  <c r="M184" i="1"/>
  <c r="N65" i="1"/>
  <c r="M65" i="1"/>
  <c r="N137" i="1" l="1"/>
  <c r="M137" i="1"/>
  <c r="M52" i="1"/>
  <c r="I54" i="1"/>
  <c r="K54" i="1" s="1"/>
  <c r="N52" i="1"/>
  <c r="N54" i="1" l="1"/>
  <c r="M54" i="1"/>
  <c r="K211" i="1"/>
  <c r="M211" i="1" l="1"/>
  <c r="N211" i="1"/>
</calcChain>
</file>

<file path=xl/sharedStrings.xml><?xml version="1.0" encoding="utf-8"?>
<sst xmlns="http://schemas.openxmlformats.org/spreadsheetml/2006/main" count="209" uniqueCount="206">
  <si>
    <t>MINISTERIO DE AGRICULTURA  Y DESARROLLO RURAL</t>
  </si>
  <si>
    <t>DIRECCIÓN DE PLANEACIÓN Y SEGUIMIENTO PRESUPUESTAL</t>
  </si>
  <si>
    <t>PRESUPUESTO DE GASTOS DE FUNCIONAMIENTO E INVERSIÓN 2.023</t>
  </si>
  <si>
    <t>ANEXO 2</t>
  </si>
  <si>
    <t>CUENTAS</t>
  </si>
  <si>
    <t>PROGRAMAS ECONÓMICA</t>
  </si>
  <si>
    <t>PROGRAMAS TÉCNICA</t>
  </si>
  <si>
    <t>PROGRAMAS INVESTIGACIÓN Y TRANSFERENCIA DE TÉCNOLOGÍA</t>
  </si>
  <si>
    <t>PROGRAMA SANIDAD</t>
  </si>
  <si>
    <t>PROGRAMAS MERCADEO</t>
  </si>
  <si>
    <t xml:space="preserve">PROGRAMA PPC </t>
  </si>
  <si>
    <t>PROGRAMA COMERCIALIZACIÓN</t>
  </si>
  <si>
    <t>TOTAL INVERSIÓN</t>
  </si>
  <si>
    <t>GASTOS DE FUNCIONAMIENTO</t>
  </si>
  <si>
    <t>TOTAL PRESUPUESTO</t>
  </si>
  <si>
    <t>EJECUCIÓN DEFINITIVA</t>
  </si>
  <si>
    <t>ACUERDO 12/23</t>
  </si>
  <si>
    <t>% EJECUCION</t>
  </si>
  <si>
    <t>GASTOS DE PERSONAL</t>
  </si>
  <si>
    <t>Servicios de personal</t>
  </si>
  <si>
    <t>Sueldos</t>
  </si>
  <si>
    <t>Vacaciones</t>
  </si>
  <si>
    <t>Prima legal</t>
  </si>
  <si>
    <t>Honorarios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</si>
  <si>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</si>
  <si>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</si>
  <si>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</si>
  <si>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</si>
  <si>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</si>
  <si>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 y SENA</t>
  </si>
  <si>
    <t>SUBTOTAL GASTOS PERSONAL</t>
  </si>
  <si>
    <t>GASTOS GENERALES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</si>
  <si>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</si>
  <si>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</si>
  <si>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</si>
  <si>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</si>
  <si>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</si>
  <si>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</si>
  <si>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</si>
  <si>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</si>
  <si>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</si>
  <si>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</si>
  <si>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</si>
  <si>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</si>
  <si>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</si>
  <si>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</si>
  <si>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</si>
  <si>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SUBTOTAL GASTOS GENERALES</t>
  </si>
  <si>
    <t>GASTOS ADMINISTRATIVOS DE RECAUDO</t>
  </si>
  <si>
    <t>Control al recaudo</t>
  </si>
  <si>
    <t>Seguimiento al recaudo regional</t>
  </si>
  <si>
    <t>Movilización líderes</t>
  </si>
  <si>
    <t>Jornadas trabajo líderes regionales (plantas)</t>
  </si>
  <si>
    <t>Gestión documental</t>
  </si>
  <si>
    <t>Cloud server SNR</t>
  </si>
  <si>
    <t>Fortalecimiento del beneficio formal</t>
  </si>
  <si>
    <t>Movilización Subdirector Líderes de Recaudo</t>
  </si>
  <si>
    <t>Comunicación y divulgación</t>
  </si>
  <si>
    <t>Gestión con autoridades</t>
  </si>
  <si>
    <t>Jornadas trabajo líderes regionales (autoridades)</t>
  </si>
  <si>
    <t>Honorarios Asesor Jurídico</t>
  </si>
  <si>
    <t>SUBTOTAL GASTOS ADMINISTRATIVOS DE RECAUDO</t>
  </si>
  <si>
    <t>TOTAL FUNCIONAMIENTO</t>
  </si>
  <si>
    <t>TOTAL PROGRAMAS Y PROYECTOS</t>
  </si>
  <si>
    <t>TOTAL ÁREA ECONÓMICA</t>
  </si>
  <si>
    <t>Fortalecimiento institucional</t>
  </si>
  <si>
    <t>Asistencia Financiera</t>
  </si>
  <si>
    <t>Asesor Normativa</t>
  </si>
  <si>
    <t>Sistemas de información de mercados</t>
  </si>
  <si>
    <t>Monitoreo Precios de la carne al Consumidor</t>
  </si>
  <si>
    <t>Actualización Información Nacional</t>
  </si>
  <si>
    <t>Seguimiento Mercados Internacionales</t>
  </si>
  <si>
    <t>TOTAL ÁREA MERCADEO</t>
  </si>
  <si>
    <t>Investigación de mercados</t>
  </si>
  <si>
    <t xml:space="preserve">Home Panel </t>
  </si>
  <si>
    <t>Brand Equity Tracking</t>
  </si>
  <si>
    <t>Monitoreo de Medios</t>
  </si>
  <si>
    <t>Evaluación Neurológica</t>
  </si>
  <si>
    <t>Estudio del Consumidor</t>
  </si>
  <si>
    <t>Estudio Consumo fuera del hogar</t>
  </si>
  <si>
    <t>Campaña de fomento al consumo</t>
  </si>
  <si>
    <t>Campaña de publicidad</t>
  </si>
  <si>
    <t>Fomento al Consumo Regional</t>
  </si>
  <si>
    <t>Consultoría Mercado</t>
  </si>
  <si>
    <t>Estrategia Influenciadores</t>
  </si>
  <si>
    <t>Pauta institucional</t>
  </si>
  <si>
    <t>Sostenimiento y Desarrollo Digital</t>
  </si>
  <si>
    <t>Desarrollo Actividades Digitales</t>
  </si>
  <si>
    <t>Pauta Digital</t>
  </si>
  <si>
    <t>Producción Digital</t>
  </si>
  <si>
    <t>Marketing relacional</t>
  </si>
  <si>
    <t>Cocina PorkColombia</t>
  </si>
  <si>
    <t>Asesor Gastronómico Ejecutivo</t>
  </si>
  <si>
    <t>Viajes Equipo Ejecutivo</t>
  </si>
  <si>
    <t>Capacitación anual</t>
  </si>
  <si>
    <t>Material de promocion al consumo</t>
  </si>
  <si>
    <t>Festival PorkColombia</t>
  </si>
  <si>
    <t>Seguimiento gestión a eventos</t>
  </si>
  <si>
    <t>Porkamericas</t>
  </si>
  <si>
    <t>Agroexpo</t>
  </si>
  <si>
    <t>Eventos especializados (Sector, gastronomicos , sector salud)</t>
  </si>
  <si>
    <t>Marca y Marketing</t>
  </si>
  <si>
    <t>Desarrollo Material de Apoyo</t>
  </si>
  <si>
    <t>Gestión y seguimiento desarrollo de marca y marketing</t>
  </si>
  <si>
    <t>Fomento al sello de producto</t>
  </si>
  <si>
    <t>Comunicación Integral</t>
  </si>
  <si>
    <t>Seguimiento y gestión comunicación integral</t>
  </si>
  <si>
    <t>Agencia acompañamiento contingencia</t>
  </si>
  <si>
    <t>Defensa Sector Porcicultor</t>
  </si>
  <si>
    <t>Actualización Banco de Imágenes</t>
  </si>
  <si>
    <t xml:space="preserve">Relacionamiento Periodistas / medios de comunicación / free press / Pauta medios de comunicación </t>
  </si>
  <si>
    <t>TOTAL ÁREA ERRADICACIÓN PPC</t>
  </si>
  <si>
    <t>Vacunacion e identificacion de Porcinos</t>
  </si>
  <si>
    <t>Biológico</t>
  </si>
  <si>
    <t>Identificación</t>
  </si>
  <si>
    <t>Suministros Clínicos y Dotaciones</t>
  </si>
  <si>
    <t>Auxilios Distribuidores</t>
  </si>
  <si>
    <t>Distribución Biológico, Chapetas y Materiales</t>
  </si>
  <si>
    <t>Contratación de Personal</t>
  </si>
  <si>
    <t>Disposición de Residuos Biológicos</t>
  </si>
  <si>
    <t>Capacitación y divulgación</t>
  </si>
  <si>
    <t xml:space="preserve">  Capacitación y divulgación</t>
  </si>
  <si>
    <t>Vigilancia Epidemiológica</t>
  </si>
  <si>
    <t>Diagnóstico Rutinario</t>
  </si>
  <si>
    <t>Apoyo actividades de vigilancia activa</t>
  </si>
  <si>
    <t>Administración de la base de datos</t>
  </si>
  <si>
    <t>Mantenimiento, actualización y soporte de la plataforma</t>
  </si>
  <si>
    <t>TOTAL ÁREA TÉCNICA</t>
  </si>
  <si>
    <t>Inocuidad en Producción primaria - IPP</t>
  </si>
  <si>
    <t>Herramientas del Programa IPP</t>
  </si>
  <si>
    <t>Excelencia Técnica en Producción Primaria</t>
  </si>
  <si>
    <t>Apoyo Nuevos negocios en Porcícultura</t>
  </si>
  <si>
    <t>Actualización y Reconocimiento</t>
  </si>
  <si>
    <t>Convenios</t>
  </si>
  <si>
    <t xml:space="preserve">   Contrapartidas Gobernaciones y/o Alcaldias</t>
  </si>
  <si>
    <t xml:space="preserve">   Contrapartidas FNP</t>
  </si>
  <si>
    <t>Sostenibilidad Ambiental y Responsabilidad Social Empresarial</t>
  </si>
  <si>
    <t>Herramientas del programa Sostenibilidad ambiental  y RSE</t>
  </si>
  <si>
    <t>Acompañamiento y fortalecimiento cadena productiva porcícola en sostenibilidad ambiental y R.S.E</t>
  </si>
  <si>
    <t>Variabilidad, cambio climático, y suelos fértiles sostenibles</t>
  </si>
  <si>
    <t>Asociatividad y R.S.E</t>
  </si>
  <si>
    <t>TOTAL ÁREA INVESTIGACIÓN Y TRANSFERENCIA</t>
  </si>
  <si>
    <t>Investigación y desarrollo</t>
  </si>
  <si>
    <t>Proyectos</t>
  </si>
  <si>
    <t>Jornadas de divulgación resultados de investigación</t>
  </si>
  <si>
    <t>Transferencia de tecnología</t>
  </si>
  <si>
    <t xml:space="preserve">  Vinculación tecnologica</t>
  </si>
  <si>
    <t>Campus virtual</t>
  </si>
  <si>
    <t xml:space="preserve">Encuentros regionales </t>
  </si>
  <si>
    <t>Aplicación caracterización granjas porcicolas</t>
  </si>
  <si>
    <t xml:space="preserve">Escuela Porkmelier </t>
  </si>
  <si>
    <t>Sistema de gestión innovación abierta</t>
  </si>
  <si>
    <t>Encuentro de Asociatividad</t>
  </si>
  <si>
    <t xml:space="preserve">Modelo producción primaria y transformación </t>
  </si>
  <si>
    <t>Desarrollo bolsa de empleo</t>
  </si>
  <si>
    <t xml:space="preserve">Curso de reproducción en porcinos  </t>
  </si>
  <si>
    <t xml:space="preserve">Programa de extensión para productores informales </t>
  </si>
  <si>
    <t xml:space="preserve">Gira Técnica </t>
  </si>
  <si>
    <t xml:space="preserve">  Talleres y seminarios</t>
  </si>
  <si>
    <t>Buenas prácticas en el manejo de medicamentos veterinarios</t>
  </si>
  <si>
    <t>Talleres diagnóstico animal (Toma y envío de muestras)</t>
  </si>
  <si>
    <t>Jornadas de actualización técnica</t>
  </si>
  <si>
    <t>Diplomado Gestión Gerencial de Empresas porcícolas</t>
  </si>
  <si>
    <t>Curso de fabricación de productos con valor agregado</t>
  </si>
  <si>
    <t>Material de apoyo</t>
  </si>
  <si>
    <t>Taller de Desposte</t>
  </si>
  <si>
    <t>Diagnostico</t>
  </si>
  <si>
    <t>Diagnostico rutinario con laboratorios oficiales</t>
  </si>
  <si>
    <t>Diagnóstico Rutinario, Integrado y PRRS</t>
  </si>
  <si>
    <t>Compras de insumos</t>
  </si>
  <si>
    <t>Diagnóstico importados</t>
  </si>
  <si>
    <t>Diagnostico rutinario con laboratorios privados</t>
  </si>
  <si>
    <t>Diagnostico Rutinario, Combos y PRRS</t>
  </si>
  <si>
    <t>Pruebas interlaboratorios</t>
  </si>
  <si>
    <t>Promoción al diagnóstico</t>
  </si>
  <si>
    <t>Inocuidad y ambiente</t>
  </si>
  <si>
    <t>Apoyo Diagnostico lineas base (ICA)</t>
  </si>
  <si>
    <t>TOTAL ÁREA SANIDAD</t>
  </si>
  <si>
    <t>Programa Nacional Para la Certificación del estatus sanitario</t>
  </si>
  <si>
    <t>Control, monitoreo y caracterización de enfermedades priorizadas</t>
  </si>
  <si>
    <t xml:space="preserve">Vigilancia enfermedades exoticas </t>
  </si>
  <si>
    <t>Gestión Sanitaria</t>
  </si>
  <si>
    <t>Gestión del riesgo de enfermedades porcinas</t>
  </si>
  <si>
    <t>Estudios de vigilancia epidemiologica</t>
  </si>
  <si>
    <t>Divulgación sanitaria</t>
  </si>
  <si>
    <t>TOTAL ÁREA COMERCIALIZACIÓN</t>
  </si>
  <si>
    <t>Comercialización nacional y sustitución de importaciones</t>
  </si>
  <si>
    <t>Herramientas del programa</t>
  </si>
  <si>
    <t>Desarrollo de habilidades comerciales</t>
  </si>
  <si>
    <t>Experiencia y promoción comercial</t>
  </si>
  <si>
    <t>Desarrollo de nuevas tendencias y productos</t>
  </si>
  <si>
    <t>Gestión en transformación</t>
  </si>
  <si>
    <t>Calidad e inocuidad en transformación</t>
  </si>
  <si>
    <t>Magro</t>
  </si>
  <si>
    <t>Comercio Exterior</t>
  </si>
  <si>
    <t>Admisibilidad</t>
  </si>
  <si>
    <t>Preparación oferta exportable</t>
  </si>
  <si>
    <t>CUOTA DE ADMINISTRACIÓN</t>
  </si>
  <si>
    <t>Cuota de administración FNP</t>
  </si>
  <si>
    <t>Cuota de administración PPC</t>
  </si>
  <si>
    <t>FONDO DE EMERGENCIA FNP</t>
  </si>
  <si>
    <t>FONDO DE EMERGENCIA PPC</t>
  </si>
  <si>
    <t xml:space="preserve">RESERVA FUTURAS INVERSIONES Y GASTOS </t>
  </si>
  <si>
    <t>Cuota de fomento porcícola</t>
  </si>
  <si>
    <t>Cuota de erradicación Peste Porcina Clásica</t>
  </si>
  <si>
    <t xml:space="preserve">TOTAL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</si>
</sst>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 * #,##0_ ;_ * \-#,##0_ ;_ * &quot;-&quot;??_ ;_ @_ "/>
    <numFmt numFmtId="166" formatCode="0.00000"/>
    <numFmt numFmtId="167" formatCode="0.0%"/>
    <numFmt numFmtId="168" formatCode="0.0000%"/>
    <numFmt numFmtId="169" formatCode="0.0000"/>
    <numFmt numFmtId="170" formatCode="0.000000000000"/>
    <numFmt numFmtId="171" formatCode="_ * #,##0.0000000_ ;_ * \-#,##0.0000000_ ;_ * &quot;-&quot;??_ ;_ @_ "/>
    <numFmt numFmtId="172" formatCode="_ * #,##0.0000000000_ ;_ * \-#,##0.0000000000_ ;_ * &quot;-&quot;??_ ;_ @_ "/>
    <numFmt numFmtId="173" formatCode="_-* #,##0\ _€_-;\-* #,##0\ _€_-;_-* &quot;-&quot;??\ _€_-;_-@_-"/>
    <numFmt numFmtId="174" formatCode="_ * #,##0_ ;_ * \-#,##0_ ;_ * &quot;-&quot;_ ;_ @_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b/>
      <sz val="11"/>
      <color rgb="FFFF0000"/>
      <name val="Century Gothic"/>
      <family val="2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3" fontId="3" fillId="2" borderId="0" xfId="0" applyNumberFormat="1" applyFont="1" applyFill="1"/>
    <xf numFmtId="165" fontId="3" fillId="2" borderId="0" xfId="1" applyNumberFormat="1" applyFont="1" applyFill="1"/>
    <xf numFmtId="10" fontId="3" fillId="2" borderId="0" xfId="2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0" fontId="2" fillId="0" borderId="3" xfId="2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5" fontId="3" fillId="0" borderId="3" xfId="1" applyNumberFormat="1" applyFont="1" applyBorder="1"/>
    <xf numFmtId="10" fontId="3" fillId="0" borderId="3" xfId="2" applyNumberFormat="1" applyFont="1" applyBorder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165" fontId="2" fillId="0" borderId="3" xfId="1" applyNumberFormat="1" applyFont="1" applyBorder="1"/>
    <xf numFmtId="10" fontId="2" fillId="0" borderId="3" xfId="2" applyNumberFormat="1" applyFont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6" fontId="3" fillId="0" borderId="0" xfId="0" applyNumberFormat="1" applyFont="1"/>
    <xf numFmtId="3" fontId="6" fillId="0" borderId="1" xfId="0" applyNumberFormat="1" applyFont="1" applyBorder="1"/>
    <xf numFmtId="3" fontId="3" fillId="2" borderId="3" xfId="0" applyNumberFormat="1" applyFont="1" applyFill="1" applyBorder="1"/>
    <xf numFmtId="0" fontId="2" fillId="2" borderId="1" xfId="0" applyFont="1" applyFill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167" fontId="3" fillId="0" borderId="0" xfId="3" applyNumberFormat="1" applyFont="1" applyFill="1"/>
    <xf numFmtId="168" fontId="3" fillId="0" borderId="0" xfId="3" applyNumberFormat="1" applyFont="1" applyFill="1"/>
    <xf numFmtId="9" fontId="2" fillId="0" borderId="2" xfId="3" applyFont="1" applyFill="1" applyBorder="1"/>
    <xf numFmtId="10" fontId="3" fillId="0" borderId="0" xfId="3" applyNumberFormat="1" applyFont="1" applyFill="1"/>
    <xf numFmtId="3" fontId="3" fillId="2" borderId="1" xfId="4" applyNumberFormat="1" applyFont="1" applyFill="1" applyBorder="1"/>
    <xf numFmtId="169" fontId="3" fillId="0" borderId="0" xfId="0" applyNumberFormat="1" applyFont="1"/>
    <xf numFmtId="3" fontId="2" fillId="2" borderId="1" xfId="4" applyNumberFormat="1" applyFont="1" applyFill="1" applyBorder="1"/>
    <xf numFmtId="37" fontId="2" fillId="2" borderId="1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0" fontId="2" fillId="0" borderId="0" xfId="0" applyFont="1"/>
    <xf numFmtId="3" fontId="2" fillId="0" borderId="1" xfId="4" applyNumberFormat="1" applyFont="1" applyFill="1" applyBorder="1"/>
    <xf numFmtId="37" fontId="2" fillId="2" borderId="1" xfId="0" applyNumberFormat="1" applyFont="1" applyFill="1" applyBorder="1"/>
    <xf numFmtId="164" fontId="2" fillId="0" borderId="1" xfId="4" applyFont="1" applyFill="1" applyBorder="1"/>
    <xf numFmtId="164" fontId="3" fillId="0" borderId="1" xfId="4" applyFont="1" applyFill="1" applyBorder="1"/>
    <xf numFmtId="164" fontId="2" fillId="0" borderId="2" xfId="4" applyFont="1" applyFill="1" applyBorder="1"/>
    <xf numFmtId="164" fontId="2" fillId="0" borderId="0" xfId="4" applyFont="1" applyFill="1"/>
    <xf numFmtId="37" fontId="2" fillId="2" borderId="1" xfId="0" applyNumberFormat="1" applyFont="1" applyFill="1" applyBorder="1" applyAlignment="1">
      <alignment horizontal="left" wrapText="1"/>
    </xf>
    <xf numFmtId="37" fontId="3" fillId="2" borderId="1" xfId="0" applyNumberFormat="1" applyFont="1" applyFill="1" applyBorder="1"/>
    <xf numFmtId="10" fontId="3" fillId="0" borderId="0" xfId="3" applyNumberFormat="1" applyFont="1"/>
    <xf numFmtId="3" fontId="2" fillId="0" borderId="3" xfId="5" applyNumberFormat="1" applyFont="1" applyFill="1" applyBorder="1"/>
    <xf numFmtId="170" fontId="3" fillId="0" borderId="0" xfId="0" applyNumberFormat="1" applyFont="1"/>
    <xf numFmtId="171" fontId="3" fillId="0" borderId="0" xfId="6" applyNumberFormat="1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2" fontId="3" fillId="0" borderId="0" xfId="6" applyNumberFormat="1" applyFont="1" applyFill="1"/>
    <xf numFmtId="3" fontId="3" fillId="0" borderId="0" xfId="0" applyNumberFormat="1" applyFont="1"/>
    <xf numFmtId="37" fontId="3" fillId="0" borderId="0" xfId="0" applyNumberFormat="1" applyFont="1"/>
    <xf numFmtId="165" fontId="2" fillId="0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10" fontId="3" fillId="0" borderId="0" xfId="2" applyNumberFormat="1" applyFont="1"/>
    <xf numFmtId="164" fontId="3" fillId="0" borderId="0" xfId="4" applyFont="1" applyFill="1"/>
    <xf numFmtId="165" fontId="3" fillId="0" borderId="0" xfId="1" applyNumberFormat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3" fillId="0" borderId="0" xfId="1" applyNumberFormat="1" applyFont="1"/>
    <xf numFmtId="165" fontId="3" fillId="0" borderId="0" xfId="4" applyNumberFormat="1" applyFont="1" applyFill="1"/>
    <xf numFmtId="165" fontId="2" fillId="0" borderId="0" xfId="1" applyNumberFormat="1" applyFont="1"/>
    <xf numFmtId="3" fontId="3" fillId="0" borderId="4" xfId="0" applyNumberFormat="1" applyFont="1" applyBorder="1"/>
    <xf numFmtId="165" fontId="3" fillId="0" borderId="4" xfId="4" applyNumberFormat="1" applyFont="1" applyFill="1" applyBorder="1"/>
    <xf numFmtId="3" fontId="2" fillId="0" borderId="0" xfId="0" applyNumberFormat="1" applyFont="1"/>
    <xf numFmtId="173" fontId="2" fillId="0" borderId="0" xfId="0" applyNumberFormat="1" applyFont="1"/>
    <xf numFmtId="173" fontId="3" fillId="0" borderId="0" xfId="0" applyNumberFormat="1" applyFont="1"/>
    <xf numFmtId="164" fontId="2" fillId="0" borderId="0" xfId="4" applyFont="1" applyFill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7" applyFont="1" applyFill="1" applyAlignment="1">
      <alignment horizontal="center"/>
    </xf>
    <xf numFmtId="3" fontId="3" fillId="0" borderId="0" xfId="0" applyNumberFormat="1" applyFont="1" applyAlignment="1">
      <alignment horizontal="center"/>
    </xf>
  </cellXfs>
  <cellStyles count="8">
    <cellStyle name="Millares" xfId="1" builtinId="3"/>
    <cellStyle name="Millares [0] 2" xfId="7" xr:uid="{72B13C86-BAA3-4E64-B487-ACFE6400C129}"/>
    <cellStyle name="Millares 11" xfId="6" xr:uid="{2663BD5A-9866-4E03-8636-B643F6829306}"/>
    <cellStyle name="Millares 2 2" xfId="5" xr:uid="{D0F7D65B-D761-4725-91C0-7524A041589B}"/>
    <cellStyle name="Millares 23 2" xfId="4" xr:uid="{52894A09-2849-48D0-8E1B-4624AE42A2B1}"/>
    <cellStyle name="Normal" xfId="0" builtinId="0"/>
    <cellStyle name="Porcentaje" xfId="2" builtinId="5"/>
    <cellStyle name="Porcentaje 10 2" xfId="3" xr:uid="{8D72A44A-7B90-4AA0-837C-D55FEFDB8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13-03-2023.xlsx" TargetMode="External"/><Relationship Id="rId1" Type="http://schemas.openxmlformats.org/officeDocument/2006/relationships/externalLinkPath" Target="/A&#241;o%202023/Acuerdos%20presupuestales/Definitivos/Sabana%20presupuestal%2013-03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5/PRESUPUESTO%202015/PRESUPUESTO%202015%20V.6/Presupuesto%202015%20version%206.xls" TargetMode="External"/><Relationship Id="rId1" Type="http://schemas.openxmlformats.org/officeDocument/2006/relationships/externalLinkPath" Target="/A&#241;o%202015/PRESUPUESTO%202015/PRESUPUESTO%202015%20V.6/Presupuesto%202015%20version%2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cierre%20definitivo%2017-08-2023.xlsx" TargetMode="External"/><Relationship Id="rId1" Type="http://schemas.openxmlformats.org/officeDocument/2006/relationships/externalLinkPath" Target="/A&#241;o%202023/Acuerdos%20presupuestales/Definitivos/Sabana%20presupuestal%20cierre%20definitivo%2017-08-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2/Acuerdos%20presupuestales/Acuerdos%20definitivos/Solicitud%201er%20trimestre%202023%20281122.xlsx" TargetMode="External"/><Relationship Id="rId1" Type="http://schemas.openxmlformats.org/officeDocument/2006/relationships/externalLinkPath" Target="/A&#241;o%202022/Acuerdos%20presupuestales/Acuerdos%20definitivos/Solicitud%201er%20trimestre%202023%202811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30-06-2023.xlsx" TargetMode="External"/><Relationship Id="rId1" Type="http://schemas.openxmlformats.org/officeDocument/2006/relationships/externalLinkPath" Target="/A&#241;o%202023/Acuerdos%20presupuestales/Definitivos/Sabana%20presupuestal%202023%2030-06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12-23.xls" TargetMode="External"/><Relationship Id="rId2" Type="http://schemas.openxmlformats.org/officeDocument/2006/relationships/externalLinkPath" Target="file:///Y:\A&#241;o%202023\Acuerdos%20presupuestales\Definitivos\ANEXO%20ACUERDO%2012-23.xls" TargetMode="External"/><Relationship Id="rId1" Type="http://schemas.openxmlformats.org/officeDocument/2006/relationships/externalLinkPath" Target="/A&#241;o%202023/Acuerdos%20presupuestales/Definitivos/ANEXO%20ACUERDO%2012-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Nómina y honorarios 2023"/>
      <sheetName val="Funcionamient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4">
          <cell r="M14">
            <v>126233047</v>
          </cell>
        </row>
        <row r="15">
          <cell r="M15">
            <v>6382569</v>
          </cell>
        </row>
        <row r="16">
          <cell r="M16">
            <v>5610949</v>
          </cell>
        </row>
        <row r="17">
          <cell r="M17">
            <v>291637</v>
          </cell>
        </row>
        <row r="18">
          <cell r="M18">
            <v>5610949</v>
          </cell>
        </row>
        <row r="19">
          <cell r="M19">
            <v>673314</v>
          </cell>
        </row>
        <row r="20">
          <cell r="M20">
            <v>22976145</v>
          </cell>
        </row>
        <row r="21">
          <cell r="M21">
            <v>4650364</v>
          </cell>
        </row>
        <row r="22">
          <cell r="M22">
            <v>5812960</v>
          </cell>
        </row>
        <row r="26">
          <cell r="M26">
            <v>100000</v>
          </cell>
        </row>
        <row r="27">
          <cell r="M27">
            <v>60000</v>
          </cell>
        </row>
        <row r="28">
          <cell r="M28">
            <v>3824392</v>
          </cell>
        </row>
        <row r="30">
          <cell r="M30">
            <v>2300000</v>
          </cell>
        </row>
        <row r="31">
          <cell r="M31">
            <v>4500000</v>
          </cell>
        </row>
        <row r="38">
          <cell r="M38">
            <v>24887692.987199999</v>
          </cell>
        </row>
        <row r="39">
          <cell r="M39">
            <v>21558187.52</v>
          </cell>
        </row>
        <row r="41">
          <cell r="M41">
            <v>91340159.400000006</v>
          </cell>
        </row>
        <row r="42">
          <cell r="M42">
            <v>79305961.599999994</v>
          </cell>
        </row>
        <row r="43">
          <cell r="M43">
            <v>51090899.972800002</v>
          </cell>
        </row>
      </sheetData>
      <sheetData sheetId="9" refreshError="1">
        <row r="14">
          <cell r="M14">
            <v>216356366</v>
          </cell>
        </row>
        <row r="15">
          <cell r="M15">
            <v>10939367</v>
          </cell>
        </row>
        <row r="16">
          <cell r="M16">
            <v>13205611</v>
          </cell>
        </row>
        <row r="17">
          <cell r="M17">
            <v>291637</v>
          </cell>
        </row>
        <row r="18">
          <cell r="M18">
            <v>13205611</v>
          </cell>
        </row>
        <row r="19">
          <cell r="M19">
            <v>1584673</v>
          </cell>
        </row>
        <row r="20">
          <cell r="M20">
            <v>42187964</v>
          </cell>
        </row>
        <row r="21">
          <cell r="M21">
            <v>8538828</v>
          </cell>
        </row>
        <row r="22">
          <cell r="M22">
            <v>10673544</v>
          </cell>
        </row>
        <row r="26">
          <cell r="M26">
            <v>412125</v>
          </cell>
        </row>
        <row r="27">
          <cell r="M27">
            <v>3819413</v>
          </cell>
        </row>
        <row r="28">
          <cell r="M28">
            <v>1000000</v>
          </cell>
        </row>
        <row r="29">
          <cell r="M29">
            <v>3702662</v>
          </cell>
        </row>
        <row r="30">
          <cell r="M30">
            <v>6000000</v>
          </cell>
        </row>
        <row r="31">
          <cell r="M31">
            <v>2318201</v>
          </cell>
        </row>
        <row r="38">
          <cell r="M38">
            <v>4415147</v>
          </cell>
        </row>
        <row r="39">
          <cell r="M39">
            <v>413295673</v>
          </cell>
        </row>
        <row r="40">
          <cell r="M40">
            <v>34713016</v>
          </cell>
        </row>
        <row r="41">
          <cell r="M41">
            <v>7000000</v>
          </cell>
        </row>
        <row r="47">
          <cell r="M47">
            <v>20000000</v>
          </cell>
        </row>
        <row r="48">
          <cell r="M48">
            <v>382068694</v>
          </cell>
        </row>
        <row r="49">
          <cell r="M49">
            <v>79336064</v>
          </cell>
        </row>
        <row r="50">
          <cell r="M50">
            <v>33218032</v>
          </cell>
        </row>
      </sheetData>
      <sheetData sheetId="10" refreshError="1">
        <row r="14">
          <cell r="M14">
            <v>149266093</v>
          </cell>
        </row>
        <row r="15">
          <cell r="M15">
            <v>7547162</v>
          </cell>
        </row>
        <row r="16">
          <cell r="M16">
            <v>7551936</v>
          </cell>
        </row>
        <row r="17">
          <cell r="M17">
            <v>291637</v>
          </cell>
        </row>
        <row r="18">
          <cell r="M18">
            <v>7551936</v>
          </cell>
        </row>
        <row r="19">
          <cell r="M19">
            <v>906232</v>
          </cell>
        </row>
        <row r="20">
          <cell r="M20">
            <v>27886159</v>
          </cell>
        </row>
        <row r="21">
          <cell r="M21">
            <v>5644148</v>
          </cell>
        </row>
        <row r="22">
          <cell r="M22">
            <v>7055192</v>
          </cell>
        </row>
        <row r="26">
          <cell r="M26">
            <v>2334852</v>
          </cell>
        </row>
        <row r="27">
          <cell r="M27">
            <v>715606.5</v>
          </cell>
        </row>
        <row r="28">
          <cell r="M28">
            <v>2868294.5</v>
          </cell>
        </row>
        <row r="29">
          <cell r="M29">
            <v>1723522.25</v>
          </cell>
        </row>
        <row r="30">
          <cell r="M30">
            <v>2948652.5</v>
          </cell>
        </row>
        <row r="31">
          <cell r="M31">
            <v>992376.25</v>
          </cell>
        </row>
        <row r="38">
          <cell r="M38">
            <v>483000000</v>
          </cell>
        </row>
        <row r="39">
          <cell r="M39">
            <v>7936000</v>
          </cell>
        </row>
        <row r="40">
          <cell r="M40">
            <v>0</v>
          </cell>
        </row>
        <row r="43">
          <cell r="M43">
            <v>12621003</v>
          </cell>
        </row>
        <row r="44">
          <cell r="M44">
            <v>20000000</v>
          </cell>
        </row>
        <row r="45">
          <cell r="M45">
            <v>14049504</v>
          </cell>
        </row>
        <row r="46">
          <cell r="M46">
            <v>24000000</v>
          </cell>
        </row>
        <row r="47">
          <cell r="M47">
            <v>30000000</v>
          </cell>
        </row>
        <row r="48">
          <cell r="M48">
            <v>15000000</v>
          </cell>
        </row>
        <row r="49">
          <cell r="M49">
            <v>30000000</v>
          </cell>
        </row>
        <row r="50">
          <cell r="M50">
            <v>8000000</v>
          </cell>
        </row>
        <row r="51">
          <cell r="M51">
            <v>20000000</v>
          </cell>
        </row>
        <row r="52">
          <cell r="M52">
            <v>30000000</v>
          </cell>
        </row>
        <row r="53">
          <cell r="M53">
            <v>8000000</v>
          </cell>
        </row>
        <row r="55">
          <cell r="M55">
            <v>19000000</v>
          </cell>
        </row>
        <row r="56">
          <cell r="M56">
            <v>22000000</v>
          </cell>
        </row>
        <row r="57">
          <cell r="M57">
            <v>20000000</v>
          </cell>
        </row>
        <row r="58">
          <cell r="M58">
            <v>20000000</v>
          </cell>
        </row>
        <row r="59">
          <cell r="M59">
            <v>0</v>
          </cell>
        </row>
        <row r="60">
          <cell r="M60">
            <v>80000000</v>
          </cell>
        </row>
        <row r="61">
          <cell r="M61">
            <v>10000000</v>
          </cell>
        </row>
        <row r="64">
          <cell r="M64">
            <v>30000000</v>
          </cell>
        </row>
        <row r="65">
          <cell r="M65">
            <v>40000000</v>
          </cell>
        </row>
        <row r="66">
          <cell r="M66">
            <v>13000000</v>
          </cell>
        </row>
        <row r="68">
          <cell r="M68">
            <v>150000000</v>
          </cell>
        </row>
        <row r="69">
          <cell r="M69">
            <v>0</v>
          </cell>
        </row>
        <row r="70">
          <cell r="M70">
            <v>5000000</v>
          </cell>
        </row>
        <row r="71">
          <cell r="M71">
            <v>12000000</v>
          </cell>
        </row>
        <row r="72">
          <cell r="M72">
            <v>80000000</v>
          </cell>
        </row>
      </sheetData>
      <sheetData sheetId="11" refreshError="1">
        <row r="14">
          <cell r="M14">
            <v>288151463</v>
          </cell>
        </row>
        <row r="15">
          <cell r="M15">
            <v>13641455</v>
          </cell>
        </row>
        <row r="16">
          <cell r="M16">
            <v>22735760</v>
          </cell>
        </row>
        <row r="17">
          <cell r="M17">
            <v>63008443</v>
          </cell>
        </row>
        <row r="18">
          <cell r="M18">
            <v>291637</v>
          </cell>
        </row>
        <row r="19">
          <cell r="M19">
            <v>22735760</v>
          </cell>
        </row>
        <row r="20">
          <cell r="M20">
            <v>2728291</v>
          </cell>
        </row>
        <row r="21">
          <cell r="M21">
            <v>60712863</v>
          </cell>
        </row>
        <row r="22">
          <cell r="M22">
            <v>11616716</v>
          </cell>
        </row>
        <row r="23">
          <cell r="M23">
            <v>14520880</v>
          </cell>
        </row>
        <row r="27">
          <cell r="M27">
            <v>198299018</v>
          </cell>
        </row>
        <row r="28">
          <cell r="M28">
            <v>10000000</v>
          </cell>
        </row>
        <row r="29">
          <cell r="M29">
            <v>10000000</v>
          </cell>
        </row>
        <row r="30">
          <cell r="M30">
            <v>25000000</v>
          </cell>
        </row>
        <row r="31">
          <cell r="M31">
            <v>1733004</v>
          </cell>
        </row>
        <row r="32">
          <cell r="M32">
            <v>23000000</v>
          </cell>
        </row>
        <row r="33">
          <cell r="M33">
            <v>7936046</v>
          </cell>
        </row>
        <row r="34">
          <cell r="M34">
            <v>6000000</v>
          </cell>
        </row>
        <row r="35">
          <cell r="M35">
            <v>46462000</v>
          </cell>
        </row>
        <row r="36">
          <cell r="M36">
            <v>10500000</v>
          </cell>
        </row>
        <row r="37">
          <cell r="M37">
            <v>5621000</v>
          </cell>
        </row>
        <row r="38">
          <cell r="M38">
            <v>14962217</v>
          </cell>
        </row>
        <row r="39">
          <cell r="M39">
            <v>6226721</v>
          </cell>
        </row>
        <row r="40">
          <cell r="M40">
            <v>0</v>
          </cell>
        </row>
        <row r="41">
          <cell r="M41">
            <v>7000000</v>
          </cell>
        </row>
        <row r="46">
          <cell r="M46">
            <v>54161503</v>
          </cell>
        </row>
        <row r="47">
          <cell r="M47">
            <v>50738619</v>
          </cell>
        </row>
        <row r="48">
          <cell r="M48">
            <v>44375797</v>
          </cell>
        </row>
        <row r="49">
          <cell r="M49">
            <v>8960802</v>
          </cell>
        </row>
        <row r="50">
          <cell r="M50">
            <v>0</v>
          </cell>
        </row>
        <row r="52">
          <cell r="M52">
            <v>3277467</v>
          </cell>
        </row>
        <row r="53">
          <cell r="M53">
            <v>100000000</v>
          </cell>
        </row>
        <row r="54">
          <cell r="M54">
            <v>36594460</v>
          </cell>
        </row>
        <row r="55">
          <cell r="M55">
            <v>17500000</v>
          </cell>
        </row>
        <row r="56">
          <cell r="M56">
            <v>10180800</v>
          </cell>
        </row>
        <row r="59">
          <cell r="M59">
            <v>1139735371</v>
          </cell>
        </row>
        <row r="60">
          <cell r="M60">
            <v>682241223</v>
          </cell>
        </row>
      </sheetData>
      <sheetData sheetId="12" refreshError="1">
        <row r="14">
          <cell r="M14">
            <v>14105388</v>
          </cell>
        </row>
        <row r="15">
          <cell r="M15">
            <v>713193</v>
          </cell>
        </row>
        <row r="16">
          <cell r="M16">
            <v>1188656</v>
          </cell>
        </row>
        <row r="17">
          <cell r="M17">
            <v>1188656</v>
          </cell>
        </row>
        <row r="18">
          <cell r="M18">
            <v>142638</v>
          </cell>
        </row>
        <row r="19">
          <cell r="M19">
            <v>3006877</v>
          </cell>
        </row>
        <row r="20">
          <cell r="M20">
            <v>608592</v>
          </cell>
        </row>
        <row r="21">
          <cell r="M21">
            <v>760740</v>
          </cell>
        </row>
        <row r="25">
          <cell r="M25">
            <v>3800000</v>
          </cell>
        </row>
        <row r="26">
          <cell r="M26">
            <v>152180</v>
          </cell>
        </row>
        <row r="32">
          <cell r="I32">
            <v>150000000</v>
          </cell>
        </row>
        <row r="33">
          <cell r="I33">
            <v>50000000</v>
          </cell>
        </row>
        <row r="35">
          <cell r="I35">
            <v>50000000</v>
          </cell>
        </row>
        <row r="36">
          <cell r="I36">
            <v>150000000</v>
          </cell>
        </row>
        <row r="37">
          <cell r="I37">
            <v>50000000</v>
          </cell>
        </row>
      </sheetData>
      <sheetData sheetId="13" refreshError="1">
        <row r="14">
          <cell r="M14">
            <v>163128115</v>
          </cell>
        </row>
        <row r="15">
          <cell r="M15">
            <v>8248050</v>
          </cell>
        </row>
        <row r="16">
          <cell r="M16">
            <v>8720084</v>
          </cell>
        </row>
        <row r="17">
          <cell r="M17">
            <v>291637</v>
          </cell>
        </row>
        <row r="18">
          <cell r="M18">
            <v>8720084</v>
          </cell>
        </row>
        <row r="19">
          <cell r="M19">
            <v>1046410</v>
          </cell>
        </row>
        <row r="20">
          <cell r="M20">
            <v>30841152</v>
          </cell>
        </row>
        <row r="21">
          <cell r="M21">
            <v>6242240</v>
          </cell>
        </row>
        <row r="22">
          <cell r="M22">
            <v>7802808</v>
          </cell>
        </row>
        <row r="26">
          <cell r="M26">
            <v>3500000</v>
          </cell>
        </row>
        <row r="27">
          <cell r="M27">
            <v>3819738.8698015912</v>
          </cell>
        </row>
        <row r="28">
          <cell r="M28">
            <v>778200.922415682</v>
          </cell>
        </row>
        <row r="29">
          <cell r="M29">
            <v>3266698.3366497294</v>
          </cell>
        </row>
        <row r="30">
          <cell r="M30">
            <v>5043271.5747579755</v>
          </cell>
        </row>
        <row r="31">
          <cell r="M31">
            <v>2093223.0307578256</v>
          </cell>
        </row>
        <row r="38">
          <cell r="M38">
            <v>93280711.804000005</v>
          </cell>
        </row>
        <row r="39">
          <cell r="M39">
            <v>0</v>
          </cell>
        </row>
        <row r="40">
          <cell r="M40">
            <v>9000000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84885248</v>
          </cell>
        </row>
        <row r="45">
          <cell r="M45">
            <v>1477923372</v>
          </cell>
        </row>
        <row r="46">
          <cell r="M46">
            <v>91531575</v>
          </cell>
        </row>
        <row r="47">
          <cell r="M47">
            <v>22667758</v>
          </cell>
        </row>
        <row r="48">
          <cell r="M48">
            <v>15239557</v>
          </cell>
        </row>
        <row r="49">
          <cell r="M49">
            <v>14000000</v>
          </cell>
        </row>
        <row r="50">
          <cell r="M50">
            <v>41997269</v>
          </cell>
        </row>
        <row r="51">
          <cell r="M51">
            <v>23736751</v>
          </cell>
        </row>
        <row r="52">
          <cell r="M52">
            <v>20000000</v>
          </cell>
        </row>
        <row r="53">
          <cell r="M53">
            <v>0</v>
          </cell>
        </row>
        <row r="55">
          <cell r="M55">
            <v>54000000</v>
          </cell>
        </row>
        <row r="56">
          <cell r="M56">
            <v>44009469</v>
          </cell>
        </row>
        <row r="57">
          <cell r="M57">
            <v>6787379.3690757668</v>
          </cell>
        </row>
        <row r="58">
          <cell r="M58">
            <v>0</v>
          </cell>
        </row>
        <row r="59">
          <cell r="M59">
            <v>120000000</v>
          </cell>
        </row>
        <row r="60">
          <cell r="M60">
            <v>0</v>
          </cell>
        </row>
        <row r="61">
          <cell r="M61">
            <v>5281000</v>
          </cell>
        </row>
        <row r="62">
          <cell r="M62">
            <v>0</v>
          </cell>
        </row>
        <row r="63">
          <cell r="M63">
            <v>600000000</v>
          </cell>
        </row>
        <row r="64">
          <cell r="M64">
            <v>1150000000</v>
          </cell>
        </row>
        <row r="66">
          <cell r="M66">
            <v>14473608</v>
          </cell>
        </row>
        <row r="67">
          <cell r="M67">
            <v>2779600.4838</v>
          </cell>
        </row>
        <row r="68">
          <cell r="M68">
            <v>45614096.399999999</v>
          </cell>
        </row>
        <row r="70">
          <cell r="M70">
            <v>20400750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4000000</v>
          </cell>
        </row>
      </sheetData>
      <sheetData sheetId="14" refreshError="1">
        <row r="14">
          <cell r="M14">
            <v>205419852</v>
          </cell>
        </row>
        <row r="15">
          <cell r="M15">
            <v>10386397</v>
          </cell>
        </row>
        <row r="16">
          <cell r="M16">
            <v>12283995</v>
          </cell>
        </row>
        <row r="17">
          <cell r="M17">
            <v>291637</v>
          </cell>
        </row>
        <row r="18">
          <cell r="M18">
            <v>12283995</v>
          </cell>
        </row>
        <row r="19">
          <cell r="M19">
            <v>1474079</v>
          </cell>
        </row>
        <row r="20">
          <cell r="M20">
            <v>39856602</v>
          </cell>
        </row>
        <row r="21">
          <cell r="M21">
            <v>8066960</v>
          </cell>
        </row>
        <row r="22">
          <cell r="M22">
            <v>10083712</v>
          </cell>
        </row>
        <row r="26">
          <cell r="M26">
            <v>375000</v>
          </cell>
        </row>
        <row r="27">
          <cell r="M27">
            <v>2500000</v>
          </cell>
        </row>
        <row r="28">
          <cell r="M28">
            <v>500000</v>
          </cell>
        </row>
        <row r="29">
          <cell r="M29">
            <v>3702662</v>
          </cell>
        </row>
        <row r="30">
          <cell r="M30">
            <v>3000000</v>
          </cell>
        </row>
        <row r="31">
          <cell r="M31">
            <v>318201</v>
          </cell>
        </row>
        <row r="38">
          <cell r="M38">
            <v>5345490</v>
          </cell>
        </row>
        <row r="39">
          <cell r="M39">
            <v>410095019</v>
          </cell>
        </row>
        <row r="40">
          <cell r="M40">
            <v>166235244</v>
          </cell>
        </row>
        <row r="41">
          <cell r="M41">
            <v>6000000</v>
          </cell>
        </row>
        <row r="43">
          <cell r="M43">
            <v>2549418</v>
          </cell>
        </row>
        <row r="44">
          <cell r="M44">
            <v>219405280</v>
          </cell>
        </row>
        <row r="45">
          <cell r="M45">
            <v>20703756</v>
          </cell>
        </row>
        <row r="47">
          <cell r="M47">
            <v>2000000</v>
          </cell>
        </row>
        <row r="48">
          <cell r="M48">
            <v>21000000</v>
          </cell>
        </row>
        <row r="49">
          <cell r="M49">
            <v>50000000</v>
          </cell>
        </row>
      </sheetData>
      <sheetData sheetId="15" refreshError="1">
        <row r="14">
          <cell r="M14">
            <v>446369113</v>
          </cell>
        </row>
        <row r="15">
          <cell r="M15">
            <v>22569225</v>
          </cell>
        </row>
        <row r="16">
          <cell r="M16">
            <v>32588708</v>
          </cell>
        </row>
        <row r="17">
          <cell r="M17">
            <v>874911</v>
          </cell>
        </row>
        <row r="18">
          <cell r="M18">
            <v>32588708</v>
          </cell>
        </row>
        <row r="19">
          <cell r="M19">
            <v>3910644</v>
          </cell>
        </row>
        <row r="20">
          <cell r="M20">
            <v>92370173</v>
          </cell>
        </row>
        <row r="21">
          <cell r="M21">
            <v>18414980</v>
          </cell>
        </row>
        <row r="22">
          <cell r="M22">
            <v>23018736</v>
          </cell>
        </row>
        <row r="26">
          <cell r="M26">
            <v>0</v>
          </cell>
        </row>
        <row r="27">
          <cell r="M27">
            <v>0</v>
          </cell>
        </row>
        <row r="28">
          <cell r="M28">
            <v>4000000</v>
          </cell>
        </row>
        <row r="29">
          <cell r="M29">
            <v>8000000</v>
          </cell>
        </row>
        <row r="30">
          <cell r="M30">
            <v>500000</v>
          </cell>
        </row>
        <row r="31">
          <cell r="M31">
            <v>3702662</v>
          </cell>
        </row>
        <row r="32">
          <cell r="M32">
            <v>20000000</v>
          </cell>
        </row>
        <row r="33">
          <cell r="M33">
            <v>21333333</v>
          </cell>
        </row>
        <row r="34">
          <cell r="M34">
            <v>80000000</v>
          </cell>
        </row>
        <row r="35">
          <cell r="M35">
            <v>14140303</v>
          </cell>
        </row>
        <row r="36">
          <cell r="M36">
            <v>4238014</v>
          </cell>
        </row>
        <row r="43">
          <cell r="M43">
            <v>653000000</v>
          </cell>
        </row>
        <row r="44">
          <cell r="M44">
            <v>1520000000</v>
          </cell>
        </row>
        <row r="45">
          <cell r="M45">
            <v>150000000</v>
          </cell>
        </row>
        <row r="46">
          <cell r="M46">
            <v>83000000</v>
          </cell>
        </row>
        <row r="47">
          <cell r="M47">
            <v>170000000</v>
          </cell>
        </row>
        <row r="48">
          <cell r="M48">
            <v>2600000000</v>
          </cell>
        </row>
        <row r="49">
          <cell r="M49">
            <v>12000000</v>
          </cell>
        </row>
        <row r="51">
          <cell r="M51">
            <v>50000000</v>
          </cell>
        </row>
        <row r="53">
          <cell r="M53">
            <v>150000000</v>
          </cell>
        </row>
        <row r="54">
          <cell r="M54">
            <v>50000000</v>
          </cell>
        </row>
        <row r="56">
          <cell r="M56">
            <v>107000000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  <sheetName val="Otros ingresos"/>
      <sheetName val="Rendimientos "/>
      <sheetName val="Escenario PPC"/>
      <sheetName val="Ejecución ingresos 2014"/>
      <sheetName val="Ejecución gastos 2014"/>
      <sheetName val="Superavit 2014"/>
      <sheetName val="Anexo 2 "/>
      <sheetName val="Anexo 3"/>
      <sheetName val="Anexo 4"/>
      <sheetName val="Funcionamiento"/>
      <sheetName val="Nómina y honorarios 2015"/>
      <sheetName val="Comparativo nómina 2014-2015"/>
      <sheetName val="Comparativo gastos personal "/>
    </sheetNames>
    <sheetDataSet>
      <sheetData sheetId="0">
        <row r="46">
          <cell r="C46">
            <v>3182535.7199999997</v>
          </cell>
        </row>
        <row r="53">
          <cell r="C53">
            <v>4295.6000000000004</v>
          </cell>
        </row>
        <row r="54">
          <cell r="C54">
            <v>2577.36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>
        <row r="13">
          <cell r="V13">
            <v>10614256667.625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>
            <v>1156801137</v>
          </cell>
        </row>
        <row r="14">
          <cell r="O14">
            <v>49568735</v>
          </cell>
        </row>
        <row r="15">
          <cell r="O15">
            <v>74913915</v>
          </cell>
        </row>
        <row r="16">
          <cell r="O16">
            <v>43747974</v>
          </cell>
        </row>
        <row r="17">
          <cell r="O17">
            <v>2250000</v>
          </cell>
        </row>
        <row r="18">
          <cell r="O18">
            <v>74913915</v>
          </cell>
        </row>
        <row r="19">
          <cell r="O19">
            <v>8554994</v>
          </cell>
        </row>
        <row r="20">
          <cell r="O20">
            <v>232833347</v>
          </cell>
        </row>
        <row r="21">
          <cell r="O21">
            <v>43977800</v>
          </cell>
        </row>
        <row r="22">
          <cell r="O22">
            <v>53972800</v>
          </cell>
        </row>
        <row r="27">
          <cell r="O27">
            <v>174434309</v>
          </cell>
        </row>
        <row r="28">
          <cell r="O28">
            <v>10493625</v>
          </cell>
        </row>
        <row r="29">
          <cell r="O29">
            <v>14000000</v>
          </cell>
        </row>
        <row r="30">
          <cell r="O30">
            <v>42186364</v>
          </cell>
        </row>
        <row r="31">
          <cell r="O31">
            <v>2921900</v>
          </cell>
        </row>
        <row r="32">
          <cell r="O32">
            <v>2685000</v>
          </cell>
        </row>
        <row r="33">
          <cell r="O33">
            <v>19905493</v>
          </cell>
        </row>
        <row r="34">
          <cell r="O34">
            <v>16112187</v>
          </cell>
        </row>
        <row r="35">
          <cell r="O35">
            <v>67728367</v>
          </cell>
        </row>
        <row r="36">
          <cell r="O36">
            <v>101888409</v>
          </cell>
        </row>
        <row r="37">
          <cell r="O37">
            <v>2759491</v>
          </cell>
        </row>
        <row r="38">
          <cell r="O38">
            <v>32457698</v>
          </cell>
        </row>
        <row r="39">
          <cell r="O39">
            <v>7019295</v>
          </cell>
        </row>
        <row r="41">
          <cell r="O41">
            <v>4316130</v>
          </cell>
        </row>
      </sheetData>
      <sheetData sheetId="8">
        <row r="38">
          <cell r="AA38">
            <v>26968757</v>
          </cell>
        </row>
        <row r="39">
          <cell r="AA39">
            <v>18958188</v>
          </cell>
        </row>
        <row r="41">
          <cell r="AA41">
            <v>68639699</v>
          </cell>
        </row>
        <row r="42">
          <cell r="AA42">
            <v>118517648</v>
          </cell>
        </row>
        <row r="43">
          <cell r="AA43">
            <v>10628658</v>
          </cell>
        </row>
      </sheetData>
      <sheetData sheetId="9">
        <row r="38">
          <cell r="AA38">
            <v>3491540</v>
          </cell>
        </row>
        <row r="39">
          <cell r="AA39">
            <v>412033954</v>
          </cell>
        </row>
        <row r="40">
          <cell r="AA40">
            <v>33498214</v>
          </cell>
        </row>
        <row r="41">
          <cell r="AA41">
            <v>6487000</v>
          </cell>
        </row>
        <row r="42">
          <cell r="AA42"/>
        </row>
        <row r="43">
          <cell r="AA43"/>
        </row>
        <row r="45">
          <cell r="AA45"/>
        </row>
        <row r="47">
          <cell r="AA47">
            <v>6335091</v>
          </cell>
        </row>
        <row r="48">
          <cell r="AA48">
            <v>364221226</v>
          </cell>
        </row>
        <row r="49">
          <cell r="AA49">
            <v>42624775</v>
          </cell>
        </row>
        <row r="50">
          <cell r="AA50">
            <v>32827198</v>
          </cell>
        </row>
      </sheetData>
      <sheetData sheetId="10">
        <row r="38">
          <cell r="AA38">
            <v>306816680</v>
          </cell>
        </row>
        <row r="39">
          <cell r="AA39">
            <v>9825954</v>
          </cell>
        </row>
        <row r="40">
          <cell r="AA40">
            <v>0</v>
          </cell>
        </row>
        <row r="43">
          <cell r="AA43">
            <v>12621003</v>
          </cell>
        </row>
        <row r="44">
          <cell r="AA44">
            <v>19059873</v>
          </cell>
        </row>
        <row r="45">
          <cell r="AA45">
            <v>14049504</v>
          </cell>
        </row>
        <row r="46">
          <cell r="AA46">
            <v>24000000</v>
          </cell>
        </row>
        <row r="47">
          <cell r="AA47">
            <v>3145034</v>
          </cell>
        </row>
        <row r="48">
          <cell r="AA48">
            <v>14998570</v>
          </cell>
        </row>
        <row r="49">
          <cell r="AA49">
            <v>48678210</v>
          </cell>
        </row>
        <row r="50">
          <cell r="AA50">
            <v>8933925</v>
          </cell>
        </row>
        <row r="51">
          <cell r="AA51">
            <v>10000000</v>
          </cell>
        </row>
        <row r="52">
          <cell r="AA52">
            <v>29762377</v>
          </cell>
        </row>
        <row r="53">
          <cell r="AA53">
            <v>2700000</v>
          </cell>
        </row>
        <row r="55">
          <cell r="AA55">
            <v>17997468</v>
          </cell>
        </row>
        <row r="56">
          <cell r="AA56">
            <v>3300000</v>
          </cell>
        </row>
        <row r="57">
          <cell r="AA57">
            <v>50000000</v>
          </cell>
        </row>
        <row r="58">
          <cell r="AA58">
            <v>20000000</v>
          </cell>
        </row>
        <row r="59">
          <cell r="AA59">
            <v>0</v>
          </cell>
        </row>
        <row r="60">
          <cell r="AA60">
            <v>79811594</v>
          </cell>
        </row>
        <row r="61">
          <cell r="AA61">
            <v>11007064</v>
          </cell>
        </row>
        <row r="64">
          <cell r="AA64">
            <v>0</v>
          </cell>
        </row>
        <row r="65">
          <cell r="AA65">
            <v>34183739</v>
          </cell>
        </row>
        <row r="66">
          <cell r="AA66">
            <v>0</v>
          </cell>
        </row>
        <row r="68">
          <cell r="AA68">
            <v>208166838</v>
          </cell>
        </row>
        <row r="69">
          <cell r="AA69">
            <v>0</v>
          </cell>
        </row>
        <row r="70">
          <cell r="AA70">
            <v>2000000</v>
          </cell>
        </row>
        <row r="71">
          <cell r="AA71">
            <v>3363450</v>
          </cell>
        </row>
        <row r="72">
          <cell r="AA72">
            <v>76253576</v>
          </cell>
        </row>
      </sheetData>
      <sheetData sheetId="11">
        <row r="46">
          <cell r="AA46">
            <v>54161503</v>
          </cell>
        </row>
        <row r="47">
          <cell r="AA47">
            <v>59057493</v>
          </cell>
        </row>
        <row r="48">
          <cell r="AA48">
            <v>0</v>
          </cell>
        </row>
        <row r="49">
          <cell r="AA49">
            <v>8960802</v>
          </cell>
        </row>
        <row r="50">
          <cell r="AA50">
            <v>0</v>
          </cell>
        </row>
        <row r="52">
          <cell r="AA52">
            <v>3095212</v>
          </cell>
        </row>
        <row r="53">
          <cell r="AA53">
            <v>99958678</v>
          </cell>
        </row>
        <row r="54">
          <cell r="AA54">
            <v>36589139</v>
          </cell>
        </row>
        <row r="55">
          <cell r="AA55">
            <v>12782050</v>
          </cell>
        </row>
        <row r="56">
          <cell r="AA56">
            <v>8759721</v>
          </cell>
        </row>
        <row r="59">
          <cell r="AA59">
            <v>1077297175</v>
          </cell>
        </row>
        <row r="60">
          <cell r="AA60">
            <v>646378304</v>
          </cell>
        </row>
      </sheetData>
      <sheetData sheetId="12">
        <row r="32">
          <cell r="AA32">
            <v>125975926</v>
          </cell>
        </row>
        <row r="33">
          <cell r="AA33">
            <v>49993000</v>
          </cell>
        </row>
        <row r="35">
          <cell r="AA35">
            <v>70000000</v>
          </cell>
        </row>
        <row r="36">
          <cell r="AA36">
            <v>119668032</v>
          </cell>
        </row>
        <row r="37">
          <cell r="AA37">
            <v>47724644</v>
          </cell>
        </row>
      </sheetData>
      <sheetData sheetId="13">
        <row r="38">
          <cell r="AA38">
            <v>93192328</v>
          </cell>
        </row>
        <row r="39">
          <cell r="AA39">
            <v>0</v>
          </cell>
        </row>
        <row r="40">
          <cell r="AA40">
            <v>9000000</v>
          </cell>
        </row>
        <row r="41">
          <cell r="AA41">
            <v>0</v>
          </cell>
        </row>
        <row r="42">
          <cell r="AA42">
            <v>0</v>
          </cell>
        </row>
        <row r="43">
          <cell r="AA43">
            <v>80749999</v>
          </cell>
        </row>
        <row r="45">
          <cell r="AA45">
            <v>1295942000</v>
          </cell>
        </row>
        <row r="46">
          <cell r="AA46">
            <v>0</v>
          </cell>
        </row>
        <row r="47">
          <cell r="AA47">
            <v>17999061</v>
          </cell>
        </row>
        <row r="48">
          <cell r="AA48">
            <v>15239557</v>
          </cell>
        </row>
        <row r="49">
          <cell r="AA49">
            <v>14000000</v>
          </cell>
        </row>
        <row r="50">
          <cell r="AA50">
            <v>32857269</v>
          </cell>
        </row>
        <row r="51">
          <cell r="AA51">
            <v>23736751</v>
          </cell>
        </row>
        <row r="52">
          <cell r="AA52">
            <v>19509819</v>
          </cell>
        </row>
        <row r="53">
          <cell r="AA53">
            <v>0</v>
          </cell>
        </row>
        <row r="55">
          <cell r="AA55">
            <v>48629232</v>
          </cell>
        </row>
        <row r="56">
          <cell r="AA56">
            <v>44009469</v>
          </cell>
        </row>
        <row r="57">
          <cell r="AA57">
            <v>6529222</v>
          </cell>
        </row>
        <row r="58">
          <cell r="AA58">
            <v>0</v>
          </cell>
        </row>
        <row r="59">
          <cell r="AA59">
            <v>120000000</v>
          </cell>
        </row>
        <row r="60">
          <cell r="AA60">
            <v>0</v>
          </cell>
        </row>
        <row r="61">
          <cell r="AA61">
            <v>2842910</v>
          </cell>
        </row>
        <row r="62">
          <cell r="AA62">
            <v>0</v>
          </cell>
        </row>
        <row r="63">
          <cell r="AA63">
            <v>592934858</v>
          </cell>
        </row>
        <row r="64">
          <cell r="AA64">
            <v>1141344639</v>
          </cell>
        </row>
        <row r="66">
          <cell r="AA66">
            <v>14305308</v>
          </cell>
        </row>
        <row r="67">
          <cell r="AA67">
            <v>2779600</v>
          </cell>
        </row>
        <row r="68">
          <cell r="AA68">
            <v>5219090</v>
          </cell>
        </row>
        <row r="70">
          <cell r="AA70">
            <v>18900750</v>
          </cell>
        </row>
        <row r="71">
          <cell r="AA71"/>
        </row>
        <row r="72">
          <cell r="AA72"/>
        </row>
        <row r="73">
          <cell r="AA73"/>
        </row>
        <row r="74">
          <cell r="AA74"/>
        </row>
      </sheetData>
      <sheetData sheetId="14">
        <row r="38">
          <cell r="AA38">
            <v>5345490</v>
          </cell>
        </row>
        <row r="39">
          <cell r="AA39">
            <v>410047377</v>
          </cell>
        </row>
        <row r="40">
          <cell r="AA40">
            <v>166233087</v>
          </cell>
        </row>
        <row r="41">
          <cell r="AA41">
            <v>5999907</v>
          </cell>
        </row>
        <row r="43">
          <cell r="AA43">
            <v>1101641</v>
          </cell>
        </row>
        <row r="44">
          <cell r="AA44">
            <v>189005366</v>
          </cell>
        </row>
        <row r="45">
          <cell r="AA45">
            <v>18886956</v>
          </cell>
        </row>
        <row r="47">
          <cell r="AA47">
            <v>2000000</v>
          </cell>
        </row>
        <row r="48">
          <cell r="AA48">
            <v>21000000</v>
          </cell>
        </row>
        <row r="49">
          <cell r="AA49">
            <v>50000000</v>
          </cell>
        </row>
      </sheetData>
      <sheetData sheetId="15">
        <row r="43">
          <cell r="AA43">
            <v>652300000</v>
          </cell>
        </row>
        <row r="44">
          <cell r="AA44">
            <v>1435532107</v>
          </cell>
        </row>
        <row r="45">
          <cell r="AA45">
            <v>148889467</v>
          </cell>
        </row>
        <row r="46">
          <cell r="AA46">
            <v>78189903</v>
          </cell>
        </row>
        <row r="47">
          <cell r="AA47">
            <v>145837821</v>
          </cell>
        </row>
        <row r="48">
          <cell r="AA48">
            <v>2598299600</v>
          </cell>
        </row>
        <row r="49">
          <cell r="AA49">
            <v>11931709</v>
          </cell>
        </row>
        <row r="51">
          <cell r="AA51">
            <v>45154520</v>
          </cell>
        </row>
        <row r="53">
          <cell r="AA53">
            <v>144521780</v>
          </cell>
        </row>
        <row r="54">
          <cell r="AA54">
            <v>49779932</v>
          </cell>
        </row>
        <row r="56">
          <cell r="AA56">
            <v>99367885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dir 2022"/>
      <sheetName val="Nómina dir 2022 ajuste"/>
      <sheetName val="Nómina dir 2022 difajust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>
        <row r="29">
          <cell r="I2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13">
          <cell r="J13">
            <v>1339080482</v>
          </cell>
        </row>
        <row r="40">
          <cell r="J40">
            <v>0</v>
          </cell>
        </row>
      </sheetData>
      <sheetData sheetId="8">
        <row r="38">
          <cell r="P38">
            <v>24793756</v>
          </cell>
        </row>
      </sheetData>
      <sheetData sheetId="9">
        <row r="38">
          <cell r="P38">
            <v>4215147</v>
          </cell>
        </row>
      </sheetData>
      <sheetData sheetId="10">
        <row r="38">
          <cell r="P38">
            <v>333000000</v>
          </cell>
        </row>
      </sheetData>
      <sheetData sheetId="11">
        <row r="46">
          <cell r="P46">
            <v>54161503</v>
          </cell>
        </row>
      </sheetData>
      <sheetData sheetId="12">
        <row r="32">
          <cell r="P32">
            <v>147000000</v>
          </cell>
        </row>
      </sheetData>
      <sheetData sheetId="13">
        <row r="38">
          <cell r="P38">
            <v>93280712</v>
          </cell>
        </row>
      </sheetData>
      <sheetData sheetId="14">
        <row r="38">
          <cell r="P38">
            <v>5345490</v>
          </cell>
        </row>
      </sheetData>
      <sheetData sheetId="15">
        <row r="43">
          <cell r="P43">
            <v>652300000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>
        <row r="15">
          <cell r="B15">
            <v>6738114633</v>
          </cell>
        </row>
        <row r="32">
          <cell r="B32">
            <v>745970200.99055994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EBD0-9C7C-4C0B-A2A0-2AC2DFCE7679}">
  <sheetPr>
    <outlinePr applyStyles="1"/>
    <pageSetUpPr fitToPage="1"/>
  </sheetPr>
  <dimension ref="A1:P226"/>
  <sheetViews>
    <sheetView showGridLines="0" tabSelected="1" zoomScale="85" zoomScaleNormal="85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N212"/>
    </sheetView>
  </sheetViews>
  <sheetFormatPr baseColWidth="10" defaultColWidth="14.6640625" defaultRowHeight="13.8" outlineLevelRow="2" x14ac:dyDescent="0.25"/>
  <cols>
    <col min="1" max="1" width="50.5546875" style="2" customWidth="1"/>
    <col min="2" max="2" width="20.109375" style="2" customWidth="1"/>
    <col min="3" max="3" width="18.6640625" style="2" customWidth="1"/>
    <col min="4" max="4" width="20.88671875" style="2" bestFit="1" customWidth="1"/>
    <col min="5" max="5" width="18.33203125" style="2" customWidth="1"/>
    <col min="6" max="7" width="19.33203125" style="2" customWidth="1"/>
    <col min="8" max="8" width="21.88671875" style="2" customWidth="1"/>
    <col min="9" max="9" width="19.6640625" style="2" customWidth="1"/>
    <col min="10" max="10" width="24" style="2" customWidth="1"/>
    <col min="11" max="11" width="26.88671875" style="2" customWidth="1"/>
    <col min="12" max="13" width="26.88671875" style="74" customWidth="1"/>
    <col min="14" max="14" width="14.88671875" style="69" customWidth="1"/>
    <col min="15" max="15" width="17.33203125" style="2" customWidth="1"/>
    <col min="16" max="256" width="14.6640625" style="2"/>
    <col min="257" max="257" width="50.5546875" style="2" customWidth="1"/>
    <col min="258" max="258" width="20.109375" style="2" customWidth="1"/>
    <col min="259" max="259" width="18.6640625" style="2" customWidth="1"/>
    <col min="260" max="260" width="20.88671875" style="2" bestFit="1" customWidth="1"/>
    <col min="261" max="261" width="18.33203125" style="2" customWidth="1"/>
    <col min="262" max="263" width="19.33203125" style="2" customWidth="1"/>
    <col min="264" max="264" width="21.88671875" style="2" customWidth="1"/>
    <col min="265" max="265" width="19.6640625" style="2" customWidth="1"/>
    <col min="266" max="266" width="24" style="2" customWidth="1"/>
    <col min="267" max="269" width="26.88671875" style="2" customWidth="1"/>
    <col min="270" max="270" width="14.88671875" style="2" customWidth="1"/>
    <col min="271" max="271" width="17.33203125" style="2" customWidth="1"/>
    <col min="272" max="512" width="14.6640625" style="2"/>
    <col min="513" max="513" width="50.5546875" style="2" customWidth="1"/>
    <col min="514" max="514" width="20.109375" style="2" customWidth="1"/>
    <col min="515" max="515" width="18.6640625" style="2" customWidth="1"/>
    <col min="516" max="516" width="20.88671875" style="2" bestFit="1" customWidth="1"/>
    <col min="517" max="517" width="18.33203125" style="2" customWidth="1"/>
    <col min="518" max="519" width="19.33203125" style="2" customWidth="1"/>
    <col min="520" max="520" width="21.88671875" style="2" customWidth="1"/>
    <col min="521" max="521" width="19.6640625" style="2" customWidth="1"/>
    <col min="522" max="522" width="24" style="2" customWidth="1"/>
    <col min="523" max="525" width="26.88671875" style="2" customWidth="1"/>
    <col min="526" max="526" width="14.88671875" style="2" customWidth="1"/>
    <col min="527" max="527" width="17.33203125" style="2" customWidth="1"/>
    <col min="528" max="768" width="14.6640625" style="2"/>
    <col min="769" max="769" width="50.5546875" style="2" customWidth="1"/>
    <col min="770" max="770" width="20.109375" style="2" customWidth="1"/>
    <col min="771" max="771" width="18.6640625" style="2" customWidth="1"/>
    <col min="772" max="772" width="20.88671875" style="2" bestFit="1" customWidth="1"/>
    <col min="773" max="773" width="18.33203125" style="2" customWidth="1"/>
    <col min="774" max="775" width="19.33203125" style="2" customWidth="1"/>
    <col min="776" max="776" width="21.88671875" style="2" customWidth="1"/>
    <col min="777" max="777" width="19.6640625" style="2" customWidth="1"/>
    <col min="778" max="778" width="24" style="2" customWidth="1"/>
    <col min="779" max="781" width="26.88671875" style="2" customWidth="1"/>
    <col min="782" max="782" width="14.88671875" style="2" customWidth="1"/>
    <col min="783" max="783" width="17.33203125" style="2" customWidth="1"/>
    <col min="784" max="1024" width="14.6640625" style="2"/>
    <col min="1025" max="1025" width="50.5546875" style="2" customWidth="1"/>
    <col min="1026" max="1026" width="20.109375" style="2" customWidth="1"/>
    <col min="1027" max="1027" width="18.6640625" style="2" customWidth="1"/>
    <col min="1028" max="1028" width="20.88671875" style="2" bestFit="1" customWidth="1"/>
    <col min="1029" max="1029" width="18.33203125" style="2" customWidth="1"/>
    <col min="1030" max="1031" width="19.33203125" style="2" customWidth="1"/>
    <col min="1032" max="1032" width="21.88671875" style="2" customWidth="1"/>
    <col min="1033" max="1033" width="19.6640625" style="2" customWidth="1"/>
    <col min="1034" max="1034" width="24" style="2" customWidth="1"/>
    <col min="1035" max="1037" width="26.88671875" style="2" customWidth="1"/>
    <col min="1038" max="1038" width="14.88671875" style="2" customWidth="1"/>
    <col min="1039" max="1039" width="17.33203125" style="2" customWidth="1"/>
    <col min="1040" max="1280" width="14.6640625" style="2"/>
    <col min="1281" max="1281" width="50.5546875" style="2" customWidth="1"/>
    <col min="1282" max="1282" width="20.109375" style="2" customWidth="1"/>
    <col min="1283" max="1283" width="18.6640625" style="2" customWidth="1"/>
    <col min="1284" max="1284" width="20.88671875" style="2" bestFit="1" customWidth="1"/>
    <col min="1285" max="1285" width="18.33203125" style="2" customWidth="1"/>
    <col min="1286" max="1287" width="19.33203125" style="2" customWidth="1"/>
    <col min="1288" max="1288" width="21.88671875" style="2" customWidth="1"/>
    <col min="1289" max="1289" width="19.6640625" style="2" customWidth="1"/>
    <col min="1290" max="1290" width="24" style="2" customWidth="1"/>
    <col min="1291" max="1293" width="26.88671875" style="2" customWidth="1"/>
    <col min="1294" max="1294" width="14.88671875" style="2" customWidth="1"/>
    <col min="1295" max="1295" width="17.33203125" style="2" customWidth="1"/>
    <col min="1296" max="1536" width="14.6640625" style="2"/>
    <col min="1537" max="1537" width="50.5546875" style="2" customWidth="1"/>
    <col min="1538" max="1538" width="20.109375" style="2" customWidth="1"/>
    <col min="1539" max="1539" width="18.6640625" style="2" customWidth="1"/>
    <col min="1540" max="1540" width="20.88671875" style="2" bestFit="1" customWidth="1"/>
    <col min="1541" max="1541" width="18.33203125" style="2" customWidth="1"/>
    <col min="1542" max="1543" width="19.33203125" style="2" customWidth="1"/>
    <col min="1544" max="1544" width="21.88671875" style="2" customWidth="1"/>
    <col min="1545" max="1545" width="19.6640625" style="2" customWidth="1"/>
    <col min="1546" max="1546" width="24" style="2" customWidth="1"/>
    <col min="1547" max="1549" width="26.88671875" style="2" customWidth="1"/>
    <col min="1550" max="1550" width="14.88671875" style="2" customWidth="1"/>
    <col min="1551" max="1551" width="17.33203125" style="2" customWidth="1"/>
    <col min="1552" max="1792" width="14.6640625" style="2"/>
    <col min="1793" max="1793" width="50.5546875" style="2" customWidth="1"/>
    <col min="1794" max="1794" width="20.109375" style="2" customWidth="1"/>
    <col min="1795" max="1795" width="18.6640625" style="2" customWidth="1"/>
    <col min="1796" max="1796" width="20.88671875" style="2" bestFit="1" customWidth="1"/>
    <col min="1797" max="1797" width="18.33203125" style="2" customWidth="1"/>
    <col min="1798" max="1799" width="19.33203125" style="2" customWidth="1"/>
    <col min="1800" max="1800" width="21.88671875" style="2" customWidth="1"/>
    <col min="1801" max="1801" width="19.6640625" style="2" customWidth="1"/>
    <col min="1802" max="1802" width="24" style="2" customWidth="1"/>
    <col min="1803" max="1805" width="26.88671875" style="2" customWidth="1"/>
    <col min="1806" max="1806" width="14.88671875" style="2" customWidth="1"/>
    <col min="1807" max="1807" width="17.33203125" style="2" customWidth="1"/>
    <col min="1808" max="2048" width="14.6640625" style="2"/>
    <col min="2049" max="2049" width="50.5546875" style="2" customWidth="1"/>
    <col min="2050" max="2050" width="20.109375" style="2" customWidth="1"/>
    <col min="2051" max="2051" width="18.6640625" style="2" customWidth="1"/>
    <col min="2052" max="2052" width="20.88671875" style="2" bestFit="1" customWidth="1"/>
    <col min="2053" max="2053" width="18.33203125" style="2" customWidth="1"/>
    <col min="2054" max="2055" width="19.33203125" style="2" customWidth="1"/>
    <col min="2056" max="2056" width="21.88671875" style="2" customWidth="1"/>
    <col min="2057" max="2057" width="19.6640625" style="2" customWidth="1"/>
    <col min="2058" max="2058" width="24" style="2" customWidth="1"/>
    <col min="2059" max="2061" width="26.88671875" style="2" customWidth="1"/>
    <col min="2062" max="2062" width="14.88671875" style="2" customWidth="1"/>
    <col min="2063" max="2063" width="17.33203125" style="2" customWidth="1"/>
    <col min="2064" max="2304" width="14.6640625" style="2"/>
    <col min="2305" max="2305" width="50.5546875" style="2" customWidth="1"/>
    <col min="2306" max="2306" width="20.109375" style="2" customWidth="1"/>
    <col min="2307" max="2307" width="18.6640625" style="2" customWidth="1"/>
    <col min="2308" max="2308" width="20.88671875" style="2" bestFit="1" customWidth="1"/>
    <col min="2309" max="2309" width="18.33203125" style="2" customWidth="1"/>
    <col min="2310" max="2311" width="19.33203125" style="2" customWidth="1"/>
    <col min="2312" max="2312" width="21.88671875" style="2" customWidth="1"/>
    <col min="2313" max="2313" width="19.6640625" style="2" customWidth="1"/>
    <col min="2314" max="2314" width="24" style="2" customWidth="1"/>
    <col min="2315" max="2317" width="26.88671875" style="2" customWidth="1"/>
    <col min="2318" max="2318" width="14.88671875" style="2" customWidth="1"/>
    <col min="2319" max="2319" width="17.33203125" style="2" customWidth="1"/>
    <col min="2320" max="2560" width="14.6640625" style="2"/>
    <col min="2561" max="2561" width="50.5546875" style="2" customWidth="1"/>
    <col min="2562" max="2562" width="20.109375" style="2" customWidth="1"/>
    <col min="2563" max="2563" width="18.6640625" style="2" customWidth="1"/>
    <col min="2564" max="2564" width="20.88671875" style="2" bestFit="1" customWidth="1"/>
    <col min="2565" max="2565" width="18.33203125" style="2" customWidth="1"/>
    <col min="2566" max="2567" width="19.33203125" style="2" customWidth="1"/>
    <col min="2568" max="2568" width="21.88671875" style="2" customWidth="1"/>
    <col min="2569" max="2569" width="19.6640625" style="2" customWidth="1"/>
    <col min="2570" max="2570" width="24" style="2" customWidth="1"/>
    <col min="2571" max="2573" width="26.88671875" style="2" customWidth="1"/>
    <col min="2574" max="2574" width="14.88671875" style="2" customWidth="1"/>
    <col min="2575" max="2575" width="17.33203125" style="2" customWidth="1"/>
    <col min="2576" max="2816" width="14.6640625" style="2"/>
    <col min="2817" max="2817" width="50.5546875" style="2" customWidth="1"/>
    <col min="2818" max="2818" width="20.109375" style="2" customWidth="1"/>
    <col min="2819" max="2819" width="18.6640625" style="2" customWidth="1"/>
    <col min="2820" max="2820" width="20.88671875" style="2" bestFit="1" customWidth="1"/>
    <col min="2821" max="2821" width="18.33203125" style="2" customWidth="1"/>
    <col min="2822" max="2823" width="19.33203125" style="2" customWidth="1"/>
    <col min="2824" max="2824" width="21.88671875" style="2" customWidth="1"/>
    <col min="2825" max="2825" width="19.6640625" style="2" customWidth="1"/>
    <col min="2826" max="2826" width="24" style="2" customWidth="1"/>
    <col min="2827" max="2829" width="26.88671875" style="2" customWidth="1"/>
    <col min="2830" max="2830" width="14.88671875" style="2" customWidth="1"/>
    <col min="2831" max="2831" width="17.33203125" style="2" customWidth="1"/>
    <col min="2832" max="3072" width="14.6640625" style="2"/>
    <col min="3073" max="3073" width="50.5546875" style="2" customWidth="1"/>
    <col min="3074" max="3074" width="20.109375" style="2" customWidth="1"/>
    <col min="3075" max="3075" width="18.6640625" style="2" customWidth="1"/>
    <col min="3076" max="3076" width="20.88671875" style="2" bestFit="1" customWidth="1"/>
    <col min="3077" max="3077" width="18.33203125" style="2" customWidth="1"/>
    <col min="3078" max="3079" width="19.33203125" style="2" customWidth="1"/>
    <col min="3080" max="3080" width="21.88671875" style="2" customWidth="1"/>
    <col min="3081" max="3081" width="19.6640625" style="2" customWidth="1"/>
    <col min="3082" max="3082" width="24" style="2" customWidth="1"/>
    <col min="3083" max="3085" width="26.88671875" style="2" customWidth="1"/>
    <col min="3086" max="3086" width="14.88671875" style="2" customWidth="1"/>
    <col min="3087" max="3087" width="17.33203125" style="2" customWidth="1"/>
    <col min="3088" max="3328" width="14.6640625" style="2"/>
    <col min="3329" max="3329" width="50.5546875" style="2" customWidth="1"/>
    <col min="3330" max="3330" width="20.109375" style="2" customWidth="1"/>
    <col min="3331" max="3331" width="18.6640625" style="2" customWidth="1"/>
    <col min="3332" max="3332" width="20.88671875" style="2" bestFit="1" customWidth="1"/>
    <col min="3333" max="3333" width="18.33203125" style="2" customWidth="1"/>
    <col min="3334" max="3335" width="19.33203125" style="2" customWidth="1"/>
    <col min="3336" max="3336" width="21.88671875" style="2" customWidth="1"/>
    <col min="3337" max="3337" width="19.6640625" style="2" customWidth="1"/>
    <col min="3338" max="3338" width="24" style="2" customWidth="1"/>
    <col min="3339" max="3341" width="26.88671875" style="2" customWidth="1"/>
    <col min="3342" max="3342" width="14.88671875" style="2" customWidth="1"/>
    <col min="3343" max="3343" width="17.33203125" style="2" customWidth="1"/>
    <col min="3344" max="3584" width="14.6640625" style="2"/>
    <col min="3585" max="3585" width="50.5546875" style="2" customWidth="1"/>
    <col min="3586" max="3586" width="20.109375" style="2" customWidth="1"/>
    <col min="3587" max="3587" width="18.6640625" style="2" customWidth="1"/>
    <col min="3588" max="3588" width="20.88671875" style="2" bestFit="1" customWidth="1"/>
    <col min="3589" max="3589" width="18.33203125" style="2" customWidth="1"/>
    <col min="3590" max="3591" width="19.33203125" style="2" customWidth="1"/>
    <col min="3592" max="3592" width="21.88671875" style="2" customWidth="1"/>
    <col min="3593" max="3593" width="19.6640625" style="2" customWidth="1"/>
    <col min="3594" max="3594" width="24" style="2" customWidth="1"/>
    <col min="3595" max="3597" width="26.88671875" style="2" customWidth="1"/>
    <col min="3598" max="3598" width="14.88671875" style="2" customWidth="1"/>
    <col min="3599" max="3599" width="17.33203125" style="2" customWidth="1"/>
    <col min="3600" max="3840" width="14.6640625" style="2"/>
    <col min="3841" max="3841" width="50.5546875" style="2" customWidth="1"/>
    <col min="3842" max="3842" width="20.109375" style="2" customWidth="1"/>
    <col min="3843" max="3843" width="18.6640625" style="2" customWidth="1"/>
    <col min="3844" max="3844" width="20.88671875" style="2" bestFit="1" customWidth="1"/>
    <col min="3845" max="3845" width="18.33203125" style="2" customWidth="1"/>
    <col min="3846" max="3847" width="19.33203125" style="2" customWidth="1"/>
    <col min="3848" max="3848" width="21.88671875" style="2" customWidth="1"/>
    <col min="3849" max="3849" width="19.6640625" style="2" customWidth="1"/>
    <col min="3850" max="3850" width="24" style="2" customWidth="1"/>
    <col min="3851" max="3853" width="26.88671875" style="2" customWidth="1"/>
    <col min="3854" max="3854" width="14.88671875" style="2" customWidth="1"/>
    <col min="3855" max="3855" width="17.33203125" style="2" customWidth="1"/>
    <col min="3856" max="4096" width="14.6640625" style="2"/>
    <col min="4097" max="4097" width="50.5546875" style="2" customWidth="1"/>
    <col min="4098" max="4098" width="20.109375" style="2" customWidth="1"/>
    <col min="4099" max="4099" width="18.6640625" style="2" customWidth="1"/>
    <col min="4100" max="4100" width="20.88671875" style="2" bestFit="1" customWidth="1"/>
    <col min="4101" max="4101" width="18.33203125" style="2" customWidth="1"/>
    <col min="4102" max="4103" width="19.33203125" style="2" customWidth="1"/>
    <col min="4104" max="4104" width="21.88671875" style="2" customWidth="1"/>
    <col min="4105" max="4105" width="19.6640625" style="2" customWidth="1"/>
    <col min="4106" max="4106" width="24" style="2" customWidth="1"/>
    <col min="4107" max="4109" width="26.88671875" style="2" customWidth="1"/>
    <col min="4110" max="4110" width="14.88671875" style="2" customWidth="1"/>
    <col min="4111" max="4111" width="17.33203125" style="2" customWidth="1"/>
    <col min="4112" max="4352" width="14.6640625" style="2"/>
    <col min="4353" max="4353" width="50.5546875" style="2" customWidth="1"/>
    <col min="4354" max="4354" width="20.109375" style="2" customWidth="1"/>
    <col min="4355" max="4355" width="18.6640625" style="2" customWidth="1"/>
    <col min="4356" max="4356" width="20.88671875" style="2" bestFit="1" customWidth="1"/>
    <col min="4357" max="4357" width="18.33203125" style="2" customWidth="1"/>
    <col min="4358" max="4359" width="19.33203125" style="2" customWidth="1"/>
    <col min="4360" max="4360" width="21.88671875" style="2" customWidth="1"/>
    <col min="4361" max="4361" width="19.6640625" style="2" customWidth="1"/>
    <col min="4362" max="4362" width="24" style="2" customWidth="1"/>
    <col min="4363" max="4365" width="26.88671875" style="2" customWidth="1"/>
    <col min="4366" max="4366" width="14.88671875" style="2" customWidth="1"/>
    <col min="4367" max="4367" width="17.33203125" style="2" customWidth="1"/>
    <col min="4368" max="4608" width="14.6640625" style="2"/>
    <col min="4609" max="4609" width="50.5546875" style="2" customWidth="1"/>
    <col min="4610" max="4610" width="20.109375" style="2" customWidth="1"/>
    <col min="4611" max="4611" width="18.6640625" style="2" customWidth="1"/>
    <col min="4612" max="4612" width="20.88671875" style="2" bestFit="1" customWidth="1"/>
    <col min="4613" max="4613" width="18.33203125" style="2" customWidth="1"/>
    <col min="4614" max="4615" width="19.33203125" style="2" customWidth="1"/>
    <col min="4616" max="4616" width="21.88671875" style="2" customWidth="1"/>
    <col min="4617" max="4617" width="19.6640625" style="2" customWidth="1"/>
    <col min="4618" max="4618" width="24" style="2" customWidth="1"/>
    <col min="4619" max="4621" width="26.88671875" style="2" customWidth="1"/>
    <col min="4622" max="4622" width="14.88671875" style="2" customWidth="1"/>
    <col min="4623" max="4623" width="17.33203125" style="2" customWidth="1"/>
    <col min="4624" max="4864" width="14.6640625" style="2"/>
    <col min="4865" max="4865" width="50.5546875" style="2" customWidth="1"/>
    <col min="4866" max="4866" width="20.109375" style="2" customWidth="1"/>
    <col min="4867" max="4867" width="18.6640625" style="2" customWidth="1"/>
    <col min="4868" max="4868" width="20.88671875" style="2" bestFit="1" customWidth="1"/>
    <col min="4869" max="4869" width="18.33203125" style="2" customWidth="1"/>
    <col min="4870" max="4871" width="19.33203125" style="2" customWidth="1"/>
    <col min="4872" max="4872" width="21.88671875" style="2" customWidth="1"/>
    <col min="4873" max="4873" width="19.6640625" style="2" customWidth="1"/>
    <col min="4874" max="4874" width="24" style="2" customWidth="1"/>
    <col min="4875" max="4877" width="26.88671875" style="2" customWidth="1"/>
    <col min="4878" max="4878" width="14.88671875" style="2" customWidth="1"/>
    <col min="4879" max="4879" width="17.33203125" style="2" customWidth="1"/>
    <col min="4880" max="5120" width="14.6640625" style="2"/>
    <col min="5121" max="5121" width="50.5546875" style="2" customWidth="1"/>
    <col min="5122" max="5122" width="20.109375" style="2" customWidth="1"/>
    <col min="5123" max="5123" width="18.6640625" style="2" customWidth="1"/>
    <col min="5124" max="5124" width="20.88671875" style="2" bestFit="1" customWidth="1"/>
    <col min="5125" max="5125" width="18.33203125" style="2" customWidth="1"/>
    <col min="5126" max="5127" width="19.33203125" style="2" customWidth="1"/>
    <col min="5128" max="5128" width="21.88671875" style="2" customWidth="1"/>
    <col min="5129" max="5129" width="19.6640625" style="2" customWidth="1"/>
    <col min="5130" max="5130" width="24" style="2" customWidth="1"/>
    <col min="5131" max="5133" width="26.88671875" style="2" customWidth="1"/>
    <col min="5134" max="5134" width="14.88671875" style="2" customWidth="1"/>
    <col min="5135" max="5135" width="17.33203125" style="2" customWidth="1"/>
    <col min="5136" max="5376" width="14.6640625" style="2"/>
    <col min="5377" max="5377" width="50.5546875" style="2" customWidth="1"/>
    <col min="5378" max="5378" width="20.109375" style="2" customWidth="1"/>
    <col min="5379" max="5379" width="18.6640625" style="2" customWidth="1"/>
    <col min="5380" max="5380" width="20.88671875" style="2" bestFit="1" customWidth="1"/>
    <col min="5381" max="5381" width="18.33203125" style="2" customWidth="1"/>
    <col min="5382" max="5383" width="19.33203125" style="2" customWidth="1"/>
    <col min="5384" max="5384" width="21.88671875" style="2" customWidth="1"/>
    <col min="5385" max="5385" width="19.6640625" style="2" customWidth="1"/>
    <col min="5386" max="5386" width="24" style="2" customWidth="1"/>
    <col min="5387" max="5389" width="26.88671875" style="2" customWidth="1"/>
    <col min="5390" max="5390" width="14.88671875" style="2" customWidth="1"/>
    <col min="5391" max="5391" width="17.33203125" style="2" customWidth="1"/>
    <col min="5392" max="5632" width="14.6640625" style="2"/>
    <col min="5633" max="5633" width="50.5546875" style="2" customWidth="1"/>
    <col min="5634" max="5634" width="20.109375" style="2" customWidth="1"/>
    <col min="5635" max="5635" width="18.6640625" style="2" customWidth="1"/>
    <col min="5636" max="5636" width="20.88671875" style="2" bestFit="1" customWidth="1"/>
    <col min="5637" max="5637" width="18.33203125" style="2" customWidth="1"/>
    <col min="5638" max="5639" width="19.33203125" style="2" customWidth="1"/>
    <col min="5640" max="5640" width="21.88671875" style="2" customWidth="1"/>
    <col min="5641" max="5641" width="19.6640625" style="2" customWidth="1"/>
    <col min="5642" max="5642" width="24" style="2" customWidth="1"/>
    <col min="5643" max="5645" width="26.88671875" style="2" customWidth="1"/>
    <col min="5646" max="5646" width="14.88671875" style="2" customWidth="1"/>
    <col min="5647" max="5647" width="17.33203125" style="2" customWidth="1"/>
    <col min="5648" max="5888" width="14.6640625" style="2"/>
    <col min="5889" max="5889" width="50.5546875" style="2" customWidth="1"/>
    <col min="5890" max="5890" width="20.109375" style="2" customWidth="1"/>
    <col min="5891" max="5891" width="18.6640625" style="2" customWidth="1"/>
    <col min="5892" max="5892" width="20.88671875" style="2" bestFit="1" customWidth="1"/>
    <col min="5893" max="5893" width="18.33203125" style="2" customWidth="1"/>
    <col min="5894" max="5895" width="19.33203125" style="2" customWidth="1"/>
    <col min="5896" max="5896" width="21.88671875" style="2" customWidth="1"/>
    <col min="5897" max="5897" width="19.6640625" style="2" customWidth="1"/>
    <col min="5898" max="5898" width="24" style="2" customWidth="1"/>
    <col min="5899" max="5901" width="26.88671875" style="2" customWidth="1"/>
    <col min="5902" max="5902" width="14.88671875" style="2" customWidth="1"/>
    <col min="5903" max="5903" width="17.33203125" style="2" customWidth="1"/>
    <col min="5904" max="6144" width="14.6640625" style="2"/>
    <col min="6145" max="6145" width="50.5546875" style="2" customWidth="1"/>
    <col min="6146" max="6146" width="20.109375" style="2" customWidth="1"/>
    <col min="6147" max="6147" width="18.6640625" style="2" customWidth="1"/>
    <col min="6148" max="6148" width="20.88671875" style="2" bestFit="1" customWidth="1"/>
    <col min="6149" max="6149" width="18.33203125" style="2" customWidth="1"/>
    <col min="6150" max="6151" width="19.33203125" style="2" customWidth="1"/>
    <col min="6152" max="6152" width="21.88671875" style="2" customWidth="1"/>
    <col min="6153" max="6153" width="19.6640625" style="2" customWidth="1"/>
    <col min="6154" max="6154" width="24" style="2" customWidth="1"/>
    <col min="6155" max="6157" width="26.88671875" style="2" customWidth="1"/>
    <col min="6158" max="6158" width="14.88671875" style="2" customWidth="1"/>
    <col min="6159" max="6159" width="17.33203125" style="2" customWidth="1"/>
    <col min="6160" max="6400" width="14.6640625" style="2"/>
    <col min="6401" max="6401" width="50.5546875" style="2" customWidth="1"/>
    <col min="6402" max="6402" width="20.109375" style="2" customWidth="1"/>
    <col min="6403" max="6403" width="18.6640625" style="2" customWidth="1"/>
    <col min="6404" max="6404" width="20.88671875" style="2" bestFit="1" customWidth="1"/>
    <col min="6405" max="6405" width="18.33203125" style="2" customWidth="1"/>
    <col min="6406" max="6407" width="19.33203125" style="2" customWidth="1"/>
    <col min="6408" max="6408" width="21.88671875" style="2" customWidth="1"/>
    <col min="6409" max="6409" width="19.6640625" style="2" customWidth="1"/>
    <col min="6410" max="6410" width="24" style="2" customWidth="1"/>
    <col min="6411" max="6413" width="26.88671875" style="2" customWidth="1"/>
    <col min="6414" max="6414" width="14.88671875" style="2" customWidth="1"/>
    <col min="6415" max="6415" width="17.33203125" style="2" customWidth="1"/>
    <col min="6416" max="6656" width="14.6640625" style="2"/>
    <col min="6657" max="6657" width="50.5546875" style="2" customWidth="1"/>
    <col min="6658" max="6658" width="20.109375" style="2" customWidth="1"/>
    <col min="6659" max="6659" width="18.6640625" style="2" customWidth="1"/>
    <col min="6660" max="6660" width="20.88671875" style="2" bestFit="1" customWidth="1"/>
    <col min="6661" max="6661" width="18.33203125" style="2" customWidth="1"/>
    <col min="6662" max="6663" width="19.33203125" style="2" customWidth="1"/>
    <col min="6664" max="6664" width="21.88671875" style="2" customWidth="1"/>
    <col min="6665" max="6665" width="19.6640625" style="2" customWidth="1"/>
    <col min="6666" max="6666" width="24" style="2" customWidth="1"/>
    <col min="6667" max="6669" width="26.88671875" style="2" customWidth="1"/>
    <col min="6670" max="6670" width="14.88671875" style="2" customWidth="1"/>
    <col min="6671" max="6671" width="17.33203125" style="2" customWidth="1"/>
    <col min="6672" max="6912" width="14.6640625" style="2"/>
    <col min="6913" max="6913" width="50.5546875" style="2" customWidth="1"/>
    <col min="6914" max="6914" width="20.109375" style="2" customWidth="1"/>
    <col min="6915" max="6915" width="18.6640625" style="2" customWidth="1"/>
    <col min="6916" max="6916" width="20.88671875" style="2" bestFit="1" customWidth="1"/>
    <col min="6917" max="6917" width="18.33203125" style="2" customWidth="1"/>
    <col min="6918" max="6919" width="19.33203125" style="2" customWidth="1"/>
    <col min="6920" max="6920" width="21.88671875" style="2" customWidth="1"/>
    <col min="6921" max="6921" width="19.6640625" style="2" customWidth="1"/>
    <col min="6922" max="6922" width="24" style="2" customWidth="1"/>
    <col min="6923" max="6925" width="26.88671875" style="2" customWidth="1"/>
    <col min="6926" max="6926" width="14.88671875" style="2" customWidth="1"/>
    <col min="6927" max="6927" width="17.33203125" style="2" customWidth="1"/>
    <col min="6928" max="7168" width="14.6640625" style="2"/>
    <col min="7169" max="7169" width="50.5546875" style="2" customWidth="1"/>
    <col min="7170" max="7170" width="20.109375" style="2" customWidth="1"/>
    <col min="7171" max="7171" width="18.6640625" style="2" customWidth="1"/>
    <col min="7172" max="7172" width="20.88671875" style="2" bestFit="1" customWidth="1"/>
    <col min="7173" max="7173" width="18.33203125" style="2" customWidth="1"/>
    <col min="7174" max="7175" width="19.33203125" style="2" customWidth="1"/>
    <col min="7176" max="7176" width="21.88671875" style="2" customWidth="1"/>
    <col min="7177" max="7177" width="19.6640625" style="2" customWidth="1"/>
    <col min="7178" max="7178" width="24" style="2" customWidth="1"/>
    <col min="7179" max="7181" width="26.88671875" style="2" customWidth="1"/>
    <col min="7182" max="7182" width="14.88671875" style="2" customWidth="1"/>
    <col min="7183" max="7183" width="17.33203125" style="2" customWidth="1"/>
    <col min="7184" max="7424" width="14.6640625" style="2"/>
    <col min="7425" max="7425" width="50.5546875" style="2" customWidth="1"/>
    <col min="7426" max="7426" width="20.109375" style="2" customWidth="1"/>
    <col min="7427" max="7427" width="18.6640625" style="2" customWidth="1"/>
    <col min="7428" max="7428" width="20.88671875" style="2" bestFit="1" customWidth="1"/>
    <col min="7429" max="7429" width="18.33203125" style="2" customWidth="1"/>
    <col min="7430" max="7431" width="19.33203125" style="2" customWidth="1"/>
    <col min="7432" max="7432" width="21.88671875" style="2" customWidth="1"/>
    <col min="7433" max="7433" width="19.6640625" style="2" customWidth="1"/>
    <col min="7434" max="7434" width="24" style="2" customWidth="1"/>
    <col min="7435" max="7437" width="26.88671875" style="2" customWidth="1"/>
    <col min="7438" max="7438" width="14.88671875" style="2" customWidth="1"/>
    <col min="7439" max="7439" width="17.33203125" style="2" customWidth="1"/>
    <col min="7440" max="7680" width="14.6640625" style="2"/>
    <col min="7681" max="7681" width="50.5546875" style="2" customWidth="1"/>
    <col min="7682" max="7682" width="20.109375" style="2" customWidth="1"/>
    <col min="7683" max="7683" width="18.6640625" style="2" customWidth="1"/>
    <col min="7684" max="7684" width="20.88671875" style="2" bestFit="1" customWidth="1"/>
    <col min="7685" max="7685" width="18.33203125" style="2" customWidth="1"/>
    <col min="7686" max="7687" width="19.33203125" style="2" customWidth="1"/>
    <col min="7688" max="7688" width="21.88671875" style="2" customWidth="1"/>
    <col min="7689" max="7689" width="19.6640625" style="2" customWidth="1"/>
    <col min="7690" max="7690" width="24" style="2" customWidth="1"/>
    <col min="7691" max="7693" width="26.88671875" style="2" customWidth="1"/>
    <col min="7694" max="7694" width="14.88671875" style="2" customWidth="1"/>
    <col min="7695" max="7695" width="17.33203125" style="2" customWidth="1"/>
    <col min="7696" max="7936" width="14.6640625" style="2"/>
    <col min="7937" max="7937" width="50.5546875" style="2" customWidth="1"/>
    <col min="7938" max="7938" width="20.109375" style="2" customWidth="1"/>
    <col min="7939" max="7939" width="18.6640625" style="2" customWidth="1"/>
    <col min="7940" max="7940" width="20.88671875" style="2" bestFit="1" customWidth="1"/>
    <col min="7941" max="7941" width="18.33203125" style="2" customWidth="1"/>
    <col min="7942" max="7943" width="19.33203125" style="2" customWidth="1"/>
    <col min="7944" max="7944" width="21.88671875" style="2" customWidth="1"/>
    <col min="7945" max="7945" width="19.6640625" style="2" customWidth="1"/>
    <col min="7946" max="7946" width="24" style="2" customWidth="1"/>
    <col min="7947" max="7949" width="26.88671875" style="2" customWidth="1"/>
    <col min="7950" max="7950" width="14.88671875" style="2" customWidth="1"/>
    <col min="7951" max="7951" width="17.33203125" style="2" customWidth="1"/>
    <col min="7952" max="8192" width="14.6640625" style="2"/>
    <col min="8193" max="8193" width="50.5546875" style="2" customWidth="1"/>
    <col min="8194" max="8194" width="20.109375" style="2" customWidth="1"/>
    <col min="8195" max="8195" width="18.6640625" style="2" customWidth="1"/>
    <col min="8196" max="8196" width="20.88671875" style="2" bestFit="1" customWidth="1"/>
    <col min="8197" max="8197" width="18.33203125" style="2" customWidth="1"/>
    <col min="8198" max="8199" width="19.33203125" style="2" customWidth="1"/>
    <col min="8200" max="8200" width="21.88671875" style="2" customWidth="1"/>
    <col min="8201" max="8201" width="19.6640625" style="2" customWidth="1"/>
    <col min="8202" max="8202" width="24" style="2" customWidth="1"/>
    <col min="8203" max="8205" width="26.88671875" style="2" customWidth="1"/>
    <col min="8206" max="8206" width="14.88671875" style="2" customWidth="1"/>
    <col min="8207" max="8207" width="17.33203125" style="2" customWidth="1"/>
    <col min="8208" max="8448" width="14.6640625" style="2"/>
    <col min="8449" max="8449" width="50.5546875" style="2" customWidth="1"/>
    <col min="8450" max="8450" width="20.109375" style="2" customWidth="1"/>
    <col min="8451" max="8451" width="18.6640625" style="2" customWidth="1"/>
    <col min="8452" max="8452" width="20.88671875" style="2" bestFit="1" customWidth="1"/>
    <col min="8453" max="8453" width="18.33203125" style="2" customWidth="1"/>
    <col min="8454" max="8455" width="19.33203125" style="2" customWidth="1"/>
    <col min="8456" max="8456" width="21.88671875" style="2" customWidth="1"/>
    <col min="8457" max="8457" width="19.6640625" style="2" customWidth="1"/>
    <col min="8458" max="8458" width="24" style="2" customWidth="1"/>
    <col min="8459" max="8461" width="26.88671875" style="2" customWidth="1"/>
    <col min="8462" max="8462" width="14.88671875" style="2" customWidth="1"/>
    <col min="8463" max="8463" width="17.33203125" style="2" customWidth="1"/>
    <col min="8464" max="8704" width="14.6640625" style="2"/>
    <col min="8705" max="8705" width="50.5546875" style="2" customWidth="1"/>
    <col min="8706" max="8706" width="20.109375" style="2" customWidth="1"/>
    <col min="8707" max="8707" width="18.6640625" style="2" customWidth="1"/>
    <col min="8708" max="8708" width="20.88671875" style="2" bestFit="1" customWidth="1"/>
    <col min="8709" max="8709" width="18.33203125" style="2" customWidth="1"/>
    <col min="8710" max="8711" width="19.33203125" style="2" customWidth="1"/>
    <col min="8712" max="8712" width="21.88671875" style="2" customWidth="1"/>
    <col min="8713" max="8713" width="19.6640625" style="2" customWidth="1"/>
    <col min="8714" max="8714" width="24" style="2" customWidth="1"/>
    <col min="8715" max="8717" width="26.88671875" style="2" customWidth="1"/>
    <col min="8718" max="8718" width="14.88671875" style="2" customWidth="1"/>
    <col min="8719" max="8719" width="17.33203125" style="2" customWidth="1"/>
    <col min="8720" max="8960" width="14.6640625" style="2"/>
    <col min="8961" max="8961" width="50.5546875" style="2" customWidth="1"/>
    <col min="8962" max="8962" width="20.109375" style="2" customWidth="1"/>
    <col min="8963" max="8963" width="18.6640625" style="2" customWidth="1"/>
    <col min="8964" max="8964" width="20.88671875" style="2" bestFit="1" customWidth="1"/>
    <col min="8965" max="8965" width="18.33203125" style="2" customWidth="1"/>
    <col min="8966" max="8967" width="19.33203125" style="2" customWidth="1"/>
    <col min="8968" max="8968" width="21.88671875" style="2" customWidth="1"/>
    <col min="8969" max="8969" width="19.6640625" style="2" customWidth="1"/>
    <col min="8970" max="8970" width="24" style="2" customWidth="1"/>
    <col min="8971" max="8973" width="26.88671875" style="2" customWidth="1"/>
    <col min="8974" max="8974" width="14.88671875" style="2" customWidth="1"/>
    <col min="8975" max="8975" width="17.33203125" style="2" customWidth="1"/>
    <col min="8976" max="9216" width="14.6640625" style="2"/>
    <col min="9217" max="9217" width="50.5546875" style="2" customWidth="1"/>
    <col min="9218" max="9218" width="20.109375" style="2" customWidth="1"/>
    <col min="9219" max="9219" width="18.6640625" style="2" customWidth="1"/>
    <col min="9220" max="9220" width="20.88671875" style="2" bestFit="1" customWidth="1"/>
    <col min="9221" max="9221" width="18.33203125" style="2" customWidth="1"/>
    <col min="9222" max="9223" width="19.33203125" style="2" customWidth="1"/>
    <col min="9224" max="9224" width="21.88671875" style="2" customWidth="1"/>
    <col min="9225" max="9225" width="19.6640625" style="2" customWidth="1"/>
    <col min="9226" max="9226" width="24" style="2" customWidth="1"/>
    <col min="9227" max="9229" width="26.88671875" style="2" customWidth="1"/>
    <col min="9230" max="9230" width="14.88671875" style="2" customWidth="1"/>
    <col min="9231" max="9231" width="17.33203125" style="2" customWidth="1"/>
    <col min="9232" max="9472" width="14.6640625" style="2"/>
    <col min="9473" max="9473" width="50.5546875" style="2" customWidth="1"/>
    <col min="9474" max="9474" width="20.109375" style="2" customWidth="1"/>
    <col min="9475" max="9475" width="18.6640625" style="2" customWidth="1"/>
    <col min="9476" max="9476" width="20.88671875" style="2" bestFit="1" customWidth="1"/>
    <col min="9477" max="9477" width="18.33203125" style="2" customWidth="1"/>
    <col min="9478" max="9479" width="19.33203125" style="2" customWidth="1"/>
    <col min="9480" max="9480" width="21.88671875" style="2" customWidth="1"/>
    <col min="9481" max="9481" width="19.6640625" style="2" customWidth="1"/>
    <col min="9482" max="9482" width="24" style="2" customWidth="1"/>
    <col min="9483" max="9485" width="26.88671875" style="2" customWidth="1"/>
    <col min="9486" max="9486" width="14.88671875" style="2" customWidth="1"/>
    <col min="9487" max="9487" width="17.33203125" style="2" customWidth="1"/>
    <col min="9488" max="9728" width="14.6640625" style="2"/>
    <col min="9729" max="9729" width="50.5546875" style="2" customWidth="1"/>
    <col min="9730" max="9730" width="20.109375" style="2" customWidth="1"/>
    <col min="9731" max="9731" width="18.6640625" style="2" customWidth="1"/>
    <col min="9732" max="9732" width="20.88671875" style="2" bestFit="1" customWidth="1"/>
    <col min="9733" max="9733" width="18.33203125" style="2" customWidth="1"/>
    <col min="9734" max="9735" width="19.33203125" style="2" customWidth="1"/>
    <col min="9736" max="9736" width="21.88671875" style="2" customWidth="1"/>
    <col min="9737" max="9737" width="19.6640625" style="2" customWidth="1"/>
    <col min="9738" max="9738" width="24" style="2" customWidth="1"/>
    <col min="9739" max="9741" width="26.88671875" style="2" customWidth="1"/>
    <col min="9742" max="9742" width="14.88671875" style="2" customWidth="1"/>
    <col min="9743" max="9743" width="17.33203125" style="2" customWidth="1"/>
    <col min="9744" max="9984" width="14.6640625" style="2"/>
    <col min="9985" max="9985" width="50.5546875" style="2" customWidth="1"/>
    <col min="9986" max="9986" width="20.109375" style="2" customWidth="1"/>
    <col min="9987" max="9987" width="18.6640625" style="2" customWidth="1"/>
    <col min="9988" max="9988" width="20.88671875" style="2" bestFit="1" customWidth="1"/>
    <col min="9989" max="9989" width="18.33203125" style="2" customWidth="1"/>
    <col min="9990" max="9991" width="19.33203125" style="2" customWidth="1"/>
    <col min="9992" max="9992" width="21.88671875" style="2" customWidth="1"/>
    <col min="9993" max="9993" width="19.6640625" style="2" customWidth="1"/>
    <col min="9994" max="9994" width="24" style="2" customWidth="1"/>
    <col min="9995" max="9997" width="26.88671875" style="2" customWidth="1"/>
    <col min="9998" max="9998" width="14.88671875" style="2" customWidth="1"/>
    <col min="9999" max="9999" width="17.33203125" style="2" customWidth="1"/>
    <col min="10000" max="10240" width="14.6640625" style="2"/>
    <col min="10241" max="10241" width="50.5546875" style="2" customWidth="1"/>
    <col min="10242" max="10242" width="20.109375" style="2" customWidth="1"/>
    <col min="10243" max="10243" width="18.6640625" style="2" customWidth="1"/>
    <col min="10244" max="10244" width="20.88671875" style="2" bestFit="1" customWidth="1"/>
    <col min="10245" max="10245" width="18.33203125" style="2" customWidth="1"/>
    <col min="10246" max="10247" width="19.33203125" style="2" customWidth="1"/>
    <col min="10248" max="10248" width="21.88671875" style="2" customWidth="1"/>
    <col min="10249" max="10249" width="19.6640625" style="2" customWidth="1"/>
    <col min="10250" max="10250" width="24" style="2" customWidth="1"/>
    <col min="10251" max="10253" width="26.88671875" style="2" customWidth="1"/>
    <col min="10254" max="10254" width="14.88671875" style="2" customWidth="1"/>
    <col min="10255" max="10255" width="17.33203125" style="2" customWidth="1"/>
    <col min="10256" max="10496" width="14.6640625" style="2"/>
    <col min="10497" max="10497" width="50.5546875" style="2" customWidth="1"/>
    <col min="10498" max="10498" width="20.109375" style="2" customWidth="1"/>
    <col min="10499" max="10499" width="18.6640625" style="2" customWidth="1"/>
    <col min="10500" max="10500" width="20.88671875" style="2" bestFit="1" customWidth="1"/>
    <col min="10501" max="10501" width="18.33203125" style="2" customWidth="1"/>
    <col min="10502" max="10503" width="19.33203125" style="2" customWidth="1"/>
    <col min="10504" max="10504" width="21.88671875" style="2" customWidth="1"/>
    <col min="10505" max="10505" width="19.6640625" style="2" customWidth="1"/>
    <col min="10506" max="10506" width="24" style="2" customWidth="1"/>
    <col min="10507" max="10509" width="26.88671875" style="2" customWidth="1"/>
    <col min="10510" max="10510" width="14.88671875" style="2" customWidth="1"/>
    <col min="10511" max="10511" width="17.33203125" style="2" customWidth="1"/>
    <col min="10512" max="10752" width="14.6640625" style="2"/>
    <col min="10753" max="10753" width="50.5546875" style="2" customWidth="1"/>
    <col min="10754" max="10754" width="20.109375" style="2" customWidth="1"/>
    <col min="10755" max="10755" width="18.6640625" style="2" customWidth="1"/>
    <col min="10756" max="10756" width="20.88671875" style="2" bestFit="1" customWidth="1"/>
    <col min="10757" max="10757" width="18.33203125" style="2" customWidth="1"/>
    <col min="10758" max="10759" width="19.33203125" style="2" customWidth="1"/>
    <col min="10760" max="10760" width="21.88671875" style="2" customWidth="1"/>
    <col min="10761" max="10761" width="19.6640625" style="2" customWidth="1"/>
    <col min="10762" max="10762" width="24" style="2" customWidth="1"/>
    <col min="10763" max="10765" width="26.88671875" style="2" customWidth="1"/>
    <col min="10766" max="10766" width="14.88671875" style="2" customWidth="1"/>
    <col min="10767" max="10767" width="17.33203125" style="2" customWidth="1"/>
    <col min="10768" max="11008" width="14.6640625" style="2"/>
    <col min="11009" max="11009" width="50.5546875" style="2" customWidth="1"/>
    <col min="11010" max="11010" width="20.109375" style="2" customWidth="1"/>
    <col min="11011" max="11011" width="18.6640625" style="2" customWidth="1"/>
    <col min="11012" max="11012" width="20.88671875" style="2" bestFit="1" customWidth="1"/>
    <col min="11013" max="11013" width="18.33203125" style="2" customWidth="1"/>
    <col min="11014" max="11015" width="19.33203125" style="2" customWidth="1"/>
    <col min="11016" max="11016" width="21.88671875" style="2" customWidth="1"/>
    <col min="11017" max="11017" width="19.6640625" style="2" customWidth="1"/>
    <col min="11018" max="11018" width="24" style="2" customWidth="1"/>
    <col min="11019" max="11021" width="26.88671875" style="2" customWidth="1"/>
    <col min="11022" max="11022" width="14.88671875" style="2" customWidth="1"/>
    <col min="11023" max="11023" width="17.33203125" style="2" customWidth="1"/>
    <col min="11024" max="11264" width="14.6640625" style="2"/>
    <col min="11265" max="11265" width="50.5546875" style="2" customWidth="1"/>
    <col min="11266" max="11266" width="20.109375" style="2" customWidth="1"/>
    <col min="11267" max="11267" width="18.6640625" style="2" customWidth="1"/>
    <col min="11268" max="11268" width="20.88671875" style="2" bestFit="1" customWidth="1"/>
    <col min="11269" max="11269" width="18.33203125" style="2" customWidth="1"/>
    <col min="11270" max="11271" width="19.33203125" style="2" customWidth="1"/>
    <col min="11272" max="11272" width="21.88671875" style="2" customWidth="1"/>
    <col min="11273" max="11273" width="19.6640625" style="2" customWidth="1"/>
    <col min="11274" max="11274" width="24" style="2" customWidth="1"/>
    <col min="11275" max="11277" width="26.88671875" style="2" customWidth="1"/>
    <col min="11278" max="11278" width="14.88671875" style="2" customWidth="1"/>
    <col min="11279" max="11279" width="17.33203125" style="2" customWidth="1"/>
    <col min="11280" max="11520" width="14.6640625" style="2"/>
    <col min="11521" max="11521" width="50.5546875" style="2" customWidth="1"/>
    <col min="11522" max="11522" width="20.109375" style="2" customWidth="1"/>
    <col min="11523" max="11523" width="18.6640625" style="2" customWidth="1"/>
    <col min="11524" max="11524" width="20.88671875" style="2" bestFit="1" customWidth="1"/>
    <col min="11525" max="11525" width="18.33203125" style="2" customWidth="1"/>
    <col min="11526" max="11527" width="19.33203125" style="2" customWidth="1"/>
    <col min="11528" max="11528" width="21.88671875" style="2" customWidth="1"/>
    <col min="11529" max="11529" width="19.6640625" style="2" customWidth="1"/>
    <col min="11530" max="11530" width="24" style="2" customWidth="1"/>
    <col min="11531" max="11533" width="26.88671875" style="2" customWidth="1"/>
    <col min="11534" max="11534" width="14.88671875" style="2" customWidth="1"/>
    <col min="11535" max="11535" width="17.33203125" style="2" customWidth="1"/>
    <col min="11536" max="11776" width="14.6640625" style="2"/>
    <col min="11777" max="11777" width="50.5546875" style="2" customWidth="1"/>
    <col min="11778" max="11778" width="20.109375" style="2" customWidth="1"/>
    <col min="11779" max="11779" width="18.6640625" style="2" customWidth="1"/>
    <col min="11780" max="11780" width="20.88671875" style="2" bestFit="1" customWidth="1"/>
    <col min="11781" max="11781" width="18.33203125" style="2" customWidth="1"/>
    <col min="11782" max="11783" width="19.33203125" style="2" customWidth="1"/>
    <col min="11784" max="11784" width="21.88671875" style="2" customWidth="1"/>
    <col min="11785" max="11785" width="19.6640625" style="2" customWidth="1"/>
    <col min="11786" max="11786" width="24" style="2" customWidth="1"/>
    <col min="11787" max="11789" width="26.88671875" style="2" customWidth="1"/>
    <col min="11790" max="11790" width="14.88671875" style="2" customWidth="1"/>
    <col min="11791" max="11791" width="17.33203125" style="2" customWidth="1"/>
    <col min="11792" max="12032" width="14.6640625" style="2"/>
    <col min="12033" max="12033" width="50.5546875" style="2" customWidth="1"/>
    <col min="12034" max="12034" width="20.109375" style="2" customWidth="1"/>
    <col min="12035" max="12035" width="18.6640625" style="2" customWidth="1"/>
    <col min="12036" max="12036" width="20.88671875" style="2" bestFit="1" customWidth="1"/>
    <col min="12037" max="12037" width="18.33203125" style="2" customWidth="1"/>
    <col min="12038" max="12039" width="19.33203125" style="2" customWidth="1"/>
    <col min="12040" max="12040" width="21.88671875" style="2" customWidth="1"/>
    <col min="12041" max="12041" width="19.6640625" style="2" customWidth="1"/>
    <col min="12042" max="12042" width="24" style="2" customWidth="1"/>
    <col min="12043" max="12045" width="26.88671875" style="2" customWidth="1"/>
    <col min="12046" max="12046" width="14.88671875" style="2" customWidth="1"/>
    <col min="12047" max="12047" width="17.33203125" style="2" customWidth="1"/>
    <col min="12048" max="12288" width="14.6640625" style="2"/>
    <col min="12289" max="12289" width="50.5546875" style="2" customWidth="1"/>
    <col min="12290" max="12290" width="20.109375" style="2" customWidth="1"/>
    <col min="12291" max="12291" width="18.6640625" style="2" customWidth="1"/>
    <col min="12292" max="12292" width="20.88671875" style="2" bestFit="1" customWidth="1"/>
    <col min="12293" max="12293" width="18.33203125" style="2" customWidth="1"/>
    <col min="12294" max="12295" width="19.33203125" style="2" customWidth="1"/>
    <col min="12296" max="12296" width="21.88671875" style="2" customWidth="1"/>
    <col min="12297" max="12297" width="19.6640625" style="2" customWidth="1"/>
    <col min="12298" max="12298" width="24" style="2" customWidth="1"/>
    <col min="12299" max="12301" width="26.88671875" style="2" customWidth="1"/>
    <col min="12302" max="12302" width="14.88671875" style="2" customWidth="1"/>
    <col min="12303" max="12303" width="17.33203125" style="2" customWidth="1"/>
    <col min="12304" max="12544" width="14.6640625" style="2"/>
    <col min="12545" max="12545" width="50.5546875" style="2" customWidth="1"/>
    <col min="12546" max="12546" width="20.109375" style="2" customWidth="1"/>
    <col min="12547" max="12547" width="18.6640625" style="2" customWidth="1"/>
    <col min="12548" max="12548" width="20.88671875" style="2" bestFit="1" customWidth="1"/>
    <col min="12549" max="12549" width="18.33203125" style="2" customWidth="1"/>
    <col min="12550" max="12551" width="19.33203125" style="2" customWidth="1"/>
    <col min="12552" max="12552" width="21.88671875" style="2" customWidth="1"/>
    <col min="12553" max="12553" width="19.6640625" style="2" customWidth="1"/>
    <col min="12554" max="12554" width="24" style="2" customWidth="1"/>
    <col min="12555" max="12557" width="26.88671875" style="2" customWidth="1"/>
    <col min="12558" max="12558" width="14.88671875" style="2" customWidth="1"/>
    <col min="12559" max="12559" width="17.33203125" style="2" customWidth="1"/>
    <col min="12560" max="12800" width="14.6640625" style="2"/>
    <col min="12801" max="12801" width="50.5546875" style="2" customWidth="1"/>
    <col min="12802" max="12802" width="20.109375" style="2" customWidth="1"/>
    <col min="12803" max="12803" width="18.6640625" style="2" customWidth="1"/>
    <col min="12804" max="12804" width="20.88671875" style="2" bestFit="1" customWidth="1"/>
    <col min="12805" max="12805" width="18.33203125" style="2" customWidth="1"/>
    <col min="12806" max="12807" width="19.33203125" style="2" customWidth="1"/>
    <col min="12808" max="12808" width="21.88671875" style="2" customWidth="1"/>
    <col min="12809" max="12809" width="19.6640625" style="2" customWidth="1"/>
    <col min="12810" max="12810" width="24" style="2" customWidth="1"/>
    <col min="12811" max="12813" width="26.88671875" style="2" customWidth="1"/>
    <col min="12814" max="12814" width="14.88671875" style="2" customWidth="1"/>
    <col min="12815" max="12815" width="17.33203125" style="2" customWidth="1"/>
    <col min="12816" max="13056" width="14.6640625" style="2"/>
    <col min="13057" max="13057" width="50.5546875" style="2" customWidth="1"/>
    <col min="13058" max="13058" width="20.109375" style="2" customWidth="1"/>
    <col min="13059" max="13059" width="18.6640625" style="2" customWidth="1"/>
    <col min="13060" max="13060" width="20.88671875" style="2" bestFit="1" customWidth="1"/>
    <col min="13061" max="13061" width="18.33203125" style="2" customWidth="1"/>
    <col min="13062" max="13063" width="19.33203125" style="2" customWidth="1"/>
    <col min="13064" max="13064" width="21.88671875" style="2" customWidth="1"/>
    <col min="13065" max="13065" width="19.6640625" style="2" customWidth="1"/>
    <col min="13066" max="13066" width="24" style="2" customWidth="1"/>
    <col min="13067" max="13069" width="26.88671875" style="2" customWidth="1"/>
    <col min="13070" max="13070" width="14.88671875" style="2" customWidth="1"/>
    <col min="13071" max="13071" width="17.33203125" style="2" customWidth="1"/>
    <col min="13072" max="13312" width="14.6640625" style="2"/>
    <col min="13313" max="13313" width="50.5546875" style="2" customWidth="1"/>
    <col min="13314" max="13314" width="20.109375" style="2" customWidth="1"/>
    <col min="13315" max="13315" width="18.6640625" style="2" customWidth="1"/>
    <col min="13316" max="13316" width="20.88671875" style="2" bestFit="1" customWidth="1"/>
    <col min="13317" max="13317" width="18.33203125" style="2" customWidth="1"/>
    <col min="13318" max="13319" width="19.33203125" style="2" customWidth="1"/>
    <col min="13320" max="13320" width="21.88671875" style="2" customWidth="1"/>
    <col min="13321" max="13321" width="19.6640625" style="2" customWidth="1"/>
    <col min="13322" max="13322" width="24" style="2" customWidth="1"/>
    <col min="13323" max="13325" width="26.88671875" style="2" customWidth="1"/>
    <col min="13326" max="13326" width="14.88671875" style="2" customWidth="1"/>
    <col min="13327" max="13327" width="17.33203125" style="2" customWidth="1"/>
    <col min="13328" max="13568" width="14.6640625" style="2"/>
    <col min="13569" max="13569" width="50.5546875" style="2" customWidth="1"/>
    <col min="13570" max="13570" width="20.109375" style="2" customWidth="1"/>
    <col min="13571" max="13571" width="18.6640625" style="2" customWidth="1"/>
    <col min="13572" max="13572" width="20.88671875" style="2" bestFit="1" customWidth="1"/>
    <col min="13573" max="13573" width="18.33203125" style="2" customWidth="1"/>
    <col min="13574" max="13575" width="19.33203125" style="2" customWidth="1"/>
    <col min="13576" max="13576" width="21.88671875" style="2" customWidth="1"/>
    <col min="13577" max="13577" width="19.6640625" style="2" customWidth="1"/>
    <col min="13578" max="13578" width="24" style="2" customWidth="1"/>
    <col min="13579" max="13581" width="26.88671875" style="2" customWidth="1"/>
    <col min="13582" max="13582" width="14.88671875" style="2" customWidth="1"/>
    <col min="13583" max="13583" width="17.33203125" style="2" customWidth="1"/>
    <col min="13584" max="13824" width="14.6640625" style="2"/>
    <col min="13825" max="13825" width="50.5546875" style="2" customWidth="1"/>
    <col min="13826" max="13826" width="20.109375" style="2" customWidth="1"/>
    <col min="13827" max="13827" width="18.6640625" style="2" customWidth="1"/>
    <col min="13828" max="13828" width="20.88671875" style="2" bestFit="1" customWidth="1"/>
    <col min="13829" max="13829" width="18.33203125" style="2" customWidth="1"/>
    <col min="13830" max="13831" width="19.33203125" style="2" customWidth="1"/>
    <col min="13832" max="13832" width="21.88671875" style="2" customWidth="1"/>
    <col min="13833" max="13833" width="19.6640625" style="2" customWidth="1"/>
    <col min="13834" max="13834" width="24" style="2" customWidth="1"/>
    <col min="13835" max="13837" width="26.88671875" style="2" customWidth="1"/>
    <col min="13838" max="13838" width="14.88671875" style="2" customWidth="1"/>
    <col min="13839" max="13839" width="17.33203125" style="2" customWidth="1"/>
    <col min="13840" max="14080" width="14.6640625" style="2"/>
    <col min="14081" max="14081" width="50.5546875" style="2" customWidth="1"/>
    <col min="14082" max="14082" width="20.109375" style="2" customWidth="1"/>
    <col min="14083" max="14083" width="18.6640625" style="2" customWidth="1"/>
    <col min="14084" max="14084" width="20.88671875" style="2" bestFit="1" customWidth="1"/>
    <col min="14085" max="14085" width="18.33203125" style="2" customWidth="1"/>
    <col min="14086" max="14087" width="19.33203125" style="2" customWidth="1"/>
    <col min="14088" max="14088" width="21.88671875" style="2" customWidth="1"/>
    <col min="14089" max="14089" width="19.6640625" style="2" customWidth="1"/>
    <col min="14090" max="14090" width="24" style="2" customWidth="1"/>
    <col min="14091" max="14093" width="26.88671875" style="2" customWidth="1"/>
    <col min="14094" max="14094" width="14.88671875" style="2" customWidth="1"/>
    <col min="14095" max="14095" width="17.33203125" style="2" customWidth="1"/>
    <col min="14096" max="14336" width="14.6640625" style="2"/>
    <col min="14337" max="14337" width="50.5546875" style="2" customWidth="1"/>
    <col min="14338" max="14338" width="20.109375" style="2" customWidth="1"/>
    <col min="14339" max="14339" width="18.6640625" style="2" customWidth="1"/>
    <col min="14340" max="14340" width="20.88671875" style="2" bestFit="1" customWidth="1"/>
    <col min="14341" max="14341" width="18.33203125" style="2" customWidth="1"/>
    <col min="14342" max="14343" width="19.33203125" style="2" customWidth="1"/>
    <col min="14344" max="14344" width="21.88671875" style="2" customWidth="1"/>
    <col min="14345" max="14345" width="19.6640625" style="2" customWidth="1"/>
    <col min="14346" max="14346" width="24" style="2" customWidth="1"/>
    <col min="14347" max="14349" width="26.88671875" style="2" customWidth="1"/>
    <col min="14350" max="14350" width="14.88671875" style="2" customWidth="1"/>
    <col min="14351" max="14351" width="17.33203125" style="2" customWidth="1"/>
    <col min="14352" max="14592" width="14.6640625" style="2"/>
    <col min="14593" max="14593" width="50.5546875" style="2" customWidth="1"/>
    <col min="14594" max="14594" width="20.109375" style="2" customWidth="1"/>
    <col min="14595" max="14595" width="18.6640625" style="2" customWidth="1"/>
    <col min="14596" max="14596" width="20.88671875" style="2" bestFit="1" customWidth="1"/>
    <col min="14597" max="14597" width="18.33203125" style="2" customWidth="1"/>
    <col min="14598" max="14599" width="19.33203125" style="2" customWidth="1"/>
    <col min="14600" max="14600" width="21.88671875" style="2" customWidth="1"/>
    <col min="14601" max="14601" width="19.6640625" style="2" customWidth="1"/>
    <col min="14602" max="14602" width="24" style="2" customWidth="1"/>
    <col min="14603" max="14605" width="26.88671875" style="2" customWidth="1"/>
    <col min="14606" max="14606" width="14.88671875" style="2" customWidth="1"/>
    <col min="14607" max="14607" width="17.33203125" style="2" customWidth="1"/>
    <col min="14608" max="14848" width="14.6640625" style="2"/>
    <col min="14849" max="14849" width="50.5546875" style="2" customWidth="1"/>
    <col min="14850" max="14850" width="20.109375" style="2" customWidth="1"/>
    <col min="14851" max="14851" width="18.6640625" style="2" customWidth="1"/>
    <col min="14852" max="14852" width="20.88671875" style="2" bestFit="1" customWidth="1"/>
    <col min="14853" max="14853" width="18.33203125" style="2" customWidth="1"/>
    <col min="14854" max="14855" width="19.33203125" style="2" customWidth="1"/>
    <col min="14856" max="14856" width="21.88671875" style="2" customWidth="1"/>
    <col min="14857" max="14857" width="19.6640625" style="2" customWidth="1"/>
    <col min="14858" max="14858" width="24" style="2" customWidth="1"/>
    <col min="14859" max="14861" width="26.88671875" style="2" customWidth="1"/>
    <col min="14862" max="14862" width="14.88671875" style="2" customWidth="1"/>
    <col min="14863" max="14863" width="17.33203125" style="2" customWidth="1"/>
    <col min="14864" max="15104" width="14.6640625" style="2"/>
    <col min="15105" max="15105" width="50.5546875" style="2" customWidth="1"/>
    <col min="15106" max="15106" width="20.109375" style="2" customWidth="1"/>
    <col min="15107" max="15107" width="18.6640625" style="2" customWidth="1"/>
    <col min="15108" max="15108" width="20.88671875" style="2" bestFit="1" customWidth="1"/>
    <col min="15109" max="15109" width="18.33203125" style="2" customWidth="1"/>
    <col min="15110" max="15111" width="19.33203125" style="2" customWidth="1"/>
    <col min="15112" max="15112" width="21.88671875" style="2" customWidth="1"/>
    <col min="15113" max="15113" width="19.6640625" style="2" customWidth="1"/>
    <col min="15114" max="15114" width="24" style="2" customWidth="1"/>
    <col min="15115" max="15117" width="26.88671875" style="2" customWidth="1"/>
    <col min="15118" max="15118" width="14.88671875" style="2" customWidth="1"/>
    <col min="15119" max="15119" width="17.33203125" style="2" customWidth="1"/>
    <col min="15120" max="15360" width="14.6640625" style="2"/>
    <col min="15361" max="15361" width="50.5546875" style="2" customWidth="1"/>
    <col min="15362" max="15362" width="20.109375" style="2" customWidth="1"/>
    <col min="15363" max="15363" width="18.6640625" style="2" customWidth="1"/>
    <col min="15364" max="15364" width="20.88671875" style="2" bestFit="1" customWidth="1"/>
    <col min="15365" max="15365" width="18.33203125" style="2" customWidth="1"/>
    <col min="15366" max="15367" width="19.33203125" style="2" customWidth="1"/>
    <col min="15368" max="15368" width="21.88671875" style="2" customWidth="1"/>
    <col min="15369" max="15369" width="19.6640625" style="2" customWidth="1"/>
    <col min="15370" max="15370" width="24" style="2" customWidth="1"/>
    <col min="15371" max="15373" width="26.88671875" style="2" customWidth="1"/>
    <col min="15374" max="15374" width="14.88671875" style="2" customWidth="1"/>
    <col min="15375" max="15375" width="17.33203125" style="2" customWidth="1"/>
    <col min="15376" max="15616" width="14.6640625" style="2"/>
    <col min="15617" max="15617" width="50.5546875" style="2" customWidth="1"/>
    <col min="15618" max="15618" width="20.109375" style="2" customWidth="1"/>
    <col min="15619" max="15619" width="18.6640625" style="2" customWidth="1"/>
    <col min="15620" max="15620" width="20.88671875" style="2" bestFit="1" customWidth="1"/>
    <col min="15621" max="15621" width="18.33203125" style="2" customWidth="1"/>
    <col min="15622" max="15623" width="19.33203125" style="2" customWidth="1"/>
    <col min="15624" max="15624" width="21.88671875" style="2" customWidth="1"/>
    <col min="15625" max="15625" width="19.6640625" style="2" customWidth="1"/>
    <col min="15626" max="15626" width="24" style="2" customWidth="1"/>
    <col min="15627" max="15629" width="26.88671875" style="2" customWidth="1"/>
    <col min="15630" max="15630" width="14.88671875" style="2" customWidth="1"/>
    <col min="15631" max="15631" width="17.33203125" style="2" customWidth="1"/>
    <col min="15632" max="15872" width="14.6640625" style="2"/>
    <col min="15873" max="15873" width="50.5546875" style="2" customWidth="1"/>
    <col min="15874" max="15874" width="20.109375" style="2" customWidth="1"/>
    <col min="15875" max="15875" width="18.6640625" style="2" customWidth="1"/>
    <col min="15876" max="15876" width="20.88671875" style="2" bestFit="1" customWidth="1"/>
    <col min="15877" max="15877" width="18.33203125" style="2" customWidth="1"/>
    <col min="15878" max="15879" width="19.33203125" style="2" customWidth="1"/>
    <col min="15880" max="15880" width="21.88671875" style="2" customWidth="1"/>
    <col min="15881" max="15881" width="19.6640625" style="2" customWidth="1"/>
    <col min="15882" max="15882" width="24" style="2" customWidth="1"/>
    <col min="15883" max="15885" width="26.88671875" style="2" customWidth="1"/>
    <col min="15886" max="15886" width="14.88671875" style="2" customWidth="1"/>
    <col min="15887" max="15887" width="17.33203125" style="2" customWidth="1"/>
    <col min="15888" max="16128" width="14.6640625" style="2"/>
    <col min="16129" max="16129" width="50.5546875" style="2" customWidth="1"/>
    <col min="16130" max="16130" width="20.109375" style="2" customWidth="1"/>
    <col min="16131" max="16131" width="18.6640625" style="2" customWidth="1"/>
    <col min="16132" max="16132" width="20.88671875" style="2" bestFit="1" customWidth="1"/>
    <col min="16133" max="16133" width="18.33203125" style="2" customWidth="1"/>
    <col min="16134" max="16135" width="19.33203125" style="2" customWidth="1"/>
    <col min="16136" max="16136" width="21.88671875" style="2" customWidth="1"/>
    <col min="16137" max="16137" width="19.6640625" style="2" customWidth="1"/>
    <col min="16138" max="16138" width="24" style="2" customWidth="1"/>
    <col min="16139" max="16141" width="26.88671875" style="2" customWidth="1"/>
    <col min="16142" max="16142" width="14.88671875" style="2" customWidth="1"/>
    <col min="16143" max="16143" width="17.33203125" style="2" customWidth="1"/>
    <col min="16144" max="16384" width="14.66406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5">
      <c r="A5" s="4"/>
      <c r="B5" s="5"/>
      <c r="C5" s="6"/>
      <c r="D5" s="6"/>
      <c r="E5" s="7"/>
      <c r="F5" s="7"/>
      <c r="G5" s="7"/>
      <c r="H5" s="7"/>
      <c r="I5" s="8"/>
      <c r="J5" s="7"/>
      <c r="K5" s="9"/>
      <c r="L5" s="10"/>
      <c r="M5" s="10"/>
      <c r="N5" s="11"/>
    </row>
    <row r="6" spans="1:15" ht="73.5" customHeight="1" x14ac:dyDescent="0.25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4" t="s">
        <v>13</v>
      </c>
      <c r="K6" s="15" t="s">
        <v>14</v>
      </c>
      <c r="L6" s="16" t="s">
        <v>15</v>
      </c>
      <c r="M6" s="16" t="s">
        <v>16</v>
      </c>
      <c r="N6" s="17" t="s">
        <v>17</v>
      </c>
    </row>
    <row r="7" spans="1:15" x14ac:dyDescent="0.25">
      <c r="A7" s="18" t="s">
        <v>18</v>
      </c>
      <c r="B7" s="19"/>
      <c r="C7" s="19"/>
      <c r="D7" s="19"/>
      <c r="E7" s="19"/>
      <c r="F7" s="19"/>
      <c r="G7" s="19"/>
      <c r="H7" s="19"/>
      <c r="I7" s="19"/>
      <c r="J7" s="20"/>
      <c r="K7" s="21"/>
      <c r="L7" s="22"/>
      <c r="M7" s="22"/>
      <c r="N7" s="23"/>
    </row>
    <row r="8" spans="1:15" x14ac:dyDescent="0.25">
      <c r="A8" s="18" t="s">
        <v>19</v>
      </c>
      <c r="B8" s="18">
        <f>SUM(B9:B18)</f>
        <v>178241934</v>
      </c>
      <c r="C8" s="18">
        <f t="shared" ref="C8:H8" si="0">SUM(C9:C18)</f>
        <v>316983601</v>
      </c>
      <c r="D8" s="18">
        <f t="shared" si="0"/>
        <v>213700495</v>
      </c>
      <c r="E8" s="18">
        <f t="shared" si="0"/>
        <v>21714740</v>
      </c>
      <c r="F8" s="18">
        <f t="shared" si="0"/>
        <v>235040580</v>
      </c>
      <c r="G8" s="18">
        <f t="shared" si="0"/>
        <v>672705198</v>
      </c>
      <c r="H8" s="18">
        <f t="shared" si="0"/>
        <v>300147229</v>
      </c>
      <c r="I8" s="18">
        <f>SUM(B8:H8)</f>
        <v>1938533777</v>
      </c>
      <c r="J8" s="24">
        <f>SUM(J9:J18)</f>
        <v>500143268</v>
      </c>
      <c r="K8" s="25">
        <f>SUM(K9:K18)</f>
        <v>2438677045</v>
      </c>
      <c r="L8" s="26">
        <f>SUM(L9:L18)</f>
        <v>1741534617</v>
      </c>
      <c r="M8" s="26">
        <f>+L8-K8</f>
        <v>-697142428</v>
      </c>
      <c r="N8" s="27">
        <f>+L8/K8</f>
        <v>0.71413089345744019</v>
      </c>
    </row>
    <row r="9" spans="1:15" outlineLevel="1" x14ac:dyDescent="0.25">
      <c r="A9" s="28" t="s">
        <v>20</v>
      </c>
      <c r="B9" s="29">
        <f>+[1]ECO!M14</f>
        <v>126233047</v>
      </c>
      <c r="C9" s="29">
        <f>+[1]TEC!M14</f>
        <v>216356366</v>
      </c>
      <c r="D9" s="29">
        <f>+[1]TRANSF!M14</f>
        <v>149266093</v>
      </c>
      <c r="E9" s="29">
        <f>+[1]SAN!M14</f>
        <v>14105388</v>
      </c>
      <c r="F9" s="29">
        <f>+[1]MER!M14</f>
        <v>163128115</v>
      </c>
      <c r="G9" s="29">
        <f>+[1]PPC!M14</f>
        <v>446369113</v>
      </c>
      <c r="H9" s="29">
        <f>+[1]COM!M14</f>
        <v>205419852</v>
      </c>
      <c r="I9" s="29">
        <f>SUM(B9:H9)</f>
        <v>1320877974</v>
      </c>
      <c r="J9" s="30">
        <f>+[1]FUN!M14</f>
        <v>288151463</v>
      </c>
      <c r="K9" s="31">
        <f>SUM(I9:J9)</f>
        <v>1609029437</v>
      </c>
      <c r="L9" s="22">
        <f>+[2]RES!$O$13</f>
        <v>1156801137</v>
      </c>
      <c r="M9" s="22">
        <f t="shared" ref="M9:M19" si="1">+L9-K9</f>
        <v>-452228300</v>
      </c>
      <c r="N9" s="23">
        <f t="shared" ref="N9:N72" si="2">+L9/K9</f>
        <v>0.71894342663912369</v>
      </c>
      <c r="O9" s="32"/>
    </row>
    <row r="10" spans="1:15" outlineLevel="1" x14ac:dyDescent="0.25">
      <c r="A10" s="28" t="s">
        <v>21</v>
      </c>
      <c r="B10" s="29">
        <f>+[1]ECO!M15</f>
        <v>6382569</v>
      </c>
      <c r="C10" s="29">
        <f>+[1]TEC!M15</f>
        <v>10939367</v>
      </c>
      <c r="D10" s="29">
        <f>+[1]TRANSF!M15</f>
        <v>7547162</v>
      </c>
      <c r="E10" s="29">
        <f>+[1]SAN!M15</f>
        <v>713193</v>
      </c>
      <c r="F10" s="29">
        <f>+[1]MER!M15</f>
        <v>8248050</v>
      </c>
      <c r="G10" s="29">
        <f>+[1]PPC!M15</f>
        <v>22569225</v>
      </c>
      <c r="H10" s="29">
        <f>+[1]COM!M15</f>
        <v>10386397</v>
      </c>
      <c r="I10" s="29">
        <f t="shared" ref="I10:I18" si="3">SUM(B10:H10)</f>
        <v>66785963</v>
      </c>
      <c r="J10" s="30">
        <f>+[1]FUN!M15</f>
        <v>13641455</v>
      </c>
      <c r="K10" s="31">
        <f t="shared" ref="K10:K18" si="4">SUM(I10:J10)</f>
        <v>80427418</v>
      </c>
      <c r="L10" s="22">
        <f>+[2]RES!$O$14</f>
        <v>49568735</v>
      </c>
      <c r="M10" s="22">
        <f t="shared" si="1"/>
        <v>-30858683</v>
      </c>
      <c r="N10" s="23">
        <f t="shared" si="2"/>
        <v>0.61631637857627108</v>
      </c>
      <c r="O10" s="32"/>
    </row>
    <row r="11" spans="1:15" outlineLevel="1" x14ac:dyDescent="0.25">
      <c r="A11" s="28" t="s">
        <v>22</v>
      </c>
      <c r="B11" s="29">
        <f>+[1]ECO!M16</f>
        <v>5610949</v>
      </c>
      <c r="C11" s="29">
        <f>+[1]TEC!M16</f>
        <v>13205611</v>
      </c>
      <c r="D11" s="29">
        <f>+[1]TRANSF!M16</f>
        <v>7551936</v>
      </c>
      <c r="E11" s="29">
        <f>+[1]SAN!M16</f>
        <v>1188656</v>
      </c>
      <c r="F11" s="29">
        <f>+[1]MER!M16</f>
        <v>8720084</v>
      </c>
      <c r="G11" s="29">
        <f>+[1]PPC!M16</f>
        <v>32588708</v>
      </c>
      <c r="H11" s="29">
        <f>+[1]COM!M16</f>
        <v>12283995</v>
      </c>
      <c r="I11" s="29">
        <f t="shared" si="3"/>
        <v>81149939</v>
      </c>
      <c r="J11" s="30">
        <f>+[1]FUN!M16</f>
        <v>22735760</v>
      </c>
      <c r="K11" s="31">
        <f t="shared" si="4"/>
        <v>103885699</v>
      </c>
      <c r="L11" s="22">
        <f>+[2]RES!$O$15</f>
        <v>74913915</v>
      </c>
      <c r="M11" s="22">
        <f t="shared" si="1"/>
        <v>-28971784</v>
      </c>
      <c r="N11" s="23">
        <f t="shared" si="2"/>
        <v>0.72111864983456486</v>
      </c>
      <c r="O11" s="32"/>
    </row>
    <row r="12" spans="1:15" outlineLevel="1" x14ac:dyDescent="0.25">
      <c r="A12" s="28" t="s">
        <v>23</v>
      </c>
      <c r="B12" s="33">
        <v>0</v>
      </c>
      <c r="C12" s="33">
        <v>0</v>
      </c>
      <c r="D12" s="33">
        <v>0</v>
      </c>
      <c r="E12" s="29">
        <v>0</v>
      </c>
      <c r="F12" s="29">
        <v>0</v>
      </c>
      <c r="G12" s="29">
        <v>0</v>
      </c>
      <c r="H12" s="29">
        <v>0</v>
      </c>
      <c r="I12" s="29">
        <f t="shared" si="3"/>
        <v>0</v>
      </c>
      <c r="J12" s="30">
        <f>+[1]FUN!M17</f>
        <v>63008443</v>
      </c>
      <c r="K12" s="31">
        <f t="shared" si="4"/>
        <v>63008443</v>
      </c>
      <c r="L12" s="22">
        <f>+[2]RES!$O$16</f>
        <v>43747974</v>
      </c>
      <c r="M12" s="22">
        <f t="shared" si="1"/>
        <v>-19260469</v>
      </c>
      <c r="N12" s="23">
        <f t="shared" si="2"/>
        <v>0.69431923591573275</v>
      </c>
      <c r="O12" s="32"/>
    </row>
    <row r="13" spans="1:15" outlineLevel="1" x14ac:dyDescent="0.25">
      <c r="A13" s="28" t="s">
        <v>24</v>
      </c>
      <c r="B13" s="29">
        <f>+[1]ECO!M17</f>
        <v>291637</v>
      </c>
      <c r="C13" s="29">
        <f>+[1]TEC!M17</f>
        <v>291637</v>
      </c>
      <c r="D13" s="29">
        <f>+[1]TRANSF!M17</f>
        <v>291637</v>
      </c>
      <c r="E13" s="29">
        <v>0</v>
      </c>
      <c r="F13" s="29">
        <f>+[1]MER!M17</f>
        <v>291637</v>
      </c>
      <c r="G13" s="29">
        <f>+[1]PPC!M17</f>
        <v>874911</v>
      </c>
      <c r="H13" s="29">
        <f>+[1]COM!M17</f>
        <v>291637</v>
      </c>
      <c r="I13" s="29">
        <f t="shared" si="3"/>
        <v>2333096</v>
      </c>
      <c r="J13" s="30">
        <f>+[1]FUN!M18</f>
        <v>291637</v>
      </c>
      <c r="K13" s="31">
        <f t="shared" si="4"/>
        <v>2624733</v>
      </c>
      <c r="L13" s="22">
        <f>+[2]RES!$O$17</f>
        <v>2250000</v>
      </c>
      <c r="M13" s="22">
        <f t="shared" si="1"/>
        <v>-374733</v>
      </c>
      <c r="N13" s="23">
        <f t="shared" si="2"/>
        <v>0.85723004968505367</v>
      </c>
      <c r="O13" s="32"/>
    </row>
    <row r="14" spans="1:15" outlineLevel="1" x14ac:dyDescent="0.25">
      <c r="A14" s="28" t="s">
        <v>25</v>
      </c>
      <c r="B14" s="29">
        <f>+[1]ECO!M18</f>
        <v>5610949</v>
      </c>
      <c r="C14" s="29">
        <f>+[1]TEC!M18</f>
        <v>13205611</v>
      </c>
      <c r="D14" s="29">
        <f>+[1]TRANSF!M18</f>
        <v>7551936</v>
      </c>
      <c r="E14" s="29">
        <f>+[1]SAN!M17</f>
        <v>1188656</v>
      </c>
      <c r="F14" s="29">
        <f>+[1]MER!M18</f>
        <v>8720084</v>
      </c>
      <c r="G14" s="29">
        <f>+[1]PPC!M18</f>
        <v>32588708</v>
      </c>
      <c r="H14" s="29">
        <f>+[1]COM!M18</f>
        <v>12283995</v>
      </c>
      <c r="I14" s="29">
        <f t="shared" si="3"/>
        <v>81149939</v>
      </c>
      <c r="J14" s="30">
        <f>+[1]FUN!M19</f>
        <v>22735760</v>
      </c>
      <c r="K14" s="34">
        <f t="shared" si="4"/>
        <v>103885699</v>
      </c>
      <c r="L14" s="22">
        <f>+[2]RES!$O$18</f>
        <v>74913915</v>
      </c>
      <c r="M14" s="22">
        <f t="shared" si="1"/>
        <v>-28971784</v>
      </c>
      <c r="N14" s="23">
        <f t="shared" si="2"/>
        <v>0.72111864983456486</v>
      </c>
      <c r="O14" s="32"/>
    </row>
    <row r="15" spans="1:15" outlineLevel="1" x14ac:dyDescent="0.25">
      <c r="A15" s="28" t="s">
        <v>26</v>
      </c>
      <c r="B15" s="29">
        <f>+[1]ECO!M19</f>
        <v>673314</v>
      </c>
      <c r="C15" s="29">
        <f>+[1]TEC!M19</f>
        <v>1584673</v>
      </c>
      <c r="D15" s="29">
        <f>+[1]TRANSF!M19</f>
        <v>906232</v>
      </c>
      <c r="E15" s="29">
        <f>+[1]SAN!M18</f>
        <v>142638</v>
      </c>
      <c r="F15" s="29">
        <f>+[1]MER!M19</f>
        <v>1046410</v>
      </c>
      <c r="G15" s="29">
        <f>+[1]PPC!M19</f>
        <v>3910644</v>
      </c>
      <c r="H15" s="29">
        <f>+[1]COM!M19</f>
        <v>1474079</v>
      </c>
      <c r="I15" s="29">
        <f t="shared" si="3"/>
        <v>9737990</v>
      </c>
      <c r="J15" s="30">
        <f>+[1]FUN!M20</f>
        <v>2728291</v>
      </c>
      <c r="K15" s="34">
        <f t="shared" si="4"/>
        <v>12466281</v>
      </c>
      <c r="L15" s="22">
        <f>+[2]RES!$O$19</f>
        <v>8554994</v>
      </c>
      <c r="M15" s="22">
        <f t="shared" si="1"/>
        <v>-3911287</v>
      </c>
      <c r="N15" s="23">
        <f t="shared" si="2"/>
        <v>0.68625069497470814</v>
      </c>
      <c r="O15" s="32"/>
    </row>
    <row r="16" spans="1:15" outlineLevel="1" x14ac:dyDescent="0.25">
      <c r="A16" s="28" t="s">
        <v>27</v>
      </c>
      <c r="B16" s="29">
        <f>+[1]ECO!M20</f>
        <v>22976145</v>
      </c>
      <c r="C16" s="29">
        <f>+[1]TEC!M20</f>
        <v>42187964</v>
      </c>
      <c r="D16" s="29">
        <f>+[1]TRANSF!M20</f>
        <v>27886159</v>
      </c>
      <c r="E16" s="29">
        <f>+[1]SAN!M19</f>
        <v>3006877</v>
      </c>
      <c r="F16" s="29">
        <f>+[1]MER!M20</f>
        <v>30841152</v>
      </c>
      <c r="G16" s="29">
        <f>+[1]PPC!M20</f>
        <v>92370173</v>
      </c>
      <c r="H16" s="29">
        <f>+[1]COM!M20</f>
        <v>39856602</v>
      </c>
      <c r="I16" s="29">
        <f t="shared" si="3"/>
        <v>259125072</v>
      </c>
      <c r="J16" s="30">
        <f>+[1]FUN!M21</f>
        <v>60712863</v>
      </c>
      <c r="K16" s="34">
        <f t="shared" si="4"/>
        <v>319837935</v>
      </c>
      <c r="L16" s="22">
        <f>+[2]RES!$O$20</f>
        <v>232833347</v>
      </c>
      <c r="M16" s="22">
        <f t="shared" si="1"/>
        <v>-87004588</v>
      </c>
      <c r="N16" s="23">
        <f t="shared" si="2"/>
        <v>0.72797289352183947</v>
      </c>
      <c r="O16" s="32"/>
    </row>
    <row r="17" spans="1:16" outlineLevel="1" x14ac:dyDescent="0.25">
      <c r="A17" s="28" t="s">
        <v>28</v>
      </c>
      <c r="B17" s="29">
        <f>+[1]ECO!M21</f>
        <v>4650364</v>
      </c>
      <c r="C17" s="29">
        <f>+[1]TEC!M21</f>
        <v>8538828</v>
      </c>
      <c r="D17" s="29">
        <f>+[1]TRANSF!M21</f>
        <v>5644148</v>
      </c>
      <c r="E17" s="29">
        <f>+[1]SAN!M20</f>
        <v>608592</v>
      </c>
      <c r="F17" s="29">
        <f>+[1]MER!M21</f>
        <v>6242240</v>
      </c>
      <c r="G17" s="29">
        <f>+[1]PPC!M21</f>
        <v>18414980</v>
      </c>
      <c r="H17" s="29">
        <f>+[1]COM!M21</f>
        <v>8066960</v>
      </c>
      <c r="I17" s="29">
        <f t="shared" si="3"/>
        <v>52166112</v>
      </c>
      <c r="J17" s="30">
        <f>+[1]FUN!M22</f>
        <v>11616716</v>
      </c>
      <c r="K17" s="34">
        <f t="shared" si="4"/>
        <v>63782828</v>
      </c>
      <c r="L17" s="22">
        <f>+[2]RES!$O$21</f>
        <v>43977800</v>
      </c>
      <c r="M17" s="22">
        <f t="shared" si="1"/>
        <v>-19805028</v>
      </c>
      <c r="N17" s="23">
        <f t="shared" si="2"/>
        <v>0.68949278950127457</v>
      </c>
      <c r="O17" s="32"/>
    </row>
    <row r="18" spans="1:16" outlineLevel="1" x14ac:dyDescent="0.25">
      <c r="A18" s="28" t="s">
        <v>29</v>
      </c>
      <c r="B18" s="29">
        <f>+[1]ECO!M22</f>
        <v>5812960</v>
      </c>
      <c r="C18" s="29">
        <f>+[1]TEC!M22</f>
        <v>10673544</v>
      </c>
      <c r="D18" s="29">
        <f>+[1]TRANSF!M22</f>
        <v>7055192</v>
      </c>
      <c r="E18" s="29">
        <f>+[1]SAN!M21</f>
        <v>760740</v>
      </c>
      <c r="F18" s="29">
        <f>+[1]MER!M22</f>
        <v>7802808</v>
      </c>
      <c r="G18" s="29">
        <f>+[1]PPC!M22</f>
        <v>23018736</v>
      </c>
      <c r="H18" s="29">
        <f>+[1]COM!M22</f>
        <v>10083712</v>
      </c>
      <c r="I18" s="29">
        <f t="shared" si="3"/>
        <v>65207692</v>
      </c>
      <c r="J18" s="30">
        <f>+[1]FUN!M23</f>
        <v>14520880</v>
      </c>
      <c r="K18" s="34">
        <f t="shared" si="4"/>
        <v>79728572</v>
      </c>
      <c r="L18" s="22">
        <f>+[2]RES!$O$22</f>
        <v>53972800</v>
      </c>
      <c r="M18" s="22">
        <f t="shared" si="1"/>
        <v>-25755772</v>
      </c>
      <c r="N18" s="23">
        <f t="shared" si="2"/>
        <v>0.67695681292272492</v>
      </c>
      <c r="O18" s="32"/>
    </row>
    <row r="19" spans="1:16" x14ac:dyDescent="0.25">
      <c r="A19" s="35" t="s">
        <v>30</v>
      </c>
      <c r="B19" s="36">
        <f>SUM(B9:B18)</f>
        <v>178241934</v>
      </c>
      <c r="C19" s="36">
        <f t="shared" ref="C19:H19" si="5">SUM(C9:C18)</f>
        <v>316983601</v>
      </c>
      <c r="D19" s="36">
        <f t="shared" si="5"/>
        <v>213700495</v>
      </c>
      <c r="E19" s="36">
        <f t="shared" si="5"/>
        <v>21714740</v>
      </c>
      <c r="F19" s="36">
        <f t="shared" si="5"/>
        <v>235040580</v>
      </c>
      <c r="G19" s="36">
        <f t="shared" si="5"/>
        <v>672705198</v>
      </c>
      <c r="H19" s="36">
        <f t="shared" si="5"/>
        <v>300147229</v>
      </c>
      <c r="I19" s="36">
        <f>SUM(I9:I18)</f>
        <v>1938533777</v>
      </c>
      <c r="J19" s="37">
        <f>SUM(J9:J18)</f>
        <v>500143268</v>
      </c>
      <c r="K19" s="38">
        <f>SUM(K9:K18)</f>
        <v>2438677045</v>
      </c>
      <c r="L19" s="26">
        <f>SUM(L9:L18)</f>
        <v>1741534617</v>
      </c>
      <c r="M19" s="26">
        <f t="shared" si="1"/>
        <v>-697142428</v>
      </c>
      <c r="N19" s="27">
        <f t="shared" si="2"/>
        <v>0.71413089345744019</v>
      </c>
      <c r="O19" s="39"/>
      <c r="P19" s="40"/>
    </row>
    <row r="20" spans="1:16" x14ac:dyDescent="0.25">
      <c r="A20" s="18" t="s">
        <v>31</v>
      </c>
      <c r="B20" s="29"/>
      <c r="C20" s="29"/>
      <c r="D20" s="29"/>
      <c r="E20" s="29"/>
      <c r="F20" s="29"/>
      <c r="G20" s="29"/>
      <c r="H20" s="29"/>
      <c r="I20" s="29"/>
      <c r="J20" s="41"/>
      <c r="K20" s="34"/>
      <c r="L20" s="22"/>
      <c r="M20" s="22"/>
      <c r="N20" s="23"/>
      <c r="O20" s="42"/>
    </row>
    <row r="21" spans="1:16" outlineLevel="1" x14ac:dyDescent="0.25">
      <c r="A21" s="19" t="s">
        <v>32</v>
      </c>
      <c r="B21" s="43">
        <v>0</v>
      </c>
      <c r="C21" s="43">
        <v>0</v>
      </c>
      <c r="D21" s="43">
        <v>0</v>
      </c>
      <c r="E21" s="43">
        <v>0</v>
      </c>
      <c r="F21" s="43">
        <f>+[1]MER!$M$26</f>
        <v>3500000</v>
      </c>
      <c r="G21" s="43">
        <f>+[1]PPC!$M$26</f>
        <v>0</v>
      </c>
      <c r="H21" s="43">
        <v>0</v>
      </c>
      <c r="I21" s="43">
        <f>SUM(B21:H21)</f>
        <v>3500000</v>
      </c>
      <c r="J21" s="30">
        <f>+[1]FUN!M27</f>
        <v>198299018</v>
      </c>
      <c r="K21" s="34">
        <f>SUM(I21:J21)</f>
        <v>201799018</v>
      </c>
      <c r="L21" s="22">
        <f>+[2]RES!$O$27</f>
        <v>174434309</v>
      </c>
      <c r="M21" s="22">
        <f t="shared" ref="M21:M35" si="6">+L21-K21</f>
        <v>-27364709</v>
      </c>
      <c r="N21" s="23">
        <f t="shared" si="2"/>
        <v>0.86439622317686404</v>
      </c>
      <c r="O21" s="44"/>
    </row>
    <row r="22" spans="1:16" outlineLevel="1" x14ac:dyDescent="0.25">
      <c r="A22" s="19" t="s">
        <v>33</v>
      </c>
      <c r="B22" s="43">
        <v>0</v>
      </c>
      <c r="C22" s="43">
        <f>+[1]TEC!$M$26</f>
        <v>412125</v>
      </c>
      <c r="D22" s="43">
        <v>0</v>
      </c>
      <c r="E22" s="43">
        <v>0</v>
      </c>
      <c r="F22" s="43">
        <v>0</v>
      </c>
      <c r="G22" s="43">
        <f>+[1]PPC!$M$27</f>
        <v>0</v>
      </c>
      <c r="H22" s="43">
        <f>+[1]COM!$M$26</f>
        <v>375000</v>
      </c>
      <c r="I22" s="43">
        <f t="shared" ref="I22:I36" si="7">SUM(B22:H22)</f>
        <v>787125</v>
      </c>
      <c r="J22" s="30">
        <f>+[1]FUN!M28</f>
        <v>10000000</v>
      </c>
      <c r="K22" s="34">
        <f t="shared" ref="K22:K36" si="8">SUM(I22:J22)</f>
        <v>10787125</v>
      </c>
      <c r="L22" s="22">
        <f>+[2]RES!$O$28</f>
        <v>10493625</v>
      </c>
      <c r="M22" s="22">
        <f>+L22-K22</f>
        <v>-293500</v>
      </c>
      <c r="N22" s="23">
        <f t="shared" si="2"/>
        <v>0.97279163817977454</v>
      </c>
      <c r="O22" s="44"/>
    </row>
    <row r="23" spans="1:16" outlineLevel="1" x14ac:dyDescent="0.25">
      <c r="A23" s="19" t="s">
        <v>34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f>+[1]PPC!$M$28</f>
        <v>4000000</v>
      </c>
      <c r="H23" s="43">
        <v>0</v>
      </c>
      <c r="I23" s="43">
        <f t="shared" si="7"/>
        <v>4000000</v>
      </c>
      <c r="J23" s="30">
        <f>+[1]FUN!M29</f>
        <v>10000000</v>
      </c>
      <c r="K23" s="34">
        <f t="shared" si="8"/>
        <v>14000000</v>
      </c>
      <c r="L23" s="22">
        <f>+[2]RES!$O$29</f>
        <v>14000000</v>
      </c>
      <c r="M23" s="22">
        <f t="shared" si="6"/>
        <v>0</v>
      </c>
      <c r="N23" s="23">
        <f t="shared" si="2"/>
        <v>1</v>
      </c>
      <c r="O23" s="44"/>
    </row>
    <row r="24" spans="1:16" outlineLevel="1" x14ac:dyDescent="0.25">
      <c r="A24" s="19" t="s">
        <v>35</v>
      </c>
      <c r="B24" s="43">
        <f>+[1]ECO!$M$26</f>
        <v>100000</v>
      </c>
      <c r="C24" s="43">
        <f>+[1]TEC!$M$27</f>
        <v>3819413</v>
      </c>
      <c r="D24" s="43">
        <f>+[1]TRANSF!$M$26</f>
        <v>2334852</v>
      </c>
      <c r="E24" s="43">
        <v>0</v>
      </c>
      <c r="F24" s="43">
        <f>+[1]MER!$M$27</f>
        <v>3819738.8698015912</v>
      </c>
      <c r="G24" s="43">
        <f>+[1]PPC!$M$29</f>
        <v>8000000</v>
      </c>
      <c r="H24" s="43">
        <f>+[1]COM!$M$27</f>
        <v>2500000</v>
      </c>
      <c r="I24" s="43">
        <f t="shared" si="7"/>
        <v>20574003.869801592</v>
      </c>
      <c r="J24" s="30">
        <f>+[1]FUN!M30</f>
        <v>25000000</v>
      </c>
      <c r="K24" s="34">
        <f t="shared" si="8"/>
        <v>45574003.869801596</v>
      </c>
      <c r="L24" s="22">
        <f>+[2]RES!$O$30</f>
        <v>42186364</v>
      </c>
      <c r="M24" s="22">
        <f t="shared" si="6"/>
        <v>-3387639.8698015958</v>
      </c>
      <c r="N24" s="23">
        <f t="shared" si="2"/>
        <v>0.92566727559247153</v>
      </c>
      <c r="O24" s="44"/>
    </row>
    <row r="25" spans="1:16" outlineLevel="1" x14ac:dyDescent="0.25">
      <c r="A25" s="19" t="s">
        <v>36</v>
      </c>
      <c r="B25" s="43">
        <f>+[1]ECO!$M$27</f>
        <v>60000</v>
      </c>
      <c r="C25" s="43">
        <f>+[1]TEC!$M$28</f>
        <v>1000000</v>
      </c>
      <c r="D25" s="43">
        <f>+[1]TRANSF!$M$27</f>
        <v>715606.5</v>
      </c>
      <c r="E25" s="43">
        <v>0</v>
      </c>
      <c r="F25" s="43">
        <f>+[1]MER!$M$28</f>
        <v>778200.922415682</v>
      </c>
      <c r="G25" s="43">
        <f>+[1]PPC!$M$30</f>
        <v>500000</v>
      </c>
      <c r="H25" s="43">
        <f>+[1]COM!$M$28</f>
        <v>500000</v>
      </c>
      <c r="I25" s="43">
        <f t="shared" si="7"/>
        <v>3553807.4224156821</v>
      </c>
      <c r="J25" s="30">
        <f>+[1]FUN!M31</f>
        <v>1733004</v>
      </c>
      <c r="K25" s="34">
        <f t="shared" si="8"/>
        <v>5286811.4224156821</v>
      </c>
      <c r="L25" s="22">
        <f>+[2]RES!$O$31</f>
        <v>2921900</v>
      </c>
      <c r="M25" s="22">
        <f t="shared" si="6"/>
        <v>-2364911.4224156821</v>
      </c>
      <c r="N25" s="23">
        <f t="shared" si="2"/>
        <v>0.55267717467874189</v>
      </c>
      <c r="O25" s="44"/>
    </row>
    <row r="26" spans="1:16" outlineLevel="1" x14ac:dyDescent="0.25">
      <c r="A26" s="28" t="s">
        <v>37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f t="shared" si="7"/>
        <v>0</v>
      </c>
      <c r="J26" s="30">
        <f>+[1]FUN!M32</f>
        <v>23000000</v>
      </c>
      <c r="K26" s="34">
        <f t="shared" si="8"/>
        <v>23000000</v>
      </c>
      <c r="L26" s="22">
        <f>+[2]RES!$O$32</f>
        <v>2685000</v>
      </c>
      <c r="M26" s="22">
        <f t="shared" si="6"/>
        <v>-20315000</v>
      </c>
      <c r="N26" s="23">
        <f t="shared" si="2"/>
        <v>0.11673913043478261</v>
      </c>
      <c r="O26" s="44"/>
    </row>
    <row r="27" spans="1:16" outlineLevel="1" x14ac:dyDescent="0.25">
      <c r="A27" s="19" t="s">
        <v>38</v>
      </c>
      <c r="B27" s="43">
        <f>+[1]ECO!$M$28</f>
        <v>3824392</v>
      </c>
      <c r="C27" s="43">
        <f>+[1]TEC!$M$29</f>
        <v>3702662</v>
      </c>
      <c r="D27" s="43">
        <f>+[1]TRANSF!$M$28</f>
        <v>2868294.5</v>
      </c>
      <c r="E27" s="43">
        <f>+[1]SAN!$M$25</f>
        <v>3800000</v>
      </c>
      <c r="F27" s="43">
        <f>+[1]MER!$M$29</f>
        <v>3266698.3366497294</v>
      </c>
      <c r="G27" s="43">
        <f>+[1]PPC!$M$31</f>
        <v>3702662</v>
      </c>
      <c r="H27" s="43">
        <f>+[1]COM!$M$29</f>
        <v>3702662</v>
      </c>
      <c r="I27" s="43">
        <f t="shared" si="7"/>
        <v>24867370.836649731</v>
      </c>
      <c r="J27" s="30">
        <f>+[1]FUN!M33</f>
        <v>7936046</v>
      </c>
      <c r="K27" s="34">
        <f t="shared" si="8"/>
        <v>32803416.836649731</v>
      </c>
      <c r="L27" s="22">
        <f>+[2]RES!$O$33</f>
        <v>19905493</v>
      </c>
      <c r="M27" s="22">
        <f t="shared" si="6"/>
        <v>-12897923.836649731</v>
      </c>
      <c r="N27" s="23">
        <f t="shared" si="2"/>
        <v>0.60681157390167106</v>
      </c>
      <c r="O27" s="44"/>
    </row>
    <row r="28" spans="1:16" outlineLevel="1" x14ac:dyDescent="0.25">
      <c r="A28" s="19" t="s">
        <v>39</v>
      </c>
      <c r="B28" s="43">
        <f>+[3]ECO!$I$29</f>
        <v>0</v>
      </c>
      <c r="C28" s="43">
        <v>0</v>
      </c>
      <c r="D28" s="43">
        <f>+[1]TRANSF!$M$29</f>
        <v>1723522.25</v>
      </c>
      <c r="E28" s="43">
        <v>0</v>
      </c>
      <c r="F28" s="43">
        <v>0</v>
      </c>
      <c r="G28" s="43">
        <f>+[1]PPC!$M$32</f>
        <v>20000000</v>
      </c>
      <c r="H28" s="43">
        <v>0</v>
      </c>
      <c r="I28" s="43">
        <f t="shared" si="7"/>
        <v>21723522.25</v>
      </c>
      <c r="J28" s="30">
        <f>+[1]FUN!M34</f>
        <v>6000000</v>
      </c>
      <c r="K28" s="34">
        <f t="shared" si="8"/>
        <v>27723522.25</v>
      </c>
      <c r="L28" s="22">
        <f>+[2]RES!$O$34</f>
        <v>16112187</v>
      </c>
      <c r="M28" s="22">
        <f t="shared" si="6"/>
        <v>-11611335.25</v>
      </c>
      <c r="N28" s="23">
        <f t="shared" si="2"/>
        <v>0.58117388024171424</v>
      </c>
      <c r="O28" s="44"/>
    </row>
    <row r="29" spans="1:16" outlineLevel="1" x14ac:dyDescent="0.25">
      <c r="A29" s="19" t="s">
        <v>40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f>+[1]PPC!$M$33</f>
        <v>21333333</v>
      </c>
      <c r="H29" s="43">
        <v>0</v>
      </c>
      <c r="I29" s="43">
        <f t="shared" si="7"/>
        <v>21333333</v>
      </c>
      <c r="J29" s="30">
        <f>+[1]FUN!M35</f>
        <v>46462000</v>
      </c>
      <c r="K29" s="34">
        <f t="shared" si="8"/>
        <v>67795333</v>
      </c>
      <c r="L29" s="22">
        <f>+[2]RES!$O$35</f>
        <v>67728367</v>
      </c>
      <c r="M29" s="22">
        <f t="shared" si="6"/>
        <v>-66966</v>
      </c>
      <c r="N29" s="23">
        <f t="shared" si="2"/>
        <v>0.99901223289219632</v>
      </c>
      <c r="O29" s="44"/>
    </row>
    <row r="30" spans="1:16" outlineLevel="1" x14ac:dyDescent="0.25">
      <c r="A30" s="19" t="s">
        <v>41</v>
      </c>
      <c r="B30" s="43">
        <f>+[1]ECO!$M$30</f>
        <v>2300000</v>
      </c>
      <c r="C30" s="43">
        <f>+[1]TEC!$M$30</f>
        <v>6000000</v>
      </c>
      <c r="D30" s="43">
        <f>+[1]TRANSF!$M$30</f>
        <v>2948652.5</v>
      </c>
      <c r="E30" s="43">
        <v>0</v>
      </c>
      <c r="F30" s="43">
        <f>+[1]MER!$M$30</f>
        <v>5043271.5747579755</v>
      </c>
      <c r="G30" s="43">
        <f>+[1]PPC!$M$34</f>
        <v>80000000</v>
      </c>
      <c r="H30" s="43">
        <f>+[1]COM!$M$30</f>
        <v>3000000</v>
      </c>
      <c r="I30" s="43">
        <f t="shared" si="7"/>
        <v>99291924.074757978</v>
      </c>
      <c r="J30" s="30">
        <f>+[1]FUN!M36</f>
        <v>10500000</v>
      </c>
      <c r="K30" s="34">
        <f t="shared" si="8"/>
        <v>109791924.07475798</v>
      </c>
      <c r="L30" s="22">
        <f>+[2]RES!$O$36</f>
        <v>101888409</v>
      </c>
      <c r="M30" s="22">
        <f t="shared" si="6"/>
        <v>-7903515.0747579783</v>
      </c>
      <c r="N30" s="23">
        <f t="shared" si="2"/>
        <v>0.92801369370868825</v>
      </c>
      <c r="O30" s="44"/>
    </row>
    <row r="31" spans="1:16" outlineLevel="1" x14ac:dyDescent="0.25">
      <c r="A31" s="19" t="s">
        <v>42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f t="shared" si="7"/>
        <v>0</v>
      </c>
      <c r="J31" s="30">
        <f>+[1]FUN!M37</f>
        <v>5621000</v>
      </c>
      <c r="K31" s="34">
        <f t="shared" si="8"/>
        <v>5621000</v>
      </c>
      <c r="L31" s="22">
        <f>+[2]RES!$O$37</f>
        <v>2759491</v>
      </c>
      <c r="M31" s="22">
        <f t="shared" si="6"/>
        <v>-2861509</v>
      </c>
      <c r="N31" s="23">
        <f t="shared" si="2"/>
        <v>0.4909252801992528</v>
      </c>
      <c r="O31" s="44"/>
    </row>
    <row r="32" spans="1:16" outlineLevel="1" x14ac:dyDescent="0.25">
      <c r="A32" s="19" t="s">
        <v>43</v>
      </c>
      <c r="B32" s="43">
        <f>+[1]ECO!$M$31</f>
        <v>4500000</v>
      </c>
      <c r="C32" s="43">
        <f>+[1]TEC!$M$31</f>
        <v>2318201</v>
      </c>
      <c r="D32" s="43">
        <f>+[1]TRANSF!$M$31</f>
        <v>992376.25</v>
      </c>
      <c r="E32" s="43">
        <f>+[1]SAN!$M$26</f>
        <v>152180</v>
      </c>
      <c r="F32" s="43">
        <f>+[1]MER!$M$31</f>
        <v>2093223.0307578256</v>
      </c>
      <c r="G32" s="43">
        <f>+[1]PPC!$M$35</f>
        <v>14140303</v>
      </c>
      <c r="H32" s="43">
        <f>+[1]COM!$M$31</f>
        <v>318201</v>
      </c>
      <c r="I32" s="43">
        <f t="shared" si="7"/>
        <v>24514484.280757826</v>
      </c>
      <c r="J32" s="30">
        <f>+[1]FUN!M38</f>
        <v>14962217</v>
      </c>
      <c r="K32" s="34">
        <f t="shared" si="8"/>
        <v>39476701.28075783</v>
      </c>
      <c r="L32" s="22">
        <f>+[2]RES!$O$38</f>
        <v>32457698</v>
      </c>
      <c r="M32" s="22">
        <f t="shared" si="6"/>
        <v>-7019003.2807578295</v>
      </c>
      <c r="N32" s="23">
        <f t="shared" si="2"/>
        <v>0.8221988399983382</v>
      </c>
      <c r="O32" s="44"/>
    </row>
    <row r="33" spans="1:15" outlineLevel="1" x14ac:dyDescent="0.25">
      <c r="A33" s="19" t="s">
        <v>44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f>+[1]PPC!$M$36</f>
        <v>4238014</v>
      </c>
      <c r="H33" s="43">
        <v>0</v>
      </c>
      <c r="I33" s="43">
        <f t="shared" si="7"/>
        <v>4238014</v>
      </c>
      <c r="J33" s="30">
        <f>+[1]FUN!M39</f>
        <v>6226721</v>
      </c>
      <c r="K33" s="34">
        <f t="shared" si="8"/>
        <v>10464735</v>
      </c>
      <c r="L33" s="22">
        <f>+[2]RES!$O$39</f>
        <v>7019295</v>
      </c>
      <c r="M33" s="22">
        <f t="shared" si="6"/>
        <v>-3445440</v>
      </c>
      <c r="N33" s="23">
        <f t="shared" si="2"/>
        <v>0.67075707124929584</v>
      </c>
      <c r="O33" s="44"/>
    </row>
    <row r="34" spans="1:15" outlineLevel="1" x14ac:dyDescent="0.25">
      <c r="A34" s="19" t="s">
        <v>45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f t="shared" si="7"/>
        <v>0</v>
      </c>
      <c r="J34" s="30">
        <f>+[1]FUN!M40</f>
        <v>0</v>
      </c>
      <c r="K34" s="34">
        <f t="shared" si="8"/>
        <v>0</v>
      </c>
      <c r="L34" s="22">
        <f>+[4]RES!J40</f>
        <v>0</v>
      </c>
      <c r="M34" s="22">
        <f t="shared" si="6"/>
        <v>0</v>
      </c>
      <c r="N34" s="23">
        <v>0</v>
      </c>
      <c r="O34" s="44"/>
    </row>
    <row r="35" spans="1:15" outlineLevel="1" x14ac:dyDescent="0.25">
      <c r="A35" s="19" t="s">
        <v>46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f t="shared" si="7"/>
        <v>0</v>
      </c>
      <c r="J35" s="30">
        <f>+[1]FUN!M41</f>
        <v>7000000</v>
      </c>
      <c r="K35" s="34">
        <f t="shared" si="8"/>
        <v>7000000</v>
      </c>
      <c r="L35" s="22">
        <f>+[2]RES!$O$41</f>
        <v>4316130</v>
      </c>
      <c r="M35" s="22">
        <f t="shared" si="6"/>
        <v>-2683870</v>
      </c>
      <c r="N35" s="23">
        <f t="shared" si="2"/>
        <v>0.61658999999999997</v>
      </c>
      <c r="O35" s="44"/>
    </row>
    <row r="36" spans="1:15" x14ac:dyDescent="0.25">
      <c r="A36" s="35" t="s">
        <v>47</v>
      </c>
      <c r="B36" s="45">
        <f>SUM(B21:B35)</f>
        <v>10784392</v>
      </c>
      <c r="C36" s="45">
        <f t="shared" ref="C36:H36" si="9">SUM(C21:C35)</f>
        <v>17252401</v>
      </c>
      <c r="D36" s="45">
        <f t="shared" si="9"/>
        <v>11583304</v>
      </c>
      <c r="E36" s="45">
        <f t="shared" si="9"/>
        <v>3952180</v>
      </c>
      <c r="F36" s="45">
        <f t="shared" si="9"/>
        <v>18501132.734382804</v>
      </c>
      <c r="G36" s="45">
        <f t="shared" si="9"/>
        <v>155914312</v>
      </c>
      <c r="H36" s="45">
        <f t="shared" si="9"/>
        <v>10395863</v>
      </c>
      <c r="I36" s="45">
        <f t="shared" si="7"/>
        <v>228383584.73438281</v>
      </c>
      <c r="J36" s="24">
        <f>SUM(J21:J35)</f>
        <v>372740006</v>
      </c>
      <c r="K36" s="25">
        <f t="shared" si="8"/>
        <v>601123590.73438287</v>
      </c>
      <c r="L36" s="26">
        <f>SUM(L21:L35)</f>
        <v>498908268</v>
      </c>
      <c r="M36" s="26">
        <f>+L36-K36</f>
        <v>-102215322.73438287</v>
      </c>
      <c r="N36" s="27">
        <f t="shared" si="2"/>
        <v>0.82995955522306475</v>
      </c>
      <c r="O36" s="44"/>
    </row>
    <row r="37" spans="1:15" x14ac:dyDescent="0.25">
      <c r="A37" s="35" t="s">
        <v>48</v>
      </c>
      <c r="B37" s="45"/>
      <c r="C37" s="45"/>
      <c r="D37" s="45"/>
      <c r="E37" s="45"/>
      <c r="F37" s="45"/>
      <c r="G37" s="45"/>
      <c r="H37" s="45"/>
      <c r="I37" s="45"/>
      <c r="J37" s="24"/>
      <c r="K37" s="25"/>
      <c r="L37" s="22"/>
      <c r="M37" s="22"/>
      <c r="N37" s="23"/>
    </row>
    <row r="38" spans="1:15" x14ac:dyDescent="0.25">
      <c r="A38" s="46" t="s">
        <v>49</v>
      </c>
      <c r="B38" s="36"/>
      <c r="C38" s="36"/>
      <c r="D38" s="36"/>
      <c r="E38" s="36"/>
      <c r="F38" s="36"/>
      <c r="G38" s="36"/>
      <c r="H38" s="36"/>
      <c r="I38" s="18"/>
      <c r="J38" s="37">
        <f>SUM(J39:J43)</f>
        <v>158236721</v>
      </c>
      <c r="K38" s="38">
        <f>SUM(J38)</f>
        <v>158236721</v>
      </c>
      <c r="L38" s="26">
        <f>SUM(L39:L43)</f>
        <v>122179798</v>
      </c>
      <c r="M38" s="26">
        <f>+L38-K38</f>
        <v>-36056923</v>
      </c>
      <c r="N38" s="27">
        <f t="shared" si="2"/>
        <v>0.77213302467257272</v>
      </c>
    </row>
    <row r="39" spans="1:15" hidden="1" outlineLevel="1" x14ac:dyDescent="0.25">
      <c r="A39" s="47" t="s">
        <v>50</v>
      </c>
      <c r="B39" s="29"/>
      <c r="C39" s="29"/>
      <c r="D39" s="29"/>
      <c r="E39" s="29"/>
      <c r="F39" s="29"/>
      <c r="G39" s="29"/>
      <c r="H39" s="29"/>
      <c r="I39" s="28"/>
      <c r="J39" s="30">
        <f>+[1]FUN!M46</f>
        <v>54161503</v>
      </c>
      <c r="K39" s="31">
        <f t="shared" ref="K39:K50" si="10">SUM(J39)</f>
        <v>54161503</v>
      </c>
      <c r="L39" s="22">
        <f>+[2]FUN!$AA$46</f>
        <v>54161503</v>
      </c>
      <c r="M39" s="22">
        <f t="shared" ref="M39:M50" si="11">+L39-K39</f>
        <v>0</v>
      </c>
      <c r="N39" s="23">
        <f t="shared" si="2"/>
        <v>1</v>
      </c>
    </row>
    <row r="40" spans="1:15" hidden="1" outlineLevel="1" x14ac:dyDescent="0.25">
      <c r="A40" s="47" t="s">
        <v>51</v>
      </c>
      <c r="B40" s="29"/>
      <c r="C40" s="29"/>
      <c r="D40" s="29"/>
      <c r="E40" s="29"/>
      <c r="F40" s="29"/>
      <c r="G40" s="29"/>
      <c r="H40" s="29"/>
      <c r="I40" s="28"/>
      <c r="J40" s="30">
        <f>+[1]FUN!M47+8318874</f>
        <v>59057493</v>
      </c>
      <c r="K40" s="31">
        <f t="shared" si="10"/>
        <v>59057493</v>
      </c>
      <c r="L40" s="22">
        <f>+[2]FUN!$AA$47</f>
        <v>59057493</v>
      </c>
      <c r="M40" s="22">
        <f t="shared" si="11"/>
        <v>0</v>
      </c>
      <c r="N40" s="23">
        <f t="shared" si="2"/>
        <v>1</v>
      </c>
    </row>
    <row r="41" spans="1:15" hidden="1" outlineLevel="1" x14ac:dyDescent="0.25">
      <c r="A41" s="47" t="s">
        <v>52</v>
      </c>
      <c r="B41" s="29"/>
      <c r="C41" s="29"/>
      <c r="D41" s="29"/>
      <c r="E41" s="29"/>
      <c r="F41" s="29"/>
      <c r="G41" s="29"/>
      <c r="H41" s="29"/>
      <c r="I41" s="28"/>
      <c r="J41" s="30">
        <f>+[1]FUN!M48-8318874</f>
        <v>36056923</v>
      </c>
      <c r="K41" s="31">
        <f t="shared" si="10"/>
        <v>36056923</v>
      </c>
      <c r="L41" s="22">
        <f>+[2]FUN!$AA$48</f>
        <v>0</v>
      </c>
      <c r="M41" s="22">
        <f t="shared" si="11"/>
        <v>-36056923</v>
      </c>
      <c r="N41" s="23">
        <f>+L41/K41</f>
        <v>0</v>
      </c>
    </row>
    <row r="42" spans="1:15" hidden="1" outlineLevel="1" x14ac:dyDescent="0.25">
      <c r="A42" s="47" t="s">
        <v>53</v>
      </c>
      <c r="B42" s="29"/>
      <c r="C42" s="29"/>
      <c r="D42" s="29"/>
      <c r="E42" s="29"/>
      <c r="F42" s="29"/>
      <c r="G42" s="29"/>
      <c r="H42" s="29"/>
      <c r="I42" s="28"/>
      <c r="J42" s="30">
        <f>+[1]FUN!M49</f>
        <v>8960802</v>
      </c>
      <c r="K42" s="31">
        <f t="shared" si="10"/>
        <v>8960802</v>
      </c>
      <c r="L42" s="22">
        <f>+[2]FUN!$AA$49</f>
        <v>8960802</v>
      </c>
      <c r="M42" s="22">
        <f t="shared" si="11"/>
        <v>0</v>
      </c>
      <c r="N42" s="23">
        <f t="shared" si="2"/>
        <v>1</v>
      </c>
    </row>
    <row r="43" spans="1:15" hidden="1" outlineLevel="1" x14ac:dyDescent="0.25">
      <c r="A43" s="47" t="s">
        <v>54</v>
      </c>
      <c r="B43" s="29"/>
      <c r="C43" s="29"/>
      <c r="D43" s="29"/>
      <c r="E43" s="29"/>
      <c r="F43" s="29"/>
      <c r="G43" s="29"/>
      <c r="H43" s="29"/>
      <c r="I43" s="28"/>
      <c r="J43" s="30">
        <f>+[1]FUN!M50</f>
        <v>0</v>
      </c>
      <c r="K43" s="31">
        <f t="shared" si="10"/>
        <v>0</v>
      </c>
      <c r="L43" s="22">
        <f>+[2]FUN!$AA$50</f>
        <v>0</v>
      </c>
      <c r="M43" s="22">
        <f t="shared" si="11"/>
        <v>0</v>
      </c>
      <c r="N43" s="23" t="e">
        <f>+L43/K43</f>
        <v>#DIV/0!</v>
      </c>
    </row>
    <row r="44" spans="1:15" collapsed="1" x14ac:dyDescent="0.25">
      <c r="A44" s="46" t="s">
        <v>55</v>
      </c>
      <c r="B44" s="36"/>
      <c r="C44" s="36"/>
      <c r="D44" s="36"/>
      <c r="E44" s="36"/>
      <c r="F44" s="36"/>
      <c r="G44" s="36"/>
      <c r="H44" s="36"/>
      <c r="I44" s="18"/>
      <c r="J44" s="37">
        <f>SUM(J45:J49)</f>
        <v>167552727</v>
      </c>
      <c r="K44" s="38">
        <f t="shared" si="10"/>
        <v>167552727</v>
      </c>
      <c r="L44" s="26">
        <f>SUM(L45:L49)</f>
        <v>161184800</v>
      </c>
      <c r="M44" s="26">
        <f t="shared" si="11"/>
        <v>-6367927</v>
      </c>
      <c r="N44" s="27">
        <f>+L44/K44</f>
        <v>0.96199448905418294</v>
      </c>
    </row>
    <row r="45" spans="1:15" s="48" customFormat="1" ht="15" hidden="1" customHeight="1" outlineLevel="1" x14ac:dyDescent="0.25">
      <c r="A45" s="47" t="s">
        <v>56</v>
      </c>
      <c r="B45" s="29"/>
      <c r="C45" s="36"/>
      <c r="D45" s="36"/>
      <c r="E45" s="36"/>
      <c r="F45" s="36"/>
      <c r="G45" s="36"/>
      <c r="H45" s="36"/>
      <c r="I45" s="28"/>
      <c r="J45" s="30">
        <f>+[1]FUN!M52</f>
        <v>3277467</v>
      </c>
      <c r="K45" s="31">
        <f t="shared" si="10"/>
        <v>3277467</v>
      </c>
      <c r="L45" s="22">
        <f>+[2]FUN!$AA$52</f>
        <v>3095212</v>
      </c>
      <c r="M45" s="22">
        <f t="shared" si="11"/>
        <v>-182255</v>
      </c>
      <c r="N45" s="23">
        <f t="shared" si="2"/>
        <v>0.94439150722188814</v>
      </c>
    </row>
    <row r="46" spans="1:15" s="48" customFormat="1" ht="15" hidden="1" customHeight="1" outlineLevel="1" x14ac:dyDescent="0.25">
      <c r="A46" s="47" t="s">
        <v>57</v>
      </c>
      <c r="B46" s="29"/>
      <c r="C46" s="36"/>
      <c r="D46" s="36"/>
      <c r="E46" s="36"/>
      <c r="F46" s="36"/>
      <c r="G46" s="36"/>
      <c r="H46" s="36"/>
      <c r="I46" s="28"/>
      <c r="J46" s="30">
        <f>+[1]FUN!M53</f>
        <v>100000000</v>
      </c>
      <c r="K46" s="31">
        <f t="shared" si="10"/>
        <v>100000000</v>
      </c>
      <c r="L46" s="22">
        <f>+[2]FUN!$AA$53</f>
        <v>99958678</v>
      </c>
      <c r="M46" s="22">
        <f t="shared" si="11"/>
        <v>-41322</v>
      </c>
      <c r="N46" s="23">
        <f t="shared" si="2"/>
        <v>0.99958678000000001</v>
      </c>
    </row>
    <row r="47" spans="1:15" s="48" customFormat="1" ht="15" hidden="1" customHeight="1" outlineLevel="1" x14ac:dyDescent="0.25">
      <c r="A47" s="47" t="s">
        <v>58</v>
      </c>
      <c r="B47" s="29"/>
      <c r="C47" s="36"/>
      <c r="D47" s="36"/>
      <c r="E47" s="36"/>
      <c r="F47" s="36"/>
      <c r="G47" s="36"/>
      <c r="H47" s="36"/>
      <c r="I47" s="28"/>
      <c r="J47" s="30">
        <f>+[1]FUN!M54</f>
        <v>36594460</v>
      </c>
      <c r="K47" s="31">
        <f t="shared" si="10"/>
        <v>36594460</v>
      </c>
      <c r="L47" s="22">
        <f>+[2]FUN!$AA$54</f>
        <v>36589139</v>
      </c>
      <c r="M47" s="22">
        <f t="shared" si="11"/>
        <v>-5321</v>
      </c>
      <c r="N47" s="23">
        <f t="shared" si="2"/>
        <v>0.99985459547702027</v>
      </c>
    </row>
    <row r="48" spans="1:15" s="48" customFormat="1" ht="15" hidden="1" customHeight="1" outlineLevel="1" x14ac:dyDescent="0.25">
      <c r="A48" s="47" t="s">
        <v>59</v>
      </c>
      <c r="B48" s="29"/>
      <c r="C48" s="36"/>
      <c r="D48" s="36"/>
      <c r="E48" s="36"/>
      <c r="F48" s="36"/>
      <c r="G48" s="36"/>
      <c r="H48" s="36"/>
      <c r="I48" s="28"/>
      <c r="J48" s="30">
        <f>+[1]FUN!M55</f>
        <v>17500000</v>
      </c>
      <c r="K48" s="31">
        <f t="shared" si="10"/>
        <v>17500000</v>
      </c>
      <c r="L48" s="22">
        <f>+[2]FUN!$AA$55</f>
        <v>12782050</v>
      </c>
      <c r="M48" s="22">
        <f t="shared" si="11"/>
        <v>-4717950</v>
      </c>
      <c r="N48" s="23">
        <f t="shared" si="2"/>
        <v>0.73040285714285713</v>
      </c>
    </row>
    <row r="49" spans="1:14" s="48" customFormat="1" ht="15" hidden="1" customHeight="1" outlineLevel="1" x14ac:dyDescent="0.25">
      <c r="A49" s="47" t="s">
        <v>60</v>
      </c>
      <c r="B49" s="29"/>
      <c r="C49" s="36"/>
      <c r="D49" s="36"/>
      <c r="E49" s="36"/>
      <c r="F49" s="36"/>
      <c r="G49" s="36"/>
      <c r="H49" s="36"/>
      <c r="I49" s="28"/>
      <c r="J49" s="30">
        <f>+[1]FUN!M56</f>
        <v>10180800</v>
      </c>
      <c r="K49" s="31">
        <f t="shared" si="10"/>
        <v>10180800</v>
      </c>
      <c r="L49" s="22">
        <f>+[2]FUN!$AA$56</f>
        <v>8759721</v>
      </c>
      <c r="M49" s="22">
        <f t="shared" si="11"/>
        <v>-1421079</v>
      </c>
      <c r="N49" s="23">
        <f t="shared" si="2"/>
        <v>0.86041578264969354</v>
      </c>
    </row>
    <row r="50" spans="1:14" collapsed="1" x14ac:dyDescent="0.25">
      <c r="A50" s="35" t="s">
        <v>61</v>
      </c>
      <c r="B50" s="49"/>
      <c r="C50" s="49"/>
      <c r="D50" s="49"/>
      <c r="E50" s="49"/>
      <c r="F50" s="49"/>
      <c r="G50" s="49"/>
      <c r="H50" s="49"/>
      <c r="I50" s="49"/>
      <c r="J50" s="37">
        <f>+J44+J38</f>
        <v>325789448</v>
      </c>
      <c r="K50" s="38">
        <f t="shared" si="10"/>
        <v>325789448</v>
      </c>
      <c r="L50" s="26">
        <f>+L44+L38</f>
        <v>283364598</v>
      </c>
      <c r="M50" s="26">
        <f t="shared" si="11"/>
        <v>-42424850</v>
      </c>
      <c r="N50" s="27">
        <f t="shared" si="2"/>
        <v>0.86977831768203862</v>
      </c>
    </row>
    <row r="51" spans="1:14" x14ac:dyDescent="0.25">
      <c r="A51" s="35"/>
      <c r="B51" s="49"/>
      <c r="C51" s="49"/>
      <c r="D51" s="49"/>
      <c r="E51" s="49"/>
      <c r="F51" s="49"/>
      <c r="G51" s="49"/>
      <c r="H51" s="49"/>
      <c r="I51" s="49"/>
      <c r="J51" s="37"/>
      <c r="K51" s="38"/>
      <c r="L51" s="22"/>
      <c r="M51" s="22"/>
      <c r="N51" s="23"/>
    </row>
    <row r="52" spans="1:14" x14ac:dyDescent="0.25">
      <c r="A52" s="35" t="s">
        <v>62</v>
      </c>
      <c r="B52" s="49">
        <f>+B19+B36</f>
        <v>189026326</v>
      </c>
      <c r="C52" s="49">
        <f t="shared" ref="C52:H52" si="12">+C19+C36</f>
        <v>334236002</v>
      </c>
      <c r="D52" s="49">
        <f t="shared" si="12"/>
        <v>225283799</v>
      </c>
      <c r="E52" s="49">
        <f t="shared" si="12"/>
        <v>25666920</v>
      </c>
      <c r="F52" s="49">
        <f t="shared" si="12"/>
        <v>253541712.73438281</v>
      </c>
      <c r="G52" s="49">
        <f t="shared" si="12"/>
        <v>828619510</v>
      </c>
      <c r="H52" s="49">
        <f t="shared" si="12"/>
        <v>310543092</v>
      </c>
      <c r="I52" s="49">
        <f>SUM(B52:H52)</f>
        <v>2166917361.7343826</v>
      </c>
      <c r="J52" s="37">
        <f>+J50+J36+J19</f>
        <v>1198672722</v>
      </c>
      <c r="K52" s="38">
        <f>SUM(I52:J52)</f>
        <v>3365590083.7343826</v>
      </c>
      <c r="L52" s="26">
        <f>+L50+L36+L19</f>
        <v>2523807483</v>
      </c>
      <c r="M52" s="26">
        <f>+L52-K52</f>
        <v>-841782600.73438263</v>
      </c>
      <c r="N52" s="27">
        <f t="shared" si="2"/>
        <v>0.74988558327330235</v>
      </c>
    </row>
    <row r="53" spans="1:14" x14ac:dyDescent="0.25">
      <c r="A53" s="35"/>
      <c r="B53" s="49"/>
      <c r="C53" s="49"/>
      <c r="D53" s="49"/>
      <c r="E53" s="49"/>
      <c r="F53" s="49"/>
      <c r="G53" s="49"/>
      <c r="H53" s="49"/>
      <c r="I53" s="49"/>
      <c r="J53" s="37"/>
      <c r="K53" s="38"/>
      <c r="L53" s="22"/>
      <c r="M53" s="22"/>
      <c r="N53" s="23"/>
    </row>
    <row r="54" spans="1:14" x14ac:dyDescent="0.25">
      <c r="A54" s="35" t="s">
        <v>63</v>
      </c>
      <c r="B54" s="49">
        <f>+B56</f>
        <v>268182901.48000002</v>
      </c>
      <c r="C54" s="49">
        <f>+C122</f>
        <v>974046626</v>
      </c>
      <c r="D54" s="49">
        <f>+D137</f>
        <v>1204106507</v>
      </c>
      <c r="E54" s="49">
        <f>+E175</f>
        <v>450000000</v>
      </c>
      <c r="F54" s="49">
        <f>+F65</f>
        <v>3961608145.0568757</v>
      </c>
      <c r="G54" s="49">
        <f>+G105</f>
        <v>5545000000</v>
      </c>
      <c r="H54" s="49">
        <f>+H184</f>
        <v>903334207</v>
      </c>
      <c r="I54" s="49">
        <f>SUM(B54:H54)</f>
        <v>13306278386.536877</v>
      </c>
      <c r="J54" s="37"/>
      <c r="K54" s="38">
        <f>SUM(I54:J54)</f>
        <v>13306278386.536877</v>
      </c>
      <c r="L54" s="26">
        <f>+L56+L65+L105+L122+L137+L175+L184</f>
        <v>12448414819</v>
      </c>
      <c r="M54" s="26">
        <f>+L54-K54</f>
        <v>-857863567.53687668</v>
      </c>
      <c r="N54" s="27">
        <f t="shared" si="2"/>
        <v>0.93552941381379395</v>
      </c>
    </row>
    <row r="55" spans="1:14" x14ac:dyDescent="0.25">
      <c r="A55" s="35"/>
      <c r="B55" s="45"/>
      <c r="C55" s="45"/>
      <c r="D55" s="45"/>
      <c r="E55" s="45"/>
      <c r="F55" s="45"/>
      <c r="G55" s="45"/>
      <c r="H55" s="45"/>
      <c r="I55" s="45"/>
      <c r="J55" s="24"/>
      <c r="K55" s="25"/>
      <c r="L55" s="22"/>
      <c r="M55" s="22"/>
      <c r="N55" s="23"/>
    </row>
    <row r="56" spans="1:14" x14ac:dyDescent="0.25">
      <c r="A56" s="35" t="s">
        <v>64</v>
      </c>
      <c r="B56" s="36">
        <f>SUM(B60+B57)</f>
        <v>268182901.48000002</v>
      </c>
      <c r="C56" s="36"/>
      <c r="D56" s="36"/>
      <c r="E56" s="36"/>
      <c r="F56" s="36"/>
      <c r="G56" s="36"/>
      <c r="H56" s="36"/>
      <c r="I56" s="18">
        <f t="shared" ref="I56:I63" si="13">SUM(B56:H56)</f>
        <v>268182901.48000002</v>
      </c>
      <c r="J56" s="37"/>
      <c r="K56" s="38">
        <f t="shared" ref="K56:K63" si="14">SUM(I56:J56)</f>
        <v>268182901.48000002</v>
      </c>
      <c r="L56" s="26">
        <f>+L57+L60</f>
        <v>243712950</v>
      </c>
      <c r="M56" s="26">
        <f t="shared" ref="M56:M62" si="15">+L56-K56</f>
        <v>-24469951.480000019</v>
      </c>
      <c r="N56" s="27">
        <f t="shared" si="2"/>
        <v>0.90875648169603795</v>
      </c>
    </row>
    <row r="57" spans="1:14" s="48" customFormat="1" x14ac:dyDescent="0.25">
      <c r="A57" s="50" t="s">
        <v>65</v>
      </c>
      <c r="B57" s="36">
        <f>SUM(B58:B59)</f>
        <v>46445880.507200003</v>
      </c>
      <c r="C57" s="36"/>
      <c r="D57" s="36"/>
      <c r="E57" s="36"/>
      <c r="F57" s="36"/>
      <c r="G57" s="36"/>
      <c r="H57" s="36"/>
      <c r="I57" s="36">
        <f t="shared" si="13"/>
        <v>46445880.507200003</v>
      </c>
      <c r="J57" s="37"/>
      <c r="K57" s="38">
        <f t="shared" si="14"/>
        <v>46445880.507200003</v>
      </c>
      <c r="L57" s="26">
        <f>SUM(L58:L59)</f>
        <v>45926945</v>
      </c>
      <c r="M57" s="26">
        <f t="shared" si="15"/>
        <v>-518935.50720000267</v>
      </c>
      <c r="N57" s="27">
        <f t="shared" si="2"/>
        <v>0.9888270929190468</v>
      </c>
    </row>
    <row r="58" spans="1:14" s="48" customFormat="1" hidden="1" outlineLevel="1" x14ac:dyDescent="0.25">
      <c r="A58" s="47" t="s">
        <v>66</v>
      </c>
      <c r="B58" s="29">
        <f>+[1]ECO!M38+2600000</f>
        <v>27487692.987199999</v>
      </c>
      <c r="C58" s="36"/>
      <c r="D58" s="36"/>
      <c r="E58" s="36"/>
      <c r="F58" s="36"/>
      <c r="G58" s="36"/>
      <c r="H58" s="36"/>
      <c r="I58" s="28">
        <f>SUM(B58:H58)</f>
        <v>27487692.987199999</v>
      </c>
      <c r="J58" s="37"/>
      <c r="K58" s="31">
        <f>SUM(I58:J58)</f>
        <v>27487692.987199999</v>
      </c>
      <c r="L58" s="22">
        <f>+[2]ECO!$AA$38</f>
        <v>26968757</v>
      </c>
      <c r="M58" s="22">
        <f t="shared" si="15"/>
        <v>-518935.98719999939</v>
      </c>
      <c r="N58" s="23">
        <f t="shared" si="2"/>
        <v>0.98112115165715619</v>
      </c>
    </row>
    <row r="59" spans="1:14" s="48" customFormat="1" hidden="1" outlineLevel="1" x14ac:dyDescent="0.25">
      <c r="A59" s="47" t="s">
        <v>67</v>
      </c>
      <c r="B59" s="29">
        <f>+[1]ECO!M39-2600000</f>
        <v>18958187.52</v>
      </c>
      <c r="C59" s="36"/>
      <c r="D59" s="36"/>
      <c r="E59" s="36"/>
      <c r="F59" s="36"/>
      <c r="G59" s="36"/>
      <c r="H59" s="36"/>
      <c r="I59" s="28">
        <f t="shared" si="13"/>
        <v>18958187.52</v>
      </c>
      <c r="J59" s="37"/>
      <c r="K59" s="31">
        <f t="shared" si="14"/>
        <v>18958187.52</v>
      </c>
      <c r="L59" s="22">
        <f>+[2]ECO!$AA$39</f>
        <v>18958188</v>
      </c>
      <c r="M59" s="22">
        <f t="shared" si="15"/>
        <v>0.48000000044703484</v>
      </c>
      <c r="N59" s="23">
        <f t="shared" si="2"/>
        <v>1.0000000253188761</v>
      </c>
    </row>
    <row r="60" spans="1:14" s="48" customFormat="1" collapsed="1" x14ac:dyDescent="0.25">
      <c r="A60" s="46" t="s">
        <v>68</v>
      </c>
      <c r="B60" s="36">
        <f>SUM(B61:B63)</f>
        <v>221737020.97280002</v>
      </c>
      <c r="C60" s="36"/>
      <c r="D60" s="36"/>
      <c r="E60" s="36"/>
      <c r="F60" s="36"/>
      <c r="G60" s="36"/>
      <c r="H60" s="36"/>
      <c r="I60" s="18">
        <f t="shared" si="13"/>
        <v>221737020.97280002</v>
      </c>
      <c r="J60" s="37"/>
      <c r="K60" s="38">
        <f t="shared" si="14"/>
        <v>221737020.97280002</v>
      </c>
      <c r="L60" s="26">
        <f>SUM(L61:L63)</f>
        <v>197786005</v>
      </c>
      <c r="M60" s="26">
        <f t="shared" si="15"/>
        <v>-23951015.972800016</v>
      </c>
      <c r="N60" s="27">
        <f t="shared" si="2"/>
        <v>0.89198458666161107</v>
      </c>
    </row>
    <row r="61" spans="1:14" s="48" customFormat="1" hidden="1" outlineLevel="1" x14ac:dyDescent="0.25">
      <c r="A61" s="47" t="s">
        <v>69</v>
      </c>
      <c r="B61" s="29">
        <f>+[1]ECO!M41-19000000</f>
        <v>72340159.400000006</v>
      </c>
      <c r="C61" s="36"/>
      <c r="D61" s="36"/>
      <c r="E61" s="36"/>
      <c r="F61" s="36"/>
      <c r="G61" s="36"/>
      <c r="H61" s="36"/>
      <c r="I61" s="28">
        <f t="shared" si="13"/>
        <v>72340159.400000006</v>
      </c>
      <c r="J61" s="37"/>
      <c r="K61" s="31">
        <f t="shared" si="14"/>
        <v>72340159.400000006</v>
      </c>
      <c r="L61" s="22">
        <f>+[2]ECO!$AA$41</f>
        <v>68639699</v>
      </c>
      <c r="M61" s="22">
        <f t="shared" si="15"/>
        <v>-3700460.400000006</v>
      </c>
      <c r="N61" s="23">
        <f t="shared" si="2"/>
        <v>0.94884638863541115</v>
      </c>
    </row>
    <row r="62" spans="1:14" s="48" customFormat="1" hidden="1" outlineLevel="1" x14ac:dyDescent="0.25">
      <c r="A62" s="47" t="s">
        <v>70</v>
      </c>
      <c r="B62" s="29">
        <f>+[1]ECO!M42+19000000+31000000</f>
        <v>129305961.59999999</v>
      </c>
      <c r="C62" s="36"/>
      <c r="D62" s="36"/>
      <c r="E62" s="36"/>
      <c r="F62" s="36"/>
      <c r="G62" s="36"/>
      <c r="H62" s="36"/>
      <c r="I62" s="28">
        <f t="shared" si="13"/>
        <v>129305961.59999999</v>
      </c>
      <c r="J62" s="37"/>
      <c r="K62" s="31">
        <f t="shared" si="14"/>
        <v>129305961.59999999</v>
      </c>
      <c r="L62" s="22">
        <f>+[2]ECO!$AA$42</f>
        <v>118517648</v>
      </c>
      <c r="M62" s="22">
        <f t="shared" si="15"/>
        <v>-10788313.599999994</v>
      </c>
      <c r="N62" s="23">
        <f t="shared" si="2"/>
        <v>0.91656754672013518</v>
      </c>
    </row>
    <row r="63" spans="1:14" s="48" customFormat="1" hidden="1" outlineLevel="1" x14ac:dyDescent="0.25">
      <c r="A63" s="47" t="s">
        <v>71</v>
      </c>
      <c r="B63" s="29">
        <f>+[1]ECO!M43-31000000</f>
        <v>20090899.972800002</v>
      </c>
      <c r="C63" s="36"/>
      <c r="D63" s="36"/>
      <c r="E63" s="36"/>
      <c r="F63" s="36"/>
      <c r="G63" s="36"/>
      <c r="H63" s="36"/>
      <c r="I63" s="28">
        <f t="shared" si="13"/>
        <v>20090899.972800002</v>
      </c>
      <c r="J63" s="37"/>
      <c r="K63" s="31">
        <f t="shared" si="14"/>
        <v>20090899.972800002</v>
      </c>
      <c r="L63" s="22">
        <f>+[2]ECO!$AA$43</f>
        <v>10628658</v>
      </c>
      <c r="M63" s="22">
        <f>+L63-K63</f>
        <v>-9462241.9728000015</v>
      </c>
      <c r="N63" s="23">
        <f t="shared" si="2"/>
        <v>0.52902846633996359</v>
      </c>
    </row>
    <row r="64" spans="1:14" s="48" customFormat="1" collapsed="1" x14ac:dyDescent="0.25">
      <c r="A64" s="47"/>
      <c r="B64" s="29"/>
      <c r="C64" s="36"/>
      <c r="D64" s="36"/>
      <c r="E64" s="36"/>
      <c r="F64" s="36"/>
      <c r="G64" s="36"/>
      <c r="H64" s="36"/>
      <c r="I64" s="28"/>
      <c r="J64" s="37"/>
      <c r="K64" s="31"/>
      <c r="L64" s="22"/>
      <c r="M64" s="22"/>
      <c r="N64" s="23"/>
    </row>
    <row r="65" spans="1:14" s="48" customFormat="1" x14ac:dyDescent="0.25">
      <c r="A65" s="46" t="s">
        <v>72</v>
      </c>
      <c r="B65" s="29"/>
      <c r="C65" s="36"/>
      <c r="D65" s="36"/>
      <c r="E65" s="36"/>
      <c r="F65" s="36">
        <f>+F66+F73+F83+F94+F98</f>
        <v>3961608145.0568757</v>
      </c>
      <c r="G65" s="36"/>
      <c r="H65" s="36"/>
      <c r="I65" s="36">
        <f t="shared" ref="I65:I103" si="16">SUM(B65:H65)</f>
        <v>3961608145.0568757</v>
      </c>
      <c r="J65" s="37"/>
      <c r="K65" s="38">
        <f t="shared" ref="K65:K103" si="17">SUM(I65:J65)</f>
        <v>3961608145.0568757</v>
      </c>
      <c r="L65" s="26">
        <f>+L66+L73+L83+L94+L98</f>
        <v>3599721862</v>
      </c>
      <c r="M65" s="26">
        <f t="shared" ref="M65:M113" si="18">+L65-K65</f>
        <v>-361886283.05687571</v>
      </c>
      <c r="N65" s="27">
        <f t="shared" si="2"/>
        <v>0.90865167128949342</v>
      </c>
    </row>
    <row r="66" spans="1:14" s="48" customFormat="1" x14ac:dyDescent="0.25">
      <c r="A66" s="46" t="s">
        <v>73</v>
      </c>
      <c r="B66" s="29"/>
      <c r="C66" s="36"/>
      <c r="D66" s="36"/>
      <c r="E66" s="36"/>
      <c r="F66" s="36">
        <f>SUM(F67:F72)</f>
        <v>187165959.80400002</v>
      </c>
      <c r="G66" s="36"/>
      <c r="H66" s="36"/>
      <c r="I66" s="36">
        <f t="shared" si="16"/>
        <v>187165959.80400002</v>
      </c>
      <c r="J66" s="37"/>
      <c r="K66" s="38">
        <f t="shared" si="17"/>
        <v>187165959.80400002</v>
      </c>
      <c r="L66" s="26">
        <f>SUM(L67:L72)</f>
        <v>182942327</v>
      </c>
      <c r="M66" s="26">
        <f t="shared" si="18"/>
        <v>-4223632.80400002</v>
      </c>
      <c r="N66" s="27">
        <f t="shared" si="2"/>
        <v>0.97743375553747591</v>
      </c>
    </row>
    <row r="67" spans="1:14" s="48" customFormat="1" hidden="1" outlineLevel="1" x14ac:dyDescent="0.25">
      <c r="A67" s="47" t="s">
        <v>74</v>
      </c>
      <c r="B67" s="29"/>
      <c r="C67" s="36"/>
      <c r="D67" s="36"/>
      <c r="E67" s="36"/>
      <c r="F67" s="29">
        <f>+[1]MER!M38</f>
        <v>93280711.804000005</v>
      </c>
      <c r="G67" s="36"/>
      <c r="H67" s="29"/>
      <c r="I67" s="28">
        <f t="shared" si="16"/>
        <v>93280711.804000005</v>
      </c>
      <c r="J67" s="37"/>
      <c r="K67" s="31">
        <f t="shared" si="17"/>
        <v>93280711.804000005</v>
      </c>
      <c r="L67" s="22">
        <f>+[2]MER!$AA$38</f>
        <v>93192328</v>
      </c>
      <c r="M67" s="22">
        <f t="shared" si="18"/>
        <v>-88383.804000005126</v>
      </c>
      <c r="N67" s="23">
        <f t="shared" si="2"/>
        <v>0.99905249646694683</v>
      </c>
    </row>
    <row r="68" spans="1:14" s="48" customFormat="1" hidden="1" outlineLevel="1" x14ac:dyDescent="0.25">
      <c r="A68" s="47" t="s">
        <v>75</v>
      </c>
      <c r="B68" s="29"/>
      <c r="C68" s="36"/>
      <c r="D68" s="36"/>
      <c r="E68" s="36"/>
      <c r="F68" s="29">
        <f>+[1]MER!M39</f>
        <v>0</v>
      </c>
      <c r="G68" s="36"/>
      <c r="H68" s="29"/>
      <c r="I68" s="28">
        <f t="shared" si="16"/>
        <v>0</v>
      </c>
      <c r="J68" s="37"/>
      <c r="K68" s="31">
        <f t="shared" si="17"/>
        <v>0</v>
      </c>
      <c r="L68" s="22">
        <f>+[2]MER!$AA$39</f>
        <v>0</v>
      </c>
      <c r="M68" s="22">
        <f t="shared" si="18"/>
        <v>0</v>
      </c>
      <c r="N68" s="23" t="e">
        <f t="shared" si="2"/>
        <v>#DIV/0!</v>
      </c>
    </row>
    <row r="69" spans="1:14" s="48" customFormat="1" hidden="1" outlineLevel="1" x14ac:dyDescent="0.25">
      <c r="A69" s="47" t="s">
        <v>76</v>
      </c>
      <c r="B69" s="29"/>
      <c r="C69" s="36"/>
      <c r="D69" s="36"/>
      <c r="E69" s="36"/>
      <c r="F69" s="29">
        <f>+[1]MER!M40</f>
        <v>9000000</v>
      </c>
      <c r="G69" s="36"/>
      <c r="H69" s="29"/>
      <c r="I69" s="28">
        <f t="shared" si="16"/>
        <v>9000000</v>
      </c>
      <c r="J69" s="37"/>
      <c r="K69" s="31">
        <f t="shared" si="17"/>
        <v>9000000</v>
      </c>
      <c r="L69" s="22">
        <f>+[2]MER!$AA$40</f>
        <v>9000000</v>
      </c>
      <c r="M69" s="22">
        <f t="shared" si="18"/>
        <v>0</v>
      </c>
      <c r="N69" s="23">
        <f t="shared" si="2"/>
        <v>1</v>
      </c>
    </row>
    <row r="70" spans="1:14" s="48" customFormat="1" hidden="1" outlineLevel="1" x14ac:dyDescent="0.25">
      <c r="A70" s="47" t="s">
        <v>77</v>
      </c>
      <c r="B70" s="29"/>
      <c r="C70" s="36"/>
      <c r="D70" s="36"/>
      <c r="E70" s="36"/>
      <c r="F70" s="29">
        <f>+[1]MER!M41</f>
        <v>0</v>
      </c>
      <c r="G70" s="36"/>
      <c r="H70" s="29"/>
      <c r="I70" s="28">
        <f t="shared" si="16"/>
        <v>0</v>
      </c>
      <c r="J70" s="37"/>
      <c r="K70" s="31">
        <f t="shared" si="17"/>
        <v>0</v>
      </c>
      <c r="L70" s="22">
        <f>+[2]MER!$AA$41</f>
        <v>0</v>
      </c>
      <c r="M70" s="22">
        <f t="shared" si="18"/>
        <v>0</v>
      </c>
      <c r="N70" s="23" t="e">
        <f t="shared" si="2"/>
        <v>#DIV/0!</v>
      </c>
    </row>
    <row r="71" spans="1:14" s="48" customFormat="1" hidden="1" outlineLevel="1" x14ac:dyDescent="0.25">
      <c r="A71" s="47" t="s">
        <v>78</v>
      </c>
      <c r="B71" s="29"/>
      <c r="C71" s="36"/>
      <c r="D71" s="36"/>
      <c r="E71" s="36"/>
      <c r="F71" s="29">
        <f>+[1]MER!M42</f>
        <v>0</v>
      </c>
      <c r="G71" s="36"/>
      <c r="H71" s="29"/>
      <c r="I71" s="28">
        <f t="shared" si="16"/>
        <v>0</v>
      </c>
      <c r="J71" s="37"/>
      <c r="K71" s="31">
        <f t="shared" si="17"/>
        <v>0</v>
      </c>
      <c r="L71" s="22">
        <f>+[2]MER!$AA$42</f>
        <v>0</v>
      </c>
      <c r="M71" s="22">
        <f t="shared" si="18"/>
        <v>0</v>
      </c>
      <c r="N71" s="23" t="e">
        <f t="shared" si="2"/>
        <v>#DIV/0!</v>
      </c>
    </row>
    <row r="72" spans="1:14" s="48" customFormat="1" hidden="1" outlineLevel="1" x14ac:dyDescent="0.25">
      <c r="A72" s="47" t="s">
        <v>79</v>
      </c>
      <c r="B72" s="29"/>
      <c r="C72" s="36"/>
      <c r="D72" s="36"/>
      <c r="E72" s="36"/>
      <c r="F72" s="29">
        <f>+[1]MER!M43</f>
        <v>84885248</v>
      </c>
      <c r="G72" s="36"/>
      <c r="H72" s="29"/>
      <c r="I72" s="28">
        <f t="shared" si="16"/>
        <v>84885248</v>
      </c>
      <c r="J72" s="37"/>
      <c r="K72" s="31">
        <f t="shared" si="17"/>
        <v>84885248</v>
      </c>
      <c r="L72" s="22">
        <f>+[2]MER!$AA$43</f>
        <v>80749999</v>
      </c>
      <c r="M72" s="22">
        <f t="shared" si="18"/>
        <v>-4135249</v>
      </c>
      <c r="N72" s="23">
        <f t="shared" si="2"/>
        <v>0.95128424434832304</v>
      </c>
    </row>
    <row r="73" spans="1:14" s="48" customFormat="1" collapsed="1" x14ac:dyDescent="0.25">
      <c r="A73" s="46" t="s">
        <v>80</v>
      </c>
      <c r="B73" s="29"/>
      <c r="C73" s="36"/>
      <c r="D73" s="36"/>
      <c r="E73" s="36"/>
      <c r="F73" s="36">
        <f>SUM(F74:F82)</f>
        <v>1707096282</v>
      </c>
      <c r="G73" s="36"/>
      <c r="H73" s="36"/>
      <c r="I73" s="36">
        <f t="shared" si="16"/>
        <v>1707096282</v>
      </c>
      <c r="J73" s="37"/>
      <c r="K73" s="38">
        <f t="shared" si="17"/>
        <v>1707096282</v>
      </c>
      <c r="L73" s="26">
        <f>SUM(L74:L82)</f>
        <v>1419284457</v>
      </c>
      <c r="M73" s="26">
        <f t="shared" si="18"/>
        <v>-287811825</v>
      </c>
      <c r="N73" s="27">
        <f t="shared" ref="N73:N135" si="19">+L73/K73</f>
        <v>0.83140269940556288</v>
      </c>
    </row>
    <row r="74" spans="1:14" s="48" customFormat="1" hidden="1" outlineLevel="1" x14ac:dyDescent="0.25">
      <c r="A74" s="47" t="s">
        <v>81</v>
      </c>
      <c r="B74" s="29"/>
      <c r="C74" s="36"/>
      <c r="D74" s="36"/>
      <c r="E74" s="36"/>
      <c r="F74" s="29">
        <f>+[1]MER!M45</f>
        <v>1477923372</v>
      </c>
      <c r="G74" s="36"/>
      <c r="H74" s="29"/>
      <c r="I74" s="28">
        <f t="shared" si="16"/>
        <v>1477923372</v>
      </c>
      <c r="J74" s="37"/>
      <c r="K74" s="31">
        <f t="shared" si="17"/>
        <v>1477923372</v>
      </c>
      <c r="L74" s="22">
        <f>+[2]MER!$AA$45</f>
        <v>1295942000</v>
      </c>
      <c r="M74" s="22">
        <f t="shared" si="18"/>
        <v>-181981372</v>
      </c>
      <c r="N74" s="23">
        <f t="shared" si="19"/>
        <v>0.87686684205167298</v>
      </c>
    </row>
    <row r="75" spans="1:14" s="48" customFormat="1" hidden="1" outlineLevel="1" x14ac:dyDescent="0.25">
      <c r="A75" s="47" t="s">
        <v>82</v>
      </c>
      <c r="B75" s="29"/>
      <c r="C75" s="36"/>
      <c r="D75" s="36"/>
      <c r="E75" s="36"/>
      <c r="F75" s="29">
        <f>+[1]MER!M46</f>
        <v>91531575</v>
      </c>
      <c r="G75" s="36"/>
      <c r="H75" s="29"/>
      <c r="I75" s="28">
        <f t="shared" si="16"/>
        <v>91531575</v>
      </c>
      <c r="J75" s="37"/>
      <c r="K75" s="31">
        <f t="shared" si="17"/>
        <v>91531575</v>
      </c>
      <c r="L75" s="22">
        <f>+[2]MER!$AA$46</f>
        <v>0</v>
      </c>
      <c r="M75" s="22">
        <f t="shared" si="18"/>
        <v>-91531575</v>
      </c>
      <c r="N75" s="23">
        <f>+L75/K75</f>
        <v>0</v>
      </c>
    </row>
    <row r="76" spans="1:14" s="48" customFormat="1" hidden="1" outlineLevel="1" x14ac:dyDescent="0.25">
      <c r="A76" s="47" t="s">
        <v>83</v>
      </c>
      <c r="B76" s="29"/>
      <c r="C76" s="36"/>
      <c r="D76" s="36"/>
      <c r="E76" s="36"/>
      <c r="F76" s="29">
        <f>+[1]MER!M47</f>
        <v>22667758</v>
      </c>
      <c r="G76" s="36"/>
      <c r="H76" s="29"/>
      <c r="I76" s="28">
        <f t="shared" si="16"/>
        <v>22667758</v>
      </c>
      <c r="J76" s="37"/>
      <c r="K76" s="31">
        <f t="shared" si="17"/>
        <v>22667758</v>
      </c>
      <c r="L76" s="22">
        <f>+[2]MER!$AA$47</f>
        <v>17999061</v>
      </c>
      <c r="M76" s="22">
        <f t="shared" si="18"/>
        <v>-4668697</v>
      </c>
      <c r="N76" s="23">
        <f t="shared" si="19"/>
        <v>0.79403798999442288</v>
      </c>
    </row>
    <row r="77" spans="1:14" s="48" customFormat="1" hidden="1" outlineLevel="1" x14ac:dyDescent="0.25">
      <c r="A77" s="47" t="s">
        <v>84</v>
      </c>
      <c r="B77" s="29"/>
      <c r="C77" s="36"/>
      <c r="D77" s="36"/>
      <c r="E77" s="36"/>
      <c r="F77" s="29">
        <f>+[1]MER!M48</f>
        <v>15239557</v>
      </c>
      <c r="G77" s="36"/>
      <c r="H77" s="29"/>
      <c r="I77" s="28">
        <f t="shared" si="16"/>
        <v>15239557</v>
      </c>
      <c r="J77" s="37"/>
      <c r="K77" s="31">
        <f t="shared" si="17"/>
        <v>15239557</v>
      </c>
      <c r="L77" s="22">
        <f>+[2]MER!$AA$48</f>
        <v>15239557</v>
      </c>
      <c r="M77" s="22">
        <f t="shared" si="18"/>
        <v>0</v>
      </c>
      <c r="N77" s="23">
        <f t="shared" si="19"/>
        <v>1</v>
      </c>
    </row>
    <row r="78" spans="1:14" s="48" customFormat="1" hidden="1" outlineLevel="1" x14ac:dyDescent="0.25">
      <c r="A78" s="47" t="s">
        <v>85</v>
      </c>
      <c r="B78" s="29"/>
      <c r="C78" s="36"/>
      <c r="D78" s="36"/>
      <c r="E78" s="36"/>
      <c r="F78" s="29">
        <f>+[1]MER!M49</f>
        <v>14000000</v>
      </c>
      <c r="G78" s="36"/>
      <c r="H78" s="29"/>
      <c r="I78" s="28">
        <f t="shared" si="16"/>
        <v>14000000</v>
      </c>
      <c r="J78" s="37"/>
      <c r="K78" s="31">
        <f t="shared" si="17"/>
        <v>14000000</v>
      </c>
      <c r="L78" s="22">
        <f>+[2]MER!$AA$49</f>
        <v>14000000</v>
      </c>
      <c r="M78" s="22">
        <f t="shared" si="18"/>
        <v>0</v>
      </c>
      <c r="N78" s="23">
        <f t="shared" si="19"/>
        <v>1</v>
      </c>
    </row>
    <row r="79" spans="1:14" s="48" customFormat="1" hidden="1" outlineLevel="1" x14ac:dyDescent="0.25">
      <c r="A79" s="47" t="s">
        <v>86</v>
      </c>
      <c r="B79" s="29"/>
      <c r="C79" s="36"/>
      <c r="D79" s="36"/>
      <c r="E79" s="36"/>
      <c r="F79" s="29">
        <f>+[1]MER!M50</f>
        <v>41997269</v>
      </c>
      <c r="G79" s="36"/>
      <c r="H79" s="29"/>
      <c r="I79" s="28">
        <f t="shared" si="16"/>
        <v>41997269</v>
      </c>
      <c r="J79" s="37"/>
      <c r="K79" s="31">
        <f t="shared" si="17"/>
        <v>41997269</v>
      </c>
      <c r="L79" s="22">
        <f>+[2]MER!$AA$50</f>
        <v>32857269</v>
      </c>
      <c r="M79" s="22">
        <f t="shared" si="18"/>
        <v>-9140000</v>
      </c>
      <c r="N79" s="23">
        <f t="shared" si="19"/>
        <v>0.7823668010412772</v>
      </c>
    </row>
    <row r="80" spans="1:14" s="48" customFormat="1" hidden="1" outlineLevel="1" x14ac:dyDescent="0.25">
      <c r="A80" s="47" t="s">
        <v>87</v>
      </c>
      <c r="B80" s="29"/>
      <c r="C80" s="36"/>
      <c r="D80" s="36"/>
      <c r="E80" s="36"/>
      <c r="F80" s="29">
        <f>+[1]MER!M51</f>
        <v>23736751</v>
      </c>
      <c r="G80" s="36"/>
      <c r="H80" s="29"/>
      <c r="I80" s="28">
        <f t="shared" si="16"/>
        <v>23736751</v>
      </c>
      <c r="J80" s="37"/>
      <c r="K80" s="31">
        <f t="shared" si="17"/>
        <v>23736751</v>
      </c>
      <c r="L80" s="22">
        <f>+[2]MER!$AA$51</f>
        <v>23736751</v>
      </c>
      <c r="M80" s="22">
        <f t="shared" si="18"/>
        <v>0</v>
      </c>
      <c r="N80" s="23">
        <f t="shared" si="19"/>
        <v>1</v>
      </c>
    </row>
    <row r="81" spans="1:14" s="48" customFormat="1" hidden="1" outlineLevel="1" x14ac:dyDescent="0.25">
      <c r="A81" s="47" t="s">
        <v>88</v>
      </c>
      <c r="B81" s="29"/>
      <c r="C81" s="36"/>
      <c r="D81" s="36"/>
      <c r="E81" s="36"/>
      <c r="F81" s="29">
        <f>+[1]MER!M52</f>
        <v>20000000</v>
      </c>
      <c r="G81" s="36"/>
      <c r="H81" s="29"/>
      <c r="I81" s="28">
        <f t="shared" si="16"/>
        <v>20000000</v>
      </c>
      <c r="J81" s="37"/>
      <c r="K81" s="31">
        <f t="shared" si="17"/>
        <v>20000000</v>
      </c>
      <c r="L81" s="22">
        <f>+[2]MER!$AA$52</f>
        <v>19509819</v>
      </c>
      <c r="M81" s="22">
        <f t="shared" si="18"/>
        <v>-490181</v>
      </c>
      <c r="N81" s="23">
        <f t="shared" si="19"/>
        <v>0.97549094999999997</v>
      </c>
    </row>
    <row r="82" spans="1:14" s="48" customFormat="1" hidden="1" outlineLevel="1" x14ac:dyDescent="0.25">
      <c r="A82" s="47" t="s">
        <v>89</v>
      </c>
      <c r="B82" s="29"/>
      <c r="C82" s="36"/>
      <c r="D82" s="36"/>
      <c r="E82" s="36"/>
      <c r="F82" s="29">
        <f>+[1]MER!M53</f>
        <v>0</v>
      </c>
      <c r="G82" s="36"/>
      <c r="H82" s="29"/>
      <c r="I82" s="28">
        <f t="shared" si="16"/>
        <v>0</v>
      </c>
      <c r="J82" s="37"/>
      <c r="K82" s="31">
        <f t="shared" si="17"/>
        <v>0</v>
      </c>
      <c r="L82" s="22">
        <f>+[2]MER!$AA$53</f>
        <v>0</v>
      </c>
      <c r="M82" s="22">
        <f t="shared" si="18"/>
        <v>0</v>
      </c>
      <c r="N82" s="23" t="e">
        <f>+L82/K82</f>
        <v>#DIV/0!</v>
      </c>
    </row>
    <row r="83" spans="1:14" s="48" customFormat="1" collapsed="1" x14ac:dyDescent="0.25">
      <c r="A83" s="46" t="s">
        <v>90</v>
      </c>
      <c r="B83" s="29"/>
      <c r="C83" s="36"/>
      <c r="D83" s="36"/>
      <c r="E83" s="36"/>
      <c r="F83" s="36">
        <f>SUM(F84:F93)</f>
        <v>1980077848.3690758</v>
      </c>
      <c r="G83" s="36"/>
      <c r="H83" s="36"/>
      <c r="I83" s="18">
        <f t="shared" si="16"/>
        <v>1980077848.3690758</v>
      </c>
      <c r="J83" s="37"/>
      <c r="K83" s="38">
        <f t="shared" si="17"/>
        <v>1980077848.3690758</v>
      </c>
      <c r="L83" s="26">
        <f>SUM(L84:L93)</f>
        <v>1956290330</v>
      </c>
      <c r="M83" s="26">
        <f t="shared" si="18"/>
        <v>-23787518.369075775</v>
      </c>
      <c r="N83" s="27">
        <f t="shared" si="19"/>
        <v>0.98798657416996571</v>
      </c>
    </row>
    <row r="84" spans="1:14" s="48" customFormat="1" hidden="1" outlineLevel="1" x14ac:dyDescent="0.25">
      <c r="A84" s="47" t="s">
        <v>91</v>
      </c>
      <c r="B84" s="29"/>
      <c r="C84" s="36"/>
      <c r="D84" s="36"/>
      <c r="E84" s="36"/>
      <c r="F84" s="29">
        <f>+[1]MER!M55</f>
        <v>54000000</v>
      </c>
      <c r="G84" s="36"/>
      <c r="H84" s="29"/>
      <c r="I84" s="28">
        <f t="shared" si="16"/>
        <v>54000000</v>
      </c>
      <c r="J84" s="37"/>
      <c r="K84" s="31">
        <f t="shared" si="17"/>
        <v>54000000</v>
      </c>
      <c r="L84" s="22">
        <f>+[2]MER!$AA$55</f>
        <v>48629232</v>
      </c>
      <c r="M84" s="22">
        <f t="shared" si="18"/>
        <v>-5370768</v>
      </c>
      <c r="N84" s="23">
        <f t="shared" si="19"/>
        <v>0.9005413333333333</v>
      </c>
    </row>
    <row r="85" spans="1:14" s="48" customFormat="1" hidden="1" outlineLevel="1" x14ac:dyDescent="0.25">
      <c r="A85" s="47" t="s">
        <v>92</v>
      </c>
      <c r="B85" s="29"/>
      <c r="C85" s="36"/>
      <c r="D85" s="36"/>
      <c r="E85" s="36"/>
      <c r="F85" s="29">
        <f>+[1]MER!M56</f>
        <v>44009469</v>
      </c>
      <c r="G85" s="36"/>
      <c r="H85" s="29"/>
      <c r="I85" s="28">
        <f t="shared" si="16"/>
        <v>44009469</v>
      </c>
      <c r="J85" s="37"/>
      <c r="K85" s="31">
        <f t="shared" si="17"/>
        <v>44009469</v>
      </c>
      <c r="L85" s="22">
        <f>+[2]MER!$AA$56</f>
        <v>44009469</v>
      </c>
      <c r="M85" s="22">
        <f t="shared" si="18"/>
        <v>0</v>
      </c>
      <c r="N85" s="23">
        <f t="shared" si="19"/>
        <v>1</v>
      </c>
    </row>
    <row r="86" spans="1:14" s="48" customFormat="1" hidden="1" outlineLevel="1" x14ac:dyDescent="0.25">
      <c r="A86" s="47" t="s">
        <v>93</v>
      </c>
      <c r="B86" s="29"/>
      <c r="C86" s="36"/>
      <c r="D86" s="36"/>
      <c r="E86" s="36"/>
      <c r="F86" s="29">
        <f>+[1]MER!M57</f>
        <v>6787379.3690757668</v>
      </c>
      <c r="G86" s="36"/>
      <c r="H86" s="29"/>
      <c r="I86" s="28">
        <f t="shared" si="16"/>
        <v>6787379.3690757668</v>
      </c>
      <c r="J86" s="37"/>
      <c r="K86" s="31">
        <f t="shared" si="17"/>
        <v>6787379.3690757668</v>
      </c>
      <c r="L86" s="22">
        <f>+[2]MER!$AA$57</f>
        <v>6529222</v>
      </c>
      <c r="M86" s="22">
        <f t="shared" si="18"/>
        <v>-258157.36907576676</v>
      </c>
      <c r="N86" s="23">
        <f t="shared" si="19"/>
        <v>0.96196508916947132</v>
      </c>
    </row>
    <row r="87" spans="1:14" s="48" customFormat="1" hidden="1" outlineLevel="1" x14ac:dyDescent="0.25">
      <c r="A87" s="47" t="s">
        <v>94</v>
      </c>
      <c r="B87" s="29"/>
      <c r="C87" s="36"/>
      <c r="D87" s="36"/>
      <c r="E87" s="36"/>
      <c r="F87" s="29">
        <f>+[1]MER!M58</f>
        <v>0</v>
      </c>
      <c r="G87" s="36"/>
      <c r="H87" s="29"/>
      <c r="I87" s="28">
        <f t="shared" si="16"/>
        <v>0</v>
      </c>
      <c r="J87" s="37"/>
      <c r="K87" s="31">
        <f t="shared" si="17"/>
        <v>0</v>
      </c>
      <c r="L87" s="22">
        <f>+[2]MER!$AA$58</f>
        <v>0</v>
      </c>
      <c r="M87" s="22">
        <f t="shared" si="18"/>
        <v>0</v>
      </c>
      <c r="N87" s="23" t="e">
        <f t="shared" si="19"/>
        <v>#DIV/0!</v>
      </c>
    </row>
    <row r="88" spans="1:14" s="48" customFormat="1" hidden="1" outlineLevel="1" x14ac:dyDescent="0.25">
      <c r="A88" s="47" t="s">
        <v>95</v>
      </c>
      <c r="B88" s="29"/>
      <c r="C88" s="36"/>
      <c r="D88" s="36"/>
      <c r="E88" s="36"/>
      <c r="F88" s="29">
        <f>+[1]MER!M59</f>
        <v>120000000</v>
      </c>
      <c r="G88" s="36"/>
      <c r="H88" s="29"/>
      <c r="I88" s="28">
        <f t="shared" si="16"/>
        <v>120000000</v>
      </c>
      <c r="J88" s="37"/>
      <c r="K88" s="31">
        <f t="shared" si="17"/>
        <v>120000000</v>
      </c>
      <c r="L88" s="22">
        <f>+[2]MER!$AA$59</f>
        <v>120000000</v>
      </c>
      <c r="M88" s="22">
        <f t="shared" si="18"/>
        <v>0</v>
      </c>
      <c r="N88" s="23">
        <f t="shared" si="19"/>
        <v>1</v>
      </c>
    </row>
    <row r="89" spans="1:14" s="48" customFormat="1" hidden="1" outlineLevel="1" x14ac:dyDescent="0.25">
      <c r="A89" s="47" t="s">
        <v>96</v>
      </c>
      <c r="B89" s="29"/>
      <c r="C89" s="36"/>
      <c r="D89" s="36"/>
      <c r="E89" s="36"/>
      <c r="F89" s="29">
        <f>+[1]MER!M60</f>
        <v>0</v>
      </c>
      <c r="G89" s="36"/>
      <c r="H89" s="29"/>
      <c r="I89" s="28">
        <f t="shared" si="16"/>
        <v>0</v>
      </c>
      <c r="J89" s="37"/>
      <c r="K89" s="31">
        <f t="shared" si="17"/>
        <v>0</v>
      </c>
      <c r="L89" s="22">
        <f>+[2]MER!$AA$60</f>
        <v>0</v>
      </c>
      <c r="M89" s="22">
        <f t="shared" si="18"/>
        <v>0</v>
      </c>
      <c r="N89" s="23" t="e">
        <f t="shared" si="19"/>
        <v>#DIV/0!</v>
      </c>
    </row>
    <row r="90" spans="1:14" s="48" customFormat="1" hidden="1" outlineLevel="1" x14ac:dyDescent="0.25">
      <c r="A90" s="47" t="s">
        <v>97</v>
      </c>
      <c r="B90" s="29"/>
      <c r="C90" s="36"/>
      <c r="D90" s="36"/>
      <c r="E90" s="36"/>
      <c r="F90" s="29">
        <f>+[1]MER!M61</f>
        <v>5281000</v>
      </c>
      <c r="G90" s="36"/>
      <c r="H90" s="29"/>
      <c r="I90" s="28">
        <f t="shared" si="16"/>
        <v>5281000</v>
      </c>
      <c r="J90" s="37"/>
      <c r="K90" s="31">
        <f t="shared" si="17"/>
        <v>5281000</v>
      </c>
      <c r="L90" s="22">
        <f>+[2]MER!$AA$61</f>
        <v>2842910</v>
      </c>
      <c r="M90" s="22">
        <f t="shared" si="18"/>
        <v>-2438090</v>
      </c>
      <c r="N90" s="23">
        <f t="shared" si="19"/>
        <v>0.53832796818784323</v>
      </c>
    </row>
    <row r="91" spans="1:14" s="48" customFormat="1" hidden="1" outlineLevel="1" x14ac:dyDescent="0.25">
      <c r="A91" s="47" t="s">
        <v>98</v>
      </c>
      <c r="B91" s="29"/>
      <c r="C91" s="36"/>
      <c r="D91" s="36"/>
      <c r="E91" s="36"/>
      <c r="F91" s="29">
        <f>+[1]MER!M62</f>
        <v>0</v>
      </c>
      <c r="G91" s="36"/>
      <c r="H91" s="29"/>
      <c r="I91" s="28">
        <f t="shared" si="16"/>
        <v>0</v>
      </c>
      <c r="J91" s="37"/>
      <c r="K91" s="31">
        <f t="shared" si="17"/>
        <v>0</v>
      </c>
      <c r="L91" s="22">
        <f>+[2]MER!$AA$62</f>
        <v>0</v>
      </c>
      <c r="M91" s="22">
        <f t="shared" si="18"/>
        <v>0</v>
      </c>
      <c r="N91" s="23" t="e">
        <f t="shared" si="19"/>
        <v>#DIV/0!</v>
      </c>
    </row>
    <row r="92" spans="1:14" s="48" customFormat="1" hidden="1" outlineLevel="1" x14ac:dyDescent="0.25">
      <c r="A92" s="47" t="s">
        <v>99</v>
      </c>
      <c r="B92" s="29"/>
      <c r="C92" s="36"/>
      <c r="D92" s="36"/>
      <c r="E92" s="36"/>
      <c r="F92" s="29">
        <f>+[1]MER!M63</f>
        <v>600000000</v>
      </c>
      <c r="G92" s="36"/>
      <c r="H92" s="29"/>
      <c r="I92" s="28">
        <f t="shared" si="16"/>
        <v>600000000</v>
      </c>
      <c r="J92" s="37"/>
      <c r="K92" s="31">
        <f t="shared" si="17"/>
        <v>600000000</v>
      </c>
      <c r="L92" s="22">
        <f>+[2]MER!$AA$63</f>
        <v>592934858</v>
      </c>
      <c r="M92" s="22">
        <f t="shared" si="18"/>
        <v>-7065142</v>
      </c>
      <c r="N92" s="23">
        <f t="shared" si="19"/>
        <v>0.98822476333333331</v>
      </c>
    </row>
    <row r="93" spans="1:14" s="48" customFormat="1" hidden="1" outlineLevel="1" x14ac:dyDescent="0.25">
      <c r="A93" s="47" t="s">
        <v>100</v>
      </c>
      <c r="B93" s="29"/>
      <c r="C93" s="36"/>
      <c r="D93" s="36"/>
      <c r="E93" s="36"/>
      <c r="F93" s="29">
        <f>+[1]MER!M64</f>
        <v>1150000000</v>
      </c>
      <c r="G93" s="36"/>
      <c r="H93" s="29"/>
      <c r="I93" s="28">
        <f t="shared" si="16"/>
        <v>1150000000</v>
      </c>
      <c r="J93" s="37"/>
      <c r="K93" s="31">
        <f t="shared" si="17"/>
        <v>1150000000</v>
      </c>
      <c r="L93" s="22">
        <f>+[2]MER!$AA$64</f>
        <v>1141344639</v>
      </c>
      <c r="M93" s="22">
        <f t="shared" si="18"/>
        <v>-8655361</v>
      </c>
      <c r="N93" s="23">
        <f t="shared" si="19"/>
        <v>0.99247359913043476</v>
      </c>
    </row>
    <row r="94" spans="1:14" s="48" customFormat="1" collapsed="1" x14ac:dyDescent="0.25">
      <c r="A94" s="46" t="s">
        <v>101</v>
      </c>
      <c r="B94" s="36"/>
      <c r="C94" s="36"/>
      <c r="D94" s="36"/>
      <c r="E94" s="36"/>
      <c r="F94" s="36">
        <f>SUM(F95:F97)</f>
        <v>62867304.8838</v>
      </c>
      <c r="G94" s="36"/>
      <c r="H94" s="36"/>
      <c r="I94" s="36">
        <f t="shared" si="16"/>
        <v>62867304.8838</v>
      </c>
      <c r="J94" s="37"/>
      <c r="K94" s="38">
        <f t="shared" si="17"/>
        <v>62867304.8838</v>
      </c>
      <c r="L94" s="26">
        <f>SUM(L95:L97)</f>
        <v>22303998</v>
      </c>
      <c r="M94" s="26">
        <f t="shared" si="18"/>
        <v>-40563306.8838</v>
      </c>
      <c r="N94" s="27">
        <f t="shared" si="19"/>
        <v>0.35477897519585605</v>
      </c>
    </row>
    <row r="95" spans="1:14" s="48" customFormat="1" hidden="1" outlineLevel="1" x14ac:dyDescent="0.25">
      <c r="A95" s="47" t="s">
        <v>102</v>
      </c>
      <c r="B95" s="29"/>
      <c r="C95" s="36"/>
      <c r="D95" s="36"/>
      <c r="E95" s="36"/>
      <c r="F95" s="29">
        <f>+[1]MER!M66</f>
        <v>14473608</v>
      </c>
      <c r="G95" s="36"/>
      <c r="H95" s="29"/>
      <c r="I95" s="28">
        <f t="shared" si="16"/>
        <v>14473608</v>
      </c>
      <c r="J95" s="37"/>
      <c r="K95" s="31">
        <f t="shared" si="17"/>
        <v>14473608</v>
      </c>
      <c r="L95" s="22">
        <f>+[2]MER!$AA$66</f>
        <v>14305308</v>
      </c>
      <c r="M95" s="22">
        <f t="shared" si="18"/>
        <v>-168300</v>
      </c>
      <c r="N95" s="23">
        <f t="shared" si="19"/>
        <v>0.98837193877297214</v>
      </c>
    </row>
    <row r="96" spans="1:14" s="48" customFormat="1" hidden="1" outlineLevel="1" x14ac:dyDescent="0.25">
      <c r="A96" s="47" t="s">
        <v>103</v>
      </c>
      <c r="B96" s="29"/>
      <c r="C96" s="36"/>
      <c r="D96" s="36"/>
      <c r="E96" s="36"/>
      <c r="F96" s="29">
        <f>+[1]MER!M67</f>
        <v>2779600.4838</v>
      </c>
      <c r="G96" s="36"/>
      <c r="H96" s="29"/>
      <c r="I96" s="28">
        <f t="shared" si="16"/>
        <v>2779600.4838</v>
      </c>
      <c r="J96" s="37"/>
      <c r="K96" s="31">
        <f t="shared" si="17"/>
        <v>2779600.4838</v>
      </c>
      <c r="L96" s="22">
        <f>+[2]MER!$AA$67</f>
        <v>2779600</v>
      </c>
      <c r="M96" s="22">
        <f t="shared" si="18"/>
        <v>-0.48380000004544854</v>
      </c>
      <c r="N96" s="23">
        <f t="shared" si="19"/>
        <v>0.99999982594620962</v>
      </c>
    </row>
    <row r="97" spans="1:14" s="48" customFormat="1" hidden="1" outlineLevel="1" x14ac:dyDescent="0.25">
      <c r="A97" s="47" t="s">
        <v>104</v>
      </c>
      <c r="B97" s="29"/>
      <c r="C97" s="36"/>
      <c r="D97" s="36"/>
      <c r="E97" s="36"/>
      <c r="F97" s="29">
        <f>+[1]MER!M68</f>
        <v>45614096.399999999</v>
      </c>
      <c r="G97" s="36"/>
      <c r="H97" s="29"/>
      <c r="I97" s="28">
        <f t="shared" si="16"/>
        <v>45614096.399999999</v>
      </c>
      <c r="J97" s="37"/>
      <c r="K97" s="31">
        <f t="shared" si="17"/>
        <v>45614096.399999999</v>
      </c>
      <c r="L97" s="22">
        <f>+[2]MER!$AA$68</f>
        <v>5219090</v>
      </c>
      <c r="M97" s="22">
        <f t="shared" si="18"/>
        <v>-40395006.399999999</v>
      </c>
      <c r="N97" s="23">
        <f t="shared" si="19"/>
        <v>0.11441835774258591</v>
      </c>
    </row>
    <row r="98" spans="1:14" s="48" customFormat="1" collapsed="1" x14ac:dyDescent="0.25">
      <c r="A98" s="46" t="s">
        <v>105</v>
      </c>
      <c r="B98" s="29"/>
      <c r="C98" s="36"/>
      <c r="D98" s="36"/>
      <c r="E98" s="36"/>
      <c r="F98" s="36">
        <f>SUM(F99:F103)</f>
        <v>24400750</v>
      </c>
      <c r="G98" s="36"/>
      <c r="H98" s="36"/>
      <c r="I98" s="36">
        <f t="shared" si="16"/>
        <v>24400750</v>
      </c>
      <c r="J98" s="37"/>
      <c r="K98" s="38">
        <f t="shared" si="17"/>
        <v>24400750</v>
      </c>
      <c r="L98" s="26">
        <f>SUM(L99:L103)</f>
        <v>18900750</v>
      </c>
      <c r="M98" s="26">
        <f t="shared" si="18"/>
        <v>-5500000</v>
      </c>
      <c r="N98" s="27">
        <f t="shared" si="19"/>
        <v>0.77459709230249074</v>
      </c>
    </row>
    <row r="99" spans="1:14" s="48" customFormat="1" hidden="1" outlineLevel="1" x14ac:dyDescent="0.25">
      <c r="A99" s="47" t="s">
        <v>106</v>
      </c>
      <c r="B99" s="29"/>
      <c r="C99" s="36"/>
      <c r="D99" s="36"/>
      <c r="E99" s="36"/>
      <c r="F99" s="29">
        <f>+[1]MER!M70</f>
        <v>20400750</v>
      </c>
      <c r="G99" s="36"/>
      <c r="H99" s="29"/>
      <c r="I99" s="28">
        <f t="shared" si="16"/>
        <v>20400750</v>
      </c>
      <c r="J99" s="37"/>
      <c r="K99" s="31">
        <f t="shared" si="17"/>
        <v>20400750</v>
      </c>
      <c r="L99" s="22">
        <f>+[2]MER!$AA$70</f>
        <v>18900750</v>
      </c>
      <c r="M99" s="22">
        <f t="shared" si="18"/>
        <v>-1500000</v>
      </c>
      <c r="N99" s="23">
        <f t="shared" si="19"/>
        <v>0.92647329142310941</v>
      </c>
    </row>
    <row r="100" spans="1:14" s="48" customFormat="1" hidden="1" outlineLevel="1" x14ac:dyDescent="0.25">
      <c r="A100" s="47" t="s">
        <v>107</v>
      </c>
      <c r="B100" s="29"/>
      <c r="C100" s="36"/>
      <c r="D100" s="36"/>
      <c r="E100" s="36"/>
      <c r="F100" s="29">
        <f>+[1]MER!M71</f>
        <v>0</v>
      </c>
      <c r="G100" s="36"/>
      <c r="H100" s="29"/>
      <c r="I100" s="28">
        <f t="shared" si="16"/>
        <v>0</v>
      </c>
      <c r="J100" s="37"/>
      <c r="K100" s="31">
        <f t="shared" si="17"/>
        <v>0</v>
      </c>
      <c r="L100" s="22">
        <f>+[2]MER!$AA$71</f>
        <v>0</v>
      </c>
      <c r="M100" s="22">
        <f t="shared" si="18"/>
        <v>0</v>
      </c>
      <c r="N100" s="23">
        <v>0</v>
      </c>
    </row>
    <row r="101" spans="1:14" s="48" customFormat="1" hidden="1" outlineLevel="1" x14ac:dyDescent="0.25">
      <c r="A101" s="47" t="s">
        <v>108</v>
      </c>
      <c r="B101" s="29"/>
      <c r="C101" s="36"/>
      <c r="D101" s="36"/>
      <c r="E101" s="36"/>
      <c r="F101" s="29">
        <f>+[1]MER!M72</f>
        <v>0</v>
      </c>
      <c r="G101" s="36"/>
      <c r="H101" s="29"/>
      <c r="I101" s="28">
        <f t="shared" si="16"/>
        <v>0</v>
      </c>
      <c r="J101" s="37"/>
      <c r="K101" s="31">
        <f t="shared" si="17"/>
        <v>0</v>
      </c>
      <c r="L101" s="22">
        <f>+[2]MER!$AA$72</f>
        <v>0</v>
      </c>
      <c r="M101" s="22">
        <f t="shared" si="18"/>
        <v>0</v>
      </c>
      <c r="N101" s="23">
        <v>0</v>
      </c>
    </row>
    <row r="102" spans="1:14" s="48" customFormat="1" hidden="1" outlineLevel="1" x14ac:dyDescent="0.25">
      <c r="A102" s="47" t="s">
        <v>109</v>
      </c>
      <c r="B102" s="29"/>
      <c r="C102" s="36"/>
      <c r="D102" s="36"/>
      <c r="E102" s="36"/>
      <c r="F102" s="29">
        <f>+[1]MER!M73</f>
        <v>0</v>
      </c>
      <c r="G102" s="36"/>
      <c r="H102" s="29"/>
      <c r="I102" s="28">
        <f t="shared" si="16"/>
        <v>0</v>
      </c>
      <c r="J102" s="37"/>
      <c r="K102" s="31">
        <f t="shared" si="17"/>
        <v>0</v>
      </c>
      <c r="L102" s="22">
        <f>+[2]MER!$AA$73</f>
        <v>0</v>
      </c>
      <c r="M102" s="22">
        <f t="shared" si="18"/>
        <v>0</v>
      </c>
      <c r="N102" s="23">
        <v>0</v>
      </c>
    </row>
    <row r="103" spans="1:14" s="48" customFormat="1" hidden="1" outlineLevel="1" x14ac:dyDescent="0.25">
      <c r="A103" s="47" t="s">
        <v>110</v>
      </c>
      <c r="B103" s="29"/>
      <c r="C103" s="36"/>
      <c r="D103" s="36"/>
      <c r="E103" s="36"/>
      <c r="F103" s="29">
        <f>+[1]MER!M74</f>
        <v>4000000</v>
      </c>
      <c r="G103" s="36"/>
      <c r="H103" s="29"/>
      <c r="I103" s="28">
        <f t="shared" si="16"/>
        <v>4000000</v>
      </c>
      <c r="J103" s="37"/>
      <c r="K103" s="31">
        <f t="shared" si="17"/>
        <v>4000000</v>
      </c>
      <c r="L103" s="22">
        <f>+[2]MER!$AA$74</f>
        <v>0</v>
      </c>
      <c r="M103" s="22">
        <f t="shared" si="18"/>
        <v>-4000000</v>
      </c>
      <c r="N103" s="23">
        <f t="shared" si="19"/>
        <v>0</v>
      </c>
    </row>
    <row r="104" spans="1:14" s="48" customFormat="1" collapsed="1" x14ac:dyDescent="0.25">
      <c r="A104" s="47"/>
      <c r="B104" s="29"/>
      <c r="C104" s="36"/>
      <c r="D104" s="36"/>
      <c r="E104" s="36"/>
      <c r="F104" s="29"/>
      <c r="G104" s="36"/>
      <c r="H104" s="29"/>
      <c r="I104" s="28"/>
      <c r="J104" s="37"/>
      <c r="K104" s="31"/>
      <c r="L104" s="22"/>
      <c r="M104" s="22"/>
      <c r="N104" s="23"/>
    </row>
    <row r="105" spans="1:14" s="48" customFormat="1" x14ac:dyDescent="0.25">
      <c r="A105" s="46" t="s">
        <v>111</v>
      </c>
      <c r="B105" s="36"/>
      <c r="C105" s="36"/>
      <c r="D105" s="36"/>
      <c r="E105" s="36"/>
      <c r="F105" s="36"/>
      <c r="G105" s="36">
        <f>+G106+G114+G116+G119</f>
        <v>5545000000</v>
      </c>
      <c r="H105" s="36"/>
      <c r="I105" s="18">
        <f t="shared" ref="I105:I120" si="20">SUM(B105:H105)</f>
        <v>5545000000</v>
      </c>
      <c r="J105" s="37"/>
      <c r="K105" s="38">
        <f t="shared" ref="K105:K120" si="21">SUM(I105:J105)</f>
        <v>5545000000</v>
      </c>
      <c r="L105" s="26">
        <f>+L106+L114+L116+L119</f>
        <v>5409804724</v>
      </c>
      <c r="M105" s="26">
        <f>+L105-K105</f>
        <v>-135195276</v>
      </c>
      <c r="N105" s="27">
        <f t="shared" si="19"/>
        <v>0.97561852551848516</v>
      </c>
    </row>
    <row r="106" spans="1:14" s="48" customFormat="1" x14ac:dyDescent="0.25">
      <c r="A106" s="46" t="s">
        <v>112</v>
      </c>
      <c r="B106" s="36"/>
      <c r="C106" s="36"/>
      <c r="D106" s="36"/>
      <c r="E106" s="36"/>
      <c r="F106" s="36"/>
      <c r="G106" s="36">
        <f>SUM(G107:G113)</f>
        <v>5188000000</v>
      </c>
      <c r="H106" s="36"/>
      <c r="I106" s="18">
        <f t="shared" si="20"/>
        <v>5188000000</v>
      </c>
      <c r="J106" s="37"/>
      <c r="K106" s="38">
        <f t="shared" si="21"/>
        <v>5188000000</v>
      </c>
      <c r="L106" s="26">
        <f>+SUM(L107:L113)</f>
        <v>5070980607</v>
      </c>
      <c r="M106" s="26">
        <f>+L106-K106</f>
        <v>-117019393</v>
      </c>
      <c r="N106" s="27">
        <f t="shared" si="19"/>
        <v>0.97744421877409404</v>
      </c>
    </row>
    <row r="107" spans="1:14" s="48" customFormat="1" hidden="1" outlineLevel="1" x14ac:dyDescent="0.25">
      <c r="A107" s="47" t="s">
        <v>113</v>
      </c>
      <c r="B107" s="36"/>
      <c r="C107" s="36"/>
      <c r="D107" s="36"/>
      <c r="E107" s="29"/>
      <c r="F107" s="36"/>
      <c r="G107" s="29">
        <f>+[1]PPC!M43</f>
        <v>653000000</v>
      </c>
      <c r="H107" s="36"/>
      <c r="I107" s="28">
        <f t="shared" si="20"/>
        <v>653000000</v>
      </c>
      <c r="J107" s="37"/>
      <c r="K107" s="31">
        <f t="shared" si="21"/>
        <v>653000000</v>
      </c>
      <c r="L107" s="22">
        <f>+[2]PPC!$AA$43</f>
        <v>652300000</v>
      </c>
      <c r="M107" s="22">
        <f t="shared" si="18"/>
        <v>-700000</v>
      </c>
      <c r="N107" s="23">
        <f t="shared" si="19"/>
        <v>0.99892802450229712</v>
      </c>
    </row>
    <row r="108" spans="1:14" s="48" customFormat="1" hidden="1" outlineLevel="1" x14ac:dyDescent="0.25">
      <c r="A108" s="47" t="s">
        <v>114</v>
      </c>
      <c r="B108" s="36"/>
      <c r="C108" s="36"/>
      <c r="D108" s="36"/>
      <c r="E108" s="29"/>
      <c r="F108" s="36"/>
      <c r="G108" s="29">
        <f>+[1]PPC!M44</f>
        <v>1520000000</v>
      </c>
      <c r="H108" s="36"/>
      <c r="I108" s="28">
        <f t="shared" si="20"/>
        <v>1520000000</v>
      </c>
      <c r="J108" s="37"/>
      <c r="K108" s="31">
        <f t="shared" si="21"/>
        <v>1520000000</v>
      </c>
      <c r="L108" s="22">
        <f>+[2]PPC!$AA$44</f>
        <v>1435532107</v>
      </c>
      <c r="M108" s="22">
        <f t="shared" si="18"/>
        <v>-84467893</v>
      </c>
      <c r="N108" s="23">
        <f t="shared" si="19"/>
        <v>0.94442901776315791</v>
      </c>
    </row>
    <row r="109" spans="1:14" s="48" customFormat="1" hidden="1" outlineLevel="1" x14ac:dyDescent="0.25">
      <c r="A109" s="47" t="s">
        <v>115</v>
      </c>
      <c r="B109" s="36"/>
      <c r="C109" s="36"/>
      <c r="D109" s="36"/>
      <c r="E109" s="29"/>
      <c r="F109" s="36"/>
      <c r="G109" s="29">
        <f>+[1]PPC!M45</f>
        <v>150000000</v>
      </c>
      <c r="H109" s="36"/>
      <c r="I109" s="28">
        <f t="shared" si="20"/>
        <v>150000000</v>
      </c>
      <c r="J109" s="37"/>
      <c r="K109" s="31">
        <f t="shared" si="21"/>
        <v>150000000</v>
      </c>
      <c r="L109" s="22">
        <f>+[2]PPC!$AA$45</f>
        <v>148889467</v>
      </c>
      <c r="M109" s="22">
        <f>+L109-K109</f>
        <v>-1110533</v>
      </c>
      <c r="N109" s="23">
        <f t="shared" si="19"/>
        <v>0.99259644666666669</v>
      </c>
    </row>
    <row r="110" spans="1:14" s="48" customFormat="1" hidden="1" outlineLevel="1" x14ac:dyDescent="0.25">
      <c r="A110" s="47" t="s">
        <v>116</v>
      </c>
      <c r="B110" s="36"/>
      <c r="C110" s="36"/>
      <c r="D110" s="36"/>
      <c r="E110" s="29"/>
      <c r="F110" s="36"/>
      <c r="G110" s="29">
        <f>+[1]PPC!M46</f>
        <v>83000000</v>
      </c>
      <c r="H110" s="36"/>
      <c r="I110" s="28">
        <f t="shared" si="20"/>
        <v>83000000</v>
      </c>
      <c r="J110" s="37"/>
      <c r="K110" s="31">
        <f t="shared" si="21"/>
        <v>83000000</v>
      </c>
      <c r="L110" s="22">
        <f>+[2]PPC!$AA$46</f>
        <v>78189903</v>
      </c>
      <c r="M110" s="22">
        <f t="shared" si="18"/>
        <v>-4810097</v>
      </c>
      <c r="N110" s="23">
        <f t="shared" si="19"/>
        <v>0.94204702409638552</v>
      </c>
    </row>
    <row r="111" spans="1:14" s="48" customFormat="1" hidden="1" outlineLevel="1" x14ac:dyDescent="0.25">
      <c r="A111" s="47" t="s">
        <v>117</v>
      </c>
      <c r="B111" s="36"/>
      <c r="C111" s="36"/>
      <c r="D111" s="36"/>
      <c r="E111" s="29"/>
      <c r="F111" s="36"/>
      <c r="G111" s="29">
        <f>+[1]PPC!M47</f>
        <v>170000000</v>
      </c>
      <c r="H111" s="36"/>
      <c r="I111" s="28">
        <f t="shared" si="20"/>
        <v>170000000</v>
      </c>
      <c r="J111" s="37"/>
      <c r="K111" s="31">
        <f t="shared" si="21"/>
        <v>170000000</v>
      </c>
      <c r="L111" s="22">
        <f>+[2]PPC!$AA$47</f>
        <v>145837821</v>
      </c>
      <c r="M111" s="22">
        <f t="shared" si="18"/>
        <v>-24162179</v>
      </c>
      <c r="N111" s="23">
        <f t="shared" si="19"/>
        <v>0.85786953529411769</v>
      </c>
    </row>
    <row r="112" spans="1:14" s="48" customFormat="1" hidden="1" outlineLevel="1" x14ac:dyDescent="0.25">
      <c r="A112" s="47" t="s">
        <v>118</v>
      </c>
      <c r="B112" s="36"/>
      <c r="C112" s="36"/>
      <c r="D112" s="36"/>
      <c r="E112" s="29"/>
      <c r="F112" s="36"/>
      <c r="G112" s="29">
        <f>+[1]PPC!M48</f>
        <v>2600000000</v>
      </c>
      <c r="H112" s="36"/>
      <c r="I112" s="28">
        <f t="shared" si="20"/>
        <v>2600000000</v>
      </c>
      <c r="J112" s="37"/>
      <c r="K112" s="31">
        <f t="shared" si="21"/>
        <v>2600000000</v>
      </c>
      <c r="L112" s="22">
        <f>+[2]PPC!$AA$48</f>
        <v>2598299600</v>
      </c>
      <c r="M112" s="22">
        <f t="shared" si="18"/>
        <v>-1700400</v>
      </c>
      <c r="N112" s="23">
        <f t="shared" si="19"/>
        <v>0.99934599999999996</v>
      </c>
    </row>
    <row r="113" spans="1:14" s="48" customFormat="1" hidden="1" outlineLevel="1" x14ac:dyDescent="0.25">
      <c r="A113" s="47" t="s">
        <v>119</v>
      </c>
      <c r="B113" s="36"/>
      <c r="C113" s="36"/>
      <c r="D113" s="36"/>
      <c r="E113" s="29"/>
      <c r="F113" s="36"/>
      <c r="G113" s="29">
        <f>+[1]PPC!M49</f>
        <v>12000000</v>
      </c>
      <c r="H113" s="36"/>
      <c r="I113" s="28">
        <f t="shared" si="20"/>
        <v>12000000</v>
      </c>
      <c r="J113" s="37"/>
      <c r="K113" s="31">
        <f t="shared" si="21"/>
        <v>12000000</v>
      </c>
      <c r="L113" s="22">
        <f>+[2]PPC!$AA$49</f>
        <v>11931709</v>
      </c>
      <c r="M113" s="22">
        <f t="shared" si="18"/>
        <v>-68291</v>
      </c>
      <c r="N113" s="23">
        <f t="shared" si="19"/>
        <v>0.99430908333333334</v>
      </c>
    </row>
    <row r="114" spans="1:14" s="48" customFormat="1" collapsed="1" x14ac:dyDescent="0.25">
      <c r="A114" s="46" t="s">
        <v>120</v>
      </c>
      <c r="B114" s="36"/>
      <c r="C114" s="36"/>
      <c r="D114" s="36"/>
      <c r="E114" s="36"/>
      <c r="F114" s="36"/>
      <c r="G114" s="36">
        <f>+G115</f>
        <v>50000000</v>
      </c>
      <c r="H114" s="36"/>
      <c r="I114" s="18">
        <f t="shared" si="20"/>
        <v>50000000</v>
      </c>
      <c r="J114" s="37"/>
      <c r="K114" s="38">
        <f t="shared" si="21"/>
        <v>50000000</v>
      </c>
      <c r="L114" s="26">
        <f>+L115</f>
        <v>45154520</v>
      </c>
      <c r="M114" s="26">
        <f>+L114-K114</f>
        <v>-4845480</v>
      </c>
      <c r="N114" s="27">
        <f t="shared" si="19"/>
        <v>0.90309039999999996</v>
      </c>
    </row>
    <row r="115" spans="1:14" s="48" customFormat="1" hidden="1" outlineLevel="1" x14ac:dyDescent="0.25">
      <c r="A115" s="47" t="s">
        <v>121</v>
      </c>
      <c r="B115" s="36"/>
      <c r="C115" s="36"/>
      <c r="D115" s="36"/>
      <c r="E115" s="29"/>
      <c r="F115" s="36"/>
      <c r="G115" s="29">
        <f>+[1]PPC!M51</f>
        <v>50000000</v>
      </c>
      <c r="H115" s="36"/>
      <c r="I115" s="28">
        <f t="shared" si="20"/>
        <v>50000000</v>
      </c>
      <c r="J115" s="37"/>
      <c r="K115" s="31">
        <f t="shared" si="21"/>
        <v>50000000</v>
      </c>
      <c r="L115" s="22">
        <f>+[2]PPC!$AA$51</f>
        <v>45154520</v>
      </c>
      <c r="M115" s="22">
        <f t="shared" ref="M115:M141" si="22">+L115-K115</f>
        <v>-4845480</v>
      </c>
      <c r="N115" s="23">
        <f t="shared" si="19"/>
        <v>0.90309039999999996</v>
      </c>
    </row>
    <row r="116" spans="1:14" s="48" customFormat="1" collapsed="1" x14ac:dyDescent="0.25">
      <c r="A116" s="46" t="s">
        <v>122</v>
      </c>
      <c r="B116" s="36"/>
      <c r="C116" s="36"/>
      <c r="D116" s="36"/>
      <c r="E116" s="36"/>
      <c r="F116" s="36"/>
      <c r="G116" s="36">
        <f>SUM(G117:G118)</f>
        <v>200000000</v>
      </c>
      <c r="H116" s="36"/>
      <c r="I116" s="18">
        <f t="shared" si="20"/>
        <v>200000000</v>
      </c>
      <c r="J116" s="37"/>
      <c r="K116" s="38">
        <f t="shared" si="21"/>
        <v>200000000</v>
      </c>
      <c r="L116" s="26">
        <f>+SUM(L117:L118)</f>
        <v>194301712</v>
      </c>
      <c r="M116" s="26">
        <f>+L116-K116</f>
        <v>-5698288</v>
      </c>
      <c r="N116" s="27">
        <f t="shared" si="19"/>
        <v>0.97150855999999997</v>
      </c>
    </row>
    <row r="117" spans="1:14" s="48" customFormat="1" hidden="1" outlineLevel="1" x14ac:dyDescent="0.25">
      <c r="A117" s="47" t="s">
        <v>123</v>
      </c>
      <c r="B117" s="36"/>
      <c r="C117" s="36"/>
      <c r="D117" s="36"/>
      <c r="E117" s="29"/>
      <c r="F117" s="36"/>
      <c r="G117" s="29">
        <f>+[1]PPC!M53</f>
        <v>150000000</v>
      </c>
      <c r="H117" s="36"/>
      <c r="I117" s="28">
        <f t="shared" si="20"/>
        <v>150000000</v>
      </c>
      <c r="J117" s="37"/>
      <c r="K117" s="31">
        <f t="shared" si="21"/>
        <v>150000000</v>
      </c>
      <c r="L117" s="22">
        <f>+[2]PPC!$AA$53</f>
        <v>144521780</v>
      </c>
      <c r="M117" s="22">
        <f t="shared" si="22"/>
        <v>-5478220</v>
      </c>
      <c r="N117" s="23">
        <f t="shared" si="19"/>
        <v>0.96347853333333333</v>
      </c>
    </row>
    <row r="118" spans="1:14" s="48" customFormat="1" hidden="1" outlineLevel="1" x14ac:dyDescent="0.25">
      <c r="A118" s="47" t="s">
        <v>124</v>
      </c>
      <c r="B118" s="36"/>
      <c r="C118" s="36"/>
      <c r="D118" s="36"/>
      <c r="E118" s="29"/>
      <c r="F118" s="36"/>
      <c r="G118" s="29">
        <f>+[1]PPC!M54</f>
        <v>50000000</v>
      </c>
      <c r="H118" s="36"/>
      <c r="I118" s="28">
        <f t="shared" si="20"/>
        <v>50000000</v>
      </c>
      <c r="J118" s="37"/>
      <c r="K118" s="31">
        <f t="shared" si="21"/>
        <v>50000000</v>
      </c>
      <c r="L118" s="22">
        <f>+[2]PPC!$AA$54</f>
        <v>49779932</v>
      </c>
      <c r="M118" s="22">
        <f t="shared" si="22"/>
        <v>-220068</v>
      </c>
      <c r="N118" s="23">
        <f t="shared" si="19"/>
        <v>0.99559863999999998</v>
      </c>
    </row>
    <row r="119" spans="1:14" s="48" customFormat="1" collapsed="1" x14ac:dyDescent="0.25">
      <c r="A119" s="46" t="s">
        <v>125</v>
      </c>
      <c r="B119" s="36"/>
      <c r="C119" s="36"/>
      <c r="D119" s="36"/>
      <c r="E119" s="36"/>
      <c r="F119" s="36"/>
      <c r="G119" s="36">
        <f>+G120</f>
        <v>107000000</v>
      </c>
      <c r="H119" s="36"/>
      <c r="I119" s="18">
        <f t="shared" si="20"/>
        <v>107000000</v>
      </c>
      <c r="J119" s="37"/>
      <c r="K119" s="38">
        <f t="shared" si="21"/>
        <v>107000000</v>
      </c>
      <c r="L119" s="26">
        <f>+L120</f>
        <v>99367885</v>
      </c>
      <c r="M119" s="26">
        <f t="shared" si="22"/>
        <v>-7632115</v>
      </c>
      <c r="N119" s="27">
        <f t="shared" si="19"/>
        <v>0.92867182242990653</v>
      </c>
    </row>
    <row r="120" spans="1:14" s="48" customFormat="1" hidden="1" outlineLevel="1" x14ac:dyDescent="0.25">
      <c r="A120" s="47" t="s">
        <v>126</v>
      </c>
      <c r="B120" s="36"/>
      <c r="C120" s="36"/>
      <c r="D120" s="36"/>
      <c r="E120" s="29"/>
      <c r="F120" s="36"/>
      <c r="G120" s="29">
        <f>+[1]PPC!M56</f>
        <v>107000000</v>
      </c>
      <c r="H120" s="36"/>
      <c r="I120" s="28">
        <f t="shared" si="20"/>
        <v>107000000</v>
      </c>
      <c r="J120" s="37"/>
      <c r="K120" s="31">
        <f t="shared" si="21"/>
        <v>107000000</v>
      </c>
      <c r="L120" s="22">
        <f>+[2]PPC!$AA$56</f>
        <v>99367885</v>
      </c>
      <c r="M120" s="22">
        <f t="shared" si="22"/>
        <v>-7632115</v>
      </c>
      <c r="N120" s="23">
        <f t="shared" si="19"/>
        <v>0.92867182242990653</v>
      </c>
    </row>
    <row r="121" spans="1:14" s="48" customFormat="1" collapsed="1" x14ac:dyDescent="0.25">
      <c r="A121" s="47"/>
      <c r="B121" s="36"/>
      <c r="C121" s="36"/>
      <c r="D121" s="36"/>
      <c r="E121" s="29"/>
      <c r="F121" s="36"/>
      <c r="G121" s="29"/>
      <c r="H121" s="36"/>
      <c r="I121" s="28"/>
      <c r="J121" s="37"/>
      <c r="K121" s="31"/>
      <c r="L121" s="22"/>
      <c r="M121" s="22"/>
      <c r="N121" s="23"/>
    </row>
    <row r="122" spans="1:14" s="54" customFormat="1" x14ac:dyDescent="0.25">
      <c r="A122" s="46" t="s">
        <v>127</v>
      </c>
      <c r="B122" s="51"/>
      <c r="C122" s="36">
        <f>+C123+C131</f>
        <v>974046626</v>
      </c>
      <c r="D122" s="51"/>
      <c r="E122" s="52"/>
      <c r="F122" s="51"/>
      <c r="G122" s="52"/>
      <c r="H122" s="51"/>
      <c r="I122" s="36">
        <f t="shared" ref="I122:I135" si="23">SUM(B122:H122)</f>
        <v>974046626</v>
      </c>
      <c r="J122" s="53"/>
      <c r="K122" s="38">
        <f t="shared" ref="K122:K135" si="24">SUM(I122:J122)</f>
        <v>974046626</v>
      </c>
      <c r="L122" s="26">
        <f>+L123+L131</f>
        <v>901518998</v>
      </c>
      <c r="M122" s="26">
        <f t="shared" si="22"/>
        <v>-72527628</v>
      </c>
      <c r="N122" s="27">
        <f t="shared" si="19"/>
        <v>0.92553988067507564</v>
      </c>
    </row>
    <row r="123" spans="1:14" s="48" customFormat="1" x14ac:dyDescent="0.25">
      <c r="A123" s="46" t="s">
        <v>128</v>
      </c>
      <c r="B123" s="51"/>
      <c r="C123" s="36">
        <f>SUM(C124:C128)</f>
        <v>459423836</v>
      </c>
      <c r="D123" s="36"/>
      <c r="E123" s="36"/>
      <c r="F123" s="36"/>
      <c r="G123" s="36"/>
      <c r="H123" s="36"/>
      <c r="I123" s="36">
        <f t="shared" si="23"/>
        <v>459423836</v>
      </c>
      <c r="J123" s="37"/>
      <c r="K123" s="38">
        <f t="shared" si="24"/>
        <v>459423836</v>
      </c>
      <c r="L123" s="26">
        <f>SUM(L124:L128)</f>
        <v>455510708</v>
      </c>
      <c r="M123" s="26">
        <f t="shared" si="22"/>
        <v>-3913128</v>
      </c>
      <c r="N123" s="27">
        <f t="shared" si="19"/>
        <v>0.99148253161161626</v>
      </c>
    </row>
    <row r="124" spans="1:14" s="48" customFormat="1" hidden="1" outlineLevel="1" x14ac:dyDescent="0.25">
      <c r="A124" s="47" t="s">
        <v>129</v>
      </c>
      <c r="B124" s="51"/>
      <c r="C124" s="29">
        <f>+[1]TEC!M38</f>
        <v>4415147</v>
      </c>
      <c r="D124" s="36"/>
      <c r="E124" s="36"/>
      <c r="F124" s="36"/>
      <c r="G124" s="36"/>
      <c r="H124" s="36"/>
      <c r="I124" s="28">
        <f t="shared" si="23"/>
        <v>4415147</v>
      </c>
      <c r="J124" s="37"/>
      <c r="K124" s="31">
        <f t="shared" si="24"/>
        <v>4415147</v>
      </c>
      <c r="L124" s="22">
        <f>+[2]TEC!$AA$38</f>
        <v>3491540</v>
      </c>
      <c r="M124" s="22">
        <f t="shared" si="22"/>
        <v>-923607</v>
      </c>
      <c r="N124" s="23">
        <f t="shared" si="19"/>
        <v>0.79080945662737845</v>
      </c>
    </row>
    <row r="125" spans="1:14" s="48" customFormat="1" hidden="1" outlineLevel="1" x14ac:dyDescent="0.25">
      <c r="A125" s="47" t="s">
        <v>130</v>
      </c>
      <c r="B125" s="51"/>
      <c r="C125" s="29">
        <f>+[1]TEC!M39</f>
        <v>413295673</v>
      </c>
      <c r="D125" s="36"/>
      <c r="E125" s="36"/>
      <c r="F125" s="36"/>
      <c r="G125" s="36"/>
      <c r="H125" s="36"/>
      <c r="I125" s="28">
        <f t="shared" si="23"/>
        <v>413295673</v>
      </c>
      <c r="J125" s="37"/>
      <c r="K125" s="31">
        <f t="shared" si="24"/>
        <v>413295673</v>
      </c>
      <c r="L125" s="22">
        <f>+[2]TEC!$AA$39</f>
        <v>412033954</v>
      </c>
      <c r="M125" s="22">
        <f t="shared" si="22"/>
        <v>-1261719</v>
      </c>
      <c r="N125" s="23">
        <f t="shared" si="19"/>
        <v>0.99694717587812731</v>
      </c>
    </row>
    <row r="126" spans="1:14" s="48" customFormat="1" hidden="1" outlineLevel="1" x14ac:dyDescent="0.25">
      <c r="A126" s="47" t="s">
        <v>131</v>
      </c>
      <c r="B126" s="51"/>
      <c r="C126" s="29">
        <f>+[1]TEC!M40</f>
        <v>34713016</v>
      </c>
      <c r="D126" s="36"/>
      <c r="E126" s="36"/>
      <c r="F126" s="36"/>
      <c r="G126" s="36"/>
      <c r="H126" s="36"/>
      <c r="I126" s="28">
        <f t="shared" si="23"/>
        <v>34713016</v>
      </c>
      <c r="J126" s="37"/>
      <c r="K126" s="31">
        <f t="shared" si="24"/>
        <v>34713016</v>
      </c>
      <c r="L126" s="22">
        <f>+[2]TEC!$AA$40</f>
        <v>33498214</v>
      </c>
      <c r="M126" s="22">
        <f t="shared" si="22"/>
        <v>-1214802</v>
      </c>
      <c r="N126" s="23">
        <f t="shared" si="19"/>
        <v>0.96500442370089656</v>
      </c>
    </row>
    <row r="127" spans="1:14" s="48" customFormat="1" hidden="1" outlineLevel="1" x14ac:dyDescent="0.25">
      <c r="A127" s="47" t="s">
        <v>132</v>
      </c>
      <c r="B127" s="51"/>
      <c r="C127" s="29">
        <f>+[1]TEC!M41</f>
        <v>7000000</v>
      </c>
      <c r="D127" s="36"/>
      <c r="E127" s="36"/>
      <c r="F127" s="36"/>
      <c r="G127" s="36"/>
      <c r="H127" s="36"/>
      <c r="I127" s="28">
        <f t="shared" si="23"/>
        <v>7000000</v>
      </c>
      <c r="J127" s="37"/>
      <c r="K127" s="31">
        <f t="shared" si="24"/>
        <v>7000000</v>
      </c>
      <c r="L127" s="22">
        <f>+[2]TEC!$AA$41</f>
        <v>6487000</v>
      </c>
      <c r="M127" s="22">
        <f t="shared" si="22"/>
        <v>-513000</v>
      </c>
      <c r="N127" s="23">
        <f t="shared" si="19"/>
        <v>0.92671428571428571</v>
      </c>
    </row>
    <row r="128" spans="1:14" s="48" customFormat="1" hidden="1" outlineLevel="1" x14ac:dyDescent="0.25">
      <c r="A128" s="47" t="s">
        <v>133</v>
      </c>
      <c r="B128" s="51"/>
      <c r="C128" s="29">
        <f>+C129+C130</f>
        <v>0</v>
      </c>
      <c r="D128" s="36"/>
      <c r="E128" s="36"/>
      <c r="F128" s="36"/>
      <c r="G128" s="36"/>
      <c r="H128" s="36"/>
      <c r="I128" s="28">
        <f t="shared" si="23"/>
        <v>0</v>
      </c>
      <c r="J128" s="37"/>
      <c r="K128" s="31">
        <f t="shared" si="24"/>
        <v>0</v>
      </c>
      <c r="L128" s="22">
        <f>+[2]TEC!$AA$42</f>
        <v>0</v>
      </c>
      <c r="M128" s="22">
        <f t="shared" si="22"/>
        <v>0</v>
      </c>
      <c r="N128" s="23">
        <v>0</v>
      </c>
    </row>
    <row r="129" spans="1:14" s="48" customFormat="1" hidden="1" outlineLevel="2" x14ac:dyDescent="0.25">
      <c r="A129" s="47" t="s">
        <v>134</v>
      </c>
      <c r="B129" s="51"/>
      <c r="C129" s="29">
        <v>0</v>
      </c>
      <c r="D129" s="36"/>
      <c r="E129" s="36"/>
      <c r="F129" s="36"/>
      <c r="G129" s="36"/>
      <c r="H129" s="36"/>
      <c r="I129" s="28">
        <f t="shared" si="23"/>
        <v>0</v>
      </c>
      <c r="J129" s="37"/>
      <c r="K129" s="31">
        <f t="shared" si="24"/>
        <v>0</v>
      </c>
      <c r="L129" s="22">
        <f>+[2]TEC!$AA$43</f>
        <v>0</v>
      </c>
      <c r="M129" s="22">
        <f t="shared" si="22"/>
        <v>0</v>
      </c>
      <c r="N129" s="23">
        <v>0</v>
      </c>
    </row>
    <row r="130" spans="1:14" s="48" customFormat="1" hidden="1" outlineLevel="2" x14ac:dyDescent="0.25">
      <c r="A130" s="47" t="s">
        <v>135</v>
      </c>
      <c r="B130" s="36"/>
      <c r="C130" s="29">
        <v>0</v>
      </c>
      <c r="D130" s="36"/>
      <c r="E130" s="36"/>
      <c r="F130" s="36"/>
      <c r="G130" s="36"/>
      <c r="H130" s="36"/>
      <c r="I130" s="28">
        <f t="shared" si="23"/>
        <v>0</v>
      </c>
      <c r="J130" s="37"/>
      <c r="K130" s="31">
        <f t="shared" si="24"/>
        <v>0</v>
      </c>
      <c r="L130" s="22">
        <f>+[2]TEC!$AA$45</f>
        <v>0</v>
      </c>
      <c r="M130" s="22">
        <f t="shared" si="22"/>
        <v>0</v>
      </c>
      <c r="N130" s="23">
        <v>0</v>
      </c>
    </row>
    <row r="131" spans="1:14" s="48" customFormat="1" ht="33" customHeight="1" collapsed="1" x14ac:dyDescent="0.25">
      <c r="A131" s="55" t="s">
        <v>136</v>
      </c>
      <c r="B131" s="51"/>
      <c r="C131" s="36">
        <f>SUM(C132:C135)</f>
        <v>514622790</v>
      </c>
      <c r="D131" s="36"/>
      <c r="E131" s="36"/>
      <c r="F131" s="36"/>
      <c r="G131" s="36"/>
      <c r="H131" s="36"/>
      <c r="I131" s="36">
        <f t="shared" si="23"/>
        <v>514622790</v>
      </c>
      <c r="J131" s="37"/>
      <c r="K131" s="38">
        <f t="shared" si="24"/>
        <v>514622790</v>
      </c>
      <c r="L131" s="26">
        <f>SUM(L132:L135)</f>
        <v>446008290</v>
      </c>
      <c r="M131" s="26">
        <f t="shared" si="22"/>
        <v>-68614500</v>
      </c>
      <c r="N131" s="27">
        <f t="shared" si="19"/>
        <v>0.86667030428248237</v>
      </c>
    </row>
    <row r="132" spans="1:14" s="48" customFormat="1" hidden="1" outlineLevel="1" x14ac:dyDescent="0.25">
      <c r="A132" s="47" t="s">
        <v>137</v>
      </c>
      <c r="B132" s="51"/>
      <c r="C132" s="29">
        <f>+[1]TEC!M47</f>
        <v>20000000</v>
      </c>
      <c r="D132" s="36"/>
      <c r="E132" s="36"/>
      <c r="F132" s="36"/>
      <c r="G132" s="36"/>
      <c r="H132" s="36"/>
      <c r="I132" s="28">
        <f t="shared" si="23"/>
        <v>20000000</v>
      </c>
      <c r="J132" s="37"/>
      <c r="K132" s="31">
        <f t="shared" si="24"/>
        <v>20000000</v>
      </c>
      <c r="L132" s="22">
        <f>+[2]TEC!$AA$47</f>
        <v>6335091</v>
      </c>
      <c r="M132" s="22">
        <f t="shared" si="22"/>
        <v>-13664909</v>
      </c>
      <c r="N132" s="23">
        <f t="shared" si="19"/>
        <v>0.31675455000000002</v>
      </c>
    </row>
    <row r="133" spans="1:14" s="48" customFormat="1" hidden="1" outlineLevel="1" x14ac:dyDescent="0.25">
      <c r="A133" s="47" t="s">
        <v>138</v>
      </c>
      <c r="B133" s="51"/>
      <c r="C133" s="29">
        <f>+[1]TEC!M48</f>
        <v>382068694</v>
      </c>
      <c r="D133" s="36"/>
      <c r="E133" s="36"/>
      <c r="F133" s="36"/>
      <c r="G133" s="36"/>
      <c r="H133" s="36"/>
      <c r="I133" s="28">
        <f t="shared" si="23"/>
        <v>382068694</v>
      </c>
      <c r="J133" s="37"/>
      <c r="K133" s="31">
        <f t="shared" si="24"/>
        <v>382068694</v>
      </c>
      <c r="L133" s="22">
        <f>+[2]TEC!$AA$48</f>
        <v>364221226</v>
      </c>
      <c r="M133" s="22">
        <f t="shared" si="22"/>
        <v>-17847468</v>
      </c>
      <c r="N133" s="23">
        <f t="shared" si="19"/>
        <v>0.95328727980000372</v>
      </c>
    </row>
    <row r="134" spans="1:14" s="48" customFormat="1" hidden="1" outlineLevel="1" x14ac:dyDescent="0.25">
      <c r="A134" s="47" t="s">
        <v>139</v>
      </c>
      <c r="B134" s="51"/>
      <c r="C134" s="29">
        <f>+[1]TEC!M49</f>
        <v>79336064</v>
      </c>
      <c r="D134" s="36"/>
      <c r="E134" s="36"/>
      <c r="F134" s="36"/>
      <c r="G134" s="36"/>
      <c r="H134" s="36"/>
      <c r="I134" s="28">
        <f t="shared" si="23"/>
        <v>79336064</v>
      </c>
      <c r="J134" s="37"/>
      <c r="K134" s="31">
        <f t="shared" si="24"/>
        <v>79336064</v>
      </c>
      <c r="L134" s="22">
        <f>+[2]TEC!$AA$49</f>
        <v>42624775</v>
      </c>
      <c r="M134" s="22">
        <f t="shared" si="22"/>
        <v>-36711289</v>
      </c>
      <c r="N134" s="23">
        <f t="shared" si="19"/>
        <v>0.53726858695687252</v>
      </c>
    </row>
    <row r="135" spans="1:14" s="48" customFormat="1" hidden="1" outlineLevel="1" x14ac:dyDescent="0.25">
      <c r="A135" s="47" t="s">
        <v>140</v>
      </c>
      <c r="B135" s="51"/>
      <c r="C135" s="29">
        <f>+[1]TEC!M50</f>
        <v>33218032</v>
      </c>
      <c r="D135" s="36"/>
      <c r="E135" s="36"/>
      <c r="F135" s="36"/>
      <c r="G135" s="36"/>
      <c r="H135" s="36"/>
      <c r="I135" s="28">
        <f t="shared" si="23"/>
        <v>33218032</v>
      </c>
      <c r="J135" s="37"/>
      <c r="K135" s="31">
        <f t="shared" si="24"/>
        <v>33218032</v>
      </c>
      <c r="L135" s="22">
        <f>+[2]TEC!$AA$50</f>
        <v>32827198</v>
      </c>
      <c r="M135" s="22">
        <f t="shared" si="22"/>
        <v>-390834</v>
      </c>
      <c r="N135" s="23">
        <f t="shared" si="19"/>
        <v>0.98823428191049967</v>
      </c>
    </row>
    <row r="136" spans="1:14" s="48" customFormat="1" collapsed="1" x14ac:dyDescent="0.25">
      <c r="A136" s="47"/>
      <c r="B136" s="51"/>
      <c r="C136" s="36"/>
      <c r="D136" s="36"/>
      <c r="E136" s="36"/>
      <c r="F136" s="36"/>
      <c r="G136" s="36"/>
      <c r="H136" s="36"/>
      <c r="I136" s="28"/>
      <c r="J136" s="37"/>
      <c r="K136" s="31"/>
      <c r="L136" s="22"/>
      <c r="M136" s="22"/>
      <c r="N136" s="23"/>
    </row>
    <row r="137" spans="1:14" s="48" customFormat="1" x14ac:dyDescent="0.25">
      <c r="A137" s="46" t="s">
        <v>141</v>
      </c>
      <c r="B137" s="51"/>
      <c r="C137" s="36"/>
      <c r="D137" s="36">
        <f>+D138+D142+D163</f>
        <v>1204106507</v>
      </c>
      <c r="E137" s="36"/>
      <c r="F137" s="36"/>
      <c r="G137" s="36"/>
      <c r="H137" s="36"/>
      <c r="I137" s="18">
        <f t="shared" ref="I137:I173" si="25">SUM(B137:H137)</f>
        <v>1204106507</v>
      </c>
      <c r="J137" s="37"/>
      <c r="K137" s="38">
        <f t="shared" ref="K137:K173" si="26">SUM(I137:J137)</f>
        <v>1204106507</v>
      </c>
      <c r="L137" s="26">
        <f>+L138+L142+L163</f>
        <v>1010674859</v>
      </c>
      <c r="M137" s="26">
        <f t="shared" si="22"/>
        <v>-193431648</v>
      </c>
      <c r="N137" s="27">
        <f t="shared" ref="N137:N200" si="27">+L137/K137</f>
        <v>0.83935669571130389</v>
      </c>
    </row>
    <row r="138" spans="1:14" s="48" customFormat="1" x14ac:dyDescent="0.25">
      <c r="A138" s="46" t="s">
        <v>142</v>
      </c>
      <c r="B138" s="36"/>
      <c r="C138" s="36"/>
      <c r="D138" s="36">
        <f>SUM(D139:D141)</f>
        <v>491436000</v>
      </c>
      <c r="E138" s="36"/>
      <c r="F138" s="36"/>
      <c r="G138" s="36"/>
      <c r="H138" s="36"/>
      <c r="I138" s="18">
        <f t="shared" si="25"/>
        <v>491436000</v>
      </c>
      <c r="J138" s="37"/>
      <c r="K138" s="38">
        <f t="shared" si="26"/>
        <v>491436000</v>
      </c>
      <c r="L138" s="26">
        <f>SUM(L139:L141)</f>
        <v>316642634</v>
      </c>
      <c r="M138" s="26">
        <f t="shared" si="22"/>
        <v>-174793366</v>
      </c>
      <c r="N138" s="27">
        <f t="shared" si="27"/>
        <v>0.64432120153997674</v>
      </c>
    </row>
    <row r="139" spans="1:14" s="48" customFormat="1" hidden="1" outlineLevel="1" x14ac:dyDescent="0.25">
      <c r="A139" s="47" t="s">
        <v>143</v>
      </c>
      <c r="B139" s="36"/>
      <c r="C139" s="36"/>
      <c r="D139" s="29">
        <f>+[1]TRANSF!M38-185000-1889954</f>
        <v>480925046</v>
      </c>
      <c r="E139" s="36"/>
      <c r="F139" s="36"/>
      <c r="G139" s="36"/>
      <c r="H139" s="36"/>
      <c r="I139" s="28">
        <f t="shared" si="25"/>
        <v>480925046</v>
      </c>
      <c r="J139" s="37"/>
      <c r="K139" s="31">
        <f t="shared" si="26"/>
        <v>480925046</v>
      </c>
      <c r="L139" s="22">
        <f>+[2]TRANSF!$AA$38</f>
        <v>306816680</v>
      </c>
      <c r="M139" s="22">
        <f t="shared" si="22"/>
        <v>-174108366</v>
      </c>
      <c r="N139" s="23">
        <f t="shared" si="27"/>
        <v>0.63797193045337885</v>
      </c>
    </row>
    <row r="140" spans="1:14" s="48" customFormat="1" hidden="1" outlineLevel="1" x14ac:dyDescent="0.25">
      <c r="A140" s="47" t="s">
        <v>94</v>
      </c>
      <c r="B140" s="36"/>
      <c r="C140" s="36"/>
      <c r="D140" s="29">
        <f>+[1]TRANSF!M39+685000+1889954</f>
        <v>10510954</v>
      </c>
      <c r="E140" s="36"/>
      <c r="F140" s="36"/>
      <c r="G140" s="36"/>
      <c r="H140" s="36"/>
      <c r="I140" s="28">
        <f t="shared" si="25"/>
        <v>10510954</v>
      </c>
      <c r="J140" s="37"/>
      <c r="K140" s="31">
        <f t="shared" si="26"/>
        <v>10510954</v>
      </c>
      <c r="L140" s="22">
        <f>+[2]TRANSF!$AA$39</f>
        <v>9825954</v>
      </c>
      <c r="M140" s="22">
        <f t="shared" si="22"/>
        <v>-685000</v>
      </c>
      <c r="N140" s="23">
        <f t="shared" si="27"/>
        <v>0.93482989270051031</v>
      </c>
    </row>
    <row r="141" spans="1:14" s="48" customFormat="1" hidden="1" outlineLevel="1" x14ac:dyDescent="0.25">
      <c r="A141" s="47" t="s">
        <v>144</v>
      </c>
      <c r="B141" s="36"/>
      <c r="C141" s="36"/>
      <c r="D141" s="29">
        <f>+[1]TRANSF!M40</f>
        <v>0</v>
      </c>
      <c r="E141" s="36"/>
      <c r="F141" s="36"/>
      <c r="G141" s="36"/>
      <c r="H141" s="36"/>
      <c r="I141" s="28">
        <f t="shared" si="25"/>
        <v>0</v>
      </c>
      <c r="J141" s="37"/>
      <c r="K141" s="31">
        <f t="shared" si="26"/>
        <v>0</v>
      </c>
      <c r="L141" s="22">
        <f>+[2]TRANSF!$AA$40</f>
        <v>0</v>
      </c>
      <c r="M141" s="22">
        <f t="shared" si="22"/>
        <v>0</v>
      </c>
      <c r="N141" s="23" t="e">
        <f t="shared" si="27"/>
        <v>#DIV/0!</v>
      </c>
    </row>
    <row r="142" spans="1:14" s="48" customFormat="1" collapsed="1" x14ac:dyDescent="0.25">
      <c r="A142" s="46" t="s">
        <v>145</v>
      </c>
      <c r="B142" s="36"/>
      <c r="C142" s="36"/>
      <c r="D142" s="36">
        <f>+D143+D155</f>
        <v>382670507</v>
      </c>
      <c r="E142" s="36"/>
      <c r="F142" s="36"/>
      <c r="G142" s="36"/>
      <c r="H142" s="36"/>
      <c r="I142" s="18">
        <f t="shared" si="25"/>
        <v>382670507</v>
      </c>
      <c r="J142" s="37"/>
      <c r="K142" s="38">
        <f t="shared" si="26"/>
        <v>382670507</v>
      </c>
      <c r="L142" s="26">
        <f>+L143+L155</f>
        <v>370064622</v>
      </c>
      <c r="M142" s="26">
        <f>+L142-K142</f>
        <v>-12605885</v>
      </c>
      <c r="N142" s="27">
        <f t="shared" si="27"/>
        <v>0.96705812240711819</v>
      </c>
    </row>
    <row r="143" spans="1:14" s="48" customFormat="1" hidden="1" outlineLevel="1" x14ac:dyDescent="0.25">
      <c r="A143" s="46" t="s">
        <v>146</v>
      </c>
      <c r="B143" s="36"/>
      <c r="C143" s="36"/>
      <c r="D143" s="36">
        <f>SUM(D144:D154)</f>
        <v>199270507</v>
      </c>
      <c r="E143" s="36"/>
      <c r="F143" s="36"/>
      <c r="G143" s="36"/>
      <c r="H143" s="36"/>
      <c r="I143" s="18">
        <f t="shared" si="25"/>
        <v>199270507</v>
      </c>
      <c r="J143" s="37"/>
      <c r="K143" s="38">
        <f t="shared" si="26"/>
        <v>199270507</v>
      </c>
      <c r="L143" s="26">
        <f>SUM(L144:L154)</f>
        <v>187948496</v>
      </c>
      <c r="M143" s="26">
        <f t="shared" ref="M143:M203" si="28">+L143-K143</f>
        <v>-11322011</v>
      </c>
      <c r="N143" s="27">
        <f t="shared" si="27"/>
        <v>0.94318270590840625</v>
      </c>
    </row>
    <row r="144" spans="1:14" s="48" customFormat="1" hidden="1" outlineLevel="2" x14ac:dyDescent="0.25">
      <c r="A144" s="47" t="s">
        <v>147</v>
      </c>
      <c r="B144" s="36"/>
      <c r="C144" s="36"/>
      <c r="D144" s="29">
        <f>+[1]TRANSF!M43</f>
        <v>12621003</v>
      </c>
      <c r="E144" s="36"/>
      <c r="F144" s="36"/>
      <c r="G144" s="36"/>
      <c r="H144" s="36"/>
      <c r="I144" s="28">
        <f t="shared" si="25"/>
        <v>12621003</v>
      </c>
      <c r="J144" s="37"/>
      <c r="K144" s="31">
        <f t="shared" si="26"/>
        <v>12621003</v>
      </c>
      <c r="L144" s="22">
        <f>+[2]TRANSF!$AA$43</f>
        <v>12621003</v>
      </c>
      <c r="M144" s="22">
        <f t="shared" si="28"/>
        <v>0</v>
      </c>
      <c r="N144" s="23">
        <f t="shared" si="27"/>
        <v>1</v>
      </c>
    </row>
    <row r="145" spans="1:14" s="48" customFormat="1" hidden="1" outlineLevel="2" x14ac:dyDescent="0.25">
      <c r="A145" s="47" t="s">
        <v>148</v>
      </c>
      <c r="B145" s="36"/>
      <c r="C145" s="36"/>
      <c r="D145" s="29">
        <f>+[1]TRANSF!M44</f>
        <v>20000000</v>
      </c>
      <c r="E145" s="36"/>
      <c r="F145" s="36"/>
      <c r="G145" s="36"/>
      <c r="H145" s="36"/>
      <c r="I145" s="28">
        <f t="shared" si="25"/>
        <v>20000000</v>
      </c>
      <c r="J145" s="37"/>
      <c r="K145" s="31">
        <f t="shared" si="26"/>
        <v>20000000</v>
      </c>
      <c r="L145" s="22">
        <f>+[2]TRANSF!$AA$44</f>
        <v>19059873</v>
      </c>
      <c r="M145" s="22">
        <f t="shared" si="28"/>
        <v>-940127</v>
      </c>
      <c r="N145" s="23">
        <f t="shared" si="27"/>
        <v>0.95299365000000003</v>
      </c>
    </row>
    <row r="146" spans="1:14" s="48" customFormat="1" hidden="1" outlineLevel="2" x14ac:dyDescent="0.25">
      <c r="A146" s="47" t="s">
        <v>149</v>
      </c>
      <c r="B146" s="36"/>
      <c r="C146" s="36"/>
      <c r="D146" s="29">
        <f>+[1]TRANSF!M45</f>
        <v>14049504</v>
      </c>
      <c r="E146" s="36"/>
      <c r="F146" s="36"/>
      <c r="G146" s="36"/>
      <c r="H146" s="36"/>
      <c r="I146" s="28">
        <f t="shared" si="25"/>
        <v>14049504</v>
      </c>
      <c r="J146" s="37"/>
      <c r="K146" s="31">
        <f t="shared" si="26"/>
        <v>14049504</v>
      </c>
      <c r="L146" s="22">
        <f>+[2]TRANSF!$AA$45</f>
        <v>14049504</v>
      </c>
      <c r="M146" s="22">
        <f t="shared" si="28"/>
        <v>0</v>
      </c>
      <c r="N146" s="23">
        <f t="shared" si="27"/>
        <v>1</v>
      </c>
    </row>
    <row r="147" spans="1:14" s="48" customFormat="1" hidden="1" outlineLevel="2" x14ac:dyDescent="0.25">
      <c r="A147" s="47" t="s">
        <v>150</v>
      </c>
      <c r="B147" s="36"/>
      <c r="C147" s="36"/>
      <c r="D147" s="29">
        <f>+[1]TRANSF!M46</f>
        <v>24000000</v>
      </c>
      <c r="E147" s="36"/>
      <c r="F147" s="36"/>
      <c r="G147" s="36"/>
      <c r="H147" s="36"/>
      <c r="I147" s="28">
        <f t="shared" si="25"/>
        <v>24000000</v>
      </c>
      <c r="J147" s="37"/>
      <c r="K147" s="31">
        <f t="shared" si="26"/>
        <v>24000000</v>
      </c>
      <c r="L147" s="22">
        <f>+[2]TRANSF!$AA$46</f>
        <v>24000000</v>
      </c>
      <c r="M147" s="22">
        <f t="shared" si="28"/>
        <v>0</v>
      </c>
      <c r="N147" s="23">
        <f t="shared" si="27"/>
        <v>1</v>
      </c>
    </row>
    <row r="148" spans="1:14" s="48" customFormat="1" hidden="1" outlineLevel="2" x14ac:dyDescent="0.25">
      <c r="A148" s="47" t="s">
        <v>151</v>
      </c>
      <c r="B148" s="36"/>
      <c r="C148" s="36"/>
      <c r="D148" s="29">
        <f>+[1]TRANSF!M47-26800000</f>
        <v>3200000</v>
      </c>
      <c r="E148" s="36"/>
      <c r="F148" s="36"/>
      <c r="G148" s="36"/>
      <c r="H148" s="36"/>
      <c r="I148" s="28">
        <f t="shared" si="25"/>
        <v>3200000</v>
      </c>
      <c r="J148" s="37"/>
      <c r="K148" s="31">
        <f t="shared" si="26"/>
        <v>3200000</v>
      </c>
      <c r="L148" s="22">
        <f>+[2]TRANSF!$AA$47</f>
        <v>3145034</v>
      </c>
      <c r="M148" s="22">
        <f t="shared" si="28"/>
        <v>-54966</v>
      </c>
      <c r="N148" s="23">
        <f t="shared" si="27"/>
        <v>0.98282312500000002</v>
      </c>
    </row>
    <row r="149" spans="1:14" s="48" customFormat="1" hidden="1" outlineLevel="2" x14ac:dyDescent="0.25">
      <c r="A149" s="47" t="s">
        <v>152</v>
      </c>
      <c r="B149" s="36"/>
      <c r="C149" s="36"/>
      <c r="D149" s="29">
        <f>+[1]TRANSF!M48</f>
        <v>15000000</v>
      </c>
      <c r="E149" s="36"/>
      <c r="F149" s="36"/>
      <c r="G149" s="36"/>
      <c r="H149" s="36"/>
      <c r="I149" s="28">
        <f t="shared" si="25"/>
        <v>15000000</v>
      </c>
      <c r="J149" s="37"/>
      <c r="K149" s="31">
        <f t="shared" si="26"/>
        <v>15000000</v>
      </c>
      <c r="L149" s="22">
        <f>+[2]TRANSF!$AA$48</f>
        <v>14998570</v>
      </c>
      <c r="M149" s="22">
        <f t="shared" si="28"/>
        <v>-1430</v>
      </c>
      <c r="N149" s="23">
        <f t="shared" si="27"/>
        <v>0.99990466666666666</v>
      </c>
    </row>
    <row r="150" spans="1:14" s="48" customFormat="1" hidden="1" outlineLevel="2" x14ac:dyDescent="0.25">
      <c r="A150" s="47" t="s">
        <v>153</v>
      </c>
      <c r="B150" s="36"/>
      <c r="C150" s="36"/>
      <c r="D150" s="29">
        <f>+[1]TRANSF!M49+18700000</f>
        <v>48700000</v>
      </c>
      <c r="E150" s="36"/>
      <c r="F150" s="36"/>
      <c r="G150" s="36"/>
      <c r="H150" s="36"/>
      <c r="I150" s="28">
        <f t="shared" si="25"/>
        <v>48700000</v>
      </c>
      <c r="J150" s="37"/>
      <c r="K150" s="31">
        <f t="shared" si="26"/>
        <v>48700000</v>
      </c>
      <c r="L150" s="22">
        <f>+[2]TRANSF!$AA$49</f>
        <v>48678210</v>
      </c>
      <c r="M150" s="22">
        <f t="shared" si="28"/>
        <v>-21790</v>
      </c>
      <c r="N150" s="23">
        <f t="shared" si="27"/>
        <v>0.99955256673511295</v>
      </c>
    </row>
    <row r="151" spans="1:14" s="48" customFormat="1" hidden="1" outlineLevel="2" x14ac:dyDescent="0.25">
      <c r="A151" s="47" t="s">
        <v>154</v>
      </c>
      <c r="B151" s="36"/>
      <c r="C151" s="36"/>
      <c r="D151" s="29">
        <f>+[1]TRANSF!M50+1000000</f>
        <v>9000000</v>
      </c>
      <c r="E151" s="36"/>
      <c r="F151" s="36"/>
      <c r="G151" s="36"/>
      <c r="H151" s="36"/>
      <c r="I151" s="28">
        <f t="shared" si="25"/>
        <v>9000000</v>
      </c>
      <c r="J151" s="37"/>
      <c r="K151" s="31">
        <f t="shared" si="26"/>
        <v>9000000</v>
      </c>
      <c r="L151" s="22">
        <f>+[2]TRANSF!$AA$50</f>
        <v>8933925</v>
      </c>
      <c r="M151" s="22">
        <f t="shared" si="28"/>
        <v>-66075</v>
      </c>
      <c r="N151" s="23">
        <f t="shared" si="27"/>
        <v>0.99265833333333331</v>
      </c>
    </row>
    <row r="152" spans="1:14" s="48" customFormat="1" hidden="1" outlineLevel="2" x14ac:dyDescent="0.25">
      <c r="A152" s="47" t="s">
        <v>155</v>
      </c>
      <c r="B152" s="36"/>
      <c r="C152" s="36"/>
      <c r="D152" s="29">
        <f>+[1]TRANSF!M51</f>
        <v>20000000</v>
      </c>
      <c r="E152" s="36"/>
      <c r="F152" s="36"/>
      <c r="G152" s="36"/>
      <c r="H152" s="36"/>
      <c r="I152" s="28">
        <f t="shared" si="25"/>
        <v>20000000</v>
      </c>
      <c r="J152" s="37"/>
      <c r="K152" s="31">
        <f t="shared" si="26"/>
        <v>20000000</v>
      </c>
      <c r="L152" s="22">
        <f>+[2]TRANSF!$AA$51</f>
        <v>10000000</v>
      </c>
      <c r="M152" s="22">
        <f t="shared" si="28"/>
        <v>-10000000</v>
      </c>
      <c r="N152" s="23">
        <f t="shared" si="27"/>
        <v>0.5</v>
      </c>
    </row>
    <row r="153" spans="1:14" s="48" customFormat="1" hidden="1" outlineLevel="2" x14ac:dyDescent="0.25">
      <c r="A153" s="47" t="s">
        <v>156</v>
      </c>
      <c r="B153" s="36"/>
      <c r="C153" s="36"/>
      <c r="D153" s="29">
        <f>+[1]TRANSF!M52</f>
        <v>30000000</v>
      </c>
      <c r="E153" s="36"/>
      <c r="F153" s="36"/>
      <c r="G153" s="36"/>
      <c r="H153" s="36"/>
      <c r="I153" s="28">
        <f t="shared" si="25"/>
        <v>30000000</v>
      </c>
      <c r="J153" s="37"/>
      <c r="K153" s="31">
        <f t="shared" si="26"/>
        <v>30000000</v>
      </c>
      <c r="L153" s="22">
        <f>+[2]TRANSF!$AA$52</f>
        <v>29762377</v>
      </c>
      <c r="M153" s="22">
        <f t="shared" si="28"/>
        <v>-237623</v>
      </c>
      <c r="N153" s="23">
        <f t="shared" si="27"/>
        <v>0.99207923333333337</v>
      </c>
    </row>
    <row r="154" spans="1:14" s="48" customFormat="1" hidden="1" outlineLevel="2" x14ac:dyDescent="0.25">
      <c r="A154" s="47" t="s">
        <v>157</v>
      </c>
      <c r="B154" s="36"/>
      <c r="C154" s="36"/>
      <c r="D154" s="29">
        <f>+[1]TRANSF!M53-1000000-3200000-1100000</f>
        <v>2700000</v>
      </c>
      <c r="E154" s="36"/>
      <c r="F154" s="36"/>
      <c r="G154" s="36"/>
      <c r="H154" s="36"/>
      <c r="I154" s="28">
        <f t="shared" si="25"/>
        <v>2700000</v>
      </c>
      <c r="J154" s="37"/>
      <c r="K154" s="31">
        <f t="shared" si="26"/>
        <v>2700000</v>
      </c>
      <c r="L154" s="22">
        <f>+[2]TRANSF!$AA$53</f>
        <v>2700000</v>
      </c>
      <c r="M154" s="22">
        <f t="shared" si="28"/>
        <v>0</v>
      </c>
      <c r="N154" s="23">
        <f t="shared" si="27"/>
        <v>1</v>
      </c>
    </row>
    <row r="155" spans="1:14" s="48" customFormat="1" hidden="1" outlineLevel="1" collapsed="1" x14ac:dyDescent="0.25">
      <c r="A155" s="46" t="s">
        <v>158</v>
      </c>
      <c r="B155" s="36"/>
      <c r="C155" s="36"/>
      <c r="D155" s="36">
        <f>SUM(D156:D162)</f>
        <v>183400000</v>
      </c>
      <c r="E155" s="36"/>
      <c r="F155" s="36"/>
      <c r="G155" s="36"/>
      <c r="H155" s="36"/>
      <c r="I155" s="18">
        <f t="shared" si="25"/>
        <v>183400000</v>
      </c>
      <c r="J155" s="37"/>
      <c r="K155" s="38">
        <f t="shared" si="26"/>
        <v>183400000</v>
      </c>
      <c r="L155" s="26">
        <f>SUM(L156:L162)</f>
        <v>182116126</v>
      </c>
      <c r="M155" s="26">
        <f t="shared" si="28"/>
        <v>-1283874</v>
      </c>
      <c r="N155" s="27">
        <f t="shared" si="27"/>
        <v>0.99299959651035985</v>
      </c>
    </row>
    <row r="156" spans="1:14" s="48" customFormat="1" hidden="1" outlineLevel="2" x14ac:dyDescent="0.25">
      <c r="A156" s="47" t="s">
        <v>159</v>
      </c>
      <c r="B156" s="36"/>
      <c r="C156" s="36"/>
      <c r="D156" s="29">
        <f>+[1]TRANSF!M55</f>
        <v>19000000</v>
      </c>
      <c r="E156" s="36"/>
      <c r="F156" s="36"/>
      <c r="G156" s="36"/>
      <c r="H156" s="36"/>
      <c r="I156" s="28">
        <f t="shared" si="25"/>
        <v>19000000</v>
      </c>
      <c r="J156" s="37"/>
      <c r="K156" s="31">
        <f t="shared" si="26"/>
        <v>19000000</v>
      </c>
      <c r="L156" s="22">
        <f>+[2]TRANSF!$AA$55</f>
        <v>17997468</v>
      </c>
      <c r="M156" s="22">
        <f t="shared" si="28"/>
        <v>-1002532</v>
      </c>
      <c r="N156" s="23">
        <f t="shared" si="27"/>
        <v>0.94723515789473689</v>
      </c>
    </row>
    <row r="157" spans="1:14" s="48" customFormat="1" hidden="1" outlineLevel="2" x14ac:dyDescent="0.25">
      <c r="A157" s="47" t="s">
        <v>160</v>
      </c>
      <c r="B157" s="36"/>
      <c r="C157" s="36"/>
      <c r="D157" s="29">
        <f>+[1]TRANSF!M56-18700000</f>
        <v>3300000</v>
      </c>
      <c r="E157" s="36"/>
      <c r="F157" s="36"/>
      <c r="G157" s="36"/>
      <c r="H157" s="36"/>
      <c r="I157" s="28">
        <f t="shared" si="25"/>
        <v>3300000</v>
      </c>
      <c r="J157" s="37"/>
      <c r="K157" s="31">
        <f t="shared" si="26"/>
        <v>3300000</v>
      </c>
      <c r="L157" s="22">
        <f>+[2]TRANSF!$AA$56</f>
        <v>3300000</v>
      </c>
      <c r="M157" s="22">
        <f t="shared" si="28"/>
        <v>0</v>
      </c>
      <c r="N157" s="23">
        <f t="shared" si="27"/>
        <v>1</v>
      </c>
    </row>
    <row r="158" spans="1:14" s="48" customFormat="1" hidden="1" outlineLevel="2" x14ac:dyDescent="0.25">
      <c r="A158" s="47" t="s">
        <v>161</v>
      </c>
      <c r="B158" s="36"/>
      <c r="C158" s="36"/>
      <c r="D158" s="29">
        <f>+[1]TRANSF!M57+26800000+3200000</f>
        <v>50000000</v>
      </c>
      <c r="E158" s="36"/>
      <c r="F158" s="36"/>
      <c r="G158" s="36"/>
      <c r="H158" s="36"/>
      <c r="I158" s="28">
        <f t="shared" si="25"/>
        <v>50000000</v>
      </c>
      <c r="J158" s="37"/>
      <c r="K158" s="31">
        <f t="shared" si="26"/>
        <v>50000000</v>
      </c>
      <c r="L158" s="22">
        <f>+[2]TRANSF!$AA$57</f>
        <v>50000000</v>
      </c>
      <c r="M158" s="22">
        <f t="shared" si="28"/>
        <v>0</v>
      </c>
      <c r="N158" s="23">
        <f t="shared" si="27"/>
        <v>1</v>
      </c>
    </row>
    <row r="159" spans="1:14" s="48" customFormat="1" hidden="1" outlineLevel="2" x14ac:dyDescent="0.25">
      <c r="A159" s="47" t="s">
        <v>162</v>
      </c>
      <c r="B159" s="36"/>
      <c r="C159" s="36"/>
      <c r="D159" s="29">
        <f>+[1]TRANSF!M58</f>
        <v>20000000</v>
      </c>
      <c r="E159" s="36"/>
      <c r="F159" s="36"/>
      <c r="G159" s="36"/>
      <c r="H159" s="36"/>
      <c r="I159" s="28">
        <f t="shared" si="25"/>
        <v>20000000</v>
      </c>
      <c r="J159" s="37"/>
      <c r="K159" s="31">
        <f t="shared" si="26"/>
        <v>20000000</v>
      </c>
      <c r="L159" s="22">
        <f>+[2]TRANSF!$AA$58</f>
        <v>20000000</v>
      </c>
      <c r="M159" s="22">
        <f t="shared" si="28"/>
        <v>0</v>
      </c>
      <c r="N159" s="23">
        <f t="shared" si="27"/>
        <v>1</v>
      </c>
    </row>
    <row r="160" spans="1:14" s="48" customFormat="1" hidden="1" outlineLevel="2" x14ac:dyDescent="0.25">
      <c r="A160" s="47" t="s">
        <v>163</v>
      </c>
      <c r="B160" s="36"/>
      <c r="C160" s="36"/>
      <c r="D160" s="29">
        <f>+[1]TRANSF!M59</f>
        <v>0</v>
      </c>
      <c r="E160" s="36"/>
      <c r="F160" s="36"/>
      <c r="G160" s="36"/>
      <c r="H160" s="36"/>
      <c r="I160" s="28">
        <f t="shared" si="25"/>
        <v>0</v>
      </c>
      <c r="J160" s="37"/>
      <c r="K160" s="31">
        <f t="shared" si="26"/>
        <v>0</v>
      </c>
      <c r="L160" s="22">
        <f>+[2]TRANSF!$AA$59</f>
        <v>0</v>
      </c>
      <c r="M160" s="22">
        <f t="shared" si="28"/>
        <v>0</v>
      </c>
      <c r="N160" s="23" t="e">
        <f t="shared" si="27"/>
        <v>#DIV/0!</v>
      </c>
    </row>
    <row r="161" spans="1:14" s="48" customFormat="1" hidden="1" outlineLevel="2" x14ac:dyDescent="0.25">
      <c r="A161" s="47" t="s">
        <v>164</v>
      </c>
      <c r="B161" s="36"/>
      <c r="C161" s="36"/>
      <c r="D161" s="29">
        <f>+[1]TRANSF!M60</f>
        <v>80000000</v>
      </c>
      <c r="E161" s="36"/>
      <c r="F161" s="36"/>
      <c r="G161" s="36"/>
      <c r="H161" s="36"/>
      <c r="I161" s="28">
        <f t="shared" si="25"/>
        <v>80000000</v>
      </c>
      <c r="J161" s="37"/>
      <c r="K161" s="31">
        <f t="shared" si="26"/>
        <v>80000000</v>
      </c>
      <c r="L161" s="22">
        <f>+[2]TRANSF!$AA$60</f>
        <v>79811594</v>
      </c>
      <c r="M161" s="22">
        <f t="shared" si="28"/>
        <v>-188406</v>
      </c>
      <c r="N161" s="23">
        <f t="shared" si="27"/>
        <v>0.99764492500000002</v>
      </c>
    </row>
    <row r="162" spans="1:14" s="48" customFormat="1" hidden="1" outlineLevel="2" x14ac:dyDescent="0.25">
      <c r="A162" s="47" t="s">
        <v>165</v>
      </c>
      <c r="B162" s="36"/>
      <c r="C162" s="36"/>
      <c r="D162" s="29">
        <f>+[1]TRANSF!M61+1100000</f>
        <v>11100000</v>
      </c>
      <c r="E162" s="36"/>
      <c r="F162" s="36"/>
      <c r="G162" s="36"/>
      <c r="H162" s="36"/>
      <c r="I162" s="28">
        <f t="shared" si="25"/>
        <v>11100000</v>
      </c>
      <c r="J162" s="37"/>
      <c r="K162" s="31">
        <f t="shared" si="26"/>
        <v>11100000</v>
      </c>
      <c r="L162" s="22">
        <f>+[2]TRANSF!$AA$61</f>
        <v>11007064</v>
      </c>
      <c r="M162" s="22">
        <f t="shared" si="28"/>
        <v>-92936</v>
      </c>
      <c r="N162" s="23">
        <f t="shared" si="27"/>
        <v>0.99162738738738743</v>
      </c>
    </row>
    <row r="163" spans="1:14" s="48" customFormat="1" collapsed="1" x14ac:dyDescent="0.25">
      <c r="A163" s="46" t="s">
        <v>166</v>
      </c>
      <c r="B163" s="36"/>
      <c r="C163" s="36"/>
      <c r="D163" s="36">
        <f>+D164+D168</f>
        <v>330000000</v>
      </c>
      <c r="E163" s="36"/>
      <c r="F163" s="36"/>
      <c r="G163" s="36"/>
      <c r="H163" s="36"/>
      <c r="I163" s="18">
        <f t="shared" si="25"/>
        <v>330000000</v>
      </c>
      <c r="J163" s="37"/>
      <c r="K163" s="38">
        <f t="shared" si="26"/>
        <v>330000000</v>
      </c>
      <c r="L163" s="26">
        <f>+L164+L168</f>
        <v>323967603</v>
      </c>
      <c r="M163" s="26">
        <f t="shared" si="28"/>
        <v>-6032397</v>
      </c>
      <c r="N163" s="27">
        <f t="shared" si="27"/>
        <v>0.98172000909090906</v>
      </c>
    </row>
    <row r="164" spans="1:14" s="48" customFormat="1" hidden="1" outlineLevel="1" x14ac:dyDescent="0.25">
      <c r="A164" s="46" t="s">
        <v>167</v>
      </c>
      <c r="B164" s="36"/>
      <c r="C164" s="36"/>
      <c r="D164" s="36">
        <f>SUM(D165:D167)</f>
        <v>35000000</v>
      </c>
      <c r="E164" s="36"/>
      <c r="F164" s="36"/>
      <c r="G164" s="36"/>
      <c r="H164" s="36"/>
      <c r="I164" s="18">
        <f t="shared" si="25"/>
        <v>35000000</v>
      </c>
      <c r="J164" s="37"/>
      <c r="K164" s="38">
        <f t="shared" si="26"/>
        <v>35000000</v>
      </c>
      <c r="L164" s="26">
        <f>SUM(L165:L167)</f>
        <v>34183739</v>
      </c>
      <c r="M164" s="26">
        <f t="shared" si="28"/>
        <v>-816261</v>
      </c>
      <c r="N164" s="27">
        <f t="shared" si="27"/>
        <v>0.97667825714285716</v>
      </c>
    </row>
    <row r="165" spans="1:14" s="48" customFormat="1" hidden="1" outlineLevel="2" x14ac:dyDescent="0.25">
      <c r="A165" s="47" t="s">
        <v>168</v>
      </c>
      <c r="B165" s="36"/>
      <c r="C165" s="36"/>
      <c r="D165" s="29">
        <f>+[1]TRANSF!M64-25000000-5000000</f>
        <v>0</v>
      </c>
      <c r="E165" s="36"/>
      <c r="F165" s="36"/>
      <c r="G165" s="36"/>
      <c r="H165" s="36"/>
      <c r="I165" s="28">
        <f t="shared" si="25"/>
        <v>0</v>
      </c>
      <c r="J165" s="37"/>
      <c r="K165" s="31">
        <f t="shared" si="26"/>
        <v>0</v>
      </c>
      <c r="L165" s="22">
        <f>+[2]TRANSF!$AA$64</f>
        <v>0</v>
      </c>
      <c r="M165" s="22">
        <f t="shared" si="28"/>
        <v>0</v>
      </c>
      <c r="N165" s="23" t="e">
        <f t="shared" si="27"/>
        <v>#DIV/0!</v>
      </c>
    </row>
    <row r="166" spans="1:14" s="48" customFormat="1" hidden="1" outlineLevel="2" x14ac:dyDescent="0.25">
      <c r="A166" s="47" t="s">
        <v>169</v>
      </c>
      <c r="B166" s="36"/>
      <c r="C166" s="36"/>
      <c r="D166" s="29">
        <f>+[1]TRANSF!M65-5000000</f>
        <v>35000000</v>
      </c>
      <c r="E166" s="36"/>
      <c r="F166" s="36"/>
      <c r="G166" s="36"/>
      <c r="H166" s="36"/>
      <c r="I166" s="28">
        <f t="shared" si="25"/>
        <v>35000000</v>
      </c>
      <c r="J166" s="37"/>
      <c r="K166" s="31">
        <f t="shared" si="26"/>
        <v>35000000</v>
      </c>
      <c r="L166" s="22">
        <f>+[2]TRANSF!$AA$65</f>
        <v>34183739</v>
      </c>
      <c r="M166" s="22">
        <f t="shared" si="28"/>
        <v>-816261</v>
      </c>
      <c r="N166" s="23">
        <f t="shared" si="27"/>
        <v>0.97667825714285716</v>
      </c>
    </row>
    <row r="167" spans="1:14" s="48" customFormat="1" hidden="1" outlineLevel="2" x14ac:dyDescent="0.25">
      <c r="A167" s="47" t="s">
        <v>170</v>
      </c>
      <c r="B167" s="36"/>
      <c r="C167" s="36"/>
      <c r="D167" s="29">
        <f>+[1]TRANSF!M66-13000000</f>
        <v>0</v>
      </c>
      <c r="E167" s="36"/>
      <c r="F167" s="36"/>
      <c r="G167" s="36"/>
      <c r="H167" s="36"/>
      <c r="I167" s="28">
        <f t="shared" si="25"/>
        <v>0</v>
      </c>
      <c r="J167" s="37"/>
      <c r="K167" s="31">
        <f t="shared" si="26"/>
        <v>0</v>
      </c>
      <c r="L167" s="22">
        <f>+[2]TRANSF!$AA$66</f>
        <v>0</v>
      </c>
      <c r="M167" s="22">
        <f t="shared" si="28"/>
        <v>0</v>
      </c>
      <c r="N167" s="23" t="e">
        <f t="shared" si="27"/>
        <v>#DIV/0!</v>
      </c>
    </row>
    <row r="168" spans="1:14" s="48" customFormat="1" hidden="1" outlineLevel="1" collapsed="1" x14ac:dyDescent="0.25">
      <c r="A168" s="46" t="s">
        <v>171</v>
      </c>
      <c r="B168" s="36"/>
      <c r="C168" s="36"/>
      <c r="D168" s="36">
        <f>SUM(D169:D173)</f>
        <v>295000000</v>
      </c>
      <c r="E168" s="36"/>
      <c r="F168" s="36"/>
      <c r="G168" s="36"/>
      <c r="H168" s="36"/>
      <c r="I168" s="18">
        <f t="shared" si="25"/>
        <v>295000000</v>
      </c>
      <c r="J168" s="37"/>
      <c r="K168" s="38">
        <f t="shared" si="26"/>
        <v>295000000</v>
      </c>
      <c r="L168" s="26">
        <f>SUM(L169:L173)</f>
        <v>289783864</v>
      </c>
      <c r="M168" s="26">
        <f t="shared" si="28"/>
        <v>-5216136</v>
      </c>
      <c r="N168" s="27">
        <f t="shared" si="27"/>
        <v>0.9823181830508475</v>
      </c>
    </row>
    <row r="169" spans="1:14" s="48" customFormat="1" hidden="1" outlineLevel="2" x14ac:dyDescent="0.25">
      <c r="A169" s="47" t="s">
        <v>172</v>
      </c>
      <c r="B169" s="36"/>
      <c r="C169" s="36"/>
      <c r="D169" s="29">
        <f>+[1]TRANSF!M68+8500000+3000000+25000000+5000000+5000000+13000000</f>
        <v>209500000</v>
      </c>
      <c r="E169" s="36"/>
      <c r="F169" s="36"/>
      <c r="G169" s="36"/>
      <c r="H169" s="36"/>
      <c r="I169" s="28">
        <f t="shared" si="25"/>
        <v>209500000</v>
      </c>
      <c r="J169" s="37"/>
      <c r="K169" s="31">
        <f t="shared" si="26"/>
        <v>209500000</v>
      </c>
      <c r="L169" s="22">
        <f>+[2]TRANSF!$AA$68</f>
        <v>208166838</v>
      </c>
      <c r="M169" s="22">
        <f t="shared" si="28"/>
        <v>-1333162</v>
      </c>
      <c r="N169" s="23">
        <f t="shared" si="27"/>
        <v>0.99363645823389024</v>
      </c>
    </row>
    <row r="170" spans="1:14" s="48" customFormat="1" hidden="1" outlineLevel="2" x14ac:dyDescent="0.25">
      <c r="A170" s="47" t="s">
        <v>173</v>
      </c>
      <c r="B170" s="36"/>
      <c r="C170" s="36"/>
      <c r="D170" s="29">
        <f>+[1]TRANSF!M69</f>
        <v>0</v>
      </c>
      <c r="E170" s="29"/>
      <c r="F170" s="29"/>
      <c r="G170" s="29"/>
      <c r="H170" s="29"/>
      <c r="I170" s="28">
        <f t="shared" si="25"/>
        <v>0</v>
      </c>
      <c r="J170" s="30"/>
      <c r="K170" s="31">
        <f t="shared" si="26"/>
        <v>0</v>
      </c>
      <c r="L170" s="22">
        <f>+[2]TRANSF!$AA$69</f>
        <v>0</v>
      </c>
      <c r="M170" s="22">
        <f t="shared" si="28"/>
        <v>0</v>
      </c>
      <c r="N170" s="23" t="e">
        <f t="shared" si="27"/>
        <v>#DIV/0!</v>
      </c>
    </row>
    <row r="171" spans="1:14" s="48" customFormat="1" hidden="1" outlineLevel="2" x14ac:dyDescent="0.25">
      <c r="A171" s="47" t="s">
        <v>174</v>
      </c>
      <c r="B171" s="36"/>
      <c r="C171" s="36"/>
      <c r="D171" s="29">
        <f>+[1]TRANSF!M70-3000000</f>
        <v>2000000</v>
      </c>
      <c r="E171" s="29"/>
      <c r="F171" s="29"/>
      <c r="G171" s="29"/>
      <c r="H171" s="29"/>
      <c r="I171" s="28">
        <f t="shared" si="25"/>
        <v>2000000</v>
      </c>
      <c r="J171" s="30"/>
      <c r="K171" s="31">
        <f t="shared" si="26"/>
        <v>2000000</v>
      </c>
      <c r="L171" s="22">
        <f>+[2]TRANSF!$AA$70</f>
        <v>2000000</v>
      </c>
      <c r="M171" s="22">
        <f t="shared" si="28"/>
        <v>0</v>
      </c>
      <c r="N171" s="23">
        <f t="shared" si="27"/>
        <v>1</v>
      </c>
    </row>
    <row r="172" spans="1:14" s="48" customFormat="1" hidden="1" outlineLevel="1" collapsed="1" x14ac:dyDescent="0.25">
      <c r="A172" s="46" t="s">
        <v>175</v>
      </c>
      <c r="B172" s="36"/>
      <c r="C172" s="36"/>
      <c r="D172" s="36">
        <f>+[1]TRANSF!M71-8500000</f>
        <v>3500000</v>
      </c>
      <c r="E172" s="36"/>
      <c r="F172" s="36"/>
      <c r="G172" s="36"/>
      <c r="H172" s="36"/>
      <c r="I172" s="18">
        <f t="shared" si="25"/>
        <v>3500000</v>
      </c>
      <c r="J172" s="37"/>
      <c r="K172" s="38">
        <f t="shared" si="26"/>
        <v>3500000</v>
      </c>
      <c r="L172" s="26">
        <f>+[2]TRANSF!$AA$71</f>
        <v>3363450</v>
      </c>
      <c r="M172" s="26">
        <f t="shared" si="28"/>
        <v>-136550</v>
      </c>
      <c r="N172" s="27">
        <f t="shared" si="27"/>
        <v>0.96098571428571433</v>
      </c>
    </row>
    <row r="173" spans="1:14" s="48" customFormat="1" hidden="1" outlineLevel="1" x14ac:dyDescent="0.25">
      <c r="A173" s="46" t="s">
        <v>176</v>
      </c>
      <c r="B173" s="36"/>
      <c r="C173" s="36"/>
      <c r="D173" s="36">
        <f>+[1]TRANSF!M72</f>
        <v>80000000</v>
      </c>
      <c r="E173" s="36"/>
      <c r="F173" s="36"/>
      <c r="G173" s="36"/>
      <c r="H173" s="36"/>
      <c r="I173" s="18">
        <f t="shared" si="25"/>
        <v>80000000</v>
      </c>
      <c r="J173" s="37"/>
      <c r="K173" s="38">
        <f t="shared" si="26"/>
        <v>80000000</v>
      </c>
      <c r="L173" s="26">
        <f>+[2]TRANSF!$AA$72</f>
        <v>76253576</v>
      </c>
      <c r="M173" s="26">
        <f t="shared" si="28"/>
        <v>-3746424</v>
      </c>
      <c r="N173" s="27">
        <f t="shared" si="27"/>
        <v>0.95316970000000001</v>
      </c>
    </row>
    <row r="174" spans="1:14" s="48" customFormat="1" collapsed="1" x14ac:dyDescent="0.25">
      <c r="A174" s="47"/>
      <c r="B174" s="36"/>
      <c r="C174" s="36"/>
      <c r="D174" s="36"/>
      <c r="E174" s="36"/>
      <c r="F174" s="36"/>
      <c r="G174" s="36"/>
      <c r="H174" s="36"/>
      <c r="I174" s="28"/>
      <c r="J174" s="37"/>
      <c r="K174" s="31"/>
      <c r="L174" s="22"/>
      <c r="M174" s="22"/>
      <c r="N174" s="23"/>
    </row>
    <row r="175" spans="1:14" s="48" customFormat="1" x14ac:dyDescent="0.25">
      <c r="A175" s="46" t="s">
        <v>177</v>
      </c>
      <c r="B175" s="36"/>
      <c r="C175" s="36"/>
      <c r="D175" s="36"/>
      <c r="E175" s="36">
        <f>+E176+E179</f>
        <v>450000000</v>
      </c>
      <c r="F175" s="36"/>
      <c r="G175" s="36"/>
      <c r="H175" s="36"/>
      <c r="I175" s="36">
        <f t="shared" ref="I175:I182" si="29">SUM(B175:H175)</f>
        <v>450000000</v>
      </c>
      <c r="J175" s="37"/>
      <c r="K175" s="38">
        <f t="shared" ref="K175:K182" si="30">SUM(I175:J175)</f>
        <v>450000000</v>
      </c>
      <c r="L175" s="26">
        <f>+L176+L179</f>
        <v>413361602</v>
      </c>
      <c r="M175" s="26">
        <f t="shared" si="28"/>
        <v>-36638398</v>
      </c>
      <c r="N175" s="27">
        <f t="shared" si="27"/>
        <v>0.91858133777777773</v>
      </c>
    </row>
    <row r="176" spans="1:14" s="48" customFormat="1" x14ac:dyDescent="0.25">
      <c r="A176" s="46" t="s">
        <v>178</v>
      </c>
      <c r="B176" s="36"/>
      <c r="C176" s="36"/>
      <c r="D176" s="36"/>
      <c r="E176" s="36">
        <f>SUM(E177:E178)</f>
        <v>200000000</v>
      </c>
      <c r="F176" s="36"/>
      <c r="G176" s="36"/>
      <c r="H176" s="36"/>
      <c r="I176" s="36">
        <f t="shared" si="29"/>
        <v>200000000</v>
      </c>
      <c r="J176" s="37"/>
      <c r="K176" s="38">
        <f t="shared" si="30"/>
        <v>200000000</v>
      </c>
      <c r="L176" s="26">
        <f>SUM(L177:L178)</f>
        <v>175968926</v>
      </c>
      <c r="M176" s="26">
        <f t="shared" si="28"/>
        <v>-24031074</v>
      </c>
      <c r="N176" s="27">
        <f t="shared" si="27"/>
        <v>0.87984463000000002</v>
      </c>
    </row>
    <row r="177" spans="1:14" s="48" customFormat="1" hidden="1" outlineLevel="1" x14ac:dyDescent="0.25">
      <c r="A177" s="47" t="s">
        <v>179</v>
      </c>
      <c r="B177" s="36"/>
      <c r="C177" s="36"/>
      <c r="D177" s="36"/>
      <c r="E177" s="29">
        <f>+[1]SAN!I32</f>
        <v>150000000</v>
      </c>
      <c r="F177" s="36"/>
      <c r="G177" s="36"/>
      <c r="H177" s="36"/>
      <c r="I177" s="28">
        <f t="shared" si="29"/>
        <v>150000000</v>
      </c>
      <c r="J177" s="37"/>
      <c r="K177" s="31">
        <f t="shared" si="30"/>
        <v>150000000</v>
      </c>
      <c r="L177" s="22">
        <f>+[2]SAN!$AA$32</f>
        <v>125975926</v>
      </c>
      <c r="M177" s="22">
        <f t="shared" si="28"/>
        <v>-24024074</v>
      </c>
      <c r="N177" s="23">
        <f t="shared" si="27"/>
        <v>0.83983950666666662</v>
      </c>
    </row>
    <row r="178" spans="1:14" s="48" customFormat="1" hidden="1" outlineLevel="1" x14ac:dyDescent="0.25">
      <c r="A178" s="47" t="s">
        <v>180</v>
      </c>
      <c r="B178" s="36"/>
      <c r="C178" s="36"/>
      <c r="D178" s="36"/>
      <c r="E178" s="29">
        <f>+[1]SAN!I33</f>
        <v>50000000</v>
      </c>
      <c r="F178" s="36"/>
      <c r="G178" s="36"/>
      <c r="H178" s="36"/>
      <c r="I178" s="28">
        <f t="shared" si="29"/>
        <v>50000000</v>
      </c>
      <c r="J178" s="37"/>
      <c r="K178" s="31">
        <f t="shared" si="30"/>
        <v>50000000</v>
      </c>
      <c r="L178" s="22">
        <f>+[2]SAN!$AA$33</f>
        <v>49993000</v>
      </c>
      <c r="M178" s="22">
        <f t="shared" si="28"/>
        <v>-7000</v>
      </c>
      <c r="N178" s="23">
        <f t="shared" si="27"/>
        <v>0.99985999999999997</v>
      </c>
    </row>
    <row r="179" spans="1:14" s="48" customFormat="1" collapsed="1" x14ac:dyDescent="0.25">
      <c r="A179" s="46" t="s">
        <v>181</v>
      </c>
      <c r="B179" s="36"/>
      <c r="C179" s="36"/>
      <c r="D179" s="36"/>
      <c r="E179" s="36">
        <f>SUM(E180:E182)</f>
        <v>250000000</v>
      </c>
      <c r="F179" s="36"/>
      <c r="G179" s="36"/>
      <c r="H179" s="36"/>
      <c r="I179" s="36">
        <f t="shared" si="29"/>
        <v>250000000</v>
      </c>
      <c r="J179" s="37"/>
      <c r="K179" s="38">
        <f t="shared" si="30"/>
        <v>250000000</v>
      </c>
      <c r="L179" s="26">
        <f>SUM(L180:L182)</f>
        <v>237392676</v>
      </c>
      <c r="M179" s="26">
        <f t="shared" si="28"/>
        <v>-12607324</v>
      </c>
      <c r="N179" s="27">
        <f t="shared" si="27"/>
        <v>0.94957070399999999</v>
      </c>
    </row>
    <row r="180" spans="1:14" s="48" customFormat="1" hidden="1" outlineLevel="1" x14ac:dyDescent="0.25">
      <c r="A180" s="47" t="s">
        <v>182</v>
      </c>
      <c r="B180" s="36"/>
      <c r="C180" s="36"/>
      <c r="D180" s="36"/>
      <c r="E180" s="29">
        <f>+[1]SAN!I35+20000000</f>
        <v>70000000</v>
      </c>
      <c r="F180" s="36"/>
      <c r="G180" s="36"/>
      <c r="H180" s="36"/>
      <c r="I180" s="28">
        <f t="shared" si="29"/>
        <v>70000000</v>
      </c>
      <c r="J180" s="37"/>
      <c r="K180" s="31">
        <f t="shared" si="30"/>
        <v>70000000</v>
      </c>
      <c r="L180" s="22">
        <f>+[2]SAN!$AA$35</f>
        <v>70000000</v>
      </c>
      <c r="M180" s="22">
        <f t="shared" si="28"/>
        <v>0</v>
      </c>
      <c r="N180" s="23">
        <f t="shared" si="27"/>
        <v>1</v>
      </c>
    </row>
    <row r="181" spans="1:14" s="48" customFormat="1" hidden="1" outlineLevel="1" x14ac:dyDescent="0.25">
      <c r="A181" s="47" t="s">
        <v>183</v>
      </c>
      <c r="B181" s="36"/>
      <c r="C181" s="36"/>
      <c r="D181" s="36"/>
      <c r="E181" s="29">
        <f>+[1]SAN!I36-20000000</f>
        <v>130000000</v>
      </c>
      <c r="F181" s="36"/>
      <c r="G181" s="36"/>
      <c r="H181" s="36"/>
      <c r="I181" s="28">
        <f t="shared" si="29"/>
        <v>130000000</v>
      </c>
      <c r="J181" s="37"/>
      <c r="K181" s="31">
        <f t="shared" si="30"/>
        <v>130000000</v>
      </c>
      <c r="L181" s="22">
        <f>+[2]SAN!$AA$36</f>
        <v>119668032</v>
      </c>
      <c r="M181" s="22">
        <f t="shared" si="28"/>
        <v>-10331968</v>
      </c>
      <c r="N181" s="23">
        <f t="shared" si="27"/>
        <v>0.92052332307692308</v>
      </c>
    </row>
    <row r="182" spans="1:14" s="48" customFormat="1" hidden="1" outlineLevel="1" x14ac:dyDescent="0.25">
      <c r="A182" s="47" t="s">
        <v>184</v>
      </c>
      <c r="B182" s="36"/>
      <c r="C182" s="36"/>
      <c r="D182" s="36"/>
      <c r="E182" s="29">
        <f>+[1]SAN!I37</f>
        <v>50000000</v>
      </c>
      <c r="F182" s="36"/>
      <c r="G182" s="36"/>
      <c r="H182" s="36"/>
      <c r="I182" s="28">
        <f t="shared" si="29"/>
        <v>50000000</v>
      </c>
      <c r="J182" s="37"/>
      <c r="K182" s="31">
        <f t="shared" si="30"/>
        <v>50000000</v>
      </c>
      <c r="L182" s="22">
        <f>+[2]SAN!$AA$37</f>
        <v>47724644</v>
      </c>
      <c r="M182" s="22">
        <f t="shared" si="28"/>
        <v>-2275356</v>
      </c>
      <c r="N182" s="23">
        <f t="shared" si="27"/>
        <v>0.95449287999999999</v>
      </c>
    </row>
    <row r="183" spans="1:14" s="48" customFormat="1" collapsed="1" x14ac:dyDescent="0.25">
      <c r="A183" s="47"/>
      <c r="B183" s="29"/>
      <c r="C183" s="36"/>
      <c r="D183" s="36"/>
      <c r="E183" s="36"/>
      <c r="F183" s="36"/>
      <c r="G183" s="36"/>
      <c r="H183" s="36"/>
      <c r="I183" s="28"/>
      <c r="J183" s="37"/>
      <c r="K183" s="31"/>
      <c r="L183" s="22"/>
      <c r="M183" s="22"/>
      <c r="N183" s="23"/>
    </row>
    <row r="184" spans="1:14" s="48" customFormat="1" x14ac:dyDescent="0.25">
      <c r="A184" s="46" t="s">
        <v>185</v>
      </c>
      <c r="B184" s="36"/>
      <c r="C184" s="36"/>
      <c r="D184" s="36"/>
      <c r="E184" s="36"/>
      <c r="F184" s="36"/>
      <c r="G184" s="36"/>
      <c r="H184" s="36">
        <f>+H185+H190+H194</f>
        <v>903334207</v>
      </c>
      <c r="I184" s="36">
        <f t="shared" ref="I184:I197" si="31">SUM(B184:H184)</f>
        <v>903334207</v>
      </c>
      <c r="J184" s="37"/>
      <c r="K184" s="38">
        <f t="shared" ref="K184:K197" si="32">SUM(I184:J184)</f>
        <v>903334207</v>
      </c>
      <c r="L184" s="26">
        <f>+L185+L190+L194</f>
        <v>869619824</v>
      </c>
      <c r="M184" s="26">
        <f t="shared" si="28"/>
        <v>-33714383</v>
      </c>
      <c r="N184" s="27">
        <f t="shared" si="27"/>
        <v>0.96267784089349784</v>
      </c>
    </row>
    <row r="185" spans="1:14" s="48" customFormat="1" x14ac:dyDescent="0.25">
      <c r="A185" s="46" t="s">
        <v>186</v>
      </c>
      <c r="B185" s="36"/>
      <c r="C185" s="36"/>
      <c r="D185" s="36"/>
      <c r="E185" s="36"/>
      <c r="F185" s="36"/>
      <c r="G185" s="36"/>
      <c r="H185" s="36">
        <f>SUM(H186:H189)</f>
        <v>587675753</v>
      </c>
      <c r="I185" s="36">
        <f t="shared" si="31"/>
        <v>587675753</v>
      </c>
      <c r="J185" s="37"/>
      <c r="K185" s="38">
        <f t="shared" si="32"/>
        <v>587675753</v>
      </c>
      <c r="L185" s="26">
        <f>SUM(L186:L189)</f>
        <v>587625861</v>
      </c>
      <c r="M185" s="26">
        <f t="shared" si="28"/>
        <v>-49892</v>
      </c>
      <c r="N185" s="27">
        <f t="shared" si="27"/>
        <v>0.99991510284413587</v>
      </c>
    </row>
    <row r="186" spans="1:14" s="48" customFormat="1" hidden="1" outlineLevel="1" x14ac:dyDescent="0.25">
      <c r="A186" s="47" t="s">
        <v>187</v>
      </c>
      <c r="B186" s="36"/>
      <c r="C186" s="36"/>
      <c r="D186" s="36"/>
      <c r="E186" s="29"/>
      <c r="F186" s="36"/>
      <c r="G186" s="36"/>
      <c r="H186" s="29">
        <f>+[1]COM!M38</f>
        <v>5345490</v>
      </c>
      <c r="I186" s="28">
        <f t="shared" si="31"/>
        <v>5345490</v>
      </c>
      <c r="J186" s="37"/>
      <c r="K186" s="31">
        <f t="shared" si="32"/>
        <v>5345490</v>
      </c>
      <c r="L186" s="22">
        <f>+[2]COM!$AA$38</f>
        <v>5345490</v>
      </c>
      <c r="M186" s="22">
        <f t="shared" si="28"/>
        <v>0</v>
      </c>
      <c r="N186" s="23">
        <f t="shared" si="27"/>
        <v>1</v>
      </c>
    </row>
    <row r="187" spans="1:14" s="48" customFormat="1" hidden="1" outlineLevel="1" x14ac:dyDescent="0.25">
      <c r="A187" s="47" t="s">
        <v>188</v>
      </c>
      <c r="B187" s="36"/>
      <c r="C187" s="36"/>
      <c r="D187" s="36"/>
      <c r="E187" s="29"/>
      <c r="F187" s="36"/>
      <c r="G187" s="36"/>
      <c r="H187" s="29">
        <f>+[1]COM!M39</f>
        <v>410095019</v>
      </c>
      <c r="I187" s="28">
        <f t="shared" si="31"/>
        <v>410095019</v>
      </c>
      <c r="J187" s="37"/>
      <c r="K187" s="31">
        <f t="shared" si="32"/>
        <v>410095019</v>
      </c>
      <c r="L187" s="22">
        <f>+[2]COM!$AA$39</f>
        <v>410047377</v>
      </c>
      <c r="M187" s="22">
        <f t="shared" si="28"/>
        <v>-47642</v>
      </c>
      <c r="N187" s="23">
        <f t="shared" si="27"/>
        <v>0.9998838269235355</v>
      </c>
    </row>
    <row r="188" spans="1:14" s="48" customFormat="1" hidden="1" outlineLevel="1" x14ac:dyDescent="0.25">
      <c r="A188" s="47" t="s">
        <v>189</v>
      </c>
      <c r="B188" s="36"/>
      <c r="C188" s="36"/>
      <c r="D188" s="36"/>
      <c r="E188" s="29"/>
      <c r="F188" s="36"/>
      <c r="G188" s="36"/>
      <c r="H188" s="29">
        <f>+[1]COM!M40</f>
        <v>166235244</v>
      </c>
      <c r="I188" s="28">
        <f t="shared" si="31"/>
        <v>166235244</v>
      </c>
      <c r="J188" s="37"/>
      <c r="K188" s="31">
        <f t="shared" si="32"/>
        <v>166235244</v>
      </c>
      <c r="L188" s="22">
        <f>+[2]COM!$AA$40</f>
        <v>166233087</v>
      </c>
      <c r="M188" s="22">
        <f t="shared" si="28"/>
        <v>-2157</v>
      </c>
      <c r="N188" s="23">
        <f t="shared" si="27"/>
        <v>0.99998702441222387</v>
      </c>
    </row>
    <row r="189" spans="1:14" s="48" customFormat="1" hidden="1" outlineLevel="1" x14ac:dyDescent="0.25">
      <c r="A189" s="47" t="s">
        <v>190</v>
      </c>
      <c r="B189" s="36"/>
      <c r="C189" s="36"/>
      <c r="D189" s="36"/>
      <c r="E189" s="29"/>
      <c r="F189" s="36"/>
      <c r="G189" s="36"/>
      <c r="H189" s="29">
        <f>+[1]COM!M41</f>
        <v>6000000</v>
      </c>
      <c r="I189" s="28">
        <f t="shared" si="31"/>
        <v>6000000</v>
      </c>
      <c r="J189" s="37"/>
      <c r="K189" s="31">
        <f t="shared" si="32"/>
        <v>6000000</v>
      </c>
      <c r="L189" s="22">
        <f>+[2]COM!$AA$41</f>
        <v>5999907</v>
      </c>
      <c r="M189" s="22">
        <f t="shared" si="28"/>
        <v>-93</v>
      </c>
      <c r="N189" s="23">
        <f t="shared" si="27"/>
        <v>0.99998450000000005</v>
      </c>
    </row>
    <row r="190" spans="1:14" s="48" customFormat="1" collapsed="1" x14ac:dyDescent="0.25">
      <c r="A190" s="46" t="s">
        <v>191</v>
      </c>
      <c r="B190" s="36"/>
      <c r="C190" s="36"/>
      <c r="D190" s="36"/>
      <c r="E190" s="36"/>
      <c r="F190" s="36"/>
      <c r="G190" s="36"/>
      <c r="H190" s="36">
        <f>SUM(H191:H193)</f>
        <v>242658454</v>
      </c>
      <c r="I190" s="36">
        <f t="shared" si="31"/>
        <v>242658454</v>
      </c>
      <c r="J190" s="37"/>
      <c r="K190" s="38">
        <f t="shared" si="32"/>
        <v>242658454</v>
      </c>
      <c r="L190" s="26">
        <f>SUM(L191:L193)</f>
        <v>208993963</v>
      </c>
      <c r="M190" s="26">
        <f t="shared" si="28"/>
        <v>-33664491</v>
      </c>
      <c r="N190" s="27">
        <f t="shared" si="27"/>
        <v>0.86126800675982218</v>
      </c>
    </row>
    <row r="191" spans="1:14" s="48" customFormat="1" hidden="1" outlineLevel="1" x14ac:dyDescent="0.25">
      <c r="A191" s="47" t="s">
        <v>187</v>
      </c>
      <c r="B191" s="36"/>
      <c r="C191" s="36"/>
      <c r="D191" s="36"/>
      <c r="E191" s="29"/>
      <c r="F191" s="36"/>
      <c r="G191" s="36"/>
      <c r="H191" s="29">
        <f>+[1]COM!M43</f>
        <v>2549418</v>
      </c>
      <c r="I191" s="28">
        <f t="shared" si="31"/>
        <v>2549418</v>
      </c>
      <c r="J191" s="37"/>
      <c r="K191" s="31">
        <f t="shared" si="32"/>
        <v>2549418</v>
      </c>
      <c r="L191" s="22">
        <f>+[2]COM!$AA$43</f>
        <v>1101641</v>
      </c>
      <c r="M191" s="22">
        <f t="shared" si="28"/>
        <v>-1447777</v>
      </c>
      <c r="N191" s="23">
        <f t="shared" si="27"/>
        <v>0.43211470225753484</v>
      </c>
    </row>
    <row r="192" spans="1:14" s="48" customFormat="1" hidden="1" outlineLevel="1" x14ac:dyDescent="0.25">
      <c r="A192" s="47" t="s">
        <v>192</v>
      </c>
      <c r="B192" s="36"/>
      <c r="C192" s="36"/>
      <c r="D192" s="36"/>
      <c r="E192" s="29"/>
      <c r="F192" s="36"/>
      <c r="G192" s="36"/>
      <c r="H192" s="29">
        <f>+[1]COM!M44</f>
        <v>219405280</v>
      </c>
      <c r="I192" s="28">
        <f t="shared" si="31"/>
        <v>219405280</v>
      </c>
      <c r="J192" s="37"/>
      <c r="K192" s="31">
        <f t="shared" si="32"/>
        <v>219405280</v>
      </c>
      <c r="L192" s="22">
        <f>+[2]COM!$AA$44</f>
        <v>189005366</v>
      </c>
      <c r="M192" s="22">
        <f t="shared" si="28"/>
        <v>-30399914</v>
      </c>
      <c r="N192" s="23">
        <f t="shared" si="27"/>
        <v>0.86144401812025673</v>
      </c>
    </row>
    <row r="193" spans="1:15" s="48" customFormat="1" hidden="1" outlineLevel="1" x14ac:dyDescent="0.25">
      <c r="A193" s="47" t="s">
        <v>193</v>
      </c>
      <c r="B193" s="36"/>
      <c r="C193" s="36"/>
      <c r="D193" s="36"/>
      <c r="E193" s="29"/>
      <c r="F193" s="36"/>
      <c r="G193" s="36"/>
      <c r="H193" s="29">
        <f>+[1]COM!M45</f>
        <v>20703756</v>
      </c>
      <c r="I193" s="28">
        <f t="shared" si="31"/>
        <v>20703756</v>
      </c>
      <c r="J193" s="37"/>
      <c r="K193" s="31">
        <f t="shared" si="32"/>
        <v>20703756</v>
      </c>
      <c r="L193" s="22">
        <f>+[2]COM!$AA$45</f>
        <v>18886956</v>
      </c>
      <c r="M193" s="22">
        <f>+L193-K193</f>
        <v>-1816800</v>
      </c>
      <c r="N193" s="23">
        <f t="shared" si="27"/>
        <v>0.91224780662986948</v>
      </c>
    </row>
    <row r="194" spans="1:15" s="48" customFormat="1" collapsed="1" x14ac:dyDescent="0.25">
      <c r="A194" s="46" t="s">
        <v>194</v>
      </c>
      <c r="B194" s="36"/>
      <c r="C194" s="36"/>
      <c r="D194" s="36"/>
      <c r="E194" s="36"/>
      <c r="F194" s="36"/>
      <c r="G194" s="36"/>
      <c r="H194" s="36">
        <f>SUM(H195:H197)</f>
        <v>73000000</v>
      </c>
      <c r="I194" s="36">
        <f t="shared" si="31"/>
        <v>73000000</v>
      </c>
      <c r="J194" s="37"/>
      <c r="K194" s="38">
        <f t="shared" si="32"/>
        <v>73000000</v>
      </c>
      <c r="L194" s="26">
        <f>SUM(L195:L197)</f>
        <v>73000000</v>
      </c>
      <c r="M194" s="26">
        <f t="shared" si="28"/>
        <v>0</v>
      </c>
      <c r="N194" s="27">
        <f t="shared" si="27"/>
        <v>1</v>
      </c>
    </row>
    <row r="195" spans="1:15" s="48" customFormat="1" hidden="1" outlineLevel="1" x14ac:dyDescent="0.25">
      <c r="A195" s="47" t="s">
        <v>187</v>
      </c>
      <c r="B195" s="36"/>
      <c r="C195" s="36"/>
      <c r="D195" s="36"/>
      <c r="E195" s="29"/>
      <c r="F195" s="36"/>
      <c r="G195" s="36"/>
      <c r="H195" s="29">
        <f>+[1]COM!M47</f>
        <v>2000000</v>
      </c>
      <c r="I195" s="28">
        <f t="shared" si="31"/>
        <v>2000000</v>
      </c>
      <c r="J195" s="37"/>
      <c r="K195" s="31">
        <f t="shared" si="32"/>
        <v>2000000</v>
      </c>
      <c r="L195" s="22">
        <f>+[2]COM!$AA$47</f>
        <v>2000000</v>
      </c>
      <c r="M195" s="22">
        <f t="shared" si="28"/>
        <v>0</v>
      </c>
      <c r="N195" s="23">
        <f t="shared" si="27"/>
        <v>1</v>
      </c>
    </row>
    <row r="196" spans="1:15" s="48" customFormat="1" hidden="1" outlineLevel="1" x14ac:dyDescent="0.25">
      <c r="A196" s="47" t="s">
        <v>195</v>
      </c>
      <c r="B196" s="36"/>
      <c r="C196" s="36"/>
      <c r="D196" s="36"/>
      <c r="E196" s="29"/>
      <c r="F196" s="36"/>
      <c r="G196" s="36"/>
      <c r="H196" s="29">
        <f>+[1]COM!M48</f>
        <v>21000000</v>
      </c>
      <c r="I196" s="28">
        <f t="shared" si="31"/>
        <v>21000000</v>
      </c>
      <c r="J196" s="37"/>
      <c r="K196" s="31">
        <f t="shared" si="32"/>
        <v>21000000</v>
      </c>
      <c r="L196" s="22">
        <f>+[2]COM!$AA$48</f>
        <v>21000000</v>
      </c>
      <c r="M196" s="22">
        <f t="shared" si="28"/>
        <v>0</v>
      </c>
      <c r="N196" s="23">
        <f t="shared" si="27"/>
        <v>1</v>
      </c>
    </row>
    <row r="197" spans="1:15" s="48" customFormat="1" hidden="1" outlineLevel="1" x14ac:dyDescent="0.25">
      <c r="A197" s="47" t="s">
        <v>196</v>
      </c>
      <c r="B197" s="36"/>
      <c r="C197" s="36"/>
      <c r="D197" s="36"/>
      <c r="E197" s="29"/>
      <c r="F197" s="36"/>
      <c r="G197" s="36"/>
      <c r="H197" s="29">
        <f>+[1]COM!M49</f>
        <v>50000000</v>
      </c>
      <c r="I197" s="28">
        <f t="shared" si="31"/>
        <v>50000000</v>
      </c>
      <c r="J197" s="37"/>
      <c r="K197" s="31">
        <f t="shared" si="32"/>
        <v>50000000</v>
      </c>
      <c r="L197" s="22">
        <f>+[2]COM!$AA$49</f>
        <v>50000000</v>
      </c>
      <c r="M197" s="22">
        <f t="shared" si="28"/>
        <v>0</v>
      </c>
      <c r="N197" s="23">
        <f t="shared" si="27"/>
        <v>1</v>
      </c>
    </row>
    <row r="198" spans="1:15" s="48" customFormat="1" collapsed="1" x14ac:dyDescent="0.25">
      <c r="A198" s="47"/>
      <c r="B198" s="29"/>
      <c r="C198" s="36"/>
      <c r="D198" s="36"/>
      <c r="E198" s="36"/>
      <c r="F198" s="36"/>
      <c r="G198" s="36"/>
      <c r="H198" s="36"/>
      <c r="I198" s="28"/>
      <c r="J198" s="37"/>
      <c r="K198" s="31"/>
      <c r="L198" s="22"/>
      <c r="M198" s="22"/>
      <c r="N198" s="23"/>
    </row>
    <row r="199" spans="1:15" x14ac:dyDescent="0.25">
      <c r="A199" s="50" t="s">
        <v>197</v>
      </c>
      <c r="B199" s="29"/>
      <c r="C199" s="29"/>
      <c r="D199" s="29"/>
      <c r="E199" s="29"/>
      <c r="F199" s="29"/>
      <c r="G199" s="29"/>
      <c r="H199" s="29"/>
      <c r="I199" s="28"/>
      <c r="J199" s="37">
        <f>SUM(J200:J201)</f>
        <v>1821976594</v>
      </c>
      <c r="K199" s="38">
        <f>SUM(I199:J199)</f>
        <v>1821976594</v>
      </c>
      <c r="L199" s="26">
        <f>SUM(L200:L201)</f>
        <v>1723675479</v>
      </c>
      <c r="M199" s="26">
        <f t="shared" si="28"/>
        <v>-98301115</v>
      </c>
      <c r="N199" s="27">
        <f t="shared" si="27"/>
        <v>0.94604699351038979</v>
      </c>
    </row>
    <row r="200" spans="1:15" hidden="1" outlineLevel="1" x14ac:dyDescent="0.25">
      <c r="A200" s="56" t="s">
        <v>198</v>
      </c>
      <c r="B200" s="29"/>
      <c r="C200" s="29"/>
      <c r="D200" s="29"/>
      <c r="E200" s="29"/>
      <c r="F200" s="29"/>
      <c r="G200" s="29"/>
      <c r="H200" s="29"/>
      <c r="I200" s="28"/>
      <c r="J200" s="30">
        <f>+[1]FUN!M59</f>
        <v>1139735371</v>
      </c>
      <c r="K200" s="31">
        <f>SUM(I200:J200)</f>
        <v>1139735371</v>
      </c>
      <c r="L200" s="22">
        <f>+[2]FUN!$AA$59</f>
        <v>1077297175</v>
      </c>
      <c r="M200" s="22">
        <f t="shared" si="28"/>
        <v>-62438196</v>
      </c>
      <c r="N200" s="23">
        <f t="shared" si="27"/>
        <v>0.94521693580044208</v>
      </c>
    </row>
    <row r="201" spans="1:15" hidden="1" outlineLevel="1" x14ac:dyDescent="0.25">
      <c r="A201" s="56" t="s">
        <v>199</v>
      </c>
      <c r="B201" s="29"/>
      <c r="C201" s="29"/>
      <c r="D201" s="29"/>
      <c r="E201" s="29"/>
      <c r="F201" s="29"/>
      <c r="H201" s="29"/>
      <c r="I201" s="28"/>
      <c r="J201" s="30">
        <f>+[1]FUN!M60</f>
        <v>682241223</v>
      </c>
      <c r="K201" s="31">
        <f>SUM(I201:J201)</f>
        <v>682241223</v>
      </c>
      <c r="L201" s="22">
        <f>+[2]FUN!$AA$60</f>
        <v>646378304</v>
      </c>
      <c r="M201" s="22">
        <f t="shared" si="28"/>
        <v>-35862919</v>
      </c>
      <c r="N201" s="23">
        <f>+L201/K201</f>
        <v>0.94743366746104696</v>
      </c>
    </row>
    <row r="202" spans="1:15" collapsed="1" x14ac:dyDescent="0.25">
      <c r="A202" s="35"/>
      <c r="B202" s="29"/>
      <c r="C202" s="29"/>
      <c r="D202" s="29"/>
      <c r="E202" s="29"/>
      <c r="F202" s="29"/>
      <c r="G202" s="29"/>
      <c r="H202" s="29"/>
      <c r="I202" s="28"/>
      <c r="J202" s="30"/>
      <c r="K202" s="31"/>
      <c r="L202" s="22"/>
      <c r="M202" s="22"/>
      <c r="N202" s="23"/>
    </row>
    <row r="203" spans="1:15" x14ac:dyDescent="0.25">
      <c r="A203" s="50" t="s">
        <v>200</v>
      </c>
      <c r="B203" s="36"/>
      <c r="C203" s="36"/>
      <c r="D203" s="36"/>
      <c r="E203" s="36"/>
      <c r="F203" s="36"/>
      <c r="G203" s="36"/>
      <c r="H203" s="36"/>
      <c r="I203" s="36"/>
      <c r="J203" s="37">
        <v>0</v>
      </c>
      <c r="K203" s="38">
        <f>SUM(I203:J203)</f>
        <v>0</v>
      </c>
      <c r="L203" s="22">
        <v>0</v>
      </c>
      <c r="M203" s="22">
        <f t="shared" si="28"/>
        <v>0</v>
      </c>
      <c r="N203" s="27">
        <v>0</v>
      </c>
      <c r="O203" s="57"/>
    </row>
    <row r="204" spans="1:15" x14ac:dyDescent="0.25">
      <c r="A204" s="50"/>
      <c r="B204" s="36"/>
      <c r="C204" s="36"/>
      <c r="D204" s="36"/>
      <c r="E204" s="36"/>
      <c r="F204" s="36"/>
      <c r="G204" s="36"/>
      <c r="H204" s="36"/>
      <c r="I204" s="36"/>
      <c r="J204" s="37"/>
      <c r="K204" s="58"/>
      <c r="L204" s="22"/>
      <c r="M204" s="22"/>
      <c r="N204" s="23"/>
      <c r="O204" s="44"/>
    </row>
    <row r="205" spans="1:15" x14ac:dyDescent="0.25">
      <c r="A205" s="50" t="s">
        <v>201</v>
      </c>
      <c r="B205" s="36"/>
      <c r="C205" s="36"/>
      <c r="D205" s="36"/>
      <c r="E205" s="36"/>
      <c r="F205" s="36"/>
      <c r="G205" s="36">
        <v>0</v>
      </c>
      <c r="H205" s="36"/>
      <c r="I205" s="36">
        <f>SUM(B205:H205)</f>
        <v>0</v>
      </c>
      <c r="J205" s="37"/>
      <c r="K205" s="58">
        <f>SUM(I205:J205)</f>
        <v>0</v>
      </c>
      <c r="L205" s="22">
        <v>0</v>
      </c>
      <c r="M205" s="22">
        <v>0</v>
      </c>
      <c r="N205" s="27">
        <v>0</v>
      </c>
    </row>
    <row r="206" spans="1:15" x14ac:dyDescent="0.25">
      <c r="A206" s="35"/>
      <c r="B206" s="29"/>
      <c r="C206" s="29"/>
      <c r="D206" s="29"/>
      <c r="E206" s="29"/>
      <c r="F206" s="29"/>
      <c r="G206" s="29"/>
      <c r="H206" s="29"/>
      <c r="I206" s="29"/>
      <c r="J206" s="30"/>
      <c r="K206" s="31"/>
      <c r="L206" s="22"/>
      <c r="M206" s="22"/>
      <c r="N206" s="23"/>
    </row>
    <row r="207" spans="1:15" x14ac:dyDescent="0.25">
      <c r="A207" s="50" t="s">
        <v>202</v>
      </c>
      <c r="B207" s="29"/>
      <c r="C207" s="29"/>
      <c r="D207" s="29"/>
      <c r="E207" s="29"/>
      <c r="F207" s="29"/>
      <c r="G207" s="29"/>
      <c r="H207" s="29"/>
      <c r="I207" s="36"/>
      <c r="J207" s="37">
        <f>SUM(J208:J209)</f>
        <v>0</v>
      </c>
      <c r="K207" s="38">
        <f>SUM(I207:J207)</f>
        <v>0</v>
      </c>
      <c r="L207" s="22">
        <v>0</v>
      </c>
      <c r="M207" s="22">
        <f>+L207-K207</f>
        <v>0</v>
      </c>
      <c r="N207" s="27">
        <v>0</v>
      </c>
    </row>
    <row r="208" spans="1:15" hidden="1" outlineLevel="1" x14ac:dyDescent="0.25">
      <c r="A208" s="19" t="s">
        <v>203</v>
      </c>
      <c r="B208" s="29"/>
      <c r="C208" s="29"/>
      <c r="D208" s="29"/>
      <c r="E208" s="29"/>
      <c r="F208" s="29"/>
      <c r="G208" s="29"/>
      <c r="H208" s="29"/>
      <c r="I208" s="28"/>
      <c r="J208" s="30">
        <v>0</v>
      </c>
      <c r="K208" s="31">
        <f>SUM(I208:J208)</f>
        <v>0</v>
      </c>
      <c r="L208" s="22">
        <v>0</v>
      </c>
      <c r="M208" s="22">
        <f>+L208-K208</f>
        <v>0</v>
      </c>
      <c r="N208" s="23">
        <v>0</v>
      </c>
    </row>
    <row r="209" spans="1:15" hidden="1" outlineLevel="1" x14ac:dyDescent="0.25">
      <c r="A209" s="19" t="s">
        <v>204</v>
      </c>
      <c r="B209" s="29"/>
      <c r="C209" s="29"/>
      <c r="D209" s="29"/>
      <c r="E209" s="29"/>
      <c r="F209" s="29"/>
      <c r="G209" s="29"/>
      <c r="H209" s="29"/>
      <c r="I209" s="28"/>
      <c r="J209" s="30">
        <v>0</v>
      </c>
      <c r="K209" s="31">
        <f>SUM(I209:J209)</f>
        <v>0</v>
      </c>
      <c r="L209" s="22">
        <v>0</v>
      </c>
      <c r="M209" s="22">
        <v>0</v>
      </c>
      <c r="N209" s="23">
        <v>0</v>
      </c>
    </row>
    <row r="210" spans="1:15" collapsed="1" x14ac:dyDescent="0.25">
      <c r="A210" s="35"/>
      <c r="B210" s="29"/>
      <c r="C210" s="29"/>
      <c r="D210" s="29"/>
      <c r="E210" s="29"/>
      <c r="F210" s="29"/>
      <c r="G210" s="29"/>
      <c r="H210" s="29"/>
      <c r="I210" s="28"/>
      <c r="J210" s="30"/>
      <c r="K210" s="31"/>
      <c r="L210" s="22"/>
      <c r="M210" s="22"/>
      <c r="N210" s="23"/>
      <c r="O210" s="59"/>
    </row>
    <row r="211" spans="1:15" x14ac:dyDescent="0.25">
      <c r="A211" s="35" t="s">
        <v>205</v>
      </c>
      <c r="B211" s="36">
        <f>+B52+B54</f>
        <v>457209227.48000002</v>
      </c>
      <c r="C211" s="36">
        <f t="shared" ref="C211:H211" si="33">+C52+C54</f>
        <v>1308282628</v>
      </c>
      <c r="D211" s="36">
        <f t="shared" si="33"/>
        <v>1429390306</v>
      </c>
      <c r="E211" s="36">
        <f t="shared" si="33"/>
        <v>475666920</v>
      </c>
      <c r="F211" s="36">
        <f t="shared" si="33"/>
        <v>4215149857.7912583</v>
      </c>
      <c r="G211" s="36">
        <f t="shared" si="33"/>
        <v>6373619510</v>
      </c>
      <c r="H211" s="36">
        <f t="shared" si="33"/>
        <v>1213877299</v>
      </c>
      <c r="I211" s="36">
        <f>SUM(B211:H211)</f>
        <v>15473195748.271259</v>
      </c>
      <c r="J211" s="37">
        <f>+J199+J52</f>
        <v>3020649316</v>
      </c>
      <c r="K211" s="38">
        <f>+K52+K54+K199</f>
        <v>18493845064.271259</v>
      </c>
      <c r="L211" s="26">
        <f>+L52+L54+L199</f>
        <v>16695897781</v>
      </c>
      <c r="M211" s="26">
        <f>+L211-K211</f>
        <v>-1797947283.2712593</v>
      </c>
      <c r="N211" s="27">
        <f>+L211/K211</f>
        <v>0.90278131578247289</v>
      </c>
      <c r="O211" s="60"/>
    </row>
    <row r="212" spans="1:15" x14ac:dyDescent="0.25">
      <c r="A212" s="19"/>
      <c r="B212" s="36"/>
      <c r="C212" s="61"/>
      <c r="D212" s="61"/>
      <c r="E212" s="29"/>
      <c r="F212" s="61"/>
      <c r="G212" s="29"/>
      <c r="H212" s="61"/>
      <c r="I212" s="19"/>
      <c r="J212" s="62"/>
      <c r="K212" s="63"/>
      <c r="L212" s="63"/>
      <c r="M212" s="63"/>
      <c r="N212" s="63"/>
      <c r="O212" s="64"/>
    </row>
    <row r="213" spans="1:15" x14ac:dyDescent="0.25">
      <c r="B213" s="65"/>
      <c r="C213" s="65"/>
      <c r="D213" s="65"/>
      <c r="E213" s="65"/>
      <c r="F213" s="65"/>
      <c r="G213" s="66"/>
      <c r="H213" s="65"/>
      <c r="I213" s="65"/>
      <c r="J213" s="65"/>
      <c r="K213" s="65"/>
      <c r="L213" s="67"/>
      <c r="M213" s="68"/>
    </row>
    <row r="214" spans="1:15" x14ac:dyDescent="0.25">
      <c r="B214" s="65"/>
      <c r="C214" s="65"/>
      <c r="D214" s="65"/>
      <c r="E214" s="65"/>
      <c r="F214" s="65"/>
      <c r="G214" s="66"/>
      <c r="H214" s="65"/>
      <c r="I214" s="65"/>
      <c r="J214" s="65"/>
      <c r="K214" s="70"/>
      <c r="L214" s="68"/>
      <c r="M214" s="71"/>
    </row>
    <row r="215" spans="1:15" hidden="1" outlineLevel="1" x14ac:dyDescent="0.25">
      <c r="I215" s="72"/>
      <c r="J215" s="72"/>
      <c r="K215" s="73"/>
      <c r="L215" s="71"/>
    </row>
    <row r="216" spans="1:15" hidden="1" outlineLevel="1" x14ac:dyDescent="0.25">
      <c r="A216" s="65"/>
      <c r="G216" s="48"/>
      <c r="I216" s="65"/>
      <c r="J216" s="75"/>
      <c r="K216" s="75"/>
      <c r="M216" s="76"/>
    </row>
    <row r="217" spans="1:15" ht="14.4" hidden="1" outlineLevel="1" thickBot="1" x14ac:dyDescent="0.3">
      <c r="C217" s="65"/>
      <c r="D217" s="42"/>
      <c r="G217" s="48"/>
      <c r="I217" s="77"/>
      <c r="J217" s="78"/>
      <c r="K217" s="78"/>
      <c r="L217" s="76"/>
    </row>
    <row r="218" spans="1:15" hidden="1" outlineLevel="1" x14ac:dyDescent="0.25">
      <c r="B218" s="65"/>
      <c r="C218" s="65"/>
      <c r="D218" s="42"/>
      <c r="I218" s="79"/>
      <c r="J218" s="80"/>
      <c r="K218" s="80"/>
    </row>
    <row r="219" spans="1:15" collapsed="1" x14ac:dyDescent="0.25">
      <c r="I219" s="65"/>
      <c r="J219" s="81"/>
      <c r="K219" s="70"/>
    </row>
    <row r="220" spans="1:15" x14ac:dyDescent="0.25">
      <c r="I220" s="72"/>
      <c r="J220" s="72"/>
      <c r="K220" s="82"/>
    </row>
    <row r="221" spans="1:15" x14ac:dyDescent="0.25">
      <c r="I221" s="83"/>
      <c r="J221" s="84"/>
      <c r="K221" s="85"/>
    </row>
    <row r="222" spans="1:15" x14ac:dyDescent="0.25">
      <c r="I222" s="65"/>
      <c r="J222" s="39"/>
      <c r="K222" s="75"/>
    </row>
    <row r="223" spans="1:15" x14ac:dyDescent="0.25">
      <c r="I223" s="65"/>
      <c r="J223" s="65"/>
      <c r="K223" s="65"/>
    </row>
    <row r="224" spans="1:15" x14ac:dyDescent="0.25">
      <c r="F224" s="48"/>
      <c r="H224" s="48"/>
      <c r="I224" s="79"/>
      <c r="J224" s="79"/>
      <c r="K224" s="79"/>
    </row>
    <row r="225" spans="11:11" x14ac:dyDescent="0.25">
      <c r="K225" s="65"/>
    </row>
    <row r="226" spans="11:11" x14ac:dyDescent="0.25">
      <c r="K226" s="65"/>
    </row>
  </sheetData>
  <mergeCells count="4">
    <mergeCell ref="A1:N1"/>
    <mergeCell ref="A2:N2"/>
    <mergeCell ref="A3:N3"/>
    <mergeCell ref="A4:N4"/>
  </mergeCells>
  <printOptions horizontalCentered="1"/>
  <pageMargins left="0.7" right="0.7" top="0.75" bottom="0.75" header="0.3" footer="0.3"/>
  <pageSetup scale="2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</vt:lpstr>
      <vt:lpstr>'Anexo 2 '!Área_de_impresión</vt:lpstr>
      <vt:lpstr>'Anexo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2026-03-31T15:48:47Z</dcterms:created>
  <dcterms:modified xsi:type="dcterms:W3CDTF">2026-03-31T15:49:19Z</dcterms:modified>
</cp:coreProperties>
</file>