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D2717625-69AA-4060-9FC3-31DF2D84B196}" xr6:coauthVersionLast="47" xr6:coauthVersionMax="47" xr10:uidLastSave="{00000000-0000-0000-0000-000000000000}"/>
  <bookViews>
    <workbookView xWindow="-108" yWindow="-108" windowWidth="23256" windowHeight="12456" xr2:uid="{BAA2D4C0-C0BC-4035-B0FB-38829118A495}"/>
  </bookViews>
  <sheets>
    <sheet name="Anexo 2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hidden="1">#REF!</definedName>
    <definedName name="ANEXO" hidden="1">'[6]Inversión total en programas'!$50:$50,'[6]Inversión total en programas'!$60:$63</definedName>
    <definedName name="_xlnm.Print_Area" localSheetId="0">'Anexo 2 '!$A$1:$AA$213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'[9]Anexo 1 Minagricultura'!#REF!</definedName>
    <definedName name="CABEZAS_PROYEC" localSheetId="0">'[10]Anexo 1 Minagricultura'!$C$46</definedName>
    <definedName name="CABEZAS_PROYEC">'[5]Anexo 1'!#REF!</definedName>
    <definedName name="CONTRATOS">#REF!</definedName>
    <definedName name="CUOTAPPC2005" localSheetId="0">'[10]Anexo 1 Minagricultura'!#REF!</definedName>
    <definedName name="CUOTAPPC2005">'[5]Anexo 1'!#REF!</definedName>
    <definedName name="CUOTAPPC2013" localSheetId="0">'[10]Anexo 1 Minagricultura'!#REF!</definedName>
    <definedName name="CUOTAPPC2013">'[5]Anexo 1'!#REF!</definedName>
    <definedName name="CUOTAPPC203" localSheetId="0">'[10]Anexo 1 Minagricultura'!#REF!</definedName>
    <definedName name="CUOTAPPC203">'[5]Anexo 1'!#REF!</definedName>
    <definedName name="DIAG_PPC">#REF!</definedName>
    <definedName name="DIRECCION">[11]consecutivo!$M$9:$M$13</definedName>
    <definedName name="DISTRIBUIDOR">#REF!</definedName>
    <definedName name="Dólar" localSheetId="0">#REF!</definedName>
    <definedName name="Dólar">#REF!</definedName>
    <definedName name="eeeee" localSheetId="0">'[10]Ejecución ingresos 2014'!#REF!</definedName>
    <definedName name="eeeee">#REF!</definedName>
    <definedName name="EPPC" localSheetId="0">'[10]Anexo 1 Minagricultura'!$C$54</definedName>
    <definedName name="EPPC">'[5]Anexo 1'!#REF!</definedName>
    <definedName name="Euro" localSheetId="0">#REF!</definedName>
    <definedName name="Euro">#REF!</definedName>
    <definedName name="FDGFDG">#REF!</definedName>
    <definedName name="FECHA_DE_RECIBIDO">[12]BASE!$E$3:$E$177</definedName>
    <definedName name="FOMENTO" localSheetId="0">'[10]Anexo 1 Minagricultura'!$C$53</definedName>
    <definedName name="FOMENTO">'[5]Anexo 1'!#REF!</definedName>
    <definedName name="FOMENTOS">'[15]Anexo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 localSheetId="0">#REF!</definedName>
    <definedName name="Incremento">#REF!</definedName>
    <definedName name="Inflación" localSheetId="0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 localSheetId="0">#REF!</definedName>
    <definedName name="Pasajes">#REF!</definedName>
    <definedName name="RESERV_FUTU">#REF!</definedName>
    <definedName name="saldo" localSheetId="0">'[10]Ejecución ingresos 2014'!#REF!</definedName>
    <definedName name="saldo">#REF!</definedName>
    <definedName name="saldos" localSheetId="0">'[10]Ejecución ingresos 2014'!#REF!</definedName>
    <definedName name="saldos">#REF!</definedName>
    <definedName name="SUPERA2004" localSheetId="0">'[10]Anexo 1 Minagricultura'!#REF!</definedName>
    <definedName name="SUPERA2004">'[5]Anexo 1'!#REF!</definedName>
    <definedName name="SUPERA2005" localSheetId="0">'[10]Anexo 1 Minagricultura'!#REF!</definedName>
    <definedName name="SUPERA2005">'[5]Anexo 1'!#REF!</definedName>
    <definedName name="SUPERA2010">'[17]Anexo 1 Minagricultura'!$C$21</definedName>
    <definedName name="SUPERA2012" localSheetId="0">'[10]Anexo 1 Minagricultura'!#REF!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2 '!$1:$6</definedName>
    <definedName name="_xlnm.Print_Titles">#REF!</definedName>
    <definedName name="xx">[18]Ingresos!$C$19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 localSheetId="0">'[20]Ingresos 2014'!#REF!</definedName>
    <definedName name="ZFRONTERA">'[20]Ingresos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9" i="1" l="1"/>
  <c r="L208" i="1"/>
  <c r="N208" i="1" s="1"/>
  <c r="L207" i="1"/>
  <c r="N207" i="1" s="1"/>
  <c r="J207" i="1"/>
  <c r="I205" i="1"/>
  <c r="L205" i="1" s="1"/>
  <c r="L203" i="1"/>
  <c r="N203" i="1" s="1"/>
  <c r="M201" i="1"/>
  <c r="O201" i="1" s="1"/>
  <c r="L201" i="1"/>
  <c r="J201" i="1"/>
  <c r="M200" i="1"/>
  <c r="O200" i="1" s="1"/>
  <c r="L200" i="1"/>
  <c r="J200" i="1"/>
  <c r="M199" i="1"/>
  <c r="J199" i="1"/>
  <c r="M197" i="1"/>
  <c r="I197" i="1"/>
  <c r="L197" i="1" s="1"/>
  <c r="O197" i="1" s="1"/>
  <c r="H197" i="1"/>
  <c r="M196" i="1"/>
  <c r="H196" i="1"/>
  <c r="H194" i="1" s="1"/>
  <c r="I194" i="1" s="1"/>
  <c r="L194" i="1" s="1"/>
  <c r="M195" i="1"/>
  <c r="M194" i="1" s="1"/>
  <c r="I195" i="1"/>
  <c r="L195" i="1" s="1"/>
  <c r="H195" i="1"/>
  <c r="M193" i="1"/>
  <c r="O193" i="1" s="1"/>
  <c r="H193" i="1"/>
  <c r="I193" i="1" s="1"/>
  <c r="L193" i="1" s="1"/>
  <c r="N193" i="1" s="1"/>
  <c r="M192" i="1"/>
  <c r="M190" i="1" s="1"/>
  <c r="H192" i="1"/>
  <c r="I192" i="1" s="1"/>
  <c r="L192" i="1" s="1"/>
  <c r="M191" i="1"/>
  <c r="H191" i="1"/>
  <c r="I191" i="1" s="1"/>
  <c r="L191" i="1" s="1"/>
  <c r="H190" i="1"/>
  <c r="I190" i="1" s="1"/>
  <c r="L190" i="1" s="1"/>
  <c r="M189" i="1"/>
  <c r="N189" i="1" s="1"/>
  <c r="I189" i="1"/>
  <c r="L189" i="1" s="1"/>
  <c r="O189" i="1" s="1"/>
  <c r="H189" i="1"/>
  <c r="M188" i="1"/>
  <c r="H188" i="1"/>
  <c r="I188" i="1" s="1"/>
  <c r="L188" i="1" s="1"/>
  <c r="M187" i="1"/>
  <c r="M185" i="1" s="1"/>
  <c r="I187" i="1"/>
  <c r="L187" i="1" s="1"/>
  <c r="H187" i="1"/>
  <c r="M186" i="1"/>
  <c r="I186" i="1"/>
  <c r="L186" i="1" s="1"/>
  <c r="H186" i="1"/>
  <c r="M182" i="1"/>
  <c r="E182" i="1"/>
  <c r="I182" i="1" s="1"/>
  <c r="L182" i="1" s="1"/>
  <c r="M181" i="1"/>
  <c r="M179" i="1" s="1"/>
  <c r="E181" i="1"/>
  <c r="E179" i="1" s="1"/>
  <c r="I179" i="1" s="1"/>
  <c r="L179" i="1" s="1"/>
  <c r="M180" i="1"/>
  <c r="E180" i="1"/>
  <c r="I180" i="1" s="1"/>
  <c r="L180" i="1" s="1"/>
  <c r="N180" i="1" s="1"/>
  <c r="M178" i="1"/>
  <c r="M176" i="1" s="1"/>
  <c r="E178" i="1"/>
  <c r="E176" i="1" s="1"/>
  <c r="M177" i="1"/>
  <c r="E177" i="1"/>
  <c r="I177" i="1" s="1"/>
  <c r="L177" i="1" s="1"/>
  <c r="M173" i="1"/>
  <c r="D173" i="1"/>
  <c r="I173" i="1" s="1"/>
  <c r="L173" i="1" s="1"/>
  <c r="M172" i="1"/>
  <c r="D172" i="1"/>
  <c r="I172" i="1" s="1"/>
  <c r="L172" i="1" s="1"/>
  <c r="M171" i="1"/>
  <c r="D171" i="1"/>
  <c r="I171" i="1" s="1"/>
  <c r="L171" i="1" s="1"/>
  <c r="M170" i="1"/>
  <c r="I170" i="1"/>
  <c r="L170" i="1" s="1"/>
  <c r="N170" i="1" s="1"/>
  <c r="D170" i="1"/>
  <c r="M169" i="1"/>
  <c r="M168" i="1" s="1"/>
  <c r="D169" i="1"/>
  <c r="D168" i="1" s="1"/>
  <c r="I168" i="1" s="1"/>
  <c r="L168" i="1" s="1"/>
  <c r="K168" i="1"/>
  <c r="M167" i="1"/>
  <c r="D167" i="1"/>
  <c r="I167" i="1" s="1"/>
  <c r="L167" i="1" s="1"/>
  <c r="N167" i="1" s="1"/>
  <c r="M166" i="1"/>
  <c r="M164" i="1" s="1"/>
  <c r="D166" i="1"/>
  <c r="I166" i="1" s="1"/>
  <c r="L166" i="1" s="1"/>
  <c r="M165" i="1"/>
  <c r="D165" i="1"/>
  <c r="I165" i="1" s="1"/>
  <c r="L165" i="1" s="1"/>
  <c r="K164" i="1"/>
  <c r="K163" i="1" s="1"/>
  <c r="D164" i="1"/>
  <c r="M162" i="1"/>
  <c r="O162" i="1" s="1"/>
  <c r="D162" i="1"/>
  <c r="I162" i="1" s="1"/>
  <c r="L162" i="1" s="1"/>
  <c r="N162" i="1" s="1"/>
  <c r="M161" i="1"/>
  <c r="D161" i="1"/>
  <c r="I161" i="1" s="1"/>
  <c r="L161" i="1" s="1"/>
  <c r="M160" i="1"/>
  <c r="D160" i="1"/>
  <c r="I160" i="1" s="1"/>
  <c r="L160" i="1" s="1"/>
  <c r="M159" i="1"/>
  <c r="D159" i="1"/>
  <c r="I159" i="1" s="1"/>
  <c r="L159" i="1" s="1"/>
  <c r="N159" i="1" s="1"/>
  <c r="M158" i="1"/>
  <c r="D158" i="1"/>
  <c r="I158" i="1" s="1"/>
  <c r="L158" i="1" s="1"/>
  <c r="N158" i="1" s="1"/>
  <c r="M157" i="1"/>
  <c r="I157" i="1"/>
  <c r="L157" i="1" s="1"/>
  <c r="N157" i="1" s="1"/>
  <c r="D157" i="1"/>
  <c r="M156" i="1"/>
  <c r="M155" i="1" s="1"/>
  <c r="D156" i="1"/>
  <c r="D155" i="1" s="1"/>
  <c r="I155" i="1" s="1"/>
  <c r="L155" i="1" s="1"/>
  <c r="K155" i="1"/>
  <c r="M154" i="1"/>
  <c r="O154" i="1" s="1"/>
  <c r="D154" i="1"/>
  <c r="I154" i="1" s="1"/>
  <c r="L154" i="1" s="1"/>
  <c r="N154" i="1" s="1"/>
  <c r="M153" i="1"/>
  <c r="D153" i="1"/>
  <c r="I153" i="1" s="1"/>
  <c r="L153" i="1" s="1"/>
  <c r="M152" i="1"/>
  <c r="D152" i="1"/>
  <c r="I152" i="1" s="1"/>
  <c r="L152" i="1" s="1"/>
  <c r="M151" i="1"/>
  <c r="D151" i="1"/>
  <c r="I151" i="1" s="1"/>
  <c r="L151" i="1" s="1"/>
  <c r="M150" i="1"/>
  <c r="D150" i="1"/>
  <c r="I150" i="1" s="1"/>
  <c r="L150" i="1" s="1"/>
  <c r="M149" i="1"/>
  <c r="D149" i="1"/>
  <c r="I149" i="1" s="1"/>
  <c r="L149" i="1" s="1"/>
  <c r="M148" i="1"/>
  <c r="I148" i="1"/>
  <c r="L148" i="1" s="1"/>
  <c r="N148" i="1" s="1"/>
  <c r="D148" i="1"/>
  <c r="M147" i="1"/>
  <c r="I147" i="1"/>
  <c r="L147" i="1" s="1"/>
  <c r="O147" i="1" s="1"/>
  <c r="D147" i="1"/>
  <c r="M146" i="1"/>
  <c r="D146" i="1"/>
  <c r="I146" i="1" s="1"/>
  <c r="L146" i="1" s="1"/>
  <c r="M145" i="1"/>
  <c r="M143" i="1" s="1"/>
  <c r="I145" i="1"/>
  <c r="L145" i="1" s="1"/>
  <c r="D145" i="1"/>
  <c r="M144" i="1"/>
  <c r="O144" i="1" s="1"/>
  <c r="I144" i="1"/>
  <c r="L144" i="1" s="1"/>
  <c r="D144" i="1"/>
  <c r="K143" i="1"/>
  <c r="K142" i="1" s="1"/>
  <c r="D143" i="1"/>
  <c r="M141" i="1"/>
  <c r="D141" i="1"/>
  <c r="I141" i="1" s="1"/>
  <c r="L141" i="1" s="1"/>
  <c r="M140" i="1"/>
  <c r="M138" i="1" s="1"/>
  <c r="D140" i="1"/>
  <c r="D138" i="1" s="1"/>
  <c r="M139" i="1"/>
  <c r="O139" i="1" s="1"/>
  <c r="D139" i="1"/>
  <c r="I139" i="1" s="1"/>
  <c r="L139" i="1" s="1"/>
  <c r="K138" i="1"/>
  <c r="K137" i="1" s="1"/>
  <c r="M135" i="1"/>
  <c r="O135" i="1" s="1"/>
  <c r="I135" i="1"/>
  <c r="L135" i="1" s="1"/>
  <c r="N135" i="1" s="1"/>
  <c r="C135" i="1"/>
  <c r="M134" i="1"/>
  <c r="C134" i="1"/>
  <c r="I134" i="1" s="1"/>
  <c r="L134" i="1" s="1"/>
  <c r="O134" i="1" s="1"/>
  <c r="M133" i="1"/>
  <c r="C133" i="1"/>
  <c r="I133" i="1" s="1"/>
  <c r="L133" i="1" s="1"/>
  <c r="M132" i="1"/>
  <c r="I132" i="1"/>
  <c r="L132" i="1" s="1"/>
  <c r="C132" i="1"/>
  <c r="C131" i="1" s="1"/>
  <c r="I131" i="1" s="1"/>
  <c r="L131" i="1" s="1"/>
  <c r="N131" i="1" s="1"/>
  <c r="M131" i="1"/>
  <c r="O131" i="1" s="1"/>
  <c r="M130" i="1"/>
  <c r="N130" i="1" s="1"/>
  <c r="I130" i="1"/>
  <c r="L130" i="1" s="1"/>
  <c r="M129" i="1"/>
  <c r="N129" i="1" s="1"/>
  <c r="L129" i="1"/>
  <c r="I129" i="1"/>
  <c r="M128" i="1"/>
  <c r="I128" i="1"/>
  <c r="L128" i="1" s="1"/>
  <c r="N128" i="1" s="1"/>
  <c r="C128" i="1"/>
  <c r="M127" i="1"/>
  <c r="I127" i="1"/>
  <c r="L127" i="1" s="1"/>
  <c r="O127" i="1" s="1"/>
  <c r="C127" i="1"/>
  <c r="M126" i="1"/>
  <c r="O126" i="1" s="1"/>
  <c r="C126" i="1"/>
  <c r="I126" i="1" s="1"/>
  <c r="L126" i="1" s="1"/>
  <c r="M125" i="1"/>
  <c r="M123" i="1" s="1"/>
  <c r="I125" i="1"/>
  <c r="L125" i="1" s="1"/>
  <c r="C125" i="1"/>
  <c r="M124" i="1"/>
  <c r="O124" i="1" s="1"/>
  <c r="I124" i="1"/>
  <c r="L124" i="1" s="1"/>
  <c r="C124" i="1"/>
  <c r="M120" i="1"/>
  <c r="G120" i="1"/>
  <c r="I120" i="1" s="1"/>
  <c r="L120" i="1" s="1"/>
  <c r="M119" i="1"/>
  <c r="O119" i="1" s="1"/>
  <c r="I119" i="1"/>
  <c r="L119" i="1" s="1"/>
  <c r="N119" i="1" s="1"/>
  <c r="G119" i="1"/>
  <c r="M118" i="1"/>
  <c r="I118" i="1"/>
  <c r="L118" i="1" s="1"/>
  <c r="O118" i="1" s="1"/>
  <c r="G118" i="1"/>
  <c r="M117" i="1"/>
  <c r="G117" i="1"/>
  <c r="G116" i="1" s="1"/>
  <c r="I116" i="1" s="1"/>
  <c r="L116" i="1" s="1"/>
  <c r="M116" i="1"/>
  <c r="O116" i="1" s="1"/>
  <c r="M115" i="1"/>
  <c r="I115" i="1"/>
  <c r="L115" i="1" s="1"/>
  <c r="G115" i="1"/>
  <c r="M114" i="1"/>
  <c r="G114" i="1"/>
  <c r="I114" i="1" s="1"/>
  <c r="L114" i="1" s="1"/>
  <c r="M113" i="1"/>
  <c r="G113" i="1"/>
  <c r="I113" i="1" s="1"/>
  <c r="L113" i="1" s="1"/>
  <c r="M112" i="1"/>
  <c r="O112" i="1" s="1"/>
  <c r="G112" i="1"/>
  <c r="I112" i="1" s="1"/>
  <c r="L112" i="1" s="1"/>
  <c r="M111" i="1"/>
  <c r="I111" i="1"/>
  <c r="L111" i="1" s="1"/>
  <c r="N111" i="1" s="1"/>
  <c r="G111" i="1"/>
  <c r="M110" i="1"/>
  <c r="I110" i="1"/>
  <c r="L110" i="1" s="1"/>
  <c r="O110" i="1" s="1"/>
  <c r="G110" i="1"/>
  <c r="M109" i="1"/>
  <c r="G109" i="1"/>
  <c r="I109" i="1" s="1"/>
  <c r="L109" i="1" s="1"/>
  <c r="M108" i="1"/>
  <c r="M106" i="1" s="1"/>
  <c r="I108" i="1"/>
  <c r="L108" i="1" s="1"/>
  <c r="G108" i="1"/>
  <c r="M107" i="1"/>
  <c r="O107" i="1" s="1"/>
  <c r="I107" i="1"/>
  <c r="L107" i="1" s="1"/>
  <c r="G107" i="1"/>
  <c r="M103" i="1"/>
  <c r="O103" i="1" s="1"/>
  <c r="F103" i="1"/>
  <c r="I103" i="1" s="1"/>
  <c r="L103" i="1" s="1"/>
  <c r="M102" i="1"/>
  <c r="F102" i="1"/>
  <c r="I102" i="1" s="1"/>
  <c r="L102" i="1" s="1"/>
  <c r="M101" i="1"/>
  <c r="F101" i="1"/>
  <c r="I101" i="1" s="1"/>
  <c r="L101" i="1" s="1"/>
  <c r="M100" i="1"/>
  <c r="O100" i="1" s="1"/>
  <c r="I100" i="1"/>
  <c r="L100" i="1" s="1"/>
  <c r="N100" i="1" s="1"/>
  <c r="F100" i="1"/>
  <c r="M99" i="1"/>
  <c r="M98" i="1" s="1"/>
  <c r="F99" i="1"/>
  <c r="F98" i="1" s="1"/>
  <c r="I98" i="1" s="1"/>
  <c r="L98" i="1" s="1"/>
  <c r="M97" i="1"/>
  <c r="O97" i="1" s="1"/>
  <c r="I97" i="1"/>
  <c r="L97" i="1" s="1"/>
  <c r="F97" i="1"/>
  <c r="M96" i="1"/>
  <c r="F96" i="1"/>
  <c r="I96" i="1" s="1"/>
  <c r="L96" i="1" s="1"/>
  <c r="N96" i="1" s="1"/>
  <c r="M95" i="1"/>
  <c r="F95" i="1"/>
  <c r="I95" i="1" s="1"/>
  <c r="L95" i="1" s="1"/>
  <c r="M94" i="1"/>
  <c r="F94" i="1"/>
  <c r="I94" i="1" s="1"/>
  <c r="L94" i="1" s="1"/>
  <c r="M93" i="1"/>
  <c r="F93" i="1"/>
  <c r="I93" i="1" s="1"/>
  <c r="L93" i="1" s="1"/>
  <c r="M92" i="1"/>
  <c r="I92" i="1"/>
  <c r="L92" i="1" s="1"/>
  <c r="F92" i="1"/>
  <c r="M91" i="1"/>
  <c r="F91" i="1"/>
  <c r="F83" i="1" s="1"/>
  <c r="I83" i="1" s="1"/>
  <c r="L83" i="1" s="1"/>
  <c r="M90" i="1"/>
  <c r="O90" i="1" s="1"/>
  <c r="F90" i="1"/>
  <c r="I90" i="1" s="1"/>
  <c r="L90" i="1" s="1"/>
  <c r="N90" i="1" s="1"/>
  <c r="M89" i="1"/>
  <c r="N89" i="1" s="1"/>
  <c r="F89" i="1"/>
  <c r="I89" i="1" s="1"/>
  <c r="L89" i="1" s="1"/>
  <c r="M88" i="1"/>
  <c r="I88" i="1"/>
  <c r="L88" i="1" s="1"/>
  <c r="F88" i="1"/>
  <c r="M87" i="1"/>
  <c r="F87" i="1"/>
  <c r="I87" i="1" s="1"/>
  <c r="L87" i="1" s="1"/>
  <c r="N87" i="1" s="1"/>
  <c r="M86" i="1"/>
  <c r="O86" i="1" s="1"/>
  <c r="I86" i="1"/>
  <c r="L86" i="1" s="1"/>
  <c r="F86" i="1"/>
  <c r="M85" i="1"/>
  <c r="F85" i="1"/>
  <c r="I85" i="1" s="1"/>
  <c r="L85" i="1" s="1"/>
  <c r="N85" i="1" s="1"/>
  <c r="M84" i="1"/>
  <c r="F84" i="1"/>
  <c r="I84" i="1" s="1"/>
  <c r="L84" i="1" s="1"/>
  <c r="N84" i="1" s="1"/>
  <c r="M83" i="1"/>
  <c r="O83" i="1" s="1"/>
  <c r="M82" i="1"/>
  <c r="F82" i="1"/>
  <c r="I82" i="1" s="1"/>
  <c r="L82" i="1" s="1"/>
  <c r="M81" i="1"/>
  <c r="I81" i="1"/>
  <c r="L81" i="1" s="1"/>
  <c r="F81" i="1"/>
  <c r="M80" i="1"/>
  <c r="F80" i="1"/>
  <c r="I80" i="1" s="1"/>
  <c r="L80" i="1" s="1"/>
  <c r="O80" i="1" s="1"/>
  <c r="M79" i="1"/>
  <c r="F79" i="1"/>
  <c r="I79" i="1" s="1"/>
  <c r="L79" i="1" s="1"/>
  <c r="N79" i="1" s="1"/>
  <c r="M78" i="1"/>
  <c r="I78" i="1"/>
  <c r="L78" i="1" s="1"/>
  <c r="F78" i="1"/>
  <c r="M77" i="1"/>
  <c r="F77" i="1"/>
  <c r="I77" i="1" s="1"/>
  <c r="L77" i="1" s="1"/>
  <c r="N77" i="1" s="1"/>
  <c r="M76" i="1"/>
  <c r="F76" i="1"/>
  <c r="I76" i="1" s="1"/>
  <c r="L76" i="1" s="1"/>
  <c r="N76" i="1" s="1"/>
  <c r="M75" i="1"/>
  <c r="F75" i="1"/>
  <c r="F73" i="1" s="1"/>
  <c r="I73" i="1" s="1"/>
  <c r="L73" i="1" s="1"/>
  <c r="M74" i="1"/>
  <c r="M73" i="1" s="1"/>
  <c r="I74" i="1"/>
  <c r="L74" i="1" s="1"/>
  <c r="F74" i="1"/>
  <c r="M72" i="1"/>
  <c r="I72" i="1"/>
  <c r="L72" i="1" s="1"/>
  <c r="N72" i="1" s="1"/>
  <c r="F72" i="1"/>
  <c r="M71" i="1"/>
  <c r="N71" i="1" s="1"/>
  <c r="I71" i="1"/>
  <c r="L71" i="1" s="1"/>
  <c r="O71" i="1" s="1"/>
  <c r="F71" i="1"/>
  <c r="M70" i="1"/>
  <c r="I70" i="1"/>
  <c r="L70" i="1" s="1"/>
  <c r="N70" i="1" s="1"/>
  <c r="F70" i="1"/>
  <c r="M69" i="1"/>
  <c r="F69" i="1"/>
  <c r="I69" i="1" s="1"/>
  <c r="L69" i="1" s="1"/>
  <c r="O69" i="1" s="1"/>
  <c r="M68" i="1"/>
  <c r="F68" i="1"/>
  <c r="I68" i="1" s="1"/>
  <c r="L68" i="1" s="1"/>
  <c r="N68" i="1" s="1"/>
  <c r="M67" i="1"/>
  <c r="I67" i="1"/>
  <c r="L67" i="1" s="1"/>
  <c r="F67" i="1"/>
  <c r="F66" i="1" s="1"/>
  <c r="M66" i="1"/>
  <c r="M65" i="1" s="1"/>
  <c r="M63" i="1"/>
  <c r="B63" i="1"/>
  <c r="I63" i="1" s="1"/>
  <c r="L63" i="1" s="1"/>
  <c r="M62" i="1"/>
  <c r="B62" i="1"/>
  <c r="I62" i="1" s="1"/>
  <c r="L62" i="1" s="1"/>
  <c r="M61" i="1"/>
  <c r="I61" i="1"/>
  <c r="L61" i="1" s="1"/>
  <c r="B61" i="1"/>
  <c r="B60" i="1" s="1"/>
  <c r="K60" i="1"/>
  <c r="K56" i="1" s="1"/>
  <c r="M59" i="1"/>
  <c r="I59" i="1"/>
  <c r="L59" i="1" s="1"/>
  <c r="B59" i="1"/>
  <c r="M58" i="1"/>
  <c r="B58" i="1"/>
  <c r="B57" i="1" s="1"/>
  <c r="I57" i="1" s="1"/>
  <c r="L57" i="1" s="1"/>
  <c r="M57" i="1"/>
  <c r="K57" i="1"/>
  <c r="M49" i="1"/>
  <c r="J49" i="1"/>
  <c r="L49" i="1" s="1"/>
  <c r="M48" i="1"/>
  <c r="O48" i="1" s="1"/>
  <c r="L48" i="1"/>
  <c r="N48" i="1" s="1"/>
  <c r="J48" i="1"/>
  <c r="M47" i="1"/>
  <c r="O47" i="1" s="1"/>
  <c r="L47" i="1"/>
  <c r="J47" i="1"/>
  <c r="M46" i="1"/>
  <c r="N46" i="1" s="1"/>
  <c r="L46" i="1"/>
  <c r="O46" i="1" s="1"/>
  <c r="J46" i="1"/>
  <c r="J44" i="1" s="1"/>
  <c r="M45" i="1"/>
  <c r="J45" i="1"/>
  <c r="L45" i="1" s="1"/>
  <c r="O45" i="1" s="1"/>
  <c r="M43" i="1"/>
  <c r="J43" i="1"/>
  <c r="L43" i="1" s="1"/>
  <c r="M42" i="1"/>
  <c r="O42" i="1" s="1"/>
  <c r="J42" i="1"/>
  <c r="L42" i="1" s="1"/>
  <c r="M41" i="1"/>
  <c r="O41" i="1" s="1"/>
  <c r="L41" i="1"/>
  <c r="N41" i="1" s="1"/>
  <c r="J41" i="1"/>
  <c r="M40" i="1"/>
  <c r="L40" i="1"/>
  <c r="O40" i="1" s="1"/>
  <c r="J40" i="1"/>
  <c r="J38" i="1" s="1"/>
  <c r="L38" i="1" s="1"/>
  <c r="M39" i="1"/>
  <c r="M38" i="1" s="1"/>
  <c r="L39" i="1"/>
  <c r="N39" i="1" s="1"/>
  <c r="J39" i="1"/>
  <c r="K36" i="1"/>
  <c r="K52" i="1" s="1"/>
  <c r="M35" i="1"/>
  <c r="J35" i="1"/>
  <c r="L35" i="1" s="1"/>
  <c r="N35" i="1" s="1"/>
  <c r="I35" i="1"/>
  <c r="M34" i="1"/>
  <c r="K34" i="1"/>
  <c r="J34" i="1"/>
  <c r="L34" i="1" s="1"/>
  <c r="O34" i="1" s="1"/>
  <c r="I34" i="1"/>
  <c r="M33" i="1"/>
  <c r="O33" i="1" s="1"/>
  <c r="J33" i="1"/>
  <c r="G33" i="1"/>
  <c r="I33" i="1" s="1"/>
  <c r="L33" i="1" s="1"/>
  <c r="M32" i="1"/>
  <c r="J32" i="1"/>
  <c r="G32" i="1"/>
  <c r="F32" i="1"/>
  <c r="F36" i="1" s="1"/>
  <c r="E32" i="1"/>
  <c r="D32" i="1"/>
  <c r="C32" i="1"/>
  <c r="B32" i="1"/>
  <c r="M31" i="1"/>
  <c r="J31" i="1"/>
  <c r="L31" i="1" s="1"/>
  <c r="I31" i="1"/>
  <c r="M30" i="1"/>
  <c r="J30" i="1"/>
  <c r="I30" i="1"/>
  <c r="L30" i="1" s="1"/>
  <c r="O30" i="1" s="1"/>
  <c r="H30" i="1"/>
  <c r="G30" i="1"/>
  <c r="F30" i="1"/>
  <c r="D30" i="1"/>
  <c r="C30" i="1"/>
  <c r="B30" i="1"/>
  <c r="M29" i="1"/>
  <c r="J29" i="1"/>
  <c r="G29" i="1"/>
  <c r="I29" i="1" s="1"/>
  <c r="L29" i="1" s="1"/>
  <c r="M28" i="1"/>
  <c r="J28" i="1"/>
  <c r="G28" i="1"/>
  <c r="D28" i="1"/>
  <c r="I28" i="1" s="1"/>
  <c r="L28" i="1" s="1"/>
  <c r="M27" i="1"/>
  <c r="O27" i="1" s="1"/>
  <c r="J27" i="1"/>
  <c r="H27" i="1"/>
  <c r="G27" i="1"/>
  <c r="F27" i="1"/>
  <c r="E27" i="1"/>
  <c r="E36" i="1" s="1"/>
  <c r="D27" i="1"/>
  <c r="I27" i="1" s="1"/>
  <c r="L27" i="1" s="1"/>
  <c r="C27" i="1"/>
  <c r="B27" i="1"/>
  <c r="M26" i="1"/>
  <c r="O26" i="1" s="1"/>
  <c r="J26" i="1"/>
  <c r="I26" i="1"/>
  <c r="L26" i="1" s="1"/>
  <c r="N26" i="1" s="1"/>
  <c r="M25" i="1"/>
  <c r="M36" i="1" s="1"/>
  <c r="J25" i="1"/>
  <c r="H25" i="1"/>
  <c r="G25" i="1"/>
  <c r="I25" i="1" s="1"/>
  <c r="L25" i="1" s="1"/>
  <c r="F25" i="1"/>
  <c r="D25" i="1"/>
  <c r="C25" i="1"/>
  <c r="B25" i="1"/>
  <c r="M24" i="1"/>
  <c r="J24" i="1"/>
  <c r="H24" i="1"/>
  <c r="G24" i="1"/>
  <c r="F24" i="1"/>
  <c r="D24" i="1"/>
  <c r="D36" i="1" s="1"/>
  <c r="C24" i="1"/>
  <c r="B24" i="1"/>
  <c r="B36" i="1" s="1"/>
  <c r="M23" i="1"/>
  <c r="J23" i="1"/>
  <c r="I23" i="1"/>
  <c r="L23" i="1" s="1"/>
  <c r="N23" i="1" s="1"/>
  <c r="G23" i="1"/>
  <c r="M22" i="1"/>
  <c r="J22" i="1"/>
  <c r="J36" i="1" s="1"/>
  <c r="H22" i="1"/>
  <c r="H36" i="1" s="1"/>
  <c r="G22" i="1"/>
  <c r="G36" i="1" s="1"/>
  <c r="C22" i="1"/>
  <c r="C36" i="1" s="1"/>
  <c r="M21" i="1"/>
  <c r="O21" i="1" s="1"/>
  <c r="J21" i="1"/>
  <c r="G21" i="1"/>
  <c r="F21" i="1"/>
  <c r="I21" i="1" s="1"/>
  <c r="L21" i="1" s="1"/>
  <c r="N21" i="1" s="1"/>
  <c r="M18" i="1"/>
  <c r="J18" i="1"/>
  <c r="H18" i="1"/>
  <c r="G18" i="1"/>
  <c r="F18" i="1"/>
  <c r="E18" i="1"/>
  <c r="D18" i="1"/>
  <c r="I18" i="1" s="1"/>
  <c r="L18" i="1" s="1"/>
  <c r="C18" i="1"/>
  <c r="B18" i="1"/>
  <c r="M17" i="1"/>
  <c r="O17" i="1" s="1"/>
  <c r="J17" i="1"/>
  <c r="H17" i="1"/>
  <c r="G17" i="1"/>
  <c r="F17" i="1"/>
  <c r="E17" i="1"/>
  <c r="D17" i="1"/>
  <c r="C17" i="1"/>
  <c r="B17" i="1"/>
  <c r="I17" i="1" s="1"/>
  <c r="L17" i="1" s="1"/>
  <c r="N17" i="1" s="1"/>
  <c r="M16" i="1"/>
  <c r="J16" i="1"/>
  <c r="H16" i="1"/>
  <c r="G16" i="1"/>
  <c r="F16" i="1"/>
  <c r="E16" i="1"/>
  <c r="D16" i="1"/>
  <c r="C16" i="1"/>
  <c r="B16" i="1"/>
  <c r="I16" i="1" s="1"/>
  <c r="L16" i="1" s="1"/>
  <c r="O16" i="1" s="1"/>
  <c r="M15" i="1"/>
  <c r="O15" i="1" s="1"/>
  <c r="J15" i="1"/>
  <c r="H15" i="1"/>
  <c r="G15" i="1"/>
  <c r="F15" i="1"/>
  <c r="E15" i="1"/>
  <c r="D15" i="1"/>
  <c r="C15" i="1"/>
  <c r="B15" i="1"/>
  <c r="I15" i="1" s="1"/>
  <c r="L15" i="1" s="1"/>
  <c r="N15" i="1" s="1"/>
  <c r="M14" i="1"/>
  <c r="J14" i="1"/>
  <c r="H14" i="1"/>
  <c r="I14" i="1" s="1"/>
  <c r="L14" i="1" s="1"/>
  <c r="N14" i="1" s="1"/>
  <c r="G14" i="1"/>
  <c r="F14" i="1"/>
  <c r="E14" i="1"/>
  <c r="D14" i="1"/>
  <c r="C14" i="1"/>
  <c r="B14" i="1"/>
  <c r="M13" i="1"/>
  <c r="J13" i="1"/>
  <c r="H13" i="1"/>
  <c r="G13" i="1"/>
  <c r="F13" i="1"/>
  <c r="D13" i="1"/>
  <c r="I13" i="1" s="1"/>
  <c r="L13" i="1" s="1"/>
  <c r="C13" i="1"/>
  <c r="B13" i="1"/>
  <c r="M12" i="1"/>
  <c r="J12" i="1"/>
  <c r="I12" i="1"/>
  <c r="L12" i="1" s="1"/>
  <c r="N12" i="1" s="1"/>
  <c r="M11" i="1"/>
  <c r="J11" i="1"/>
  <c r="J8" i="1" s="1"/>
  <c r="H11" i="1"/>
  <c r="H19" i="1" s="1"/>
  <c r="H52" i="1" s="1"/>
  <c r="G11" i="1"/>
  <c r="G19" i="1" s="1"/>
  <c r="F11" i="1"/>
  <c r="E11" i="1"/>
  <c r="D11" i="1"/>
  <c r="C11" i="1"/>
  <c r="B11" i="1"/>
  <c r="M10" i="1"/>
  <c r="M8" i="1" s="1"/>
  <c r="J10" i="1"/>
  <c r="H10" i="1"/>
  <c r="G10" i="1"/>
  <c r="F10" i="1"/>
  <c r="E10" i="1"/>
  <c r="D10" i="1"/>
  <c r="I10" i="1" s="1"/>
  <c r="L10" i="1" s="1"/>
  <c r="C10" i="1"/>
  <c r="B10" i="1"/>
  <c r="M9" i="1"/>
  <c r="J9" i="1"/>
  <c r="H9" i="1"/>
  <c r="H8" i="1" s="1"/>
  <c r="G9" i="1"/>
  <c r="G8" i="1" s="1"/>
  <c r="F9" i="1"/>
  <c r="F19" i="1" s="1"/>
  <c r="E9" i="1"/>
  <c r="E19" i="1" s="1"/>
  <c r="D9" i="1"/>
  <c r="D19" i="1" s="1"/>
  <c r="D52" i="1" s="1"/>
  <c r="C9" i="1"/>
  <c r="C19" i="1" s="1"/>
  <c r="B9" i="1"/>
  <c r="B19" i="1" s="1"/>
  <c r="B52" i="1" s="1"/>
  <c r="E175" i="1" l="1"/>
  <c r="I176" i="1"/>
  <c r="L176" i="1" s="1"/>
  <c r="G52" i="1"/>
  <c r="N62" i="1"/>
  <c r="O62" i="1"/>
  <c r="O78" i="1"/>
  <c r="N93" i="1"/>
  <c r="O93" i="1"/>
  <c r="N101" i="1"/>
  <c r="O101" i="1"/>
  <c r="N110" i="1"/>
  <c r="O133" i="1"/>
  <c r="N150" i="1"/>
  <c r="O167" i="1"/>
  <c r="O176" i="1"/>
  <c r="N176" i="1"/>
  <c r="M175" i="1"/>
  <c r="N197" i="1"/>
  <c r="O79" i="1"/>
  <c r="N118" i="1"/>
  <c r="N127" i="1"/>
  <c r="N134" i="1"/>
  <c r="N151" i="1"/>
  <c r="O159" i="1"/>
  <c r="O63" i="1"/>
  <c r="O94" i="1"/>
  <c r="N102" i="1"/>
  <c r="O111" i="1"/>
  <c r="O168" i="1"/>
  <c r="N168" i="1"/>
  <c r="N30" i="1"/>
  <c r="O49" i="1"/>
  <c r="O72" i="1"/>
  <c r="N80" i="1"/>
  <c r="O95" i="1"/>
  <c r="N95" i="1"/>
  <c r="M142" i="1"/>
  <c r="O143" i="1"/>
  <c r="N143" i="1"/>
  <c r="O152" i="1"/>
  <c r="O160" i="1"/>
  <c r="O179" i="1"/>
  <c r="N179" i="1"/>
  <c r="O191" i="1"/>
  <c r="I66" i="1"/>
  <c r="L66" i="1" s="1"/>
  <c r="N66" i="1" s="1"/>
  <c r="F65" i="1"/>
  <c r="O146" i="1"/>
  <c r="O153" i="1"/>
  <c r="O161" i="1"/>
  <c r="O170" i="1"/>
  <c r="O182" i="1"/>
  <c r="O190" i="1"/>
  <c r="N190" i="1"/>
  <c r="O32" i="1"/>
  <c r="O12" i="1"/>
  <c r="O31" i="1"/>
  <c r="N31" i="1"/>
  <c r="N34" i="1"/>
  <c r="O81" i="1"/>
  <c r="N81" i="1"/>
  <c r="O88" i="1"/>
  <c r="O14" i="1"/>
  <c r="N43" i="1"/>
  <c r="O67" i="1"/>
  <c r="O73" i="1"/>
  <c r="N73" i="1"/>
  <c r="O96" i="1"/>
  <c r="O113" i="1"/>
  <c r="O120" i="1"/>
  <c r="N171" i="1"/>
  <c r="O171" i="1"/>
  <c r="O114" i="1"/>
  <c r="N114" i="1"/>
  <c r="N16" i="1"/>
  <c r="I36" i="1"/>
  <c r="L36" i="1" s="1"/>
  <c r="O36" i="1" s="1"/>
  <c r="O35" i="1"/>
  <c r="N45" i="1"/>
  <c r="O68" i="1"/>
  <c r="I138" i="1"/>
  <c r="L138" i="1" s="1"/>
  <c r="O138" i="1" s="1"/>
  <c r="N147" i="1"/>
  <c r="D163" i="1"/>
  <c r="I163" i="1" s="1"/>
  <c r="L163" i="1" s="1"/>
  <c r="O186" i="1"/>
  <c r="C52" i="1"/>
  <c r="I52" i="1" s="1"/>
  <c r="L44" i="1"/>
  <c r="J50" i="1"/>
  <c r="O172" i="1"/>
  <c r="O29" i="1"/>
  <c r="O59" i="1"/>
  <c r="N69" i="1"/>
  <c r="O76" i="1"/>
  <c r="M105" i="1"/>
  <c r="O155" i="1"/>
  <c r="N155" i="1"/>
  <c r="O173" i="1"/>
  <c r="N173" i="1"/>
  <c r="O194" i="1"/>
  <c r="N194" i="1"/>
  <c r="E52" i="1"/>
  <c r="K54" i="1"/>
  <c r="K211" i="1" s="1"/>
  <c r="O84" i="1"/>
  <c r="N91" i="1"/>
  <c r="O98" i="1"/>
  <c r="N98" i="1"/>
  <c r="O115" i="1"/>
  <c r="O141" i="1"/>
  <c r="O148" i="1"/>
  <c r="O165" i="1"/>
  <c r="M184" i="1"/>
  <c r="O18" i="1"/>
  <c r="F52" i="1"/>
  <c r="O38" i="1"/>
  <c r="N38" i="1"/>
  <c r="O77" i="1"/>
  <c r="O109" i="1"/>
  <c r="M122" i="1"/>
  <c r="D142" i="1"/>
  <c r="I142" i="1" s="1"/>
  <c r="L142" i="1" s="1"/>
  <c r="O196" i="1"/>
  <c r="O23" i="1"/>
  <c r="O28" i="1"/>
  <c r="N82" i="1"/>
  <c r="O82" i="1"/>
  <c r="I60" i="1"/>
  <c r="L60" i="1" s="1"/>
  <c r="B56" i="1"/>
  <c r="O13" i="1"/>
  <c r="O61" i="1"/>
  <c r="N61" i="1"/>
  <c r="O85" i="1"/>
  <c r="O92" i="1"/>
  <c r="N92" i="1"/>
  <c r="O132" i="1"/>
  <c r="O149" i="1"/>
  <c r="O157" i="1"/>
  <c r="M163" i="1"/>
  <c r="O164" i="1"/>
  <c r="O177" i="1"/>
  <c r="O188" i="1"/>
  <c r="N28" i="1"/>
  <c r="N42" i="1"/>
  <c r="N57" i="1"/>
  <c r="N74" i="1"/>
  <c r="I91" i="1"/>
  <c r="L91" i="1" s="1"/>
  <c r="O91" i="1" s="1"/>
  <c r="I99" i="1"/>
  <c r="L99" i="1" s="1"/>
  <c r="O99" i="1" s="1"/>
  <c r="N113" i="1"/>
  <c r="I140" i="1"/>
  <c r="L140" i="1" s="1"/>
  <c r="N140" i="1" s="1"/>
  <c r="N153" i="1"/>
  <c r="I156" i="1"/>
  <c r="L156" i="1" s="1"/>
  <c r="O156" i="1" s="1"/>
  <c r="N161" i="1"/>
  <c r="I164" i="1"/>
  <c r="L164" i="1" s="1"/>
  <c r="N164" i="1" s="1"/>
  <c r="N166" i="1"/>
  <c r="I169" i="1"/>
  <c r="L169" i="1" s="1"/>
  <c r="O169" i="1" s="1"/>
  <c r="I178" i="1"/>
  <c r="L178" i="1" s="1"/>
  <c r="O178" i="1" s="1"/>
  <c r="N192" i="1"/>
  <c r="I11" i="1"/>
  <c r="L11" i="1" s="1"/>
  <c r="O11" i="1" s="1"/>
  <c r="I32" i="1"/>
  <c r="L32" i="1" s="1"/>
  <c r="O57" i="1"/>
  <c r="O74" i="1"/>
  <c r="O166" i="1"/>
  <c r="I181" i="1"/>
  <c r="L181" i="1" s="1"/>
  <c r="N181" i="1" s="1"/>
  <c r="O192" i="1"/>
  <c r="L199" i="1"/>
  <c r="O199" i="1" s="1"/>
  <c r="J19" i="1"/>
  <c r="I22" i="1"/>
  <c r="L22" i="1" s="1"/>
  <c r="O39" i="1"/>
  <c r="N49" i="1"/>
  <c r="M60" i="1"/>
  <c r="M56" i="1" s="1"/>
  <c r="O66" i="1"/>
  <c r="N88" i="1"/>
  <c r="G106" i="1"/>
  <c r="N108" i="1"/>
  <c r="N116" i="1"/>
  <c r="C123" i="1"/>
  <c r="N125" i="1"/>
  <c r="I143" i="1"/>
  <c r="L143" i="1" s="1"/>
  <c r="N145" i="1"/>
  <c r="H185" i="1"/>
  <c r="N187" i="1"/>
  <c r="N195" i="1"/>
  <c r="B8" i="1"/>
  <c r="I8" i="1" s="1"/>
  <c r="I58" i="1"/>
  <c r="L58" i="1" s="1"/>
  <c r="I75" i="1"/>
  <c r="L75" i="1" s="1"/>
  <c r="N75" i="1" s="1"/>
  <c r="N99" i="1"/>
  <c r="O108" i="1"/>
  <c r="O125" i="1"/>
  <c r="O145" i="1"/>
  <c r="N169" i="1"/>
  <c r="N178" i="1"/>
  <c r="O187" i="1"/>
  <c r="O195" i="1"/>
  <c r="M19" i="1"/>
  <c r="D8" i="1"/>
  <c r="N11" i="1"/>
  <c r="I24" i="1"/>
  <c r="L24" i="1" s="1"/>
  <c r="N25" i="1"/>
  <c r="N32" i="1"/>
  <c r="N63" i="1"/>
  <c r="N83" i="1"/>
  <c r="N94" i="1"/>
  <c r="I117" i="1"/>
  <c r="L117" i="1" s="1"/>
  <c r="O117" i="1" s="1"/>
  <c r="N172" i="1"/>
  <c r="I196" i="1"/>
  <c r="L196" i="1" s="1"/>
  <c r="C8" i="1"/>
  <c r="E8" i="1"/>
  <c r="O25" i="1"/>
  <c r="N40" i="1"/>
  <c r="F8" i="1"/>
  <c r="I9" i="1"/>
  <c r="N13" i="1"/>
  <c r="N29" i="1"/>
  <c r="N67" i="1"/>
  <c r="N78" i="1"/>
  <c r="N86" i="1"/>
  <c r="N97" i="1"/>
  <c r="N132" i="1"/>
  <c r="N10" i="1"/>
  <c r="N18" i="1"/>
  <c r="N27" i="1"/>
  <c r="M44" i="1"/>
  <c r="N47" i="1"/>
  <c r="N109" i="1"/>
  <c r="N117" i="1"/>
  <c r="N126" i="1"/>
  <c r="N141" i="1"/>
  <c r="N146" i="1"/>
  <c r="N188" i="1"/>
  <c r="N196" i="1"/>
  <c r="N200" i="1"/>
  <c r="O10" i="1"/>
  <c r="N103" i="1"/>
  <c r="N112" i="1"/>
  <c r="N120" i="1"/>
  <c r="N149" i="1"/>
  <c r="N152" i="1"/>
  <c r="N160" i="1"/>
  <c r="N165" i="1"/>
  <c r="N182" i="1"/>
  <c r="N191" i="1"/>
  <c r="N33" i="1"/>
  <c r="N59" i="1"/>
  <c r="N107" i="1"/>
  <c r="N115" i="1"/>
  <c r="N124" i="1"/>
  <c r="N144" i="1"/>
  <c r="N186" i="1"/>
  <c r="N133" i="1"/>
  <c r="N139" i="1"/>
  <c r="N177" i="1"/>
  <c r="N201" i="1"/>
  <c r="O58" i="1" l="1"/>
  <c r="N58" i="1"/>
  <c r="O24" i="1"/>
  <c r="N24" i="1"/>
  <c r="O22" i="1"/>
  <c r="N22" i="1"/>
  <c r="L9" i="1"/>
  <c r="I19" i="1"/>
  <c r="L19" i="1" s="1"/>
  <c r="N19" i="1" s="1"/>
  <c r="O163" i="1"/>
  <c r="N163" i="1"/>
  <c r="D137" i="1"/>
  <c r="O142" i="1"/>
  <c r="N142" i="1"/>
  <c r="N199" i="1"/>
  <c r="H184" i="1"/>
  <c r="I185" i="1"/>
  <c r="L185" i="1" s="1"/>
  <c r="E211" i="1"/>
  <c r="E213" i="1" s="1"/>
  <c r="N138" i="1"/>
  <c r="O44" i="1"/>
  <c r="N44" i="1"/>
  <c r="M50" i="1"/>
  <c r="C122" i="1"/>
  <c r="I123" i="1"/>
  <c r="L123" i="1" s="1"/>
  <c r="M137" i="1"/>
  <c r="M54" i="1" s="1"/>
  <c r="O181" i="1"/>
  <c r="N156" i="1"/>
  <c r="B54" i="1"/>
  <c r="I56" i="1"/>
  <c r="L56" i="1" s="1"/>
  <c r="O56" i="1" s="1"/>
  <c r="L50" i="1"/>
  <c r="J52" i="1"/>
  <c r="J211" i="1" s="1"/>
  <c r="J213" i="1" s="1"/>
  <c r="F54" i="1"/>
  <c r="F211" i="1" s="1"/>
  <c r="F213" i="1" s="1"/>
  <c r="I65" i="1"/>
  <c r="L65" i="1" s="1"/>
  <c r="G105" i="1"/>
  <c r="I106" i="1"/>
  <c r="L106" i="1" s="1"/>
  <c r="N36" i="1"/>
  <c r="O60" i="1"/>
  <c r="N60" i="1"/>
  <c r="I175" i="1"/>
  <c r="L175" i="1" s="1"/>
  <c r="N175" i="1" s="1"/>
  <c r="E54" i="1"/>
  <c r="I122" i="1" l="1"/>
  <c r="L122" i="1" s="1"/>
  <c r="C54" i="1"/>
  <c r="C211" i="1" s="1"/>
  <c r="C213" i="1" s="1"/>
  <c r="I105" i="1"/>
  <c r="L105" i="1" s="1"/>
  <c r="G54" i="1"/>
  <c r="G211" i="1" s="1"/>
  <c r="G213" i="1" s="1"/>
  <c r="O65" i="1"/>
  <c r="N65" i="1"/>
  <c r="L52" i="1"/>
  <c r="N106" i="1"/>
  <c r="O106" i="1"/>
  <c r="O185" i="1"/>
  <c r="N185" i="1"/>
  <c r="B211" i="1"/>
  <c r="O175" i="1"/>
  <c r="O19" i="1"/>
  <c r="N56" i="1"/>
  <c r="O50" i="1"/>
  <c r="N50" i="1"/>
  <c r="M52" i="1"/>
  <c r="L8" i="1"/>
  <c r="N9" i="1"/>
  <c r="O9" i="1"/>
  <c r="I184" i="1"/>
  <c r="L184" i="1" s="1"/>
  <c r="H54" i="1"/>
  <c r="H211" i="1" s="1"/>
  <c r="H213" i="1" s="1"/>
  <c r="O123" i="1"/>
  <c r="N123" i="1"/>
  <c r="I137" i="1"/>
  <c r="L137" i="1" s="1"/>
  <c r="N137" i="1" s="1"/>
  <c r="D54" i="1"/>
  <c r="D211" i="1" s="1"/>
  <c r="D213" i="1" s="1"/>
  <c r="O137" i="1" l="1"/>
  <c r="N8" i="1"/>
  <c r="O8" i="1"/>
  <c r="N122" i="1"/>
  <c r="O122" i="1"/>
  <c r="I54" i="1"/>
  <c r="L54" i="1" s="1"/>
  <c r="N184" i="1"/>
  <c r="O184" i="1"/>
  <c r="O52" i="1"/>
  <c r="N52" i="1"/>
  <c r="M211" i="1"/>
  <c r="O105" i="1"/>
  <c r="N105" i="1"/>
  <c r="B213" i="1"/>
  <c r="I211" i="1"/>
  <c r="L211" i="1" s="1"/>
  <c r="O211" i="1" l="1"/>
  <c r="N211" i="1"/>
  <c r="O54" i="1"/>
  <c r="N54" i="1"/>
</calcChain>
</file>

<file path=xl/sharedStrings.xml><?xml version="1.0" encoding="utf-8"?>
<sst xmlns="http://schemas.openxmlformats.org/spreadsheetml/2006/main" count="210" uniqueCount="207">
  <si>
    <t>MINISTERIO DE AGRICULTURA  Y DESARROLLO RURAL</t>
  </si>
  <si>
    <t>DIRECCIÓN DE PLANEACIÓN Y SEGUIMIENTO PRESUPUESTAL</t>
  </si>
  <si>
    <t>PRESUPUESTO DE GASTOS DE FUNCIONAMIENTO E INVERSIÓN 2.023</t>
  </si>
  <si>
    <t>ANEXO 2</t>
  </si>
  <si>
    <t>CUENTAS</t>
  </si>
  <si>
    <t>PROGRAMAS ECONÓMICA</t>
  </si>
  <si>
    <t>PROGRAMAS TÉCNICA</t>
  </si>
  <si>
    <t>PROGRAMAS INVESTIGACIÓN Y TRANSFERENCIA DE TÉCNOLOGÍA</t>
  </si>
  <si>
    <t>PROGRAMA SANIDAD</t>
  </si>
  <si>
    <t>PROGRAMAS MERCADEO</t>
  </si>
  <si>
    <t xml:space="preserve">PROGRAMA PPC </t>
  </si>
  <si>
    <t>PROGRAMA COMERCIALIZACIÓN</t>
  </si>
  <si>
    <t>TOTAL INVERSIÓN</t>
  </si>
  <si>
    <t>GASTOS DE FUNCIONAMIENTO</t>
  </si>
  <si>
    <t>MODIFICACIÓN SOLICITUD
OCT-DIC
ACUERDO 18</t>
  </si>
  <si>
    <t>TOTAL PRESUPUESTO</t>
  </si>
  <si>
    <t>EJECUCIÓN DEFINITIVA</t>
  </si>
  <si>
    <t>ACUERDO 01/24</t>
  </si>
  <si>
    <t>% EJECUCIÓN</t>
  </si>
  <si>
    <t>GASTOS DE PERSONAL</t>
  </si>
  <si>
    <t>Servicios de personal</t>
  </si>
  <si>
    <t>Sueldos</t>
  </si>
  <si>
    <t>Vacaciones</t>
  </si>
  <si>
    <t>Prima legal</t>
  </si>
  <si>
    <t>Honorarios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</si>
  <si>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</si>
  <si>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</si>
  <si>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</si>
  <si>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</si>
  <si>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</si>
  <si>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 y SENA</t>
  </si>
  <si>
    <t>SUBTOTAL GASTOS PERSONAL</t>
  </si>
  <si>
    <t>GASTOS GENERALES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</si>
  <si>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</si>
  <si>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</si>
  <si>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</si>
  <si>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</si>
  <si>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</si>
  <si>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</si>
  <si>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</si>
  <si>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</si>
  <si>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</si>
  <si>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</si>
  <si>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</si>
  <si>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</si>
  <si>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</si>
  <si>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</si>
  <si>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</si>
  <si>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SUBTOTAL GASTOS GENERALES</t>
  </si>
  <si>
    <t>GASTOS ADMINISTRATIVOS DE RECAUDO</t>
  </si>
  <si>
    <t>Control al recaudo</t>
  </si>
  <si>
    <t>Seguimiento al recaudo regional</t>
  </si>
  <si>
    <t>Movilización líderes</t>
  </si>
  <si>
    <t>Jornadas trabajo líderes regionales (plantas)</t>
  </si>
  <si>
    <t>Gestión documental</t>
  </si>
  <si>
    <t>Cloud server SNR</t>
  </si>
  <si>
    <t>Fortalecimiento del beneficio formal</t>
  </si>
  <si>
    <t>Movilización Subdirector Líderes de Recaudo</t>
  </si>
  <si>
    <t>Comunicación y divulgación</t>
  </si>
  <si>
    <t>Gestión con autoridades</t>
  </si>
  <si>
    <t>Jornadas trabajo líderes regionales (autoridades)</t>
  </si>
  <si>
    <t>Honorarios Asesor Jurídico</t>
  </si>
  <si>
    <t>SUBTOTAL GASTOS ADMINISTRATIVOS DE RECAUDO</t>
  </si>
  <si>
    <t>TOTAL FUNCIONAMIENTO</t>
  </si>
  <si>
    <t>TOTAL PROGRAMAS Y PROYECTOS</t>
  </si>
  <si>
    <t>TOTAL ÁREA ECONÓMICA</t>
  </si>
  <si>
    <t>Fortalecimiento institucional</t>
  </si>
  <si>
    <t>Asistencia Financiera</t>
  </si>
  <si>
    <t>Asesor Normativa</t>
  </si>
  <si>
    <t>Sistemas de información de mercados</t>
  </si>
  <si>
    <t>Monitoreo Precios de la carne al Consumidor</t>
  </si>
  <si>
    <t>Actualización Información Nacional</t>
  </si>
  <si>
    <t>Seguimiento Mercados Internacionales</t>
  </si>
  <si>
    <t>TOTAL ÁREA MERCADEO</t>
  </si>
  <si>
    <t>Investigación de mercados</t>
  </si>
  <si>
    <t xml:space="preserve">Home Panel </t>
  </si>
  <si>
    <t>Brand Equity Tracking</t>
  </si>
  <si>
    <t>Monitoreo de Medios</t>
  </si>
  <si>
    <t>Evaluación Neurológica</t>
  </si>
  <si>
    <t>Estudio del Consumidor</t>
  </si>
  <si>
    <t>Estudio Consumo fuera del hogar</t>
  </si>
  <si>
    <t>Campaña de fomento al consumo</t>
  </si>
  <si>
    <t>Campaña de publicidad</t>
  </si>
  <si>
    <t>Fomento al Consumo Regional</t>
  </si>
  <si>
    <t>Consultoría Mercado</t>
  </si>
  <si>
    <t>Estrategia Influenciadores</t>
  </si>
  <si>
    <t>Pauta institucional</t>
  </si>
  <si>
    <t>Sostenimiento y Desarrollo Digital</t>
  </si>
  <si>
    <t>Desarrollo Actividades Digitales</t>
  </si>
  <si>
    <t>Pauta Digital</t>
  </si>
  <si>
    <t>Producción Digital</t>
  </si>
  <si>
    <t>Marketing relacional</t>
  </si>
  <si>
    <t>Cocina PorkColombia</t>
  </si>
  <si>
    <t>Asesor Gastronómico Ejecutivo</t>
  </si>
  <si>
    <t>Viajes Equipo Ejecutivo</t>
  </si>
  <si>
    <t>Capacitación anual</t>
  </si>
  <si>
    <t>Material de promocion al consumo</t>
  </si>
  <si>
    <t>Festival PorkColombia</t>
  </si>
  <si>
    <t>Seguimiento gestión a eventos</t>
  </si>
  <si>
    <t>Porkamericas</t>
  </si>
  <si>
    <t>Agroexpo</t>
  </si>
  <si>
    <t>Eventos especializados (Sector, gastronomicos , sector salud)</t>
  </si>
  <si>
    <t>Marca y Marketing</t>
  </si>
  <si>
    <t>Desarrollo Material de Apoyo</t>
  </si>
  <si>
    <t>Gestión y seguimiento desarrollo de marca y marketing</t>
  </si>
  <si>
    <t>Fomento al sello de producto</t>
  </si>
  <si>
    <t>Comunicación Integral</t>
  </si>
  <si>
    <t>Seguimiento y gestión comunicación integral</t>
  </si>
  <si>
    <t>Agencia acompañamiento contingencia</t>
  </si>
  <si>
    <t>Defensa Sector Porcicultor</t>
  </si>
  <si>
    <t>Actualización Banco de Imágenes</t>
  </si>
  <si>
    <t xml:space="preserve">Relacionamiento Periodistas / medios de comunicación / free press / Pauta medios de comunicación </t>
  </si>
  <si>
    <t>TOTAL ÁREA ERRADICACIÓN PPC</t>
  </si>
  <si>
    <t>Vacunacion e identificacion de Porcinos</t>
  </si>
  <si>
    <t>Biológico</t>
  </si>
  <si>
    <t>Identificación</t>
  </si>
  <si>
    <t>Suministros Clínicos y Dotaciones</t>
  </si>
  <si>
    <t>Auxilios Distribuidores</t>
  </si>
  <si>
    <t>Distribución Biológico, Chapetas y Materiales</t>
  </si>
  <si>
    <t>Contratación de Personal</t>
  </si>
  <si>
    <t>Disposición de Residuos Biológicos</t>
  </si>
  <si>
    <t>Capacitación y divulgación</t>
  </si>
  <si>
    <t xml:space="preserve">  Capacitación y divulgación</t>
  </si>
  <si>
    <t>Vigilancia Epidemiológica</t>
  </si>
  <si>
    <t>Diagnóstico Rutinario</t>
  </si>
  <si>
    <t>Apoyo actividades de vigilancia activa</t>
  </si>
  <si>
    <t>Administración de la base de datos</t>
  </si>
  <si>
    <t>Mantenimiento, actualización y soporte de la plataforma</t>
  </si>
  <si>
    <t>TOTAL ÁREA TÉCNICA</t>
  </si>
  <si>
    <t>Inocuidad en Producción primaria - IPP</t>
  </si>
  <si>
    <t>Herramientas del Programa IPP</t>
  </si>
  <si>
    <t>Excelencia Técnica en Producción Primaria</t>
  </si>
  <si>
    <t>Apoyo Nuevos negocios en Porcícultura</t>
  </si>
  <si>
    <t>Actualización y Reconocimiento</t>
  </si>
  <si>
    <t>Convenios</t>
  </si>
  <si>
    <t xml:space="preserve">   Contrapartidas Gobernaciones y/o Alcaldias</t>
  </si>
  <si>
    <t xml:space="preserve">   Contrapartidas FNP</t>
  </si>
  <si>
    <t>Sostenibilidad Ambiental y Responsabilidad Social Empresarial</t>
  </si>
  <si>
    <t>Herramientas del programa Sostenibilidad ambiental  y RSE</t>
  </si>
  <si>
    <t>Acompañamiento y fortalecimiento cadena productiva porcícola en sostenibilidad ambiental y R.S.E</t>
  </si>
  <si>
    <t>Variabilidad, cambio climático, y suelos fértiles sostenibles</t>
  </si>
  <si>
    <t>Asociatividad y R.S.E</t>
  </si>
  <si>
    <t>TOTAL ÁREA INVESTIGACIÓN Y TRANSFERENCIA</t>
  </si>
  <si>
    <t>Investigación y desarrollo</t>
  </si>
  <si>
    <t>Proyectos</t>
  </si>
  <si>
    <t>Jornadas de divulgación resultados de investigación</t>
  </si>
  <si>
    <t>Transferencia de tecnología</t>
  </si>
  <si>
    <t xml:space="preserve">  Vinculación tecnologica</t>
  </si>
  <si>
    <t>Campus virtual</t>
  </si>
  <si>
    <t xml:space="preserve">Encuentros regionales </t>
  </si>
  <si>
    <t>Aplicación caracterización granjas porcicolas</t>
  </si>
  <si>
    <t xml:space="preserve">Escuela Porkmelier </t>
  </si>
  <si>
    <t>Sistema de gestión innovación abierta</t>
  </si>
  <si>
    <t>Encuentro de Asociatividad</t>
  </si>
  <si>
    <t xml:space="preserve">Modelo producción primaria y transformación </t>
  </si>
  <si>
    <t>Desarrollo bolsa de empleo</t>
  </si>
  <si>
    <t xml:space="preserve">Curso de reproducción en porcinos  </t>
  </si>
  <si>
    <t xml:space="preserve">Programa de extensión para productores informales </t>
  </si>
  <si>
    <t xml:space="preserve">Gira Técnica </t>
  </si>
  <si>
    <t xml:space="preserve">  Talleres y seminarios</t>
  </si>
  <si>
    <t>Buenas prácticas en el manejo de medicamentos veterinarios</t>
  </si>
  <si>
    <t>Talleres diagnóstico animal (Toma y envío de muestras)</t>
  </si>
  <si>
    <t>Jornadas de actualización técnica</t>
  </si>
  <si>
    <t>Diplomado Gestión Gerencial de Empresas porcícolas</t>
  </si>
  <si>
    <t>Curso de fabricación de productos con valor agregado</t>
  </si>
  <si>
    <t>Material de apoyo</t>
  </si>
  <si>
    <t>Taller de Desposte</t>
  </si>
  <si>
    <t>Diagnostico</t>
  </si>
  <si>
    <t>Diagnostico rutinario con laboratorios oficiales</t>
  </si>
  <si>
    <t>Diagnóstico Rutinario, Integrado y PRRS</t>
  </si>
  <si>
    <t>Compras de insumos</t>
  </si>
  <si>
    <t>Diagnóstico importados</t>
  </si>
  <si>
    <t>Diagnostico rutinario con laboratorios privados</t>
  </si>
  <si>
    <t>Diagnostico Rutinario, Combos y PRRS</t>
  </si>
  <si>
    <t>Pruebas interlaboratorios</t>
  </si>
  <si>
    <t>Promoción al diagnóstico</t>
  </si>
  <si>
    <t>Inocuidad y ambiente</t>
  </si>
  <si>
    <t>Apoyo Diagnostico lineas base (ICA)</t>
  </si>
  <si>
    <t>TOTAL ÁREA SANIDAD</t>
  </si>
  <si>
    <t>Programa Nacional Para la Cerificación del estatus sanitario</t>
  </si>
  <si>
    <t>Control, monitoreo y caracterización de enfermedades priorizadas</t>
  </si>
  <si>
    <t xml:space="preserve">Vigilancia enfermedades exoticas </t>
  </si>
  <si>
    <t>Gestión Sanitaria</t>
  </si>
  <si>
    <t>Gestión del riesgo de enfermedades porcinas</t>
  </si>
  <si>
    <t>Estudios de vigilancia epidemiologica</t>
  </si>
  <si>
    <t>Divulgación sanitaria</t>
  </si>
  <si>
    <t>TOTAL ÁREA COMERCIALIZACIÓN</t>
  </si>
  <si>
    <t>Comercialización nacional y sustitución de importaciones</t>
  </si>
  <si>
    <t>Herramientas del programa</t>
  </si>
  <si>
    <t>Desarrollo de habilidades comerciales</t>
  </si>
  <si>
    <t>Experiencia y promoción comercial</t>
  </si>
  <si>
    <t>Desarrollo de nuevas tendencias y productos</t>
  </si>
  <si>
    <t>Gestión en transformación</t>
  </si>
  <si>
    <t>Calidad e inocuidad en transformación</t>
  </si>
  <si>
    <t>Magro</t>
  </si>
  <si>
    <t>Comercio Exterior</t>
  </si>
  <si>
    <t>Admisibilidad</t>
  </si>
  <si>
    <t>Preparación oferta exportable</t>
  </si>
  <si>
    <t>CUOTA DE ADMINISTRACIÓN</t>
  </si>
  <si>
    <t>Cuota de administración FNP</t>
  </si>
  <si>
    <t>Cuota de administración PPC</t>
  </si>
  <si>
    <t>FONDO DE EMERGENCIA FNP</t>
  </si>
  <si>
    <t>FONDO DE EMERGENCIA PPC</t>
  </si>
  <si>
    <t xml:space="preserve">RESERVA FUTURAS INVERSIONES Y GASTOS </t>
  </si>
  <si>
    <t>Cuota de fomento porcícola</t>
  </si>
  <si>
    <t>Cuota de erradicación Peste Porcina Clásica</t>
  </si>
  <si>
    <t xml:space="preserve">TOTAL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</si>
</sst>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 * #,##0_ ;_ * \-#,##0_ ;_ * &quot;-&quot;??_ ;_ @_ "/>
    <numFmt numFmtId="166" formatCode="0.00000"/>
    <numFmt numFmtId="167" formatCode="0.0%"/>
    <numFmt numFmtId="168" formatCode="0.0000%"/>
    <numFmt numFmtId="169" formatCode="0.0000"/>
    <numFmt numFmtId="170" formatCode="0.000000000000"/>
    <numFmt numFmtId="171" formatCode="_ * #,##0.0000000_ ;_ * \-#,##0.0000000_ ;_ * &quot;-&quot;??_ ;_ @_ "/>
    <numFmt numFmtId="172" formatCode="_ * #,##0.0000000000_ ;_ * \-#,##0.0000000000_ ;_ * &quot;-&quot;??_ ;_ @_ "/>
    <numFmt numFmtId="173" formatCode="_-* #,##0\ _€_-;\-* #,##0\ _€_-;_-* &quot;-&quot;??\ _€_-;_-@_-"/>
    <numFmt numFmtId="174" formatCode="_ * #,##0_ ;_ * \-#,##0_ ;_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indexed="10"/>
      <name val="Century Gothic"/>
      <family val="2"/>
    </font>
    <font>
      <b/>
      <sz val="11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3" fontId="3" fillId="2" borderId="0" xfId="0" applyNumberFormat="1" applyFont="1" applyFill="1"/>
    <xf numFmtId="165" fontId="3" fillId="2" borderId="0" xfId="1" applyNumberFormat="1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1" xfId="0" applyFont="1" applyFill="1" applyBorder="1"/>
    <xf numFmtId="165" fontId="3" fillId="0" borderId="2" xfId="1" applyNumberFormat="1" applyFont="1" applyBorder="1"/>
    <xf numFmtId="165" fontId="2" fillId="0" borderId="2" xfId="1" applyNumberFormat="1" applyFont="1" applyBorder="1"/>
    <xf numFmtId="10" fontId="2" fillId="2" borderId="1" xfId="2" applyNumberFormat="1" applyFont="1" applyFill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10" fontId="3" fillId="2" borderId="1" xfId="2" applyNumberFormat="1" applyFont="1" applyFill="1" applyBorder="1"/>
    <xf numFmtId="166" fontId="3" fillId="0" borderId="0" xfId="0" applyNumberFormat="1" applyFont="1"/>
    <xf numFmtId="0" fontId="2" fillId="2" borderId="1" xfId="0" applyFont="1" applyFill="1" applyBorder="1"/>
    <xf numFmtId="3" fontId="2" fillId="0" borderId="1" xfId="0" applyNumberFormat="1" applyFont="1" applyBorder="1"/>
    <xf numFmtId="3" fontId="3" fillId="0" borderId="0" xfId="0" applyNumberFormat="1" applyFont="1"/>
    <xf numFmtId="167" fontId="3" fillId="0" borderId="0" xfId="2" applyNumberFormat="1" applyFont="1" applyFill="1"/>
    <xf numFmtId="168" fontId="3" fillId="0" borderId="0" xfId="2" applyNumberFormat="1" applyFont="1" applyFill="1"/>
    <xf numFmtId="9" fontId="2" fillId="0" borderId="1" xfId="2" applyFont="1" applyFill="1" applyBorder="1"/>
    <xf numFmtId="10" fontId="3" fillId="0" borderId="0" xfId="2" applyNumberFormat="1" applyFont="1" applyFill="1"/>
    <xf numFmtId="3" fontId="3" fillId="2" borderId="1" xfId="3" applyNumberFormat="1" applyFont="1" applyFill="1" applyBorder="1"/>
    <xf numFmtId="169" fontId="3" fillId="0" borderId="0" xfId="0" applyNumberFormat="1" applyFont="1"/>
    <xf numFmtId="10" fontId="3" fillId="0" borderId="1" xfId="2" applyNumberFormat="1" applyFont="1" applyFill="1" applyBorder="1"/>
    <xf numFmtId="3" fontId="2" fillId="2" borderId="1" xfId="3" applyNumberFormat="1" applyFont="1" applyFill="1" applyBorder="1"/>
    <xf numFmtId="37" fontId="2" fillId="2" borderId="1" xfId="0" applyNumberFormat="1" applyFont="1" applyFill="1" applyBorder="1" applyAlignment="1">
      <alignment horizontal="left"/>
    </xf>
    <xf numFmtId="37" fontId="3" fillId="2" borderId="1" xfId="0" applyNumberFormat="1" applyFont="1" applyFill="1" applyBorder="1" applyAlignment="1">
      <alignment horizontal="left"/>
    </xf>
    <xf numFmtId="0" fontId="2" fillId="0" borderId="0" xfId="0" applyFont="1"/>
    <xf numFmtId="3" fontId="2" fillId="0" borderId="1" xfId="3" applyNumberFormat="1" applyFont="1" applyFill="1" applyBorder="1"/>
    <xf numFmtId="10" fontId="2" fillId="0" borderId="1" xfId="2" applyNumberFormat="1" applyFont="1" applyFill="1" applyBorder="1"/>
    <xf numFmtId="37" fontId="2" fillId="2" borderId="1" xfId="0" applyNumberFormat="1" applyFont="1" applyFill="1" applyBorder="1"/>
    <xf numFmtId="164" fontId="2" fillId="0" borderId="1" xfId="3" applyFont="1" applyFill="1" applyBorder="1"/>
    <xf numFmtId="164" fontId="3" fillId="0" borderId="1" xfId="3" applyFont="1" applyFill="1" applyBorder="1"/>
    <xf numFmtId="164" fontId="2" fillId="0" borderId="0" xfId="3" applyFont="1" applyFill="1"/>
    <xf numFmtId="37" fontId="2" fillId="2" borderId="1" xfId="0" applyNumberFormat="1" applyFont="1" applyFill="1" applyBorder="1" applyAlignment="1">
      <alignment horizontal="left" wrapText="1"/>
    </xf>
    <xf numFmtId="37" fontId="3" fillId="2" borderId="1" xfId="0" applyNumberFormat="1" applyFont="1" applyFill="1" applyBorder="1"/>
    <xf numFmtId="10" fontId="3" fillId="0" borderId="0" xfId="2" applyNumberFormat="1" applyFont="1"/>
    <xf numFmtId="3" fontId="2" fillId="0" borderId="1" xfId="4" applyNumberFormat="1" applyFont="1" applyFill="1" applyBorder="1"/>
    <xf numFmtId="170" fontId="3" fillId="0" borderId="0" xfId="0" applyNumberFormat="1" applyFont="1"/>
    <xf numFmtId="171" fontId="3" fillId="0" borderId="0" xfId="1" applyNumberFormat="1" applyFont="1" applyFill="1"/>
    <xf numFmtId="0" fontId="3" fillId="0" borderId="1" xfId="0" applyFont="1" applyBorder="1"/>
    <xf numFmtId="0" fontId="3" fillId="0" borderId="2" xfId="0" applyFont="1" applyBorder="1"/>
    <xf numFmtId="172" fontId="3" fillId="0" borderId="0" xfId="1" applyNumberFormat="1" applyFont="1" applyFill="1"/>
    <xf numFmtId="37" fontId="3" fillId="0" borderId="0" xfId="0" applyNumberFormat="1" applyFont="1"/>
    <xf numFmtId="165" fontId="2" fillId="0" borderId="0" xfId="1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/>
    </xf>
    <xf numFmtId="10" fontId="3" fillId="0" borderId="0" xfId="0" applyNumberFormat="1" applyFont="1"/>
    <xf numFmtId="164" fontId="3" fillId="0" borderId="0" xfId="3" applyFont="1" applyFill="1"/>
    <xf numFmtId="165" fontId="3" fillId="0" borderId="0" xfId="1" applyNumberFormat="1" applyFont="1" applyFill="1"/>
    <xf numFmtId="9" fontId="3" fillId="0" borderId="0" xfId="2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3" fillId="0" borderId="0" xfId="1" applyNumberFormat="1" applyFont="1"/>
    <xf numFmtId="165" fontId="3" fillId="0" borderId="0" xfId="3" applyNumberFormat="1" applyFont="1" applyFill="1"/>
    <xf numFmtId="165" fontId="2" fillId="0" borderId="0" xfId="1" applyNumberFormat="1" applyFont="1"/>
    <xf numFmtId="3" fontId="3" fillId="0" borderId="3" xfId="0" applyNumberFormat="1" applyFont="1" applyBorder="1"/>
    <xf numFmtId="165" fontId="3" fillId="0" borderId="3" xfId="3" applyNumberFormat="1" applyFont="1" applyFill="1" applyBorder="1"/>
    <xf numFmtId="3" fontId="2" fillId="0" borderId="0" xfId="0" applyNumberFormat="1" applyFont="1"/>
    <xf numFmtId="173" fontId="2" fillId="0" borderId="0" xfId="0" applyNumberFormat="1" applyFont="1"/>
    <xf numFmtId="173" fontId="3" fillId="0" borderId="0" xfId="0" applyNumberFormat="1" applyFont="1"/>
    <xf numFmtId="164" fontId="2" fillId="0" borderId="0" xfId="3" applyFont="1" applyFill="1" applyAlignment="1">
      <alignment horizontal="center"/>
    </xf>
    <xf numFmtId="0" fontId="3" fillId="0" borderId="0" xfId="0" applyFont="1" applyAlignment="1">
      <alignment horizontal="center"/>
    </xf>
    <xf numFmtId="174" fontId="3" fillId="0" borderId="0" xfId="5" applyFont="1" applyFill="1" applyAlignment="1">
      <alignment horizontal="center"/>
    </xf>
    <xf numFmtId="3" fontId="3" fillId="0" borderId="0" xfId="0" applyNumberFormat="1" applyFont="1" applyAlignment="1">
      <alignment horizontal="center"/>
    </xf>
  </cellXfs>
  <cellStyles count="6">
    <cellStyle name="Millares [0] 2" xfId="5" xr:uid="{EC5B3232-3E2E-4FB2-BB2D-D934D246515D}"/>
    <cellStyle name="Millares 11" xfId="1" xr:uid="{0B68C440-38FD-4095-A101-B78250360307}"/>
    <cellStyle name="Millares 2 2" xfId="4" xr:uid="{76899F57-331D-4C04-A24D-C050461516C6}"/>
    <cellStyle name="Millares 23 2" xfId="3" xr:uid="{76F0912A-0F42-4CCB-9831-68DA4BCD8DC1}"/>
    <cellStyle name="Normal" xfId="0" builtinId="0"/>
    <cellStyle name="Porcentaje 10 2" xfId="2" xr:uid="{D3A09A55-DD7B-4EC2-95D1-1E827CFBE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septiembre.xlsx" TargetMode="External"/><Relationship Id="rId1" Type="http://schemas.openxmlformats.org/officeDocument/2006/relationships/externalLinkPath" Target="/A&#241;o%202023/Acuerdos%20presupuestales/Definitivos/Sabana%20presupuestal%202023%20septiemb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5/PRESUPUESTO%202015/PRESUPUESTO%202015%20V.6/Presupuesto%202015%20version%206.xls" TargetMode="External"/><Relationship Id="rId1" Type="http://schemas.openxmlformats.org/officeDocument/2006/relationships/externalLinkPath" Target="/A&#241;o%202015/PRESUPUESTO%202015/PRESUPUESTO%202015%20V.6/Presupuesto%202015%20version%2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4/Acuerdos%20presupuestales%202024/Definitivos/Sabana%20presupuestal%202023%20120224.xlsx" TargetMode="External"/><Relationship Id="rId1" Type="http://schemas.openxmlformats.org/officeDocument/2006/relationships/externalLinkPath" Target="/A&#241;o%202024/Acuerdos%20presupuestales%202024/Definitivos/Sabana%20presupuestal%202023%20120224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27112023.xlsx" TargetMode="External"/><Relationship Id="rId1" Type="http://schemas.openxmlformats.org/officeDocument/2006/relationships/externalLinkPath" Target="/A&#241;o%202023/Acuerdos%20presupuestales/Definitivos/Sabana%20presupuestal%202023%202711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cierre%20definitivo%2017-08-2023.xlsx" TargetMode="External"/><Relationship Id="rId1" Type="http://schemas.openxmlformats.org/officeDocument/2006/relationships/externalLinkPath" Target="/A&#241;o%202023/Acuerdos%20presupuestales/Definitivos/Sabana%20presupuestal%20cierre%20definitivo%2017-08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4/Acuerdos%20presupuestales%202024/Definitivos/ANEXO%20ACUERDO%2001-24.xls" TargetMode="External"/><Relationship Id="rId2" Type="http://schemas.openxmlformats.org/officeDocument/2006/relationships/externalLinkPath" Target="file:///Y:\A&#241;o%202024\Acuerdos%20presupuestales%202024\Definitivos\ANEXO%20ACUERDO%2001-24.xls" TargetMode="External"/><Relationship Id="rId1" Type="http://schemas.openxmlformats.org/officeDocument/2006/relationships/externalLinkPath" Target="/A&#241;o%202024/Acuerdos%20presupuestales%202024/Definitivos/ANEXO%20ACUERDO%2001-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U14">
            <v>98093466</v>
          </cell>
        </row>
        <row r="15">
          <cell r="U15">
            <v>7365929</v>
          </cell>
        </row>
        <row r="16">
          <cell r="U16">
            <v>4429166</v>
          </cell>
        </row>
        <row r="17">
          <cell r="U17">
            <v>250000</v>
          </cell>
        </row>
        <row r="18">
          <cell r="U18">
            <v>4429166</v>
          </cell>
        </row>
        <row r="19">
          <cell r="U19">
            <v>531599</v>
          </cell>
        </row>
        <row r="20">
          <cell r="U20">
            <v>17910559</v>
          </cell>
        </row>
        <row r="21">
          <cell r="U21">
            <v>4261120</v>
          </cell>
        </row>
        <row r="22">
          <cell r="U22">
            <v>5354140</v>
          </cell>
        </row>
        <row r="26">
          <cell r="U26">
            <v>185959</v>
          </cell>
        </row>
        <row r="27">
          <cell r="U27">
            <v>300000</v>
          </cell>
        </row>
        <row r="28">
          <cell r="U28">
            <v>5747124</v>
          </cell>
        </row>
        <row r="30">
          <cell r="U30">
            <v>4000000</v>
          </cell>
        </row>
        <row r="31">
          <cell r="U31">
            <v>4281046</v>
          </cell>
        </row>
        <row r="38">
          <cell r="U38">
            <v>33280037</v>
          </cell>
        </row>
        <row r="39">
          <cell r="U39">
            <v>23365277</v>
          </cell>
        </row>
        <row r="41">
          <cell r="U41">
            <v>90718111</v>
          </cell>
        </row>
        <row r="42">
          <cell r="U42">
            <v>161992159</v>
          </cell>
        </row>
        <row r="43">
          <cell r="U43">
            <v>126601230</v>
          </cell>
        </row>
        <row r="46">
          <cell r="U46">
            <v>593096088</v>
          </cell>
        </row>
      </sheetData>
      <sheetData sheetId="9" refreshError="1">
        <row r="14">
          <cell r="U14">
            <v>199306825</v>
          </cell>
        </row>
        <row r="15">
          <cell r="U15">
            <v>12915981</v>
          </cell>
        </row>
        <row r="16">
          <cell r="U16">
            <v>12375973</v>
          </cell>
        </row>
        <row r="17">
          <cell r="U17">
            <v>250000</v>
          </cell>
        </row>
        <row r="18">
          <cell r="U18">
            <v>12375973</v>
          </cell>
        </row>
        <row r="19">
          <cell r="U19">
            <v>1868533</v>
          </cell>
        </row>
        <row r="20">
          <cell r="U20">
            <v>37569273</v>
          </cell>
        </row>
        <row r="21">
          <cell r="U21">
            <v>8514204</v>
          </cell>
        </row>
        <row r="22">
          <cell r="U22">
            <v>10668260</v>
          </cell>
        </row>
        <row r="26">
          <cell r="U26">
            <v>630922</v>
          </cell>
        </row>
        <row r="27">
          <cell r="U27">
            <v>5730594</v>
          </cell>
        </row>
        <row r="28">
          <cell r="U28">
            <v>1924901</v>
          </cell>
        </row>
        <row r="29">
          <cell r="U29">
            <v>6444461</v>
          </cell>
        </row>
        <row r="30">
          <cell r="U30">
            <v>9227443</v>
          </cell>
        </row>
        <row r="31">
          <cell r="U31">
            <v>1123260</v>
          </cell>
        </row>
        <row r="38">
          <cell r="U38">
            <v>1249591</v>
          </cell>
        </row>
        <row r="39">
          <cell r="U39">
            <v>426980938</v>
          </cell>
        </row>
        <row r="40">
          <cell r="U40">
            <v>33999791</v>
          </cell>
        </row>
        <row r="41">
          <cell r="U41">
            <v>418008249</v>
          </cell>
        </row>
        <row r="47">
          <cell r="U47">
            <v>16251605</v>
          </cell>
        </row>
        <row r="48">
          <cell r="U48">
            <v>393920291</v>
          </cell>
        </row>
        <row r="49">
          <cell r="U49">
            <v>87692694.703999996</v>
          </cell>
        </row>
        <row r="50">
          <cell r="U50">
            <v>42736093.351999998</v>
          </cell>
        </row>
        <row r="54">
          <cell r="U54">
            <v>1741765856.056</v>
          </cell>
        </row>
      </sheetData>
      <sheetData sheetId="10" refreshError="1">
        <row r="14">
          <cell r="U14">
            <v>121329096</v>
          </cell>
        </row>
        <row r="15">
          <cell r="U15">
            <v>9047143</v>
          </cell>
        </row>
        <row r="16">
          <cell r="U16">
            <v>6611944</v>
          </cell>
        </row>
        <row r="17">
          <cell r="U17">
            <v>250000</v>
          </cell>
        </row>
        <row r="18">
          <cell r="U18">
            <v>6611944</v>
          </cell>
        </row>
        <row r="19">
          <cell r="U19">
            <v>793434</v>
          </cell>
        </row>
        <row r="20">
          <cell r="U20">
            <v>20847313</v>
          </cell>
        </row>
        <row r="21">
          <cell r="U21">
            <v>5329412</v>
          </cell>
        </row>
        <row r="22">
          <cell r="U22">
            <v>6778552</v>
          </cell>
        </row>
        <row r="26">
          <cell r="U26">
            <v>2581628</v>
          </cell>
        </row>
        <row r="27">
          <cell r="U27">
            <v>2408284</v>
          </cell>
        </row>
        <row r="28">
          <cell r="U28">
            <v>5122731</v>
          </cell>
        </row>
        <row r="29">
          <cell r="U29">
            <v>3372537</v>
          </cell>
        </row>
        <row r="30">
          <cell r="U30">
            <v>3191945</v>
          </cell>
        </row>
        <row r="31">
          <cell r="U31">
            <v>662435</v>
          </cell>
        </row>
        <row r="38">
          <cell r="U38">
            <v>393575830</v>
          </cell>
        </row>
        <row r="39">
          <cell r="U39">
            <v>0</v>
          </cell>
        </row>
        <row r="40">
          <cell r="U40">
            <v>19340582</v>
          </cell>
        </row>
        <row r="43">
          <cell r="U43">
            <v>30079480</v>
          </cell>
        </row>
        <row r="44">
          <cell r="U44">
            <v>27940792</v>
          </cell>
        </row>
        <row r="45">
          <cell r="U45">
            <v>14052576</v>
          </cell>
        </row>
        <row r="46">
          <cell r="U46">
            <v>35642141</v>
          </cell>
        </row>
        <row r="47">
          <cell r="U47">
            <v>63854966</v>
          </cell>
        </row>
        <row r="48">
          <cell r="U48">
            <v>1430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20000000</v>
          </cell>
        </row>
        <row r="52">
          <cell r="U52">
            <v>49557080</v>
          </cell>
        </row>
        <row r="53">
          <cell r="U53">
            <v>150860000</v>
          </cell>
        </row>
        <row r="55">
          <cell r="U55">
            <v>12408198</v>
          </cell>
        </row>
        <row r="56">
          <cell r="U56">
            <v>18700000</v>
          </cell>
        </row>
        <row r="57">
          <cell r="U57">
            <v>0</v>
          </cell>
        </row>
        <row r="58">
          <cell r="U58">
            <v>33500000</v>
          </cell>
        </row>
        <row r="59">
          <cell r="U59">
            <v>50000000</v>
          </cell>
        </row>
        <row r="60">
          <cell r="U60">
            <v>11446291</v>
          </cell>
        </row>
        <row r="61">
          <cell r="U61">
            <v>5992936</v>
          </cell>
        </row>
        <row r="64">
          <cell r="U64">
            <v>50595122</v>
          </cell>
        </row>
        <row r="65">
          <cell r="U65">
            <v>62559714</v>
          </cell>
        </row>
        <row r="66">
          <cell r="U66">
            <v>29801336</v>
          </cell>
        </row>
        <row r="68">
          <cell r="U68">
            <v>106302955</v>
          </cell>
        </row>
        <row r="69">
          <cell r="U69">
            <v>24592000</v>
          </cell>
        </row>
        <row r="70">
          <cell r="U70">
            <v>5868149</v>
          </cell>
        </row>
        <row r="71">
          <cell r="U71">
            <v>10397110</v>
          </cell>
        </row>
        <row r="72">
          <cell r="U72">
            <v>70434424</v>
          </cell>
        </row>
        <row r="75">
          <cell r="U75">
            <v>1492441510</v>
          </cell>
        </row>
      </sheetData>
      <sheetData sheetId="11" refreshError="1">
        <row r="14">
          <cell r="U14">
            <v>264751549</v>
          </cell>
        </row>
        <row r="15">
          <cell r="U15">
            <v>12997689</v>
          </cell>
        </row>
        <row r="16">
          <cell r="U16">
            <v>18922452</v>
          </cell>
        </row>
        <row r="17">
          <cell r="U17">
            <v>58461665</v>
          </cell>
        </row>
        <row r="18">
          <cell r="U18">
            <v>250000</v>
          </cell>
        </row>
        <row r="19">
          <cell r="U19">
            <v>18922452</v>
          </cell>
        </row>
        <row r="20">
          <cell r="U20">
            <v>2442185</v>
          </cell>
        </row>
        <row r="21">
          <cell r="U21">
            <v>51177528</v>
          </cell>
        </row>
        <row r="22">
          <cell r="U22">
            <v>10955356</v>
          </cell>
        </row>
        <row r="23">
          <cell r="U23">
            <v>13886108</v>
          </cell>
        </row>
        <row r="27">
          <cell r="U27">
            <v>133415598</v>
          </cell>
        </row>
        <row r="28">
          <cell r="U28">
            <v>18256654</v>
          </cell>
        </row>
        <row r="29">
          <cell r="U29">
            <v>1273892</v>
          </cell>
        </row>
        <row r="30">
          <cell r="U30">
            <v>9530775</v>
          </cell>
        </row>
        <row r="31">
          <cell r="U31">
            <v>2932667</v>
          </cell>
        </row>
        <row r="32">
          <cell r="U32">
            <v>21204157</v>
          </cell>
        </row>
        <row r="33">
          <cell r="U33">
            <v>12568814</v>
          </cell>
        </row>
        <row r="34">
          <cell r="U34">
            <v>3914986</v>
          </cell>
        </row>
        <row r="35">
          <cell r="U35">
            <v>26423305</v>
          </cell>
        </row>
        <row r="36">
          <cell r="U36">
            <v>12678448</v>
          </cell>
        </row>
        <row r="37">
          <cell r="U37">
            <v>3890124</v>
          </cell>
        </row>
        <row r="38">
          <cell r="U38">
            <v>17197144</v>
          </cell>
        </row>
        <row r="39">
          <cell r="U39">
            <v>7823669</v>
          </cell>
        </row>
        <row r="40">
          <cell r="U40">
            <v>152272289</v>
          </cell>
        </row>
        <row r="41">
          <cell r="U41">
            <v>21758274</v>
          </cell>
        </row>
        <row r="46">
          <cell r="U46">
            <v>67298794</v>
          </cell>
        </row>
        <row r="47">
          <cell r="U47">
            <v>71345061</v>
          </cell>
        </row>
        <row r="48">
          <cell r="U48">
            <v>896364</v>
          </cell>
        </row>
        <row r="49">
          <cell r="U49">
            <v>10126882</v>
          </cell>
        </row>
        <row r="50">
          <cell r="U50">
            <v>0</v>
          </cell>
        </row>
        <row r="52">
          <cell r="U52">
            <v>6250000</v>
          </cell>
        </row>
        <row r="53">
          <cell r="U53">
            <v>150000000</v>
          </cell>
        </row>
        <row r="54">
          <cell r="U54">
            <v>48539714</v>
          </cell>
        </row>
        <row r="55">
          <cell r="U55">
            <v>4717950</v>
          </cell>
        </row>
        <row r="56">
          <cell r="U56">
            <v>12200000</v>
          </cell>
        </row>
        <row r="59">
          <cell r="U59">
            <v>1310872853.5625</v>
          </cell>
        </row>
        <row r="60">
          <cell r="U60">
            <v>786525939.4375</v>
          </cell>
        </row>
        <row r="68">
          <cell r="U68">
            <v>3366681338</v>
          </cell>
        </row>
      </sheetData>
      <sheetData sheetId="12" refreshError="1">
        <row r="14">
          <cell r="U14">
            <v>11853371</v>
          </cell>
        </row>
        <row r="15">
          <cell r="U15">
            <v>830715</v>
          </cell>
        </row>
        <row r="16">
          <cell r="U16">
            <v>938779</v>
          </cell>
        </row>
        <row r="17">
          <cell r="U17">
            <v>938779</v>
          </cell>
        </row>
        <row r="18">
          <cell r="U18">
            <v>112650</v>
          </cell>
        </row>
        <row r="19">
          <cell r="U19">
            <v>3143709</v>
          </cell>
        </row>
        <row r="20">
          <cell r="U20">
            <v>710892</v>
          </cell>
        </row>
        <row r="21">
          <cell r="U21">
            <v>888384</v>
          </cell>
        </row>
        <row r="25">
          <cell r="U25">
            <v>6447128</v>
          </cell>
        </row>
        <row r="26">
          <cell r="U26">
            <v>219871</v>
          </cell>
        </row>
        <row r="32">
          <cell r="U32">
            <v>155128949</v>
          </cell>
        </row>
        <row r="33">
          <cell r="U33">
            <v>32684236</v>
          </cell>
        </row>
        <row r="35">
          <cell r="U35">
            <v>0</v>
          </cell>
        </row>
        <row r="36">
          <cell r="U36">
            <v>41774664</v>
          </cell>
        </row>
        <row r="37">
          <cell r="U37">
            <v>24344589</v>
          </cell>
        </row>
        <row r="40">
          <cell r="U40">
            <v>280016716</v>
          </cell>
        </row>
      </sheetData>
      <sheetData sheetId="13" refreshError="1">
        <row r="14">
          <cell r="U14">
            <v>130067933</v>
          </cell>
        </row>
        <row r="15">
          <cell r="U15">
            <v>9677481</v>
          </cell>
        </row>
        <row r="16">
          <cell r="U16">
            <v>7162446</v>
          </cell>
        </row>
        <row r="17">
          <cell r="U17">
            <v>250000</v>
          </cell>
        </row>
        <row r="18">
          <cell r="U18">
            <v>7162446</v>
          </cell>
        </row>
        <row r="19">
          <cell r="U19">
            <v>859489</v>
          </cell>
        </row>
        <row r="20">
          <cell r="U20">
            <v>25278996</v>
          </cell>
        </row>
        <row r="21">
          <cell r="U21">
            <v>5787484</v>
          </cell>
        </row>
        <row r="22">
          <cell r="U22">
            <v>7267448</v>
          </cell>
        </row>
        <row r="26">
          <cell r="U26">
            <v>2000000</v>
          </cell>
        </row>
        <row r="27">
          <cell r="U27">
            <v>2372952</v>
          </cell>
        </row>
        <row r="28">
          <cell r="U28">
            <v>2403104</v>
          </cell>
        </row>
        <row r="29">
          <cell r="U29">
            <v>5509714</v>
          </cell>
        </row>
        <row r="30">
          <cell r="U30">
            <v>10750673.000000004</v>
          </cell>
        </row>
        <row r="31">
          <cell r="U31">
            <v>1537467</v>
          </cell>
        </row>
        <row r="38">
          <cell r="U38">
            <v>93369096</v>
          </cell>
        </row>
        <row r="39">
          <cell r="U39">
            <v>119565852</v>
          </cell>
        </row>
        <row r="40">
          <cell r="U40">
            <v>26131034</v>
          </cell>
        </row>
        <row r="41">
          <cell r="U41">
            <v>0</v>
          </cell>
        </row>
        <row r="42">
          <cell r="U42">
            <v>21133831</v>
          </cell>
        </row>
        <row r="43">
          <cell r="U43">
            <v>84135248</v>
          </cell>
        </row>
        <row r="45">
          <cell r="U45">
            <v>2704833697</v>
          </cell>
        </row>
        <row r="46">
          <cell r="U46">
            <v>0</v>
          </cell>
        </row>
        <row r="47">
          <cell r="U47">
            <v>27775969</v>
          </cell>
        </row>
        <row r="48">
          <cell r="U48">
            <v>2796150</v>
          </cell>
        </row>
        <row r="49">
          <cell r="U49">
            <v>10000000</v>
          </cell>
        </row>
        <row r="50">
          <cell r="U50">
            <v>124104528</v>
          </cell>
        </row>
        <row r="51">
          <cell r="U51">
            <v>30707005</v>
          </cell>
        </row>
        <row r="52">
          <cell r="U52">
            <v>194214525</v>
          </cell>
        </row>
        <row r="53">
          <cell r="U53">
            <v>287352844</v>
          </cell>
        </row>
        <row r="55">
          <cell r="U55">
            <v>185913026</v>
          </cell>
        </row>
        <row r="56">
          <cell r="U56">
            <v>36674545</v>
          </cell>
        </row>
        <row r="57">
          <cell r="U57">
            <v>8413324</v>
          </cell>
        </row>
        <row r="58">
          <cell r="U58">
            <v>0</v>
          </cell>
        </row>
        <row r="59">
          <cell r="U59">
            <v>98604000</v>
          </cell>
        </row>
        <row r="60">
          <cell r="U60">
            <v>0</v>
          </cell>
        </row>
        <row r="61">
          <cell r="U61">
            <v>10446511</v>
          </cell>
        </row>
        <row r="62">
          <cell r="U62">
            <v>50000000</v>
          </cell>
        </row>
        <row r="63">
          <cell r="U63">
            <v>7065142</v>
          </cell>
        </row>
        <row r="64">
          <cell r="U64">
            <v>375975439</v>
          </cell>
        </row>
        <row r="66">
          <cell r="U66">
            <v>15168300</v>
          </cell>
        </row>
        <row r="67">
          <cell r="U67">
            <v>2880822</v>
          </cell>
        </row>
        <row r="68">
          <cell r="U68">
            <v>86009102.599999994</v>
          </cell>
        </row>
        <row r="70">
          <cell r="U70">
            <v>35381003</v>
          </cell>
        </row>
        <row r="71">
          <cell r="U71">
            <v>100000000</v>
          </cell>
        </row>
        <row r="72">
          <cell r="U72">
            <v>4998242</v>
          </cell>
        </row>
        <row r="73">
          <cell r="U73">
            <v>0</v>
          </cell>
        </row>
        <row r="74">
          <cell r="U74">
            <v>6794521</v>
          </cell>
        </row>
        <row r="77">
          <cell r="U77">
            <v>4968531389.6000004</v>
          </cell>
        </row>
      </sheetData>
      <sheetData sheetId="14" refreshError="1">
        <row r="14">
          <cell r="U14">
            <v>257480229</v>
          </cell>
        </row>
        <row r="15">
          <cell r="U15">
            <v>15042023</v>
          </cell>
        </row>
        <row r="16">
          <cell r="U16">
            <v>15244051</v>
          </cell>
        </row>
        <row r="17">
          <cell r="U17">
            <v>250000</v>
          </cell>
        </row>
        <row r="18">
          <cell r="U18">
            <v>15244051</v>
          </cell>
        </row>
        <row r="19">
          <cell r="U19">
            <v>2239086</v>
          </cell>
        </row>
        <row r="20">
          <cell r="U20">
            <v>50883912</v>
          </cell>
        </row>
        <row r="21">
          <cell r="U21">
            <v>10749120</v>
          </cell>
        </row>
        <row r="22">
          <cell r="U22">
            <v>13651292</v>
          </cell>
        </row>
        <row r="26">
          <cell r="U26">
            <v>1087449</v>
          </cell>
        </row>
        <row r="27">
          <cell r="U27">
            <v>2808008</v>
          </cell>
        </row>
        <row r="28">
          <cell r="U28">
            <v>984299</v>
          </cell>
        </row>
        <row r="29">
          <cell r="U29">
            <v>5544464</v>
          </cell>
        </row>
        <row r="30">
          <cell r="U30">
            <v>3860265</v>
          </cell>
        </row>
        <row r="38">
          <cell r="U38">
            <v>2505574</v>
          </cell>
        </row>
        <row r="39">
          <cell r="U39">
            <v>305960753</v>
          </cell>
        </row>
        <row r="40">
          <cell r="U40">
            <v>136241698</v>
          </cell>
        </row>
        <row r="41">
          <cell r="U41">
            <v>18651086</v>
          </cell>
        </row>
        <row r="43">
          <cell r="U43">
            <v>3494145</v>
          </cell>
        </row>
        <row r="44">
          <cell r="U44">
            <v>196738528</v>
          </cell>
        </row>
        <row r="45">
          <cell r="U45">
            <v>22319232</v>
          </cell>
        </row>
        <row r="47">
          <cell r="U47">
            <v>246692</v>
          </cell>
        </row>
        <row r="48">
          <cell r="U48">
            <v>25522394</v>
          </cell>
        </row>
        <row r="49">
          <cell r="U49">
            <v>124293147</v>
          </cell>
        </row>
        <row r="53">
          <cell r="U53">
            <v>1231041498</v>
          </cell>
        </row>
      </sheetData>
      <sheetData sheetId="15" refreshError="1">
        <row r="14">
          <cell r="U14">
            <v>382142710</v>
          </cell>
        </row>
        <row r="15">
          <cell r="U15">
            <v>26249911</v>
          </cell>
        </row>
        <row r="16">
          <cell r="U16">
            <v>26411293</v>
          </cell>
        </row>
        <row r="17">
          <cell r="U17">
            <v>750000</v>
          </cell>
        </row>
        <row r="18">
          <cell r="U18">
            <v>26411293</v>
          </cell>
        </row>
        <row r="19">
          <cell r="U19">
            <v>3232367</v>
          </cell>
        </row>
        <row r="20">
          <cell r="U20">
            <v>74532031</v>
          </cell>
        </row>
        <row r="21">
          <cell r="U21">
            <v>17081628</v>
          </cell>
        </row>
        <row r="22">
          <cell r="U22">
            <v>22706536</v>
          </cell>
        </row>
        <row r="26">
          <cell r="U26">
            <v>10052218</v>
          </cell>
        </row>
        <row r="27">
          <cell r="U27">
            <v>2183012</v>
          </cell>
        </row>
        <row r="28">
          <cell r="U28">
            <v>1685050</v>
          </cell>
        </row>
        <row r="29">
          <cell r="U29">
            <v>10246650</v>
          </cell>
        </row>
        <row r="30">
          <cell r="U30">
            <v>1151494</v>
          </cell>
        </row>
        <row r="31">
          <cell r="U31">
            <v>5244161</v>
          </cell>
        </row>
        <row r="32">
          <cell r="U32">
            <v>14797000</v>
          </cell>
        </row>
        <row r="33">
          <cell r="U33">
            <v>18156337</v>
          </cell>
        </row>
        <row r="34">
          <cell r="U34">
            <v>161155838</v>
          </cell>
        </row>
        <row r="35">
          <cell r="U35">
            <v>13190214</v>
          </cell>
        </row>
        <row r="36">
          <cell r="U36">
            <v>4744505</v>
          </cell>
        </row>
        <row r="43">
          <cell r="U43">
            <v>266348750</v>
          </cell>
        </row>
        <row r="44">
          <cell r="U44">
            <v>344560797</v>
          </cell>
        </row>
        <row r="45">
          <cell r="U45">
            <v>102652583</v>
          </cell>
        </row>
        <row r="46">
          <cell r="U46">
            <v>85000000</v>
          </cell>
        </row>
        <row r="47">
          <cell r="U47">
            <v>165784916</v>
          </cell>
        </row>
        <row r="48">
          <cell r="U48">
            <v>3100000000</v>
          </cell>
        </row>
        <row r="49">
          <cell r="U49">
            <v>9693709</v>
          </cell>
        </row>
        <row r="51">
          <cell r="U51">
            <v>4845480</v>
          </cell>
        </row>
        <row r="53">
          <cell r="U53">
            <v>41537420</v>
          </cell>
        </row>
        <row r="54">
          <cell r="U54">
            <v>18972754</v>
          </cell>
        </row>
        <row r="56">
          <cell r="U56">
            <v>64002936</v>
          </cell>
        </row>
        <row r="62">
          <cell r="U62">
            <v>5025523593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  <sheetName val="Otros ingresos"/>
      <sheetName val="Rendimientos "/>
      <sheetName val="Escenario PPC"/>
      <sheetName val="Ejecución ingresos 2014"/>
      <sheetName val="Ejecución gastos 2014"/>
      <sheetName val="Superavit 2014"/>
      <sheetName val="Anexo 2 "/>
      <sheetName val="Anexo 3"/>
      <sheetName val="Anexo 4"/>
      <sheetName val="Funcionamiento"/>
      <sheetName val="Nómina y honorarios 2015"/>
      <sheetName val="Comparativo nómina 2014-2015"/>
      <sheetName val="Comparativo gastos personal "/>
    </sheetNames>
    <sheetDataSet>
      <sheetData sheetId="0">
        <row r="46">
          <cell r="C46">
            <v>3182535.7199999997</v>
          </cell>
        </row>
        <row r="53">
          <cell r="C53">
            <v>4295.6000000000004</v>
          </cell>
        </row>
        <row r="54">
          <cell r="C54">
            <v>2577.36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>
        <row r="13">
          <cell r="S13">
            <v>12187734412.375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Q13">
            <v>1157047436</v>
          </cell>
        </row>
        <row r="14">
          <cell r="Q14">
            <v>66778490</v>
          </cell>
        </row>
        <row r="15">
          <cell r="Q15">
            <v>78019885</v>
          </cell>
        </row>
        <row r="16">
          <cell r="Q16">
            <v>44486611</v>
          </cell>
        </row>
        <row r="17">
          <cell r="Q17">
            <v>2250000</v>
          </cell>
        </row>
        <row r="18">
          <cell r="Q18">
            <v>78637796</v>
          </cell>
        </row>
        <row r="19">
          <cell r="Q19">
            <v>7597393</v>
          </cell>
        </row>
        <row r="20">
          <cell r="Q20">
            <v>238904354</v>
          </cell>
        </row>
        <row r="21">
          <cell r="Q21">
            <v>45896000</v>
          </cell>
        </row>
        <row r="22">
          <cell r="Q22">
            <v>57390800</v>
          </cell>
        </row>
        <row r="27">
          <cell r="Q27">
            <v>111042304</v>
          </cell>
        </row>
        <row r="28">
          <cell r="Q28">
            <v>19664172</v>
          </cell>
        </row>
        <row r="29">
          <cell r="Q29">
            <v>1010000</v>
          </cell>
        </row>
        <row r="30">
          <cell r="Q30">
            <v>33052701</v>
          </cell>
        </row>
        <row r="31">
          <cell r="Q31">
            <v>3853898</v>
          </cell>
        </row>
        <row r="32">
          <cell r="Q32">
            <v>18000000</v>
          </cell>
        </row>
        <row r="33">
          <cell r="Q33">
            <v>37677880</v>
          </cell>
        </row>
        <row r="34">
          <cell r="Q34">
            <v>28818550</v>
          </cell>
        </row>
        <row r="35">
          <cell r="Q35">
            <v>87629242</v>
          </cell>
        </row>
        <row r="36">
          <cell r="Q36">
            <v>151006895</v>
          </cell>
        </row>
        <row r="37">
          <cell r="Q37">
            <v>3794815</v>
          </cell>
        </row>
        <row r="38">
          <cell r="Q38">
            <v>34591619</v>
          </cell>
        </row>
        <row r="39">
          <cell r="Q39">
            <v>7076370</v>
          </cell>
        </row>
        <row r="40">
          <cell r="Q40">
            <v>139572650</v>
          </cell>
        </row>
        <row r="41">
          <cell r="Q41">
            <v>16296818</v>
          </cell>
        </row>
      </sheetData>
      <sheetData sheetId="8">
        <row r="38">
          <cell r="AC38">
            <v>21862858</v>
          </cell>
        </row>
        <row r="39">
          <cell r="AC39">
            <v>20708571</v>
          </cell>
        </row>
        <row r="41">
          <cell r="AC41">
            <v>75351748</v>
          </cell>
        </row>
        <row r="42">
          <cell r="AC42">
            <v>141922868</v>
          </cell>
        </row>
        <row r="43">
          <cell r="AC43">
            <v>11322894</v>
          </cell>
        </row>
      </sheetData>
      <sheetData sheetId="9">
        <row r="38">
          <cell r="AC38">
            <v>1249591</v>
          </cell>
        </row>
        <row r="39">
          <cell r="AC39">
            <v>421465969</v>
          </cell>
        </row>
        <row r="40">
          <cell r="AC40">
            <v>24663520</v>
          </cell>
        </row>
        <row r="41">
          <cell r="AC41">
            <v>369449276</v>
          </cell>
        </row>
        <row r="47">
          <cell r="AC47">
            <v>7184200</v>
          </cell>
        </row>
        <row r="48">
          <cell r="AC48">
            <v>351308864</v>
          </cell>
        </row>
        <row r="49">
          <cell r="AC49">
            <v>56657263</v>
          </cell>
        </row>
        <row r="50">
          <cell r="AC50">
            <v>28926220</v>
          </cell>
        </row>
      </sheetData>
      <sheetData sheetId="10">
        <row r="38">
          <cell r="AC38">
            <v>384875830</v>
          </cell>
        </row>
        <row r="39">
          <cell r="AC39">
            <v>0</v>
          </cell>
        </row>
        <row r="40">
          <cell r="AC40">
            <v>27790836</v>
          </cell>
        </row>
        <row r="43">
          <cell r="AC43">
            <v>12621003</v>
          </cell>
        </row>
        <row r="44">
          <cell r="AC44">
            <v>11521533</v>
          </cell>
        </row>
        <row r="45">
          <cell r="AC45">
            <v>14049504</v>
          </cell>
        </row>
        <row r="46">
          <cell r="AC46">
            <v>0</v>
          </cell>
        </row>
        <row r="47">
          <cell r="AC47">
            <v>40000000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714000</v>
          </cell>
        </row>
        <row r="51">
          <cell r="AC51">
            <v>13215000</v>
          </cell>
        </row>
        <row r="52">
          <cell r="AC52">
            <v>48872057</v>
          </cell>
        </row>
        <row r="53">
          <cell r="AC53">
            <v>-152500000</v>
          </cell>
        </row>
        <row r="55">
          <cell r="AC55">
            <v>9776184</v>
          </cell>
        </row>
        <row r="56">
          <cell r="AC56">
            <v>12511550</v>
          </cell>
        </row>
        <row r="57">
          <cell r="AC57">
            <v>0</v>
          </cell>
        </row>
        <row r="58">
          <cell r="AC58">
            <v>-4000000</v>
          </cell>
        </row>
        <row r="59">
          <cell r="AC59">
            <v>84027087</v>
          </cell>
        </row>
        <row r="60">
          <cell r="AC60">
            <v>34464584</v>
          </cell>
        </row>
        <row r="61">
          <cell r="AC61">
            <v>6108830</v>
          </cell>
        </row>
        <row r="64">
          <cell r="AC64">
            <v>5388906</v>
          </cell>
        </row>
        <row r="65">
          <cell r="AC65">
            <v>35874639</v>
          </cell>
        </row>
        <row r="66">
          <cell r="AC66">
            <v>29801336</v>
          </cell>
        </row>
        <row r="68">
          <cell r="AC68">
            <v>211684370</v>
          </cell>
        </row>
        <row r="69">
          <cell r="AC69">
            <v>3619692</v>
          </cell>
        </row>
        <row r="70">
          <cell r="AC70">
            <v>16514992</v>
          </cell>
        </row>
        <row r="71">
          <cell r="AC71">
            <v>6192899</v>
          </cell>
        </row>
        <row r="72">
          <cell r="AC72">
            <v>44255736</v>
          </cell>
        </row>
      </sheetData>
      <sheetData sheetId="11">
        <row r="46">
          <cell r="AC46">
            <v>54171707</v>
          </cell>
        </row>
        <row r="47">
          <cell r="AC47">
            <v>50135820</v>
          </cell>
        </row>
        <row r="48">
          <cell r="AC48">
            <v>0</v>
          </cell>
        </row>
        <row r="49">
          <cell r="AC49">
            <v>8164281</v>
          </cell>
        </row>
        <row r="50">
          <cell r="AC50">
            <v>-1046951</v>
          </cell>
        </row>
        <row r="52">
          <cell r="AC52">
            <v>5492240</v>
          </cell>
        </row>
        <row r="53">
          <cell r="AC53">
            <v>149312412</v>
          </cell>
        </row>
        <row r="54">
          <cell r="AC54">
            <v>43899899</v>
          </cell>
        </row>
        <row r="55">
          <cell r="AC55">
            <v>0</v>
          </cell>
        </row>
        <row r="56">
          <cell r="AC56">
            <v>8708568</v>
          </cell>
        </row>
        <row r="59">
          <cell r="AC59">
            <v>1220554892</v>
          </cell>
        </row>
        <row r="60">
          <cell r="AC60">
            <v>732332933</v>
          </cell>
        </row>
      </sheetData>
      <sheetData sheetId="12">
        <row r="32">
          <cell r="AC32">
            <v>154395112</v>
          </cell>
        </row>
        <row r="33">
          <cell r="AC33">
            <v>32678000</v>
          </cell>
        </row>
        <row r="35">
          <cell r="AC35">
            <v>0</v>
          </cell>
        </row>
        <row r="36">
          <cell r="AC36">
            <v>31847470</v>
          </cell>
        </row>
        <row r="37">
          <cell r="AC37">
            <v>18486584</v>
          </cell>
        </row>
      </sheetData>
      <sheetData sheetId="13">
        <row r="38">
          <cell r="AC38">
            <v>93192328</v>
          </cell>
        </row>
        <row r="39">
          <cell r="AC39">
            <v>109975000</v>
          </cell>
        </row>
        <row r="40">
          <cell r="AC40">
            <v>9000000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77750000</v>
          </cell>
        </row>
        <row r="45">
          <cell r="AC45">
            <v>2612218214</v>
          </cell>
        </row>
        <row r="46">
          <cell r="AC46">
            <v>0</v>
          </cell>
        </row>
        <row r="47">
          <cell r="AC47">
            <v>15999921</v>
          </cell>
        </row>
        <row r="48">
          <cell r="AC48">
            <v>2796150</v>
          </cell>
        </row>
        <row r="49">
          <cell r="AC49">
            <v>10000000</v>
          </cell>
        </row>
        <row r="50">
          <cell r="AC50">
            <v>124104530</v>
          </cell>
        </row>
        <row r="51">
          <cell r="AC51">
            <v>29546605</v>
          </cell>
        </row>
        <row r="52">
          <cell r="AC52">
            <v>194214525</v>
          </cell>
        </row>
        <row r="53">
          <cell r="AC53">
            <v>279955212</v>
          </cell>
        </row>
        <row r="55">
          <cell r="AC55">
            <v>166087545</v>
          </cell>
        </row>
        <row r="56">
          <cell r="AC56">
            <v>29665554</v>
          </cell>
        </row>
        <row r="57">
          <cell r="AC57">
            <v>7012830</v>
          </cell>
        </row>
        <row r="58">
          <cell r="AC58">
            <v>0</v>
          </cell>
        </row>
        <row r="59">
          <cell r="AC59">
            <v>27570879</v>
          </cell>
        </row>
        <row r="60">
          <cell r="AC60">
            <v>0</v>
          </cell>
        </row>
        <row r="61">
          <cell r="AC61">
            <v>5912050</v>
          </cell>
        </row>
        <row r="62">
          <cell r="AC62">
            <v>50000000</v>
          </cell>
        </row>
        <row r="63">
          <cell r="AC63">
            <v>0</v>
          </cell>
        </row>
        <row r="64">
          <cell r="AC64">
            <v>375669138</v>
          </cell>
        </row>
        <row r="66">
          <cell r="AC66">
            <v>0</v>
          </cell>
        </row>
        <row r="67">
          <cell r="AC67">
            <v>921280</v>
          </cell>
        </row>
        <row r="68">
          <cell r="AC68">
            <v>83773997</v>
          </cell>
        </row>
        <row r="70">
          <cell r="AC70">
            <v>34153310</v>
          </cell>
        </row>
        <row r="71">
          <cell r="AC71">
            <v>0</v>
          </cell>
        </row>
        <row r="72">
          <cell r="AC72">
            <v>4690000</v>
          </cell>
        </row>
        <row r="73">
          <cell r="AC73">
            <v>0</v>
          </cell>
        </row>
        <row r="74">
          <cell r="AC74">
            <v>837500</v>
          </cell>
        </row>
      </sheetData>
      <sheetData sheetId="14">
        <row r="38">
          <cell r="AC38">
            <v>2475028</v>
          </cell>
        </row>
        <row r="39">
          <cell r="AC39">
            <v>303523281</v>
          </cell>
        </row>
        <row r="40">
          <cell r="AC40">
            <v>136018438</v>
          </cell>
        </row>
        <row r="41">
          <cell r="AC41">
            <v>12672030</v>
          </cell>
        </row>
        <row r="43">
          <cell r="AC43">
            <v>3395665</v>
          </cell>
        </row>
        <row r="44">
          <cell r="AC44">
            <v>196738528</v>
          </cell>
        </row>
        <row r="45">
          <cell r="AC45">
            <v>18275143</v>
          </cell>
        </row>
        <row r="47">
          <cell r="AC47">
            <v>178910</v>
          </cell>
        </row>
        <row r="48">
          <cell r="AC48">
            <v>25522394</v>
          </cell>
        </row>
        <row r="49">
          <cell r="AC49">
            <v>124185418</v>
          </cell>
        </row>
      </sheetData>
      <sheetData sheetId="15">
        <row r="43">
          <cell r="AC43">
            <v>238376150</v>
          </cell>
        </row>
        <row r="44">
          <cell r="AC44">
            <v>102730520</v>
          </cell>
        </row>
        <row r="45">
          <cell r="AC45">
            <v>117755460</v>
          </cell>
        </row>
        <row r="46">
          <cell r="AC46">
            <v>78483349</v>
          </cell>
        </row>
        <row r="47">
          <cell r="AC47">
            <v>140786088</v>
          </cell>
        </row>
        <row r="48">
          <cell r="AC48">
            <v>3039375266</v>
          </cell>
        </row>
        <row r="49">
          <cell r="AC49">
            <v>15768293</v>
          </cell>
        </row>
        <row r="51">
          <cell r="AC51">
            <v>2742420</v>
          </cell>
        </row>
        <row r="53">
          <cell r="AC53">
            <v>37709667</v>
          </cell>
        </row>
        <row r="54">
          <cell r="AC54">
            <v>22472754</v>
          </cell>
        </row>
        <row r="56">
          <cell r="AC56">
            <v>63235277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F40">
            <v>-12000000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2">
          <cell r="AA42"/>
        </row>
        <row r="43">
          <cell r="AA43"/>
        </row>
        <row r="45">
          <cell r="AA45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 "/>
      <sheetName val="HT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83E2-A9A7-49AE-A652-52B0CB3A693C}">
  <sheetPr>
    <outlinePr applyStyles="1"/>
    <pageSetUpPr fitToPage="1"/>
  </sheetPr>
  <dimension ref="A1:R263"/>
  <sheetViews>
    <sheetView tabSelected="1" zoomScale="55" zoomScaleNormal="55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O212"/>
    </sheetView>
  </sheetViews>
  <sheetFormatPr baseColWidth="10" defaultColWidth="14.6640625" defaultRowHeight="13.8" zeroHeight="1" outlineLevelRow="2" x14ac:dyDescent="0.25"/>
  <cols>
    <col min="1" max="1" width="50.5546875" style="2" customWidth="1"/>
    <col min="2" max="2" width="20.109375" style="2" customWidth="1"/>
    <col min="3" max="3" width="18.6640625" style="2" customWidth="1"/>
    <col min="4" max="4" width="27.5546875" style="2" customWidth="1"/>
    <col min="5" max="5" width="19.88671875" style="2" bestFit="1" customWidth="1"/>
    <col min="6" max="8" width="19.33203125" style="2" customWidth="1"/>
    <col min="9" max="9" width="20.88671875" style="2" bestFit="1" customWidth="1"/>
    <col min="10" max="11" width="24" style="2" customWidth="1"/>
    <col min="12" max="12" width="26.88671875" style="2" customWidth="1"/>
    <col min="13" max="14" width="26.88671875" style="62" customWidth="1"/>
    <col min="15" max="15" width="11.44140625" style="2" bestFit="1" customWidth="1"/>
    <col min="16" max="17" width="17.33203125" style="2" customWidth="1"/>
    <col min="18" max="256" width="14.6640625" style="2"/>
    <col min="257" max="257" width="50.5546875" style="2" customWidth="1"/>
    <col min="258" max="258" width="20.109375" style="2" customWidth="1"/>
    <col min="259" max="259" width="18.6640625" style="2" customWidth="1"/>
    <col min="260" max="260" width="27.5546875" style="2" customWidth="1"/>
    <col min="261" max="261" width="19.88671875" style="2" bestFit="1" customWidth="1"/>
    <col min="262" max="264" width="19.33203125" style="2" customWidth="1"/>
    <col min="265" max="265" width="20.88671875" style="2" bestFit="1" customWidth="1"/>
    <col min="266" max="267" width="24" style="2" customWidth="1"/>
    <col min="268" max="270" width="26.88671875" style="2" customWidth="1"/>
    <col min="271" max="271" width="11.44140625" style="2" bestFit="1" customWidth="1"/>
    <col min="272" max="273" width="17.33203125" style="2" customWidth="1"/>
    <col min="274" max="512" width="14.6640625" style="2"/>
    <col min="513" max="513" width="50.5546875" style="2" customWidth="1"/>
    <col min="514" max="514" width="20.109375" style="2" customWidth="1"/>
    <col min="515" max="515" width="18.6640625" style="2" customWidth="1"/>
    <col min="516" max="516" width="27.5546875" style="2" customWidth="1"/>
    <col min="517" max="517" width="19.88671875" style="2" bestFit="1" customWidth="1"/>
    <col min="518" max="520" width="19.33203125" style="2" customWidth="1"/>
    <col min="521" max="521" width="20.88671875" style="2" bestFit="1" customWidth="1"/>
    <col min="522" max="523" width="24" style="2" customWidth="1"/>
    <col min="524" max="526" width="26.88671875" style="2" customWidth="1"/>
    <col min="527" max="527" width="11.44140625" style="2" bestFit="1" customWidth="1"/>
    <col min="528" max="529" width="17.33203125" style="2" customWidth="1"/>
    <col min="530" max="768" width="14.6640625" style="2"/>
    <col min="769" max="769" width="50.5546875" style="2" customWidth="1"/>
    <col min="770" max="770" width="20.109375" style="2" customWidth="1"/>
    <col min="771" max="771" width="18.6640625" style="2" customWidth="1"/>
    <col min="772" max="772" width="27.5546875" style="2" customWidth="1"/>
    <col min="773" max="773" width="19.88671875" style="2" bestFit="1" customWidth="1"/>
    <col min="774" max="776" width="19.33203125" style="2" customWidth="1"/>
    <col min="777" max="777" width="20.88671875" style="2" bestFit="1" customWidth="1"/>
    <col min="778" max="779" width="24" style="2" customWidth="1"/>
    <col min="780" max="782" width="26.88671875" style="2" customWidth="1"/>
    <col min="783" max="783" width="11.44140625" style="2" bestFit="1" customWidth="1"/>
    <col min="784" max="785" width="17.33203125" style="2" customWidth="1"/>
    <col min="786" max="1024" width="14.6640625" style="2"/>
    <col min="1025" max="1025" width="50.5546875" style="2" customWidth="1"/>
    <col min="1026" max="1026" width="20.109375" style="2" customWidth="1"/>
    <col min="1027" max="1027" width="18.6640625" style="2" customWidth="1"/>
    <col min="1028" max="1028" width="27.5546875" style="2" customWidth="1"/>
    <col min="1029" max="1029" width="19.88671875" style="2" bestFit="1" customWidth="1"/>
    <col min="1030" max="1032" width="19.33203125" style="2" customWidth="1"/>
    <col min="1033" max="1033" width="20.88671875" style="2" bestFit="1" customWidth="1"/>
    <col min="1034" max="1035" width="24" style="2" customWidth="1"/>
    <col min="1036" max="1038" width="26.88671875" style="2" customWidth="1"/>
    <col min="1039" max="1039" width="11.44140625" style="2" bestFit="1" customWidth="1"/>
    <col min="1040" max="1041" width="17.33203125" style="2" customWidth="1"/>
    <col min="1042" max="1280" width="14.6640625" style="2"/>
    <col min="1281" max="1281" width="50.5546875" style="2" customWidth="1"/>
    <col min="1282" max="1282" width="20.109375" style="2" customWidth="1"/>
    <col min="1283" max="1283" width="18.6640625" style="2" customWidth="1"/>
    <col min="1284" max="1284" width="27.5546875" style="2" customWidth="1"/>
    <col min="1285" max="1285" width="19.88671875" style="2" bestFit="1" customWidth="1"/>
    <col min="1286" max="1288" width="19.33203125" style="2" customWidth="1"/>
    <col min="1289" max="1289" width="20.88671875" style="2" bestFit="1" customWidth="1"/>
    <col min="1290" max="1291" width="24" style="2" customWidth="1"/>
    <col min="1292" max="1294" width="26.88671875" style="2" customWidth="1"/>
    <col min="1295" max="1295" width="11.44140625" style="2" bestFit="1" customWidth="1"/>
    <col min="1296" max="1297" width="17.33203125" style="2" customWidth="1"/>
    <col min="1298" max="1536" width="14.6640625" style="2"/>
    <col min="1537" max="1537" width="50.5546875" style="2" customWidth="1"/>
    <col min="1538" max="1538" width="20.109375" style="2" customWidth="1"/>
    <col min="1539" max="1539" width="18.6640625" style="2" customWidth="1"/>
    <col min="1540" max="1540" width="27.5546875" style="2" customWidth="1"/>
    <col min="1541" max="1541" width="19.88671875" style="2" bestFit="1" customWidth="1"/>
    <col min="1542" max="1544" width="19.33203125" style="2" customWidth="1"/>
    <col min="1545" max="1545" width="20.88671875" style="2" bestFit="1" customWidth="1"/>
    <col min="1546" max="1547" width="24" style="2" customWidth="1"/>
    <col min="1548" max="1550" width="26.88671875" style="2" customWidth="1"/>
    <col min="1551" max="1551" width="11.44140625" style="2" bestFit="1" customWidth="1"/>
    <col min="1552" max="1553" width="17.33203125" style="2" customWidth="1"/>
    <col min="1554" max="1792" width="14.6640625" style="2"/>
    <col min="1793" max="1793" width="50.5546875" style="2" customWidth="1"/>
    <col min="1794" max="1794" width="20.109375" style="2" customWidth="1"/>
    <col min="1795" max="1795" width="18.6640625" style="2" customWidth="1"/>
    <col min="1796" max="1796" width="27.5546875" style="2" customWidth="1"/>
    <col min="1797" max="1797" width="19.88671875" style="2" bestFit="1" customWidth="1"/>
    <col min="1798" max="1800" width="19.33203125" style="2" customWidth="1"/>
    <col min="1801" max="1801" width="20.88671875" style="2" bestFit="1" customWidth="1"/>
    <col min="1802" max="1803" width="24" style="2" customWidth="1"/>
    <col min="1804" max="1806" width="26.88671875" style="2" customWidth="1"/>
    <col min="1807" max="1807" width="11.44140625" style="2" bestFit="1" customWidth="1"/>
    <col min="1808" max="1809" width="17.33203125" style="2" customWidth="1"/>
    <col min="1810" max="2048" width="14.6640625" style="2"/>
    <col min="2049" max="2049" width="50.5546875" style="2" customWidth="1"/>
    <col min="2050" max="2050" width="20.109375" style="2" customWidth="1"/>
    <col min="2051" max="2051" width="18.6640625" style="2" customWidth="1"/>
    <col min="2052" max="2052" width="27.5546875" style="2" customWidth="1"/>
    <col min="2053" max="2053" width="19.88671875" style="2" bestFit="1" customWidth="1"/>
    <col min="2054" max="2056" width="19.33203125" style="2" customWidth="1"/>
    <col min="2057" max="2057" width="20.88671875" style="2" bestFit="1" customWidth="1"/>
    <col min="2058" max="2059" width="24" style="2" customWidth="1"/>
    <col min="2060" max="2062" width="26.88671875" style="2" customWidth="1"/>
    <col min="2063" max="2063" width="11.44140625" style="2" bestFit="1" customWidth="1"/>
    <col min="2064" max="2065" width="17.33203125" style="2" customWidth="1"/>
    <col min="2066" max="2304" width="14.6640625" style="2"/>
    <col min="2305" max="2305" width="50.5546875" style="2" customWidth="1"/>
    <col min="2306" max="2306" width="20.109375" style="2" customWidth="1"/>
    <col min="2307" max="2307" width="18.6640625" style="2" customWidth="1"/>
    <col min="2308" max="2308" width="27.5546875" style="2" customWidth="1"/>
    <col min="2309" max="2309" width="19.88671875" style="2" bestFit="1" customWidth="1"/>
    <col min="2310" max="2312" width="19.33203125" style="2" customWidth="1"/>
    <col min="2313" max="2313" width="20.88671875" style="2" bestFit="1" customWidth="1"/>
    <col min="2314" max="2315" width="24" style="2" customWidth="1"/>
    <col min="2316" max="2318" width="26.88671875" style="2" customWidth="1"/>
    <col min="2319" max="2319" width="11.44140625" style="2" bestFit="1" customWidth="1"/>
    <col min="2320" max="2321" width="17.33203125" style="2" customWidth="1"/>
    <col min="2322" max="2560" width="14.6640625" style="2"/>
    <col min="2561" max="2561" width="50.5546875" style="2" customWidth="1"/>
    <col min="2562" max="2562" width="20.109375" style="2" customWidth="1"/>
    <col min="2563" max="2563" width="18.6640625" style="2" customWidth="1"/>
    <col min="2564" max="2564" width="27.5546875" style="2" customWidth="1"/>
    <col min="2565" max="2565" width="19.88671875" style="2" bestFit="1" customWidth="1"/>
    <col min="2566" max="2568" width="19.33203125" style="2" customWidth="1"/>
    <col min="2569" max="2569" width="20.88671875" style="2" bestFit="1" customWidth="1"/>
    <col min="2570" max="2571" width="24" style="2" customWidth="1"/>
    <col min="2572" max="2574" width="26.88671875" style="2" customWidth="1"/>
    <col min="2575" max="2575" width="11.44140625" style="2" bestFit="1" customWidth="1"/>
    <col min="2576" max="2577" width="17.33203125" style="2" customWidth="1"/>
    <col min="2578" max="2816" width="14.6640625" style="2"/>
    <col min="2817" max="2817" width="50.5546875" style="2" customWidth="1"/>
    <col min="2818" max="2818" width="20.109375" style="2" customWidth="1"/>
    <col min="2819" max="2819" width="18.6640625" style="2" customWidth="1"/>
    <col min="2820" max="2820" width="27.5546875" style="2" customWidth="1"/>
    <col min="2821" max="2821" width="19.88671875" style="2" bestFit="1" customWidth="1"/>
    <col min="2822" max="2824" width="19.33203125" style="2" customWidth="1"/>
    <col min="2825" max="2825" width="20.88671875" style="2" bestFit="1" customWidth="1"/>
    <col min="2826" max="2827" width="24" style="2" customWidth="1"/>
    <col min="2828" max="2830" width="26.88671875" style="2" customWidth="1"/>
    <col min="2831" max="2831" width="11.44140625" style="2" bestFit="1" customWidth="1"/>
    <col min="2832" max="2833" width="17.33203125" style="2" customWidth="1"/>
    <col min="2834" max="3072" width="14.6640625" style="2"/>
    <col min="3073" max="3073" width="50.5546875" style="2" customWidth="1"/>
    <col min="3074" max="3074" width="20.109375" style="2" customWidth="1"/>
    <col min="3075" max="3075" width="18.6640625" style="2" customWidth="1"/>
    <col min="3076" max="3076" width="27.5546875" style="2" customWidth="1"/>
    <col min="3077" max="3077" width="19.88671875" style="2" bestFit="1" customWidth="1"/>
    <col min="3078" max="3080" width="19.33203125" style="2" customWidth="1"/>
    <col min="3081" max="3081" width="20.88671875" style="2" bestFit="1" customWidth="1"/>
    <col min="3082" max="3083" width="24" style="2" customWidth="1"/>
    <col min="3084" max="3086" width="26.88671875" style="2" customWidth="1"/>
    <col min="3087" max="3087" width="11.44140625" style="2" bestFit="1" customWidth="1"/>
    <col min="3088" max="3089" width="17.33203125" style="2" customWidth="1"/>
    <col min="3090" max="3328" width="14.6640625" style="2"/>
    <col min="3329" max="3329" width="50.5546875" style="2" customWidth="1"/>
    <col min="3330" max="3330" width="20.109375" style="2" customWidth="1"/>
    <col min="3331" max="3331" width="18.6640625" style="2" customWidth="1"/>
    <col min="3332" max="3332" width="27.5546875" style="2" customWidth="1"/>
    <col min="3333" max="3333" width="19.88671875" style="2" bestFit="1" customWidth="1"/>
    <col min="3334" max="3336" width="19.33203125" style="2" customWidth="1"/>
    <col min="3337" max="3337" width="20.88671875" style="2" bestFit="1" customWidth="1"/>
    <col min="3338" max="3339" width="24" style="2" customWidth="1"/>
    <col min="3340" max="3342" width="26.88671875" style="2" customWidth="1"/>
    <col min="3343" max="3343" width="11.44140625" style="2" bestFit="1" customWidth="1"/>
    <col min="3344" max="3345" width="17.33203125" style="2" customWidth="1"/>
    <col min="3346" max="3584" width="14.6640625" style="2"/>
    <col min="3585" max="3585" width="50.5546875" style="2" customWidth="1"/>
    <col min="3586" max="3586" width="20.109375" style="2" customWidth="1"/>
    <col min="3587" max="3587" width="18.6640625" style="2" customWidth="1"/>
    <col min="3588" max="3588" width="27.5546875" style="2" customWidth="1"/>
    <col min="3589" max="3589" width="19.88671875" style="2" bestFit="1" customWidth="1"/>
    <col min="3590" max="3592" width="19.33203125" style="2" customWidth="1"/>
    <col min="3593" max="3593" width="20.88671875" style="2" bestFit="1" customWidth="1"/>
    <col min="3594" max="3595" width="24" style="2" customWidth="1"/>
    <col min="3596" max="3598" width="26.88671875" style="2" customWidth="1"/>
    <col min="3599" max="3599" width="11.44140625" style="2" bestFit="1" customWidth="1"/>
    <col min="3600" max="3601" width="17.33203125" style="2" customWidth="1"/>
    <col min="3602" max="3840" width="14.6640625" style="2"/>
    <col min="3841" max="3841" width="50.5546875" style="2" customWidth="1"/>
    <col min="3842" max="3842" width="20.109375" style="2" customWidth="1"/>
    <col min="3843" max="3843" width="18.6640625" style="2" customWidth="1"/>
    <col min="3844" max="3844" width="27.5546875" style="2" customWidth="1"/>
    <col min="3845" max="3845" width="19.88671875" style="2" bestFit="1" customWidth="1"/>
    <col min="3846" max="3848" width="19.33203125" style="2" customWidth="1"/>
    <col min="3849" max="3849" width="20.88671875" style="2" bestFit="1" customWidth="1"/>
    <col min="3850" max="3851" width="24" style="2" customWidth="1"/>
    <col min="3852" max="3854" width="26.88671875" style="2" customWidth="1"/>
    <col min="3855" max="3855" width="11.44140625" style="2" bestFit="1" customWidth="1"/>
    <col min="3856" max="3857" width="17.33203125" style="2" customWidth="1"/>
    <col min="3858" max="4096" width="14.6640625" style="2"/>
    <col min="4097" max="4097" width="50.5546875" style="2" customWidth="1"/>
    <col min="4098" max="4098" width="20.109375" style="2" customWidth="1"/>
    <col min="4099" max="4099" width="18.6640625" style="2" customWidth="1"/>
    <col min="4100" max="4100" width="27.5546875" style="2" customWidth="1"/>
    <col min="4101" max="4101" width="19.88671875" style="2" bestFit="1" customWidth="1"/>
    <col min="4102" max="4104" width="19.33203125" style="2" customWidth="1"/>
    <col min="4105" max="4105" width="20.88671875" style="2" bestFit="1" customWidth="1"/>
    <col min="4106" max="4107" width="24" style="2" customWidth="1"/>
    <col min="4108" max="4110" width="26.88671875" style="2" customWidth="1"/>
    <col min="4111" max="4111" width="11.44140625" style="2" bestFit="1" customWidth="1"/>
    <col min="4112" max="4113" width="17.33203125" style="2" customWidth="1"/>
    <col min="4114" max="4352" width="14.6640625" style="2"/>
    <col min="4353" max="4353" width="50.5546875" style="2" customWidth="1"/>
    <col min="4354" max="4354" width="20.109375" style="2" customWidth="1"/>
    <col min="4355" max="4355" width="18.6640625" style="2" customWidth="1"/>
    <col min="4356" max="4356" width="27.5546875" style="2" customWidth="1"/>
    <col min="4357" max="4357" width="19.88671875" style="2" bestFit="1" customWidth="1"/>
    <col min="4358" max="4360" width="19.33203125" style="2" customWidth="1"/>
    <col min="4361" max="4361" width="20.88671875" style="2" bestFit="1" customWidth="1"/>
    <col min="4362" max="4363" width="24" style="2" customWidth="1"/>
    <col min="4364" max="4366" width="26.88671875" style="2" customWidth="1"/>
    <col min="4367" max="4367" width="11.44140625" style="2" bestFit="1" customWidth="1"/>
    <col min="4368" max="4369" width="17.33203125" style="2" customWidth="1"/>
    <col min="4370" max="4608" width="14.6640625" style="2"/>
    <col min="4609" max="4609" width="50.5546875" style="2" customWidth="1"/>
    <col min="4610" max="4610" width="20.109375" style="2" customWidth="1"/>
    <col min="4611" max="4611" width="18.6640625" style="2" customWidth="1"/>
    <col min="4612" max="4612" width="27.5546875" style="2" customWidth="1"/>
    <col min="4613" max="4613" width="19.88671875" style="2" bestFit="1" customWidth="1"/>
    <col min="4614" max="4616" width="19.33203125" style="2" customWidth="1"/>
    <col min="4617" max="4617" width="20.88671875" style="2" bestFit="1" customWidth="1"/>
    <col min="4618" max="4619" width="24" style="2" customWidth="1"/>
    <col min="4620" max="4622" width="26.88671875" style="2" customWidth="1"/>
    <col min="4623" max="4623" width="11.44140625" style="2" bestFit="1" customWidth="1"/>
    <col min="4624" max="4625" width="17.33203125" style="2" customWidth="1"/>
    <col min="4626" max="4864" width="14.6640625" style="2"/>
    <col min="4865" max="4865" width="50.5546875" style="2" customWidth="1"/>
    <col min="4866" max="4866" width="20.109375" style="2" customWidth="1"/>
    <col min="4867" max="4867" width="18.6640625" style="2" customWidth="1"/>
    <col min="4868" max="4868" width="27.5546875" style="2" customWidth="1"/>
    <col min="4869" max="4869" width="19.88671875" style="2" bestFit="1" customWidth="1"/>
    <col min="4870" max="4872" width="19.33203125" style="2" customWidth="1"/>
    <col min="4873" max="4873" width="20.88671875" style="2" bestFit="1" customWidth="1"/>
    <col min="4874" max="4875" width="24" style="2" customWidth="1"/>
    <col min="4876" max="4878" width="26.88671875" style="2" customWidth="1"/>
    <col min="4879" max="4879" width="11.44140625" style="2" bestFit="1" customWidth="1"/>
    <col min="4880" max="4881" width="17.33203125" style="2" customWidth="1"/>
    <col min="4882" max="5120" width="14.6640625" style="2"/>
    <col min="5121" max="5121" width="50.5546875" style="2" customWidth="1"/>
    <col min="5122" max="5122" width="20.109375" style="2" customWidth="1"/>
    <col min="5123" max="5123" width="18.6640625" style="2" customWidth="1"/>
    <col min="5124" max="5124" width="27.5546875" style="2" customWidth="1"/>
    <col min="5125" max="5125" width="19.88671875" style="2" bestFit="1" customWidth="1"/>
    <col min="5126" max="5128" width="19.33203125" style="2" customWidth="1"/>
    <col min="5129" max="5129" width="20.88671875" style="2" bestFit="1" customWidth="1"/>
    <col min="5130" max="5131" width="24" style="2" customWidth="1"/>
    <col min="5132" max="5134" width="26.88671875" style="2" customWidth="1"/>
    <col min="5135" max="5135" width="11.44140625" style="2" bestFit="1" customWidth="1"/>
    <col min="5136" max="5137" width="17.33203125" style="2" customWidth="1"/>
    <col min="5138" max="5376" width="14.6640625" style="2"/>
    <col min="5377" max="5377" width="50.5546875" style="2" customWidth="1"/>
    <col min="5378" max="5378" width="20.109375" style="2" customWidth="1"/>
    <col min="5379" max="5379" width="18.6640625" style="2" customWidth="1"/>
    <col min="5380" max="5380" width="27.5546875" style="2" customWidth="1"/>
    <col min="5381" max="5381" width="19.88671875" style="2" bestFit="1" customWidth="1"/>
    <col min="5382" max="5384" width="19.33203125" style="2" customWidth="1"/>
    <col min="5385" max="5385" width="20.88671875" style="2" bestFit="1" customWidth="1"/>
    <col min="5386" max="5387" width="24" style="2" customWidth="1"/>
    <col min="5388" max="5390" width="26.88671875" style="2" customWidth="1"/>
    <col min="5391" max="5391" width="11.44140625" style="2" bestFit="1" customWidth="1"/>
    <col min="5392" max="5393" width="17.33203125" style="2" customWidth="1"/>
    <col min="5394" max="5632" width="14.6640625" style="2"/>
    <col min="5633" max="5633" width="50.5546875" style="2" customWidth="1"/>
    <col min="5634" max="5634" width="20.109375" style="2" customWidth="1"/>
    <col min="5635" max="5635" width="18.6640625" style="2" customWidth="1"/>
    <col min="5636" max="5636" width="27.5546875" style="2" customWidth="1"/>
    <col min="5637" max="5637" width="19.88671875" style="2" bestFit="1" customWidth="1"/>
    <col min="5638" max="5640" width="19.33203125" style="2" customWidth="1"/>
    <col min="5641" max="5641" width="20.88671875" style="2" bestFit="1" customWidth="1"/>
    <col min="5642" max="5643" width="24" style="2" customWidth="1"/>
    <col min="5644" max="5646" width="26.88671875" style="2" customWidth="1"/>
    <col min="5647" max="5647" width="11.44140625" style="2" bestFit="1" customWidth="1"/>
    <col min="5648" max="5649" width="17.33203125" style="2" customWidth="1"/>
    <col min="5650" max="5888" width="14.6640625" style="2"/>
    <col min="5889" max="5889" width="50.5546875" style="2" customWidth="1"/>
    <col min="5890" max="5890" width="20.109375" style="2" customWidth="1"/>
    <col min="5891" max="5891" width="18.6640625" style="2" customWidth="1"/>
    <col min="5892" max="5892" width="27.5546875" style="2" customWidth="1"/>
    <col min="5893" max="5893" width="19.88671875" style="2" bestFit="1" customWidth="1"/>
    <col min="5894" max="5896" width="19.33203125" style="2" customWidth="1"/>
    <col min="5897" max="5897" width="20.88671875" style="2" bestFit="1" customWidth="1"/>
    <col min="5898" max="5899" width="24" style="2" customWidth="1"/>
    <col min="5900" max="5902" width="26.88671875" style="2" customWidth="1"/>
    <col min="5903" max="5903" width="11.44140625" style="2" bestFit="1" customWidth="1"/>
    <col min="5904" max="5905" width="17.33203125" style="2" customWidth="1"/>
    <col min="5906" max="6144" width="14.6640625" style="2"/>
    <col min="6145" max="6145" width="50.5546875" style="2" customWidth="1"/>
    <col min="6146" max="6146" width="20.109375" style="2" customWidth="1"/>
    <col min="6147" max="6147" width="18.6640625" style="2" customWidth="1"/>
    <col min="6148" max="6148" width="27.5546875" style="2" customWidth="1"/>
    <col min="6149" max="6149" width="19.88671875" style="2" bestFit="1" customWidth="1"/>
    <col min="6150" max="6152" width="19.33203125" style="2" customWidth="1"/>
    <col min="6153" max="6153" width="20.88671875" style="2" bestFit="1" customWidth="1"/>
    <col min="6154" max="6155" width="24" style="2" customWidth="1"/>
    <col min="6156" max="6158" width="26.88671875" style="2" customWidth="1"/>
    <col min="6159" max="6159" width="11.44140625" style="2" bestFit="1" customWidth="1"/>
    <col min="6160" max="6161" width="17.33203125" style="2" customWidth="1"/>
    <col min="6162" max="6400" width="14.6640625" style="2"/>
    <col min="6401" max="6401" width="50.5546875" style="2" customWidth="1"/>
    <col min="6402" max="6402" width="20.109375" style="2" customWidth="1"/>
    <col min="6403" max="6403" width="18.6640625" style="2" customWidth="1"/>
    <col min="6404" max="6404" width="27.5546875" style="2" customWidth="1"/>
    <col min="6405" max="6405" width="19.88671875" style="2" bestFit="1" customWidth="1"/>
    <col min="6406" max="6408" width="19.33203125" style="2" customWidth="1"/>
    <col min="6409" max="6409" width="20.88671875" style="2" bestFit="1" customWidth="1"/>
    <col min="6410" max="6411" width="24" style="2" customWidth="1"/>
    <col min="6412" max="6414" width="26.88671875" style="2" customWidth="1"/>
    <col min="6415" max="6415" width="11.44140625" style="2" bestFit="1" customWidth="1"/>
    <col min="6416" max="6417" width="17.33203125" style="2" customWidth="1"/>
    <col min="6418" max="6656" width="14.6640625" style="2"/>
    <col min="6657" max="6657" width="50.5546875" style="2" customWidth="1"/>
    <col min="6658" max="6658" width="20.109375" style="2" customWidth="1"/>
    <col min="6659" max="6659" width="18.6640625" style="2" customWidth="1"/>
    <col min="6660" max="6660" width="27.5546875" style="2" customWidth="1"/>
    <col min="6661" max="6661" width="19.88671875" style="2" bestFit="1" customWidth="1"/>
    <col min="6662" max="6664" width="19.33203125" style="2" customWidth="1"/>
    <col min="6665" max="6665" width="20.88671875" style="2" bestFit="1" customWidth="1"/>
    <col min="6666" max="6667" width="24" style="2" customWidth="1"/>
    <col min="6668" max="6670" width="26.88671875" style="2" customWidth="1"/>
    <col min="6671" max="6671" width="11.44140625" style="2" bestFit="1" customWidth="1"/>
    <col min="6672" max="6673" width="17.33203125" style="2" customWidth="1"/>
    <col min="6674" max="6912" width="14.6640625" style="2"/>
    <col min="6913" max="6913" width="50.5546875" style="2" customWidth="1"/>
    <col min="6914" max="6914" width="20.109375" style="2" customWidth="1"/>
    <col min="6915" max="6915" width="18.6640625" style="2" customWidth="1"/>
    <col min="6916" max="6916" width="27.5546875" style="2" customWidth="1"/>
    <col min="6917" max="6917" width="19.88671875" style="2" bestFit="1" customWidth="1"/>
    <col min="6918" max="6920" width="19.33203125" style="2" customWidth="1"/>
    <col min="6921" max="6921" width="20.88671875" style="2" bestFit="1" customWidth="1"/>
    <col min="6922" max="6923" width="24" style="2" customWidth="1"/>
    <col min="6924" max="6926" width="26.88671875" style="2" customWidth="1"/>
    <col min="6927" max="6927" width="11.44140625" style="2" bestFit="1" customWidth="1"/>
    <col min="6928" max="6929" width="17.33203125" style="2" customWidth="1"/>
    <col min="6930" max="7168" width="14.6640625" style="2"/>
    <col min="7169" max="7169" width="50.5546875" style="2" customWidth="1"/>
    <col min="7170" max="7170" width="20.109375" style="2" customWidth="1"/>
    <col min="7171" max="7171" width="18.6640625" style="2" customWidth="1"/>
    <col min="7172" max="7172" width="27.5546875" style="2" customWidth="1"/>
    <col min="7173" max="7173" width="19.88671875" style="2" bestFit="1" customWidth="1"/>
    <col min="7174" max="7176" width="19.33203125" style="2" customWidth="1"/>
    <col min="7177" max="7177" width="20.88671875" style="2" bestFit="1" customWidth="1"/>
    <col min="7178" max="7179" width="24" style="2" customWidth="1"/>
    <col min="7180" max="7182" width="26.88671875" style="2" customWidth="1"/>
    <col min="7183" max="7183" width="11.44140625" style="2" bestFit="1" customWidth="1"/>
    <col min="7184" max="7185" width="17.33203125" style="2" customWidth="1"/>
    <col min="7186" max="7424" width="14.6640625" style="2"/>
    <col min="7425" max="7425" width="50.5546875" style="2" customWidth="1"/>
    <col min="7426" max="7426" width="20.109375" style="2" customWidth="1"/>
    <col min="7427" max="7427" width="18.6640625" style="2" customWidth="1"/>
    <col min="7428" max="7428" width="27.5546875" style="2" customWidth="1"/>
    <col min="7429" max="7429" width="19.88671875" style="2" bestFit="1" customWidth="1"/>
    <col min="7430" max="7432" width="19.33203125" style="2" customWidth="1"/>
    <col min="7433" max="7433" width="20.88671875" style="2" bestFit="1" customWidth="1"/>
    <col min="7434" max="7435" width="24" style="2" customWidth="1"/>
    <col min="7436" max="7438" width="26.88671875" style="2" customWidth="1"/>
    <col min="7439" max="7439" width="11.44140625" style="2" bestFit="1" customWidth="1"/>
    <col min="7440" max="7441" width="17.33203125" style="2" customWidth="1"/>
    <col min="7442" max="7680" width="14.6640625" style="2"/>
    <col min="7681" max="7681" width="50.5546875" style="2" customWidth="1"/>
    <col min="7682" max="7682" width="20.109375" style="2" customWidth="1"/>
    <col min="7683" max="7683" width="18.6640625" style="2" customWidth="1"/>
    <col min="7684" max="7684" width="27.5546875" style="2" customWidth="1"/>
    <col min="7685" max="7685" width="19.88671875" style="2" bestFit="1" customWidth="1"/>
    <col min="7686" max="7688" width="19.33203125" style="2" customWidth="1"/>
    <col min="7689" max="7689" width="20.88671875" style="2" bestFit="1" customWidth="1"/>
    <col min="7690" max="7691" width="24" style="2" customWidth="1"/>
    <col min="7692" max="7694" width="26.88671875" style="2" customWidth="1"/>
    <col min="7695" max="7695" width="11.44140625" style="2" bestFit="1" customWidth="1"/>
    <col min="7696" max="7697" width="17.33203125" style="2" customWidth="1"/>
    <col min="7698" max="7936" width="14.6640625" style="2"/>
    <col min="7937" max="7937" width="50.5546875" style="2" customWidth="1"/>
    <col min="7938" max="7938" width="20.109375" style="2" customWidth="1"/>
    <col min="7939" max="7939" width="18.6640625" style="2" customWidth="1"/>
    <col min="7940" max="7940" width="27.5546875" style="2" customWidth="1"/>
    <col min="7941" max="7941" width="19.88671875" style="2" bestFit="1" customWidth="1"/>
    <col min="7942" max="7944" width="19.33203125" style="2" customWidth="1"/>
    <col min="7945" max="7945" width="20.88671875" style="2" bestFit="1" customWidth="1"/>
    <col min="7946" max="7947" width="24" style="2" customWidth="1"/>
    <col min="7948" max="7950" width="26.88671875" style="2" customWidth="1"/>
    <col min="7951" max="7951" width="11.44140625" style="2" bestFit="1" customWidth="1"/>
    <col min="7952" max="7953" width="17.33203125" style="2" customWidth="1"/>
    <col min="7954" max="8192" width="14.6640625" style="2"/>
    <col min="8193" max="8193" width="50.5546875" style="2" customWidth="1"/>
    <col min="8194" max="8194" width="20.109375" style="2" customWidth="1"/>
    <col min="8195" max="8195" width="18.6640625" style="2" customWidth="1"/>
    <col min="8196" max="8196" width="27.5546875" style="2" customWidth="1"/>
    <col min="8197" max="8197" width="19.88671875" style="2" bestFit="1" customWidth="1"/>
    <col min="8198" max="8200" width="19.33203125" style="2" customWidth="1"/>
    <col min="8201" max="8201" width="20.88671875" style="2" bestFit="1" customWidth="1"/>
    <col min="8202" max="8203" width="24" style="2" customWidth="1"/>
    <col min="8204" max="8206" width="26.88671875" style="2" customWidth="1"/>
    <col min="8207" max="8207" width="11.44140625" style="2" bestFit="1" customWidth="1"/>
    <col min="8208" max="8209" width="17.33203125" style="2" customWidth="1"/>
    <col min="8210" max="8448" width="14.6640625" style="2"/>
    <col min="8449" max="8449" width="50.5546875" style="2" customWidth="1"/>
    <col min="8450" max="8450" width="20.109375" style="2" customWidth="1"/>
    <col min="8451" max="8451" width="18.6640625" style="2" customWidth="1"/>
    <col min="8452" max="8452" width="27.5546875" style="2" customWidth="1"/>
    <col min="8453" max="8453" width="19.88671875" style="2" bestFit="1" customWidth="1"/>
    <col min="8454" max="8456" width="19.33203125" style="2" customWidth="1"/>
    <col min="8457" max="8457" width="20.88671875" style="2" bestFit="1" customWidth="1"/>
    <col min="8458" max="8459" width="24" style="2" customWidth="1"/>
    <col min="8460" max="8462" width="26.88671875" style="2" customWidth="1"/>
    <col min="8463" max="8463" width="11.44140625" style="2" bestFit="1" customWidth="1"/>
    <col min="8464" max="8465" width="17.33203125" style="2" customWidth="1"/>
    <col min="8466" max="8704" width="14.6640625" style="2"/>
    <col min="8705" max="8705" width="50.5546875" style="2" customWidth="1"/>
    <col min="8706" max="8706" width="20.109375" style="2" customWidth="1"/>
    <col min="8707" max="8707" width="18.6640625" style="2" customWidth="1"/>
    <col min="8708" max="8708" width="27.5546875" style="2" customWidth="1"/>
    <col min="8709" max="8709" width="19.88671875" style="2" bestFit="1" customWidth="1"/>
    <col min="8710" max="8712" width="19.33203125" style="2" customWidth="1"/>
    <col min="8713" max="8713" width="20.88671875" style="2" bestFit="1" customWidth="1"/>
    <col min="8714" max="8715" width="24" style="2" customWidth="1"/>
    <col min="8716" max="8718" width="26.88671875" style="2" customWidth="1"/>
    <col min="8719" max="8719" width="11.44140625" style="2" bestFit="1" customWidth="1"/>
    <col min="8720" max="8721" width="17.33203125" style="2" customWidth="1"/>
    <col min="8722" max="8960" width="14.6640625" style="2"/>
    <col min="8961" max="8961" width="50.5546875" style="2" customWidth="1"/>
    <col min="8962" max="8962" width="20.109375" style="2" customWidth="1"/>
    <col min="8963" max="8963" width="18.6640625" style="2" customWidth="1"/>
    <col min="8964" max="8964" width="27.5546875" style="2" customWidth="1"/>
    <col min="8965" max="8965" width="19.88671875" style="2" bestFit="1" customWidth="1"/>
    <col min="8966" max="8968" width="19.33203125" style="2" customWidth="1"/>
    <col min="8969" max="8969" width="20.88671875" style="2" bestFit="1" customWidth="1"/>
    <col min="8970" max="8971" width="24" style="2" customWidth="1"/>
    <col min="8972" max="8974" width="26.88671875" style="2" customWidth="1"/>
    <col min="8975" max="8975" width="11.44140625" style="2" bestFit="1" customWidth="1"/>
    <col min="8976" max="8977" width="17.33203125" style="2" customWidth="1"/>
    <col min="8978" max="9216" width="14.6640625" style="2"/>
    <col min="9217" max="9217" width="50.5546875" style="2" customWidth="1"/>
    <col min="9218" max="9218" width="20.109375" style="2" customWidth="1"/>
    <col min="9219" max="9219" width="18.6640625" style="2" customWidth="1"/>
    <col min="9220" max="9220" width="27.5546875" style="2" customWidth="1"/>
    <col min="9221" max="9221" width="19.88671875" style="2" bestFit="1" customWidth="1"/>
    <col min="9222" max="9224" width="19.33203125" style="2" customWidth="1"/>
    <col min="9225" max="9225" width="20.88671875" style="2" bestFit="1" customWidth="1"/>
    <col min="9226" max="9227" width="24" style="2" customWidth="1"/>
    <col min="9228" max="9230" width="26.88671875" style="2" customWidth="1"/>
    <col min="9231" max="9231" width="11.44140625" style="2" bestFit="1" customWidth="1"/>
    <col min="9232" max="9233" width="17.33203125" style="2" customWidth="1"/>
    <col min="9234" max="9472" width="14.6640625" style="2"/>
    <col min="9473" max="9473" width="50.5546875" style="2" customWidth="1"/>
    <col min="9474" max="9474" width="20.109375" style="2" customWidth="1"/>
    <col min="9475" max="9475" width="18.6640625" style="2" customWidth="1"/>
    <col min="9476" max="9476" width="27.5546875" style="2" customWidth="1"/>
    <col min="9477" max="9477" width="19.88671875" style="2" bestFit="1" customWidth="1"/>
    <col min="9478" max="9480" width="19.33203125" style="2" customWidth="1"/>
    <col min="9481" max="9481" width="20.88671875" style="2" bestFit="1" customWidth="1"/>
    <col min="9482" max="9483" width="24" style="2" customWidth="1"/>
    <col min="9484" max="9486" width="26.88671875" style="2" customWidth="1"/>
    <col min="9487" max="9487" width="11.44140625" style="2" bestFit="1" customWidth="1"/>
    <col min="9488" max="9489" width="17.33203125" style="2" customWidth="1"/>
    <col min="9490" max="9728" width="14.6640625" style="2"/>
    <col min="9729" max="9729" width="50.5546875" style="2" customWidth="1"/>
    <col min="9730" max="9730" width="20.109375" style="2" customWidth="1"/>
    <col min="9731" max="9731" width="18.6640625" style="2" customWidth="1"/>
    <col min="9732" max="9732" width="27.5546875" style="2" customWidth="1"/>
    <col min="9733" max="9733" width="19.88671875" style="2" bestFit="1" customWidth="1"/>
    <col min="9734" max="9736" width="19.33203125" style="2" customWidth="1"/>
    <col min="9737" max="9737" width="20.88671875" style="2" bestFit="1" customWidth="1"/>
    <col min="9738" max="9739" width="24" style="2" customWidth="1"/>
    <col min="9740" max="9742" width="26.88671875" style="2" customWidth="1"/>
    <col min="9743" max="9743" width="11.44140625" style="2" bestFit="1" customWidth="1"/>
    <col min="9744" max="9745" width="17.33203125" style="2" customWidth="1"/>
    <col min="9746" max="9984" width="14.6640625" style="2"/>
    <col min="9985" max="9985" width="50.5546875" style="2" customWidth="1"/>
    <col min="9986" max="9986" width="20.109375" style="2" customWidth="1"/>
    <col min="9987" max="9987" width="18.6640625" style="2" customWidth="1"/>
    <col min="9988" max="9988" width="27.5546875" style="2" customWidth="1"/>
    <col min="9989" max="9989" width="19.88671875" style="2" bestFit="1" customWidth="1"/>
    <col min="9990" max="9992" width="19.33203125" style="2" customWidth="1"/>
    <col min="9993" max="9993" width="20.88671875" style="2" bestFit="1" customWidth="1"/>
    <col min="9994" max="9995" width="24" style="2" customWidth="1"/>
    <col min="9996" max="9998" width="26.88671875" style="2" customWidth="1"/>
    <col min="9999" max="9999" width="11.44140625" style="2" bestFit="1" customWidth="1"/>
    <col min="10000" max="10001" width="17.33203125" style="2" customWidth="1"/>
    <col min="10002" max="10240" width="14.6640625" style="2"/>
    <col min="10241" max="10241" width="50.5546875" style="2" customWidth="1"/>
    <col min="10242" max="10242" width="20.109375" style="2" customWidth="1"/>
    <col min="10243" max="10243" width="18.6640625" style="2" customWidth="1"/>
    <col min="10244" max="10244" width="27.5546875" style="2" customWidth="1"/>
    <col min="10245" max="10245" width="19.88671875" style="2" bestFit="1" customWidth="1"/>
    <col min="10246" max="10248" width="19.33203125" style="2" customWidth="1"/>
    <col min="10249" max="10249" width="20.88671875" style="2" bestFit="1" customWidth="1"/>
    <col min="10250" max="10251" width="24" style="2" customWidth="1"/>
    <col min="10252" max="10254" width="26.88671875" style="2" customWidth="1"/>
    <col min="10255" max="10255" width="11.44140625" style="2" bestFit="1" customWidth="1"/>
    <col min="10256" max="10257" width="17.33203125" style="2" customWidth="1"/>
    <col min="10258" max="10496" width="14.6640625" style="2"/>
    <col min="10497" max="10497" width="50.5546875" style="2" customWidth="1"/>
    <col min="10498" max="10498" width="20.109375" style="2" customWidth="1"/>
    <col min="10499" max="10499" width="18.6640625" style="2" customWidth="1"/>
    <col min="10500" max="10500" width="27.5546875" style="2" customWidth="1"/>
    <col min="10501" max="10501" width="19.88671875" style="2" bestFit="1" customWidth="1"/>
    <col min="10502" max="10504" width="19.33203125" style="2" customWidth="1"/>
    <col min="10505" max="10505" width="20.88671875" style="2" bestFit="1" customWidth="1"/>
    <col min="10506" max="10507" width="24" style="2" customWidth="1"/>
    <col min="10508" max="10510" width="26.88671875" style="2" customWidth="1"/>
    <col min="10511" max="10511" width="11.44140625" style="2" bestFit="1" customWidth="1"/>
    <col min="10512" max="10513" width="17.33203125" style="2" customWidth="1"/>
    <col min="10514" max="10752" width="14.6640625" style="2"/>
    <col min="10753" max="10753" width="50.5546875" style="2" customWidth="1"/>
    <col min="10754" max="10754" width="20.109375" style="2" customWidth="1"/>
    <col min="10755" max="10755" width="18.6640625" style="2" customWidth="1"/>
    <col min="10756" max="10756" width="27.5546875" style="2" customWidth="1"/>
    <col min="10757" max="10757" width="19.88671875" style="2" bestFit="1" customWidth="1"/>
    <col min="10758" max="10760" width="19.33203125" style="2" customWidth="1"/>
    <col min="10761" max="10761" width="20.88671875" style="2" bestFit="1" customWidth="1"/>
    <col min="10762" max="10763" width="24" style="2" customWidth="1"/>
    <col min="10764" max="10766" width="26.88671875" style="2" customWidth="1"/>
    <col min="10767" max="10767" width="11.44140625" style="2" bestFit="1" customWidth="1"/>
    <col min="10768" max="10769" width="17.33203125" style="2" customWidth="1"/>
    <col min="10770" max="11008" width="14.6640625" style="2"/>
    <col min="11009" max="11009" width="50.5546875" style="2" customWidth="1"/>
    <col min="11010" max="11010" width="20.109375" style="2" customWidth="1"/>
    <col min="11011" max="11011" width="18.6640625" style="2" customWidth="1"/>
    <col min="11012" max="11012" width="27.5546875" style="2" customWidth="1"/>
    <col min="11013" max="11013" width="19.88671875" style="2" bestFit="1" customWidth="1"/>
    <col min="11014" max="11016" width="19.33203125" style="2" customWidth="1"/>
    <col min="11017" max="11017" width="20.88671875" style="2" bestFit="1" customWidth="1"/>
    <col min="11018" max="11019" width="24" style="2" customWidth="1"/>
    <col min="11020" max="11022" width="26.88671875" style="2" customWidth="1"/>
    <col min="11023" max="11023" width="11.44140625" style="2" bestFit="1" customWidth="1"/>
    <col min="11024" max="11025" width="17.33203125" style="2" customWidth="1"/>
    <col min="11026" max="11264" width="14.6640625" style="2"/>
    <col min="11265" max="11265" width="50.5546875" style="2" customWidth="1"/>
    <col min="11266" max="11266" width="20.109375" style="2" customWidth="1"/>
    <col min="11267" max="11267" width="18.6640625" style="2" customWidth="1"/>
    <col min="11268" max="11268" width="27.5546875" style="2" customWidth="1"/>
    <col min="11269" max="11269" width="19.88671875" style="2" bestFit="1" customWidth="1"/>
    <col min="11270" max="11272" width="19.33203125" style="2" customWidth="1"/>
    <col min="11273" max="11273" width="20.88671875" style="2" bestFit="1" customWidth="1"/>
    <col min="11274" max="11275" width="24" style="2" customWidth="1"/>
    <col min="11276" max="11278" width="26.88671875" style="2" customWidth="1"/>
    <col min="11279" max="11279" width="11.44140625" style="2" bestFit="1" customWidth="1"/>
    <col min="11280" max="11281" width="17.33203125" style="2" customWidth="1"/>
    <col min="11282" max="11520" width="14.6640625" style="2"/>
    <col min="11521" max="11521" width="50.5546875" style="2" customWidth="1"/>
    <col min="11522" max="11522" width="20.109375" style="2" customWidth="1"/>
    <col min="11523" max="11523" width="18.6640625" style="2" customWidth="1"/>
    <col min="11524" max="11524" width="27.5546875" style="2" customWidth="1"/>
    <col min="11525" max="11525" width="19.88671875" style="2" bestFit="1" customWidth="1"/>
    <col min="11526" max="11528" width="19.33203125" style="2" customWidth="1"/>
    <col min="11529" max="11529" width="20.88671875" style="2" bestFit="1" customWidth="1"/>
    <col min="11530" max="11531" width="24" style="2" customWidth="1"/>
    <col min="11532" max="11534" width="26.88671875" style="2" customWidth="1"/>
    <col min="11535" max="11535" width="11.44140625" style="2" bestFit="1" customWidth="1"/>
    <col min="11536" max="11537" width="17.33203125" style="2" customWidth="1"/>
    <col min="11538" max="11776" width="14.6640625" style="2"/>
    <col min="11777" max="11777" width="50.5546875" style="2" customWidth="1"/>
    <col min="11778" max="11778" width="20.109375" style="2" customWidth="1"/>
    <col min="11779" max="11779" width="18.6640625" style="2" customWidth="1"/>
    <col min="11780" max="11780" width="27.5546875" style="2" customWidth="1"/>
    <col min="11781" max="11781" width="19.88671875" style="2" bestFit="1" customWidth="1"/>
    <col min="11782" max="11784" width="19.33203125" style="2" customWidth="1"/>
    <col min="11785" max="11785" width="20.88671875" style="2" bestFit="1" customWidth="1"/>
    <col min="11786" max="11787" width="24" style="2" customWidth="1"/>
    <col min="11788" max="11790" width="26.88671875" style="2" customWidth="1"/>
    <col min="11791" max="11791" width="11.44140625" style="2" bestFit="1" customWidth="1"/>
    <col min="11792" max="11793" width="17.33203125" style="2" customWidth="1"/>
    <col min="11794" max="12032" width="14.6640625" style="2"/>
    <col min="12033" max="12033" width="50.5546875" style="2" customWidth="1"/>
    <col min="12034" max="12034" width="20.109375" style="2" customWidth="1"/>
    <col min="12035" max="12035" width="18.6640625" style="2" customWidth="1"/>
    <col min="12036" max="12036" width="27.5546875" style="2" customWidth="1"/>
    <col min="12037" max="12037" width="19.88671875" style="2" bestFit="1" customWidth="1"/>
    <col min="12038" max="12040" width="19.33203125" style="2" customWidth="1"/>
    <col min="12041" max="12041" width="20.88671875" style="2" bestFit="1" customWidth="1"/>
    <col min="12042" max="12043" width="24" style="2" customWidth="1"/>
    <col min="12044" max="12046" width="26.88671875" style="2" customWidth="1"/>
    <col min="12047" max="12047" width="11.44140625" style="2" bestFit="1" customWidth="1"/>
    <col min="12048" max="12049" width="17.33203125" style="2" customWidth="1"/>
    <col min="12050" max="12288" width="14.6640625" style="2"/>
    <col min="12289" max="12289" width="50.5546875" style="2" customWidth="1"/>
    <col min="12290" max="12290" width="20.109375" style="2" customWidth="1"/>
    <col min="12291" max="12291" width="18.6640625" style="2" customWidth="1"/>
    <col min="12292" max="12292" width="27.5546875" style="2" customWidth="1"/>
    <col min="12293" max="12293" width="19.88671875" style="2" bestFit="1" customWidth="1"/>
    <col min="12294" max="12296" width="19.33203125" style="2" customWidth="1"/>
    <col min="12297" max="12297" width="20.88671875" style="2" bestFit="1" customWidth="1"/>
    <col min="12298" max="12299" width="24" style="2" customWidth="1"/>
    <col min="12300" max="12302" width="26.88671875" style="2" customWidth="1"/>
    <col min="12303" max="12303" width="11.44140625" style="2" bestFit="1" customWidth="1"/>
    <col min="12304" max="12305" width="17.33203125" style="2" customWidth="1"/>
    <col min="12306" max="12544" width="14.6640625" style="2"/>
    <col min="12545" max="12545" width="50.5546875" style="2" customWidth="1"/>
    <col min="12546" max="12546" width="20.109375" style="2" customWidth="1"/>
    <col min="12547" max="12547" width="18.6640625" style="2" customWidth="1"/>
    <col min="12548" max="12548" width="27.5546875" style="2" customWidth="1"/>
    <col min="12549" max="12549" width="19.88671875" style="2" bestFit="1" customWidth="1"/>
    <col min="12550" max="12552" width="19.33203125" style="2" customWidth="1"/>
    <col min="12553" max="12553" width="20.88671875" style="2" bestFit="1" customWidth="1"/>
    <col min="12554" max="12555" width="24" style="2" customWidth="1"/>
    <col min="12556" max="12558" width="26.88671875" style="2" customWidth="1"/>
    <col min="12559" max="12559" width="11.44140625" style="2" bestFit="1" customWidth="1"/>
    <col min="12560" max="12561" width="17.33203125" style="2" customWidth="1"/>
    <col min="12562" max="12800" width="14.6640625" style="2"/>
    <col min="12801" max="12801" width="50.5546875" style="2" customWidth="1"/>
    <col min="12802" max="12802" width="20.109375" style="2" customWidth="1"/>
    <col min="12803" max="12803" width="18.6640625" style="2" customWidth="1"/>
    <col min="12804" max="12804" width="27.5546875" style="2" customWidth="1"/>
    <col min="12805" max="12805" width="19.88671875" style="2" bestFit="1" customWidth="1"/>
    <col min="12806" max="12808" width="19.33203125" style="2" customWidth="1"/>
    <col min="12809" max="12809" width="20.88671875" style="2" bestFit="1" customWidth="1"/>
    <col min="12810" max="12811" width="24" style="2" customWidth="1"/>
    <col min="12812" max="12814" width="26.88671875" style="2" customWidth="1"/>
    <col min="12815" max="12815" width="11.44140625" style="2" bestFit="1" customWidth="1"/>
    <col min="12816" max="12817" width="17.33203125" style="2" customWidth="1"/>
    <col min="12818" max="13056" width="14.6640625" style="2"/>
    <col min="13057" max="13057" width="50.5546875" style="2" customWidth="1"/>
    <col min="13058" max="13058" width="20.109375" style="2" customWidth="1"/>
    <col min="13059" max="13059" width="18.6640625" style="2" customWidth="1"/>
    <col min="13060" max="13060" width="27.5546875" style="2" customWidth="1"/>
    <col min="13061" max="13061" width="19.88671875" style="2" bestFit="1" customWidth="1"/>
    <col min="13062" max="13064" width="19.33203125" style="2" customWidth="1"/>
    <col min="13065" max="13065" width="20.88671875" style="2" bestFit="1" customWidth="1"/>
    <col min="13066" max="13067" width="24" style="2" customWidth="1"/>
    <col min="13068" max="13070" width="26.88671875" style="2" customWidth="1"/>
    <col min="13071" max="13071" width="11.44140625" style="2" bestFit="1" customWidth="1"/>
    <col min="13072" max="13073" width="17.33203125" style="2" customWidth="1"/>
    <col min="13074" max="13312" width="14.6640625" style="2"/>
    <col min="13313" max="13313" width="50.5546875" style="2" customWidth="1"/>
    <col min="13314" max="13314" width="20.109375" style="2" customWidth="1"/>
    <col min="13315" max="13315" width="18.6640625" style="2" customWidth="1"/>
    <col min="13316" max="13316" width="27.5546875" style="2" customWidth="1"/>
    <col min="13317" max="13317" width="19.88671875" style="2" bestFit="1" customWidth="1"/>
    <col min="13318" max="13320" width="19.33203125" style="2" customWidth="1"/>
    <col min="13321" max="13321" width="20.88671875" style="2" bestFit="1" customWidth="1"/>
    <col min="13322" max="13323" width="24" style="2" customWidth="1"/>
    <col min="13324" max="13326" width="26.88671875" style="2" customWidth="1"/>
    <col min="13327" max="13327" width="11.44140625" style="2" bestFit="1" customWidth="1"/>
    <col min="13328" max="13329" width="17.33203125" style="2" customWidth="1"/>
    <col min="13330" max="13568" width="14.6640625" style="2"/>
    <col min="13569" max="13569" width="50.5546875" style="2" customWidth="1"/>
    <col min="13570" max="13570" width="20.109375" style="2" customWidth="1"/>
    <col min="13571" max="13571" width="18.6640625" style="2" customWidth="1"/>
    <col min="13572" max="13572" width="27.5546875" style="2" customWidth="1"/>
    <col min="13573" max="13573" width="19.88671875" style="2" bestFit="1" customWidth="1"/>
    <col min="13574" max="13576" width="19.33203125" style="2" customWidth="1"/>
    <col min="13577" max="13577" width="20.88671875" style="2" bestFit="1" customWidth="1"/>
    <col min="13578" max="13579" width="24" style="2" customWidth="1"/>
    <col min="13580" max="13582" width="26.88671875" style="2" customWidth="1"/>
    <col min="13583" max="13583" width="11.44140625" style="2" bestFit="1" customWidth="1"/>
    <col min="13584" max="13585" width="17.33203125" style="2" customWidth="1"/>
    <col min="13586" max="13824" width="14.6640625" style="2"/>
    <col min="13825" max="13825" width="50.5546875" style="2" customWidth="1"/>
    <col min="13826" max="13826" width="20.109375" style="2" customWidth="1"/>
    <col min="13827" max="13827" width="18.6640625" style="2" customWidth="1"/>
    <col min="13828" max="13828" width="27.5546875" style="2" customWidth="1"/>
    <col min="13829" max="13829" width="19.88671875" style="2" bestFit="1" customWidth="1"/>
    <col min="13830" max="13832" width="19.33203125" style="2" customWidth="1"/>
    <col min="13833" max="13833" width="20.88671875" style="2" bestFit="1" customWidth="1"/>
    <col min="13834" max="13835" width="24" style="2" customWidth="1"/>
    <col min="13836" max="13838" width="26.88671875" style="2" customWidth="1"/>
    <col min="13839" max="13839" width="11.44140625" style="2" bestFit="1" customWidth="1"/>
    <col min="13840" max="13841" width="17.33203125" style="2" customWidth="1"/>
    <col min="13842" max="14080" width="14.6640625" style="2"/>
    <col min="14081" max="14081" width="50.5546875" style="2" customWidth="1"/>
    <col min="14082" max="14082" width="20.109375" style="2" customWidth="1"/>
    <col min="14083" max="14083" width="18.6640625" style="2" customWidth="1"/>
    <col min="14084" max="14084" width="27.5546875" style="2" customWidth="1"/>
    <col min="14085" max="14085" width="19.88671875" style="2" bestFit="1" customWidth="1"/>
    <col min="14086" max="14088" width="19.33203125" style="2" customWidth="1"/>
    <col min="14089" max="14089" width="20.88671875" style="2" bestFit="1" customWidth="1"/>
    <col min="14090" max="14091" width="24" style="2" customWidth="1"/>
    <col min="14092" max="14094" width="26.88671875" style="2" customWidth="1"/>
    <col min="14095" max="14095" width="11.44140625" style="2" bestFit="1" customWidth="1"/>
    <col min="14096" max="14097" width="17.33203125" style="2" customWidth="1"/>
    <col min="14098" max="14336" width="14.6640625" style="2"/>
    <col min="14337" max="14337" width="50.5546875" style="2" customWidth="1"/>
    <col min="14338" max="14338" width="20.109375" style="2" customWidth="1"/>
    <col min="14339" max="14339" width="18.6640625" style="2" customWidth="1"/>
    <col min="14340" max="14340" width="27.5546875" style="2" customWidth="1"/>
    <col min="14341" max="14341" width="19.88671875" style="2" bestFit="1" customWidth="1"/>
    <col min="14342" max="14344" width="19.33203125" style="2" customWidth="1"/>
    <col min="14345" max="14345" width="20.88671875" style="2" bestFit="1" customWidth="1"/>
    <col min="14346" max="14347" width="24" style="2" customWidth="1"/>
    <col min="14348" max="14350" width="26.88671875" style="2" customWidth="1"/>
    <col min="14351" max="14351" width="11.44140625" style="2" bestFit="1" customWidth="1"/>
    <col min="14352" max="14353" width="17.33203125" style="2" customWidth="1"/>
    <col min="14354" max="14592" width="14.6640625" style="2"/>
    <col min="14593" max="14593" width="50.5546875" style="2" customWidth="1"/>
    <col min="14594" max="14594" width="20.109375" style="2" customWidth="1"/>
    <col min="14595" max="14595" width="18.6640625" style="2" customWidth="1"/>
    <col min="14596" max="14596" width="27.5546875" style="2" customWidth="1"/>
    <col min="14597" max="14597" width="19.88671875" style="2" bestFit="1" customWidth="1"/>
    <col min="14598" max="14600" width="19.33203125" style="2" customWidth="1"/>
    <col min="14601" max="14601" width="20.88671875" style="2" bestFit="1" customWidth="1"/>
    <col min="14602" max="14603" width="24" style="2" customWidth="1"/>
    <col min="14604" max="14606" width="26.88671875" style="2" customWidth="1"/>
    <col min="14607" max="14607" width="11.44140625" style="2" bestFit="1" customWidth="1"/>
    <col min="14608" max="14609" width="17.33203125" style="2" customWidth="1"/>
    <col min="14610" max="14848" width="14.6640625" style="2"/>
    <col min="14849" max="14849" width="50.5546875" style="2" customWidth="1"/>
    <col min="14850" max="14850" width="20.109375" style="2" customWidth="1"/>
    <col min="14851" max="14851" width="18.6640625" style="2" customWidth="1"/>
    <col min="14852" max="14852" width="27.5546875" style="2" customWidth="1"/>
    <col min="14853" max="14853" width="19.88671875" style="2" bestFit="1" customWidth="1"/>
    <col min="14854" max="14856" width="19.33203125" style="2" customWidth="1"/>
    <col min="14857" max="14857" width="20.88671875" style="2" bestFit="1" customWidth="1"/>
    <col min="14858" max="14859" width="24" style="2" customWidth="1"/>
    <col min="14860" max="14862" width="26.88671875" style="2" customWidth="1"/>
    <col min="14863" max="14863" width="11.44140625" style="2" bestFit="1" customWidth="1"/>
    <col min="14864" max="14865" width="17.33203125" style="2" customWidth="1"/>
    <col min="14866" max="15104" width="14.6640625" style="2"/>
    <col min="15105" max="15105" width="50.5546875" style="2" customWidth="1"/>
    <col min="15106" max="15106" width="20.109375" style="2" customWidth="1"/>
    <col min="15107" max="15107" width="18.6640625" style="2" customWidth="1"/>
    <col min="15108" max="15108" width="27.5546875" style="2" customWidth="1"/>
    <col min="15109" max="15109" width="19.88671875" style="2" bestFit="1" customWidth="1"/>
    <col min="15110" max="15112" width="19.33203125" style="2" customWidth="1"/>
    <col min="15113" max="15113" width="20.88671875" style="2" bestFit="1" customWidth="1"/>
    <col min="15114" max="15115" width="24" style="2" customWidth="1"/>
    <col min="15116" max="15118" width="26.88671875" style="2" customWidth="1"/>
    <col min="15119" max="15119" width="11.44140625" style="2" bestFit="1" customWidth="1"/>
    <col min="15120" max="15121" width="17.33203125" style="2" customWidth="1"/>
    <col min="15122" max="15360" width="14.6640625" style="2"/>
    <col min="15361" max="15361" width="50.5546875" style="2" customWidth="1"/>
    <col min="15362" max="15362" width="20.109375" style="2" customWidth="1"/>
    <col min="15363" max="15363" width="18.6640625" style="2" customWidth="1"/>
    <col min="15364" max="15364" width="27.5546875" style="2" customWidth="1"/>
    <col min="15365" max="15365" width="19.88671875" style="2" bestFit="1" customWidth="1"/>
    <col min="15366" max="15368" width="19.33203125" style="2" customWidth="1"/>
    <col min="15369" max="15369" width="20.88671875" style="2" bestFit="1" customWidth="1"/>
    <col min="15370" max="15371" width="24" style="2" customWidth="1"/>
    <col min="15372" max="15374" width="26.88671875" style="2" customWidth="1"/>
    <col min="15375" max="15375" width="11.44140625" style="2" bestFit="1" customWidth="1"/>
    <col min="15376" max="15377" width="17.33203125" style="2" customWidth="1"/>
    <col min="15378" max="15616" width="14.6640625" style="2"/>
    <col min="15617" max="15617" width="50.5546875" style="2" customWidth="1"/>
    <col min="15618" max="15618" width="20.109375" style="2" customWidth="1"/>
    <col min="15619" max="15619" width="18.6640625" style="2" customWidth="1"/>
    <col min="15620" max="15620" width="27.5546875" style="2" customWidth="1"/>
    <col min="15621" max="15621" width="19.88671875" style="2" bestFit="1" customWidth="1"/>
    <col min="15622" max="15624" width="19.33203125" style="2" customWidth="1"/>
    <col min="15625" max="15625" width="20.88671875" style="2" bestFit="1" customWidth="1"/>
    <col min="15626" max="15627" width="24" style="2" customWidth="1"/>
    <col min="15628" max="15630" width="26.88671875" style="2" customWidth="1"/>
    <col min="15631" max="15631" width="11.44140625" style="2" bestFit="1" customWidth="1"/>
    <col min="15632" max="15633" width="17.33203125" style="2" customWidth="1"/>
    <col min="15634" max="15872" width="14.6640625" style="2"/>
    <col min="15873" max="15873" width="50.5546875" style="2" customWidth="1"/>
    <col min="15874" max="15874" width="20.109375" style="2" customWidth="1"/>
    <col min="15875" max="15875" width="18.6640625" style="2" customWidth="1"/>
    <col min="15876" max="15876" width="27.5546875" style="2" customWidth="1"/>
    <col min="15877" max="15877" width="19.88671875" style="2" bestFit="1" customWidth="1"/>
    <col min="15878" max="15880" width="19.33203125" style="2" customWidth="1"/>
    <col min="15881" max="15881" width="20.88671875" style="2" bestFit="1" customWidth="1"/>
    <col min="15882" max="15883" width="24" style="2" customWidth="1"/>
    <col min="15884" max="15886" width="26.88671875" style="2" customWidth="1"/>
    <col min="15887" max="15887" width="11.44140625" style="2" bestFit="1" customWidth="1"/>
    <col min="15888" max="15889" width="17.33203125" style="2" customWidth="1"/>
    <col min="15890" max="16128" width="14.6640625" style="2"/>
    <col min="16129" max="16129" width="50.5546875" style="2" customWidth="1"/>
    <col min="16130" max="16130" width="20.109375" style="2" customWidth="1"/>
    <col min="16131" max="16131" width="18.6640625" style="2" customWidth="1"/>
    <col min="16132" max="16132" width="27.5546875" style="2" customWidth="1"/>
    <col min="16133" max="16133" width="19.88671875" style="2" bestFit="1" customWidth="1"/>
    <col min="16134" max="16136" width="19.33203125" style="2" customWidth="1"/>
    <col min="16137" max="16137" width="20.88671875" style="2" bestFit="1" customWidth="1"/>
    <col min="16138" max="16139" width="24" style="2" customWidth="1"/>
    <col min="16140" max="16142" width="26.88671875" style="2" customWidth="1"/>
    <col min="16143" max="16143" width="11.44140625" style="2" bestFit="1" customWidth="1"/>
    <col min="16144" max="16145" width="17.33203125" style="2" customWidth="1"/>
    <col min="16146" max="16384" width="14.6640625" style="2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x14ac:dyDescent="0.25">
      <c r="A5" s="4"/>
      <c r="B5" s="5"/>
      <c r="C5" s="6"/>
      <c r="D5" s="6"/>
      <c r="E5" s="7"/>
      <c r="F5" s="7"/>
      <c r="G5" s="7"/>
      <c r="H5" s="7"/>
      <c r="I5" s="8"/>
      <c r="J5" s="7"/>
      <c r="K5" s="7"/>
      <c r="L5" s="9"/>
      <c r="M5" s="10"/>
      <c r="N5" s="10"/>
      <c r="O5" s="11"/>
    </row>
    <row r="6" spans="1:17" ht="73.5" customHeight="1" x14ac:dyDescent="0.25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4" t="s">
        <v>16</v>
      </c>
      <c r="N6" s="14" t="s">
        <v>17</v>
      </c>
      <c r="O6" s="13" t="s">
        <v>18</v>
      </c>
    </row>
    <row r="7" spans="1:17" x14ac:dyDescent="0.25">
      <c r="A7" s="15" t="s">
        <v>19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7"/>
      <c r="O7" s="16"/>
    </row>
    <row r="8" spans="1:17" x14ac:dyDescent="0.25">
      <c r="A8" s="15" t="s">
        <v>20</v>
      </c>
      <c r="B8" s="15">
        <f>SUM(B9:B18)</f>
        <v>142625145</v>
      </c>
      <c r="C8" s="15">
        <f t="shared" ref="C8:H8" si="0">SUM(C9:C18)</f>
        <v>295845022</v>
      </c>
      <c r="D8" s="15">
        <f t="shared" si="0"/>
        <v>177598838</v>
      </c>
      <c r="E8" s="15">
        <f t="shared" si="0"/>
        <v>19417279</v>
      </c>
      <c r="F8" s="15">
        <f t="shared" si="0"/>
        <v>193513723</v>
      </c>
      <c r="G8" s="15">
        <f t="shared" si="0"/>
        <v>579517769</v>
      </c>
      <c r="H8" s="15">
        <f t="shared" si="0"/>
        <v>380783764</v>
      </c>
      <c r="I8" s="15">
        <f>SUM(B8:H8)</f>
        <v>1789301540</v>
      </c>
      <c r="J8" s="15">
        <f>SUM(J9:J18)</f>
        <v>452766984</v>
      </c>
      <c r="K8" s="15"/>
      <c r="L8" s="15">
        <f>SUM(L9:L18)</f>
        <v>2242068524</v>
      </c>
      <c r="M8" s="18">
        <f>SUM(M9:M18)</f>
        <v>1777008765</v>
      </c>
      <c r="N8" s="18">
        <f>+M8-L8</f>
        <v>-465059759</v>
      </c>
      <c r="O8" s="19">
        <f>+M8/L8</f>
        <v>0.79257558186923638</v>
      </c>
    </row>
    <row r="9" spans="1:17" outlineLevel="1" x14ac:dyDescent="0.25">
      <c r="A9" s="20" t="s">
        <v>21</v>
      </c>
      <c r="B9" s="21">
        <f>+[1]ECO!U14</f>
        <v>98093466</v>
      </c>
      <c r="C9" s="21">
        <f>+[1]TEC!U14</f>
        <v>199306825</v>
      </c>
      <c r="D9" s="21">
        <f>+[1]TRANSF!U14</f>
        <v>121329096</v>
      </c>
      <c r="E9" s="21">
        <f>+[1]SAN!U14</f>
        <v>11853371</v>
      </c>
      <c r="F9" s="21">
        <f>+[1]MER!U14</f>
        <v>130067933</v>
      </c>
      <c r="G9" s="21">
        <f>+[1]PPC!U14</f>
        <v>382142710</v>
      </c>
      <c r="H9" s="21">
        <f>+[1]COM!U14</f>
        <v>257480229</v>
      </c>
      <c r="I9" s="21">
        <f t="shared" ref="I9:I18" si="1">SUM(B9:H9)</f>
        <v>1200273630</v>
      </c>
      <c r="J9" s="21">
        <f>+[1]FUN!U14</f>
        <v>264751549</v>
      </c>
      <c r="K9" s="21"/>
      <c r="L9" s="21">
        <f>SUM(I9:K9)</f>
        <v>1465025179</v>
      </c>
      <c r="M9" s="17">
        <f>+[2]RES!Q13</f>
        <v>1157047436</v>
      </c>
      <c r="N9" s="17">
        <f>+M9-L9</f>
        <v>-307977743</v>
      </c>
      <c r="O9" s="22">
        <f t="shared" ref="O9:O19" si="2">+M9/L9</f>
        <v>0.78977989770099366</v>
      </c>
      <c r="Q9" s="23"/>
    </row>
    <row r="10" spans="1:17" outlineLevel="1" x14ac:dyDescent="0.25">
      <c r="A10" s="20" t="s">
        <v>22</v>
      </c>
      <c r="B10" s="21">
        <f>+[1]ECO!U15</f>
        <v>7365929</v>
      </c>
      <c r="C10" s="21">
        <f>+[1]TEC!U15</f>
        <v>12915981</v>
      </c>
      <c r="D10" s="21">
        <f>+[1]TRANSF!U15</f>
        <v>9047143</v>
      </c>
      <c r="E10" s="21">
        <f>+[1]SAN!U15</f>
        <v>830715</v>
      </c>
      <c r="F10" s="21">
        <f>+[1]MER!U15</f>
        <v>9677481</v>
      </c>
      <c r="G10" s="21">
        <f>+[1]PPC!U15</f>
        <v>26249911</v>
      </c>
      <c r="H10" s="21">
        <f>+[1]COM!U15</f>
        <v>15042023</v>
      </c>
      <c r="I10" s="21">
        <f t="shared" si="1"/>
        <v>81129183</v>
      </c>
      <c r="J10" s="21">
        <f>+[1]FUN!U15</f>
        <v>12997689</v>
      </c>
      <c r="K10" s="21"/>
      <c r="L10" s="21">
        <f t="shared" ref="L10:L19" si="3">SUM(I10:K10)</f>
        <v>94126872</v>
      </c>
      <c r="M10" s="17">
        <f>+[2]RES!Q14</f>
        <v>66778490</v>
      </c>
      <c r="N10" s="17">
        <f t="shared" ref="N10:N19" si="4">+M10-L10</f>
        <v>-27348382</v>
      </c>
      <c r="O10" s="22">
        <f t="shared" si="2"/>
        <v>0.70945191932012786</v>
      </c>
      <c r="Q10" s="23"/>
    </row>
    <row r="11" spans="1:17" outlineLevel="1" x14ac:dyDescent="0.25">
      <c r="A11" s="20" t="s">
        <v>23</v>
      </c>
      <c r="B11" s="21">
        <f>+[1]ECO!U16</f>
        <v>4429166</v>
      </c>
      <c r="C11" s="21">
        <f>+[1]TEC!U16</f>
        <v>12375973</v>
      </c>
      <c r="D11" s="21">
        <f>+[1]TRANSF!U16</f>
        <v>6611944</v>
      </c>
      <c r="E11" s="21">
        <f>+[1]SAN!U16</f>
        <v>938779</v>
      </c>
      <c r="F11" s="21">
        <f>+[1]MER!U16</f>
        <v>7162446</v>
      </c>
      <c r="G11" s="21">
        <f>+[1]PPC!U16</f>
        <v>26411293</v>
      </c>
      <c r="H11" s="21">
        <f>+[1]COM!U16</f>
        <v>15244051</v>
      </c>
      <c r="I11" s="21">
        <f t="shared" si="1"/>
        <v>73173652</v>
      </c>
      <c r="J11" s="21">
        <f>+[1]FUN!U16</f>
        <v>18922452</v>
      </c>
      <c r="K11" s="21"/>
      <c r="L11" s="21">
        <f t="shared" si="3"/>
        <v>92096104</v>
      </c>
      <c r="M11" s="17">
        <f>+[2]RES!Q15</f>
        <v>78019885</v>
      </c>
      <c r="N11" s="17">
        <f t="shared" si="4"/>
        <v>-14076219</v>
      </c>
      <c r="O11" s="22">
        <f t="shared" si="2"/>
        <v>0.84715728039917959</v>
      </c>
      <c r="Q11" s="23"/>
    </row>
    <row r="12" spans="1:17" outlineLevel="1" x14ac:dyDescent="0.25">
      <c r="A12" s="20" t="s">
        <v>24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 t="shared" si="1"/>
        <v>0</v>
      </c>
      <c r="J12" s="21">
        <f>+[1]FUN!U17</f>
        <v>58461665</v>
      </c>
      <c r="K12" s="21"/>
      <c r="L12" s="21">
        <f t="shared" si="3"/>
        <v>58461665</v>
      </c>
      <c r="M12" s="17">
        <f>+[2]RES!Q16</f>
        <v>44486611</v>
      </c>
      <c r="N12" s="17">
        <f t="shared" si="4"/>
        <v>-13975054</v>
      </c>
      <c r="O12" s="22">
        <f t="shared" si="2"/>
        <v>0.76095354109398017</v>
      </c>
      <c r="Q12" s="23"/>
    </row>
    <row r="13" spans="1:17" outlineLevel="1" x14ac:dyDescent="0.25">
      <c r="A13" s="20" t="s">
        <v>25</v>
      </c>
      <c r="B13" s="21">
        <f>+[1]ECO!U17</f>
        <v>250000</v>
      </c>
      <c r="C13" s="21">
        <f>+[1]TEC!U17</f>
        <v>250000</v>
      </c>
      <c r="D13" s="21">
        <f>+[1]TRANSF!U17</f>
        <v>250000</v>
      </c>
      <c r="E13" s="21">
        <v>0</v>
      </c>
      <c r="F13" s="21">
        <f>+[1]MER!U17</f>
        <v>250000</v>
      </c>
      <c r="G13" s="21">
        <f>+[1]PPC!U17</f>
        <v>750000</v>
      </c>
      <c r="H13" s="21">
        <f>+[1]COM!U17</f>
        <v>250000</v>
      </c>
      <c r="I13" s="21">
        <f t="shared" si="1"/>
        <v>2000000</v>
      </c>
      <c r="J13" s="21">
        <f>+[1]FUN!U18</f>
        <v>250000</v>
      </c>
      <c r="K13" s="21"/>
      <c r="L13" s="21">
        <f t="shared" si="3"/>
        <v>2250000</v>
      </c>
      <c r="M13" s="17">
        <f>+[2]RES!Q17</f>
        <v>2250000</v>
      </c>
      <c r="N13" s="17">
        <f t="shared" si="4"/>
        <v>0</v>
      </c>
      <c r="O13" s="22">
        <f t="shared" si="2"/>
        <v>1</v>
      </c>
      <c r="Q13" s="23"/>
    </row>
    <row r="14" spans="1:17" outlineLevel="1" x14ac:dyDescent="0.25">
      <c r="A14" s="20" t="s">
        <v>26</v>
      </c>
      <c r="B14" s="21">
        <f>+[1]ECO!U18</f>
        <v>4429166</v>
      </c>
      <c r="C14" s="21">
        <f>+[1]TEC!U18</f>
        <v>12375973</v>
      </c>
      <c r="D14" s="21">
        <f>+[1]TRANSF!U18</f>
        <v>6611944</v>
      </c>
      <c r="E14" s="21">
        <f>+[1]SAN!U17</f>
        <v>938779</v>
      </c>
      <c r="F14" s="21">
        <f>+[1]MER!U18</f>
        <v>7162446</v>
      </c>
      <c r="G14" s="21">
        <f>+[1]PPC!U18</f>
        <v>26411293</v>
      </c>
      <c r="H14" s="21">
        <f>+[1]COM!U18</f>
        <v>15244051</v>
      </c>
      <c r="I14" s="21">
        <f t="shared" si="1"/>
        <v>73173652</v>
      </c>
      <c r="J14" s="21">
        <f>+[1]FUN!U19</f>
        <v>18922452</v>
      </c>
      <c r="K14" s="21"/>
      <c r="L14" s="20">
        <f t="shared" si="3"/>
        <v>92096104</v>
      </c>
      <c r="M14" s="17">
        <f>+[2]RES!Q18</f>
        <v>78637796</v>
      </c>
      <c r="N14" s="17">
        <f t="shared" si="4"/>
        <v>-13458308</v>
      </c>
      <c r="O14" s="22">
        <f t="shared" si="2"/>
        <v>0.85386669559876283</v>
      </c>
      <c r="Q14" s="23"/>
    </row>
    <row r="15" spans="1:17" outlineLevel="1" x14ac:dyDescent="0.25">
      <c r="A15" s="20" t="s">
        <v>27</v>
      </c>
      <c r="B15" s="21">
        <f>+[1]ECO!U19</f>
        <v>531599</v>
      </c>
      <c r="C15" s="21">
        <f>+[1]TEC!U19</f>
        <v>1868533</v>
      </c>
      <c r="D15" s="21">
        <f>+[1]TRANSF!U19</f>
        <v>793434</v>
      </c>
      <c r="E15" s="21">
        <f>+[1]SAN!U18</f>
        <v>112650</v>
      </c>
      <c r="F15" s="21">
        <f>+[1]MER!U19</f>
        <v>859489</v>
      </c>
      <c r="G15" s="21">
        <f>+[1]PPC!U19</f>
        <v>3232367</v>
      </c>
      <c r="H15" s="21">
        <f>+[1]COM!U19</f>
        <v>2239086</v>
      </c>
      <c r="I15" s="21">
        <f t="shared" si="1"/>
        <v>9637158</v>
      </c>
      <c r="J15" s="21">
        <f>+[1]FUN!U20</f>
        <v>2442185</v>
      </c>
      <c r="K15" s="21"/>
      <c r="L15" s="20">
        <f t="shared" si="3"/>
        <v>12079343</v>
      </c>
      <c r="M15" s="17">
        <f>+[2]RES!Q19</f>
        <v>7597393</v>
      </c>
      <c r="N15" s="17">
        <f t="shared" si="4"/>
        <v>-4481950</v>
      </c>
      <c r="O15" s="22">
        <f t="shared" si="2"/>
        <v>0.62895746896168114</v>
      </c>
      <c r="Q15" s="23"/>
    </row>
    <row r="16" spans="1:17" outlineLevel="1" x14ac:dyDescent="0.25">
      <c r="A16" s="20" t="s">
        <v>28</v>
      </c>
      <c r="B16" s="21">
        <f>+[1]ECO!U20</f>
        <v>17910559</v>
      </c>
      <c r="C16" s="21">
        <f>+[1]TEC!U20</f>
        <v>37569273</v>
      </c>
      <c r="D16" s="21">
        <f>+[1]TRANSF!U20</f>
        <v>20847313</v>
      </c>
      <c r="E16" s="21">
        <f>+[1]SAN!U19</f>
        <v>3143709</v>
      </c>
      <c r="F16" s="21">
        <f>+[1]MER!U20</f>
        <v>25278996</v>
      </c>
      <c r="G16" s="21">
        <f>+[1]PPC!U20</f>
        <v>74532031</v>
      </c>
      <c r="H16" s="21">
        <f>+[1]COM!U20</f>
        <v>50883912</v>
      </c>
      <c r="I16" s="21">
        <f t="shared" si="1"/>
        <v>230165793</v>
      </c>
      <c r="J16" s="21">
        <f>+[1]FUN!U21</f>
        <v>51177528</v>
      </c>
      <c r="K16" s="21"/>
      <c r="L16" s="20">
        <f t="shared" si="3"/>
        <v>281343321</v>
      </c>
      <c r="M16" s="17">
        <f>+[2]RES!Q20</f>
        <v>238904354</v>
      </c>
      <c r="N16" s="17">
        <f t="shared" si="4"/>
        <v>-42438967</v>
      </c>
      <c r="O16" s="22">
        <f t="shared" si="2"/>
        <v>0.84915594637485636</v>
      </c>
      <c r="Q16" s="23"/>
    </row>
    <row r="17" spans="1:18" outlineLevel="1" x14ac:dyDescent="0.25">
      <c r="A17" s="20" t="s">
        <v>29</v>
      </c>
      <c r="B17" s="21">
        <f>+[1]ECO!U21</f>
        <v>4261120</v>
      </c>
      <c r="C17" s="21">
        <f>+[1]TEC!U21</f>
        <v>8514204</v>
      </c>
      <c r="D17" s="21">
        <f>+[1]TRANSF!U21</f>
        <v>5329412</v>
      </c>
      <c r="E17" s="21">
        <f>+[1]SAN!U20</f>
        <v>710892</v>
      </c>
      <c r="F17" s="21">
        <f>+[1]MER!U21</f>
        <v>5787484</v>
      </c>
      <c r="G17" s="21">
        <f>+[1]PPC!U21</f>
        <v>17081628</v>
      </c>
      <c r="H17" s="21">
        <f>+[1]COM!U21</f>
        <v>10749120</v>
      </c>
      <c r="I17" s="21">
        <f t="shared" si="1"/>
        <v>52433860</v>
      </c>
      <c r="J17" s="21">
        <f>+[1]FUN!U22</f>
        <v>10955356</v>
      </c>
      <c r="K17" s="21"/>
      <c r="L17" s="20">
        <f t="shared" si="3"/>
        <v>63389216</v>
      </c>
      <c r="M17" s="17">
        <f>+[2]RES!Q21</f>
        <v>45896000</v>
      </c>
      <c r="N17" s="17">
        <f t="shared" si="4"/>
        <v>-17493216</v>
      </c>
      <c r="O17" s="22">
        <f t="shared" si="2"/>
        <v>0.72403482636541838</v>
      </c>
      <c r="Q17" s="23"/>
    </row>
    <row r="18" spans="1:18" outlineLevel="1" x14ac:dyDescent="0.25">
      <c r="A18" s="20" t="s">
        <v>30</v>
      </c>
      <c r="B18" s="21">
        <f>+[1]ECO!U22</f>
        <v>5354140</v>
      </c>
      <c r="C18" s="21">
        <f>+[1]TEC!U22</f>
        <v>10668260</v>
      </c>
      <c r="D18" s="21">
        <f>+[1]TRANSF!U22</f>
        <v>6778552</v>
      </c>
      <c r="E18" s="21">
        <f>+[1]SAN!U21</f>
        <v>888384</v>
      </c>
      <c r="F18" s="21">
        <f>+[1]MER!U22</f>
        <v>7267448</v>
      </c>
      <c r="G18" s="21">
        <f>+[1]PPC!U22</f>
        <v>22706536</v>
      </c>
      <c r="H18" s="21">
        <f>+[1]COM!U22</f>
        <v>13651292</v>
      </c>
      <c r="I18" s="21">
        <f t="shared" si="1"/>
        <v>67314612</v>
      </c>
      <c r="J18" s="21">
        <f>+[1]FUN!U23</f>
        <v>13886108</v>
      </c>
      <c r="K18" s="21"/>
      <c r="L18" s="20">
        <f t="shared" si="3"/>
        <v>81200720</v>
      </c>
      <c r="M18" s="17">
        <f>+[2]RES!Q22</f>
        <v>57390800</v>
      </c>
      <c r="N18" s="17">
        <f t="shared" si="4"/>
        <v>-23809920</v>
      </c>
      <c r="O18" s="22">
        <f t="shared" si="2"/>
        <v>0.70677698424348945</v>
      </c>
      <c r="Q18" s="23"/>
    </row>
    <row r="19" spans="1:18" x14ac:dyDescent="0.25">
      <c r="A19" s="24" t="s">
        <v>31</v>
      </c>
      <c r="B19" s="25">
        <f>SUM(B9:B18)</f>
        <v>142625145</v>
      </c>
      <c r="C19" s="25">
        <f t="shared" ref="C19:H19" si="5">SUM(C9:C18)</f>
        <v>295845022</v>
      </c>
      <c r="D19" s="25">
        <f t="shared" si="5"/>
        <v>177598838</v>
      </c>
      <c r="E19" s="25">
        <f t="shared" si="5"/>
        <v>19417279</v>
      </c>
      <c r="F19" s="25">
        <f t="shared" si="5"/>
        <v>193513723</v>
      </c>
      <c r="G19" s="25">
        <f t="shared" si="5"/>
        <v>579517769</v>
      </c>
      <c r="H19" s="25">
        <f t="shared" si="5"/>
        <v>380783764</v>
      </c>
      <c r="I19" s="25">
        <f>SUM(I9:I18)</f>
        <v>1789301540</v>
      </c>
      <c r="J19" s="25">
        <f>SUM(J9:J18)</f>
        <v>452766984</v>
      </c>
      <c r="K19" s="25"/>
      <c r="L19" s="25">
        <f t="shared" si="3"/>
        <v>2242068524</v>
      </c>
      <c r="M19" s="18">
        <f>SUM(M9:M18)</f>
        <v>1777008765</v>
      </c>
      <c r="N19" s="18">
        <f t="shared" si="4"/>
        <v>-465059759</v>
      </c>
      <c r="O19" s="19">
        <f t="shared" si="2"/>
        <v>0.79257558186923638</v>
      </c>
      <c r="P19" s="26"/>
      <c r="Q19" s="27"/>
      <c r="R19" s="28"/>
    </row>
    <row r="20" spans="1:18" x14ac:dyDescent="0.25">
      <c r="A20" s="15" t="s">
        <v>32</v>
      </c>
      <c r="B20" s="21"/>
      <c r="C20" s="21"/>
      <c r="D20" s="21"/>
      <c r="E20" s="21"/>
      <c r="F20" s="21"/>
      <c r="G20" s="21"/>
      <c r="H20" s="21"/>
      <c r="I20" s="21"/>
      <c r="J20" s="29"/>
      <c r="K20" s="29"/>
      <c r="L20" s="20"/>
      <c r="M20" s="17"/>
      <c r="N20" s="17"/>
      <c r="O20" s="19"/>
      <c r="P20" s="26"/>
      <c r="Q20" s="30"/>
    </row>
    <row r="21" spans="1:18" outlineLevel="1" x14ac:dyDescent="0.25">
      <c r="A21" s="16" t="s">
        <v>33</v>
      </c>
      <c r="B21" s="31">
        <v>0</v>
      </c>
      <c r="C21" s="31">
        <v>0</v>
      </c>
      <c r="D21" s="31">
        <v>0</v>
      </c>
      <c r="E21" s="31">
        <v>0</v>
      </c>
      <c r="F21" s="31">
        <f>+[1]MER!$U$26</f>
        <v>2000000</v>
      </c>
      <c r="G21" s="31">
        <f>+[1]PPC!U26</f>
        <v>10052218</v>
      </c>
      <c r="H21" s="31">
        <v>0</v>
      </c>
      <c r="I21" s="31">
        <f>SUM(B21:H21)</f>
        <v>12052218</v>
      </c>
      <c r="J21" s="21">
        <f>+[1]FUN!U27</f>
        <v>133415598</v>
      </c>
      <c r="K21" s="21"/>
      <c r="L21" s="20">
        <f t="shared" ref="L21:L36" si="6">SUM(I21:K21)</f>
        <v>145467816</v>
      </c>
      <c r="M21" s="17">
        <f>+[2]RES!Q27</f>
        <v>111042304</v>
      </c>
      <c r="N21" s="17">
        <f t="shared" ref="N21:N35" si="7">+M21-L21</f>
        <v>-34425512</v>
      </c>
      <c r="O21" s="22">
        <f t="shared" ref="O21:O36" si="8">+M21/L21</f>
        <v>0.76334619610979793</v>
      </c>
      <c r="Q21" s="32"/>
    </row>
    <row r="22" spans="1:18" outlineLevel="1" x14ac:dyDescent="0.25">
      <c r="A22" s="16" t="s">
        <v>34</v>
      </c>
      <c r="B22" s="31">
        <v>0</v>
      </c>
      <c r="C22" s="31">
        <f>+[1]TEC!$U$26</f>
        <v>630922</v>
      </c>
      <c r="D22" s="31">
        <v>0</v>
      </c>
      <c r="E22" s="31">
        <v>0</v>
      </c>
      <c r="F22" s="31">
        <v>0</v>
      </c>
      <c r="G22" s="31">
        <f>+[1]PPC!U27</f>
        <v>2183012</v>
      </c>
      <c r="H22" s="31">
        <f>+[1]COM!$U$26</f>
        <v>1087449</v>
      </c>
      <c r="I22" s="31">
        <f t="shared" ref="I22:I36" si="9">SUM(B22:H22)</f>
        <v>3901383</v>
      </c>
      <c r="J22" s="21">
        <f>+[1]FUN!U28</f>
        <v>18256654</v>
      </c>
      <c r="K22" s="21"/>
      <c r="L22" s="20">
        <f t="shared" si="6"/>
        <v>22158037</v>
      </c>
      <c r="M22" s="17">
        <f>+[2]RES!Q28</f>
        <v>19664172</v>
      </c>
      <c r="N22" s="17">
        <f>+M22-L22</f>
        <v>-2493865</v>
      </c>
      <c r="O22" s="22">
        <f t="shared" si="8"/>
        <v>0.8874509957718727</v>
      </c>
      <c r="Q22" s="32"/>
    </row>
    <row r="23" spans="1:18" outlineLevel="1" x14ac:dyDescent="0.25">
      <c r="A23" s="16" t="s">
        <v>35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f>+[1]PPC!U28</f>
        <v>1685050</v>
      </c>
      <c r="H23" s="31">
        <v>0</v>
      </c>
      <c r="I23" s="31">
        <f t="shared" si="9"/>
        <v>1685050</v>
      </c>
      <c r="J23" s="21">
        <f>+[1]FUN!U29</f>
        <v>1273892</v>
      </c>
      <c r="K23" s="21"/>
      <c r="L23" s="20">
        <f t="shared" si="6"/>
        <v>2958942</v>
      </c>
      <c r="M23" s="17">
        <f>+[2]RES!Q29</f>
        <v>1010000</v>
      </c>
      <c r="N23" s="17">
        <f t="shared" si="7"/>
        <v>-1948942</v>
      </c>
      <c r="O23" s="22">
        <f t="shared" si="8"/>
        <v>0.34133822156703308</v>
      </c>
      <c r="Q23" s="32"/>
    </row>
    <row r="24" spans="1:18" outlineLevel="1" x14ac:dyDescent="0.25">
      <c r="A24" s="16" t="s">
        <v>36</v>
      </c>
      <c r="B24" s="31">
        <f>+[1]ECO!$U$26</f>
        <v>185959</v>
      </c>
      <c r="C24" s="31">
        <f>+[1]TEC!$U$27</f>
        <v>5730594</v>
      </c>
      <c r="D24" s="31">
        <f>+[1]TRANSF!$U$26</f>
        <v>2581628</v>
      </c>
      <c r="E24" s="31">
        <v>0</v>
      </c>
      <c r="F24" s="31">
        <f>+[1]MER!$U$27</f>
        <v>2372952</v>
      </c>
      <c r="G24" s="31">
        <f>+[1]PPC!U29</f>
        <v>10246650</v>
      </c>
      <c r="H24" s="31">
        <f>+[1]COM!$U$27</f>
        <v>2808008</v>
      </c>
      <c r="I24" s="31">
        <f t="shared" si="9"/>
        <v>23925791</v>
      </c>
      <c r="J24" s="21">
        <f>+[1]FUN!U30</f>
        <v>9530775</v>
      </c>
      <c r="K24" s="21"/>
      <c r="L24" s="20">
        <f t="shared" si="6"/>
        <v>33456566</v>
      </c>
      <c r="M24" s="17">
        <f>+[2]RES!Q30</f>
        <v>33052701</v>
      </c>
      <c r="N24" s="17">
        <f t="shared" si="7"/>
        <v>-403865</v>
      </c>
      <c r="O24" s="22">
        <f t="shared" si="8"/>
        <v>0.98792867743808499</v>
      </c>
      <c r="Q24" s="32"/>
    </row>
    <row r="25" spans="1:18" outlineLevel="1" x14ac:dyDescent="0.25">
      <c r="A25" s="16" t="s">
        <v>37</v>
      </c>
      <c r="B25" s="31">
        <f>+[1]ECO!$U$27</f>
        <v>300000</v>
      </c>
      <c r="C25" s="31">
        <f>+[1]TEC!$U$28</f>
        <v>1924901</v>
      </c>
      <c r="D25" s="31">
        <f>+[1]TRANSF!$U$27</f>
        <v>2408284</v>
      </c>
      <c r="E25" s="31">
        <v>0</v>
      </c>
      <c r="F25" s="31">
        <f>+[1]MER!$U$28</f>
        <v>2403104</v>
      </c>
      <c r="G25" s="31">
        <f>+[1]PPC!U30</f>
        <v>1151494</v>
      </c>
      <c r="H25" s="31">
        <f>+[1]COM!$U$28</f>
        <v>984299</v>
      </c>
      <c r="I25" s="31">
        <f t="shared" si="9"/>
        <v>9172082</v>
      </c>
      <c r="J25" s="21">
        <f>+[1]FUN!U31</f>
        <v>2932667</v>
      </c>
      <c r="K25" s="21"/>
      <c r="L25" s="20">
        <f t="shared" si="6"/>
        <v>12104749</v>
      </c>
      <c r="M25" s="17">
        <f>+[2]RES!Q31</f>
        <v>3853898</v>
      </c>
      <c r="N25" s="17">
        <f t="shared" si="7"/>
        <v>-8250851</v>
      </c>
      <c r="O25" s="22">
        <f t="shared" si="8"/>
        <v>0.3183790097588971</v>
      </c>
      <c r="Q25" s="32"/>
    </row>
    <row r="26" spans="1:18" outlineLevel="1" x14ac:dyDescent="0.25">
      <c r="A26" s="20" t="s">
        <v>38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f t="shared" si="9"/>
        <v>0</v>
      </c>
      <c r="J26" s="21">
        <f>+[1]FUN!U32</f>
        <v>21204157</v>
      </c>
      <c r="K26" s="21"/>
      <c r="L26" s="20">
        <f t="shared" si="6"/>
        <v>21204157</v>
      </c>
      <c r="M26" s="17">
        <f>+[2]RES!Q32</f>
        <v>18000000</v>
      </c>
      <c r="N26" s="17">
        <f t="shared" si="7"/>
        <v>-3204157</v>
      </c>
      <c r="O26" s="22">
        <f t="shared" si="8"/>
        <v>0.84889014922875738</v>
      </c>
      <c r="Q26" s="32"/>
    </row>
    <row r="27" spans="1:18" outlineLevel="1" x14ac:dyDescent="0.25">
      <c r="A27" s="16" t="s">
        <v>39</v>
      </c>
      <c r="B27" s="31">
        <f>+[1]ECO!$U$28</f>
        <v>5747124</v>
      </c>
      <c r="C27" s="31">
        <f>+[1]TEC!$U$29</f>
        <v>6444461</v>
      </c>
      <c r="D27" s="31">
        <f>+[1]TRANSF!$U$28</f>
        <v>5122731</v>
      </c>
      <c r="E27" s="31">
        <f>+[1]SAN!$U$25</f>
        <v>6447128</v>
      </c>
      <c r="F27" s="31">
        <f>+[1]MER!$U$29</f>
        <v>5509714</v>
      </c>
      <c r="G27" s="31">
        <f>+[1]PPC!U31</f>
        <v>5244161</v>
      </c>
      <c r="H27" s="31">
        <f>+[1]COM!$U$29</f>
        <v>5544464</v>
      </c>
      <c r="I27" s="31">
        <f t="shared" si="9"/>
        <v>40059783</v>
      </c>
      <c r="J27" s="21">
        <f>+[1]FUN!U33</f>
        <v>12568814</v>
      </c>
      <c r="K27" s="21"/>
      <c r="L27" s="20">
        <f t="shared" si="6"/>
        <v>52628597</v>
      </c>
      <c r="M27" s="17">
        <f>+[2]RES!Q33</f>
        <v>37677880</v>
      </c>
      <c r="N27" s="17">
        <f t="shared" si="7"/>
        <v>-14950717</v>
      </c>
      <c r="O27" s="22">
        <f t="shared" si="8"/>
        <v>0.71592028189541135</v>
      </c>
      <c r="Q27" s="32"/>
    </row>
    <row r="28" spans="1:18" outlineLevel="1" x14ac:dyDescent="0.25">
      <c r="A28" s="16" t="s">
        <v>40</v>
      </c>
      <c r="B28" s="31">
        <v>0</v>
      </c>
      <c r="C28" s="31">
        <v>0</v>
      </c>
      <c r="D28" s="31">
        <f>+[1]TRANSF!$U$29</f>
        <v>3372537</v>
      </c>
      <c r="E28" s="31">
        <v>0</v>
      </c>
      <c r="F28" s="31">
        <v>0</v>
      </c>
      <c r="G28" s="31">
        <f>+[1]PPC!U32+5780000</f>
        <v>20577000</v>
      </c>
      <c r="H28" s="31">
        <v>0</v>
      </c>
      <c r="I28" s="31">
        <f t="shared" si="9"/>
        <v>23949537</v>
      </c>
      <c r="J28" s="21">
        <f>+[1]FUN!U34+4326564</f>
        <v>8241550</v>
      </c>
      <c r="K28" s="21"/>
      <c r="L28" s="20">
        <f t="shared" si="6"/>
        <v>32191087</v>
      </c>
      <c r="M28" s="17">
        <f>+[2]RES!Q34</f>
        <v>28818550</v>
      </c>
      <c r="N28" s="17">
        <f>+M28-L28</f>
        <v>-3372537</v>
      </c>
      <c r="O28" s="33">
        <f t="shared" si="8"/>
        <v>0.89523382668003726</v>
      </c>
      <c r="Q28" s="32"/>
    </row>
    <row r="29" spans="1:18" outlineLevel="1" x14ac:dyDescent="0.25">
      <c r="A29" s="16" t="s">
        <v>41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f>+[1]PPC!U33+2358000</f>
        <v>20514337</v>
      </c>
      <c r="H29" s="31">
        <v>0</v>
      </c>
      <c r="I29" s="31">
        <f t="shared" si="9"/>
        <v>20514337</v>
      </c>
      <c r="J29" s="21">
        <f>+[1]FUN!U35</f>
        <v>26423305</v>
      </c>
      <c r="K29" s="21">
        <v>43400000</v>
      </c>
      <c r="L29" s="20">
        <f t="shared" si="6"/>
        <v>90337642</v>
      </c>
      <c r="M29" s="17">
        <f>+[2]RES!Q35</f>
        <v>87629242</v>
      </c>
      <c r="N29" s="17">
        <f t="shared" si="7"/>
        <v>-2708400</v>
      </c>
      <c r="O29" s="22">
        <f t="shared" si="8"/>
        <v>0.97001914218659813</v>
      </c>
      <c r="Q29" s="32"/>
    </row>
    <row r="30" spans="1:18" outlineLevel="1" x14ac:dyDescent="0.25">
      <c r="A30" s="16" t="s">
        <v>42</v>
      </c>
      <c r="B30" s="31">
        <f>+[1]ECO!$U$30</f>
        <v>4000000</v>
      </c>
      <c r="C30" s="31">
        <f>+[1]TEC!$U$30</f>
        <v>9227443</v>
      </c>
      <c r="D30" s="31">
        <f>+[1]TRANSF!$U$30</f>
        <v>3191945</v>
      </c>
      <c r="E30" s="31">
        <v>0</v>
      </c>
      <c r="F30" s="31">
        <f>+[1]MER!$U$30</f>
        <v>10750673.000000004</v>
      </c>
      <c r="G30" s="31">
        <f>+[1]PPC!U34-2358000-5780000</f>
        <v>153017838</v>
      </c>
      <c r="H30" s="31">
        <f>+[1]COM!$U$30</f>
        <v>3860265</v>
      </c>
      <c r="I30" s="31">
        <f t="shared" si="9"/>
        <v>184048164</v>
      </c>
      <c r="J30" s="21">
        <f>+[1]FUN!U36-4326564</f>
        <v>8351884</v>
      </c>
      <c r="K30" s="21"/>
      <c r="L30" s="20">
        <f t="shared" si="6"/>
        <v>192400048</v>
      </c>
      <c r="M30" s="17">
        <f>+[2]RES!Q36</f>
        <v>151006895</v>
      </c>
      <c r="N30" s="17">
        <f t="shared" si="7"/>
        <v>-41393153</v>
      </c>
      <c r="O30" s="22">
        <f t="shared" si="8"/>
        <v>0.78485892581482097</v>
      </c>
      <c r="Q30" s="32"/>
    </row>
    <row r="31" spans="1:18" outlineLevel="1" x14ac:dyDescent="0.25">
      <c r="A31" s="16" t="s">
        <v>43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f t="shared" si="9"/>
        <v>0</v>
      </c>
      <c r="J31" s="21">
        <f>+[1]FUN!U37</f>
        <v>3890124</v>
      </c>
      <c r="K31" s="21"/>
      <c r="L31" s="20">
        <f t="shared" si="6"/>
        <v>3890124</v>
      </c>
      <c r="M31" s="17">
        <f>+[2]RES!Q37</f>
        <v>3794815</v>
      </c>
      <c r="N31" s="17">
        <f t="shared" si="7"/>
        <v>-95309</v>
      </c>
      <c r="O31" s="22">
        <f t="shared" si="8"/>
        <v>0.97549975270711164</v>
      </c>
      <c r="Q31" s="32"/>
    </row>
    <row r="32" spans="1:18" outlineLevel="1" x14ac:dyDescent="0.25">
      <c r="A32" s="16" t="s">
        <v>44</v>
      </c>
      <c r="B32" s="31">
        <f>+[1]ECO!$U$31</f>
        <v>4281046</v>
      </c>
      <c r="C32" s="31">
        <f>+[1]TEC!$U$31</f>
        <v>1123260</v>
      </c>
      <c r="D32" s="31">
        <f>+[1]TRANSF!$U$31</f>
        <v>662435</v>
      </c>
      <c r="E32" s="31">
        <f>+[1]SAN!$U$26</f>
        <v>219871</v>
      </c>
      <c r="F32" s="31">
        <f>+[1]MER!$U$31</f>
        <v>1537467</v>
      </c>
      <c r="G32" s="31">
        <f>+[1]PPC!$U$35</f>
        <v>13190214</v>
      </c>
      <c r="H32" s="31">
        <v>0</v>
      </c>
      <c r="I32" s="31">
        <f t="shared" si="9"/>
        <v>21014293</v>
      </c>
      <c r="J32" s="21">
        <f>+[1]FUN!U38</f>
        <v>17197144</v>
      </c>
      <c r="K32" s="21"/>
      <c r="L32" s="20">
        <f t="shared" si="6"/>
        <v>38211437</v>
      </c>
      <c r="M32" s="17">
        <f>+[2]RES!Q38</f>
        <v>34591619</v>
      </c>
      <c r="N32" s="17">
        <f t="shared" si="7"/>
        <v>-3619818</v>
      </c>
      <c r="O32" s="22">
        <f t="shared" si="8"/>
        <v>0.90526872883634291</v>
      </c>
      <c r="Q32" s="32"/>
    </row>
    <row r="33" spans="1:17" outlineLevel="1" x14ac:dyDescent="0.25">
      <c r="A33" s="16" t="s">
        <v>45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f>+[1]PPC!$U$36</f>
        <v>4744505</v>
      </c>
      <c r="H33" s="31">
        <v>0</v>
      </c>
      <c r="I33" s="31">
        <f t="shared" si="9"/>
        <v>4744505</v>
      </c>
      <c r="J33" s="21">
        <f>+[1]FUN!U39</f>
        <v>7823669</v>
      </c>
      <c r="K33" s="21"/>
      <c r="L33" s="20">
        <f t="shared" si="6"/>
        <v>12568174</v>
      </c>
      <c r="M33" s="17">
        <f>+[2]RES!Q39</f>
        <v>7076370</v>
      </c>
      <c r="N33" s="17">
        <f t="shared" si="7"/>
        <v>-5491804</v>
      </c>
      <c r="O33" s="22">
        <f t="shared" si="8"/>
        <v>0.56303883125742848</v>
      </c>
      <c r="Q33" s="32"/>
    </row>
    <row r="34" spans="1:17" outlineLevel="1" x14ac:dyDescent="0.25">
      <c r="A34" s="16" t="s">
        <v>46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f t="shared" si="9"/>
        <v>0</v>
      </c>
      <c r="J34" s="21">
        <f>+[1]FUN!U40</f>
        <v>152272289</v>
      </c>
      <c r="K34" s="21">
        <f>+[3]FUN!$F$40</f>
        <v>-12000000</v>
      </c>
      <c r="L34" s="20">
        <f t="shared" si="6"/>
        <v>140272289</v>
      </c>
      <c r="M34" s="17">
        <f>+[2]RES!Q40</f>
        <v>139572650</v>
      </c>
      <c r="N34" s="17">
        <f t="shared" si="7"/>
        <v>-699639</v>
      </c>
      <c r="O34" s="22">
        <f t="shared" si="8"/>
        <v>0.99501227929630487</v>
      </c>
      <c r="Q34" s="32"/>
    </row>
    <row r="35" spans="1:17" outlineLevel="1" x14ac:dyDescent="0.25">
      <c r="A35" s="16" t="s">
        <v>47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f t="shared" si="9"/>
        <v>0</v>
      </c>
      <c r="J35" s="21">
        <f>+[1]FUN!U41</f>
        <v>21758274</v>
      </c>
      <c r="K35" s="21"/>
      <c r="L35" s="20">
        <f t="shared" si="6"/>
        <v>21758274</v>
      </c>
      <c r="M35" s="17">
        <f>+[2]RES!Q41</f>
        <v>16296818</v>
      </c>
      <c r="N35" s="17">
        <f t="shared" si="7"/>
        <v>-5461456</v>
      </c>
      <c r="O35" s="22">
        <f t="shared" si="8"/>
        <v>0.74899406083405329</v>
      </c>
      <c r="Q35" s="32"/>
    </row>
    <row r="36" spans="1:17" x14ac:dyDescent="0.25">
      <c r="A36" s="24" t="s">
        <v>48</v>
      </c>
      <c r="B36" s="34">
        <f>SUM(B21:B35)</f>
        <v>14514129</v>
      </c>
      <c r="C36" s="34">
        <f t="shared" ref="C36:H36" si="10">SUM(C21:C35)</f>
        <v>25081581</v>
      </c>
      <c r="D36" s="34">
        <f t="shared" si="10"/>
        <v>17339560</v>
      </c>
      <c r="E36" s="34">
        <f t="shared" si="10"/>
        <v>6666999</v>
      </c>
      <c r="F36" s="34">
        <f t="shared" si="10"/>
        <v>24573910.000000004</v>
      </c>
      <c r="G36" s="34">
        <f t="shared" si="10"/>
        <v>242606479</v>
      </c>
      <c r="H36" s="34">
        <f t="shared" si="10"/>
        <v>14284485</v>
      </c>
      <c r="I36" s="34">
        <f t="shared" si="9"/>
        <v>345067143</v>
      </c>
      <c r="J36" s="15">
        <f>SUM(J21:J35)</f>
        <v>445140796</v>
      </c>
      <c r="K36" s="15">
        <f>SUM(K21:K35)</f>
        <v>31400000</v>
      </c>
      <c r="L36" s="15">
        <f t="shared" si="6"/>
        <v>821607939</v>
      </c>
      <c r="M36" s="18">
        <f>SUM(M21:M35)</f>
        <v>693087914</v>
      </c>
      <c r="N36" s="18">
        <f>+M36-L36</f>
        <v>-128520025</v>
      </c>
      <c r="O36" s="19">
        <f t="shared" si="8"/>
        <v>0.84357499617588283</v>
      </c>
      <c r="Q36" s="32"/>
    </row>
    <row r="37" spans="1:17" x14ac:dyDescent="0.25">
      <c r="A37" s="24" t="s">
        <v>49</v>
      </c>
      <c r="B37" s="34"/>
      <c r="C37" s="34"/>
      <c r="D37" s="34"/>
      <c r="E37" s="34"/>
      <c r="F37" s="34"/>
      <c r="G37" s="34"/>
      <c r="H37" s="34"/>
      <c r="I37" s="34"/>
      <c r="J37" s="15"/>
      <c r="K37" s="15"/>
      <c r="L37" s="15"/>
      <c r="M37" s="17"/>
      <c r="N37" s="17"/>
      <c r="O37" s="19"/>
    </row>
    <row r="38" spans="1:17" x14ac:dyDescent="0.25">
      <c r="A38" s="35" t="s">
        <v>50</v>
      </c>
      <c r="B38" s="25"/>
      <c r="C38" s="25"/>
      <c r="D38" s="25"/>
      <c r="E38" s="25"/>
      <c r="F38" s="25"/>
      <c r="G38" s="25"/>
      <c r="H38" s="25"/>
      <c r="I38" s="15"/>
      <c r="J38" s="25">
        <f>SUM(J39:J43)</f>
        <v>149667101</v>
      </c>
      <c r="K38" s="25"/>
      <c r="L38" s="25">
        <f t="shared" ref="L38:L50" si="11">SUM(I38:K38)</f>
        <v>149667101</v>
      </c>
      <c r="M38" s="18">
        <f>SUM(M39:M43)</f>
        <v>111424857</v>
      </c>
      <c r="N38" s="18">
        <f>+M38-L38</f>
        <v>-38242244</v>
      </c>
      <c r="O38" s="19">
        <f t="shared" ref="O38:O50" si="12">+M38/L38</f>
        <v>0.74448463460249692</v>
      </c>
    </row>
    <row r="39" spans="1:17" hidden="1" outlineLevel="1" x14ac:dyDescent="0.25">
      <c r="A39" s="36" t="s">
        <v>51</v>
      </c>
      <c r="B39" s="21"/>
      <c r="C39" s="21"/>
      <c r="D39" s="21"/>
      <c r="E39" s="21"/>
      <c r="F39" s="21"/>
      <c r="G39" s="21"/>
      <c r="H39" s="21"/>
      <c r="I39" s="20"/>
      <c r="J39" s="21">
        <f>+[1]FUN!U46</f>
        <v>67298794</v>
      </c>
      <c r="K39" s="21"/>
      <c r="L39" s="21">
        <f t="shared" si="11"/>
        <v>67298794</v>
      </c>
      <c r="M39" s="17">
        <f>+[2]FUN!AC46</f>
        <v>54171707</v>
      </c>
      <c r="N39" s="17">
        <f t="shared" ref="N39:N50" si="13">+M39-L39</f>
        <v>-13127087</v>
      </c>
      <c r="O39" s="22">
        <f t="shared" si="12"/>
        <v>0.80494320596591973</v>
      </c>
    </row>
    <row r="40" spans="1:17" hidden="1" outlineLevel="1" x14ac:dyDescent="0.25">
      <c r="A40" s="36" t="s">
        <v>52</v>
      </c>
      <c r="B40" s="21"/>
      <c r="C40" s="21"/>
      <c r="D40" s="21"/>
      <c r="E40" s="21"/>
      <c r="F40" s="21"/>
      <c r="G40" s="21"/>
      <c r="H40" s="21"/>
      <c r="I40" s="20"/>
      <c r="J40" s="21">
        <f>+[1]FUN!U47</f>
        <v>71345061</v>
      </c>
      <c r="K40" s="21"/>
      <c r="L40" s="21">
        <f t="shared" si="11"/>
        <v>71345061</v>
      </c>
      <c r="M40" s="17">
        <f>+[2]FUN!AC47</f>
        <v>50135820</v>
      </c>
      <c r="N40" s="17">
        <f t="shared" si="13"/>
        <v>-21209241</v>
      </c>
      <c r="O40" s="22">
        <f t="shared" si="12"/>
        <v>0.70272306586155975</v>
      </c>
    </row>
    <row r="41" spans="1:17" hidden="1" outlineLevel="1" x14ac:dyDescent="0.25">
      <c r="A41" s="36" t="s">
        <v>53</v>
      </c>
      <c r="B41" s="21"/>
      <c r="C41" s="21"/>
      <c r="D41" s="21"/>
      <c r="E41" s="21"/>
      <c r="F41" s="21"/>
      <c r="G41" s="21"/>
      <c r="H41" s="21"/>
      <c r="I41" s="20"/>
      <c r="J41" s="21">
        <f>+[1]FUN!U48</f>
        <v>896364</v>
      </c>
      <c r="K41" s="21"/>
      <c r="L41" s="21">
        <f t="shared" si="11"/>
        <v>896364</v>
      </c>
      <c r="M41" s="17">
        <f>+[2]FUN!AC48</f>
        <v>0</v>
      </c>
      <c r="N41" s="17">
        <f t="shared" si="13"/>
        <v>-896364</v>
      </c>
      <c r="O41" s="22">
        <f t="shared" si="12"/>
        <v>0</v>
      </c>
    </row>
    <row r="42" spans="1:17" hidden="1" outlineLevel="1" x14ac:dyDescent="0.25">
      <c r="A42" s="36" t="s">
        <v>54</v>
      </c>
      <c r="B42" s="21"/>
      <c r="C42" s="21"/>
      <c r="D42" s="21"/>
      <c r="E42" s="21"/>
      <c r="F42" s="21"/>
      <c r="G42" s="21"/>
      <c r="H42" s="21"/>
      <c r="I42" s="20"/>
      <c r="J42" s="21">
        <f>+[1]FUN!U49</f>
        <v>10126882</v>
      </c>
      <c r="K42" s="21"/>
      <c r="L42" s="21">
        <f t="shared" si="11"/>
        <v>10126882</v>
      </c>
      <c r="M42" s="17">
        <f>+[2]FUN!AC49</f>
        <v>8164281</v>
      </c>
      <c r="N42" s="17">
        <f t="shared" si="13"/>
        <v>-1962601</v>
      </c>
      <c r="O42" s="22">
        <f t="shared" si="12"/>
        <v>0.80619888727843381</v>
      </c>
    </row>
    <row r="43" spans="1:17" hidden="1" outlineLevel="1" x14ac:dyDescent="0.25">
      <c r="A43" s="36" t="s">
        <v>55</v>
      </c>
      <c r="B43" s="21"/>
      <c r="C43" s="21"/>
      <c r="D43" s="21"/>
      <c r="E43" s="21"/>
      <c r="F43" s="21"/>
      <c r="G43" s="21"/>
      <c r="H43" s="21"/>
      <c r="I43" s="20"/>
      <c r="J43" s="21">
        <f>+[1]FUN!U50</f>
        <v>0</v>
      </c>
      <c r="K43" s="21"/>
      <c r="L43" s="21">
        <f t="shared" si="11"/>
        <v>0</v>
      </c>
      <c r="M43" s="17">
        <f>+[2]FUN!AC50</f>
        <v>-1046951</v>
      </c>
      <c r="N43" s="17">
        <f t="shared" si="13"/>
        <v>-1046951</v>
      </c>
      <c r="O43" s="22">
        <v>0</v>
      </c>
    </row>
    <row r="44" spans="1:17" collapsed="1" x14ac:dyDescent="0.25">
      <c r="A44" s="35" t="s">
        <v>56</v>
      </c>
      <c r="B44" s="25"/>
      <c r="C44" s="25"/>
      <c r="D44" s="25"/>
      <c r="E44" s="25"/>
      <c r="F44" s="25"/>
      <c r="G44" s="25"/>
      <c r="H44" s="25"/>
      <c r="I44" s="15"/>
      <c r="J44" s="25">
        <f>SUM(J45:J49)</f>
        <v>221707664</v>
      </c>
      <c r="K44" s="25"/>
      <c r="L44" s="25">
        <f t="shared" si="11"/>
        <v>221707664</v>
      </c>
      <c r="M44" s="18">
        <f>SUM(M45:M49)</f>
        <v>207413119</v>
      </c>
      <c r="N44" s="18">
        <f t="shared" si="13"/>
        <v>-14294545</v>
      </c>
      <c r="O44" s="19">
        <f t="shared" si="12"/>
        <v>0.93552525545530985</v>
      </c>
    </row>
    <row r="45" spans="1:17" s="37" customFormat="1" ht="15" hidden="1" customHeight="1" outlineLevel="1" x14ac:dyDescent="0.25">
      <c r="A45" s="36" t="s">
        <v>57</v>
      </c>
      <c r="B45" s="21"/>
      <c r="C45" s="25"/>
      <c r="D45" s="25"/>
      <c r="E45" s="25"/>
      <c r="F45" s="25"/>
      <c r="G45" s="25"/>
      <c r="H45" s="25"/>
      <c r="I45" s="20"/>
      <c r="J45" s="21">
        <f>+[1]FUN!U52</f>
        <v>6250000</v>
      </c>
      <c r="K45" s="21"/>
      <c r="L45" s="21">
        <f t="shared" si="11"/>
        <v>6250000</v>
      </c>
      <c r="M45" s="17">
        <f>+[2]FUN!AC52</f>
        <v>5492240</v>
      </c>
      <c r="N45" s="17">
        <f t="shared" si="13"/>
        <v>-757760</v>
      </c>
      <c r="O45" s="22">
        <f t="shared" si="12"/>
        <v>0.87875840000000005</v>
      </c>
    </row>
    <row r="46" spans="1:17" s="37" customFormat="1" ht="15" hidden="1" customHeight="1" outlineLevel="1" x14ac:dyDescent="0.25">
      <c r="A46" s="36" t="s">
        <v>58</v>
      </c>
      <c r="B46" s="21"/>
      <c r="C46" s="25"/>
      <c r="D46" s="25"/>
      <c r="E46" s="25"/>
      <c r="F46" s="25"/>
      <c r="G46" s="25"/>
      <c r="H46" s="25"/>
      <c r="I46" s="20"/>
      <c r="J46" s="21">
        <f>+[1]FUN!U53</f>
        <v>150000000</v>
      </c>
      <c r="K46" s="21"/>
      <c r="L46" s="21">
        <f t="shared" si="11"/>
        <v>150000000</v>
      </c>
      <c r="M46" s="17">
        <f>+[2]FUN!AC53</f>
        <v>149312412</v>
      </c>
      <c r="N46" s="17">
        <f t="shared" si="13"/>
        <v>-687588</v>
      </c>
      <c r="O46" s="22">
        <f t="shared" si="12"/>
        <v>0.99541608000000004</v>
      </c>
    </row>
    <row r="47" spans="1:17" s="37" customFormat="1" ht="15" hidden="1" customHeight="1" outlineLevel="1" x14ac:dyDescent="0.25">
      <c r="A47" s="36" t="s">
        <v>59</v>
      </c>
      <c r="B47" s="21"/>
      <c r="C47" s="25"/>
      <c r="D47" s="25"/>
      <c r="E47" s="25"/>
      <c r="F47" s="25"/>
      <c r="G47" s="25"/>
      <c r="H47" s="25"/>
      <c r="I47" s="20"/>
      <c r="J47" s="21">
        <f>+[1]FUN!U54</f>
        <v>48539714</v>
      </c>
      <c r="K47" s="21"/>
      <c r="L47" s="21">
        <f t="shared" si="11"/>
        <v>48539714</v>
      </c>
      <c r="M47" s="17">
        <f>+[2]FUN!AC54</f>
        <v>43899899</v>
      </c>
      <c r="N47" s="17">
        <f t="shared" si="13"/>
        <v>-4639815</v>
      </c>
      <c r="O47" s="22">
        <f t="shared" si="12"/>
        <v>0.90441198314435889</v>
      </c>
    </row>
    <row r="48" spans="1:17" s="37" customFormat="1" ht="15" hidden="1" customHeight="1" outlineLevel="1" x14ac:dyDescent="0.25">
      <c r="A48" s="36" t="s">
        <v>60</v>
      </c>
      <c r="B48" s="21"/>
      <c r="C48" s="25"/>
      <c r="D48" s="25"/>
      <c r="E48" s="25"/>
      <c r="F48" s="25"/>
      <c r="G48" s="25"/>
      <c r="H48" s="25"/>
      <c r="I48" s="20"/>
      <c r="J48" s="21">
        <f>+[1]FUN!U55</f>
        <v>4717950</v>
      </c>
      <c r="K48" s="21"/>
      <c r="L48" s="21">
        <f t="shared" si="11"/>
        <v>4717950</v>
      </c>
      <c r="M48" s="17">
        <f>+[2]FUN!AC55</f>
        <v>0</v>
      </c>
      <c r="N48" s="17">
        <f t="shared" si="13"/>
        <v>-4717950</v>
      </c>
      <c r="O48" s="22">
        <f t="shared" si="12"/>
        <v>0</v>
      </c>
    </row>
    <row r="49" spans="1:16" s="37" customFormat="1" ht="15" hidden="1" customHeight="1" outlineLevel="1" x14ac:dyDescent="0.25">
      <c r="A49" s="36" t="s">
        <v>61</v>
      </c>
      <c r="B49" s="21"/>
      <c r="C49" s="25"/>
      <c r="D49" s="25"/>
      <c r="E49" s="25"/>
      <c r="F49" s="25"/>
      <c r="G49" s="25"/>
      <c r="H49" s="25"/>
      <c r="I49" s="20"/>
      <c r="J49" s="21">
        <f>+[1]FUN!U56</f>
        <v>12200000</v>
      </c>
      <c r="K49" s="21"/>
      <c r="L49" s="21">
        <f t="shared" si="11"/>
        <v>12200000</v>
      </c>
      <c r="M49" s="17">
        <f>+[2]FUN!AC56</f>
        <v>8708568</v>
      </c>
      <c r="N49" s="17">
        <f t="shared" si="13"/>
        <v>-3491432</v>
      </c>
      <c r="O49" s="22">
        <f t="shared" si="12"/>
        <v>0.71381704918032785</v>
      </c>
    </row>
    <row r="50" spans="1:16" collapsed="1" x14ac:dyDescent="0.25">
      <c r="A50" s="24" t="s">
        <v>62</v>
      </c>
      <c r="B50" s="38"/>
      <c r="C50" s="38"/>
      <c r="D50" s="38"/>
      <c r="E50" s="38"/>
      <c r="F50" s="38"/>
      <c r="G50" s="38"/>
      <c r="H50" s="38"/>
      <c r="I50" s="38"/>
      <c r="J50" s="25">
        <f>+J44+J38</f>
        <v>371374765</v>
      </c>
      <c r="K50" s="25"/>
      <c r="L50" s="25">
        <f t="shared" si="11"/>
        <v>371374765</v>
      </c>
      <c r="M50" s="18">
        <f>+M44+M38</f>
        <v>318837976</v>
      </c>
      <c r="N50" s="18">
        <f t="shared" si="13"/>
        <v>-52536789</v>
      </c>
      <c r="O50" s="39">
        <f t="shared" si="12"/>
        <v>0.85853430563597932</v>
      </c>
    </row>
    <row r="51" spans="1:16" x14ac:dyDescent="0.25">
      <c r="A51" s="24"/>
      <c r="B51" s="38"/>
      <c r="C51" s="38"/>
      <c r="D51" s="38"/>
      <c r="E51" s="38"/>
      <c r="F51" s="38"/>
      <c r="G51" s="38"/>
      <c r="H51" s="38"/>
      <c r="I51" s="38"/>
      <c r="J51" s="25"/>
      <c r="K51" s="25"/>
      <c r="L51" s="25"/>
      <c r="M51" s="17"/>
      <c r="N51" s="17"/>
      <c r="O51" s="39"/>
      <c r="P51" s="26"/>
    </row>
    <row r="52" spans="1:16" x14ac:dyDescent="0.25">
      <c r="A52" s="24" t="s">
        <v>63</v>
      </c>
      <c r="B52" s="38">
        <f>+B19+B36</f>
        <v>157139274</v>
      </c>
      <c r="C52" s="38">
        <f t="shared" ref="C52:H52" si="14">+C19+C36</f>
        <v>320926603</v>
      </c>
      <c r="D52" s="38">
        <f t="shared" si="14"/>
        <v>194938398</v>
      </c>
      <c r="E52" s="38">
        <f t="shared" si="14"/>
        <v>26084278</v>
      </c>
      <c r="F52" s="38">
        <f t="shared" si="14"/>
        <v>218087633</v>
      </c>
      <c r="G52" s="38">
        <f t="shared" si="14"/>
        <v>822124248</v>
      </c>
      <c r="H52" s="38">
        <f t="shared" si="14"/>
        <v>395068249</v>
      </c>
      <c r="I52" s="38">
        <f>SUM(B52:H52)</f>
        <v>2134368683</v>
      </c>
      <c r="J52" s="25">
        <f>+J50+J36+J19</f>
        <v>1269282545</v>
      </c>
      <c r="K52" s="25">
        <f>+K50+K36+K19</f>
        <v>31400000</v>
      </c>
      <c r="L52" s="25">
        <f>SUM(I52:K52)</f>
        <v>3435051228</v>
      </c>
      <c r="M52" s="18">
        <f>+M50+M36+M19</f>
        <v>2788934655</v>
      </c>
      <c r="N52" s="18">
        <f>+M52-L52</f>
        <v>-646116573</v>
      </c>
      <c r="O52" s="39">
        <f>+M52/L52</f>
        <v>0.81190482175830891</v>
      </c>
    </row>
    <row r="53" spans="1:16" x14ac:dyDescent="0.25">
      <c r="A53" s="24"/>
      <c r="B53" s="38"/>
      <c r="C53" s="38"/>
      <c r="D53" s="38"/>
      <c r="E53" s="38"/>
      <c r="F53" s="38"/>
      <c r="G53" s="38"/>
      <c r="H53" s="38"/>
      <c r="I53" s="38"/>
      <c r="J53" s="25"/>
      <c r="K53" s="25"/>
      <c r="L53" s="25"/>
      <c r="M53" s="17"/>
      <c r="N53" s="17"/>
      <c r="O53" s="39"/>
    </row>
    <row r="54" spans="1:16" x14ac:dyDescent="0.25">
      <c r="A54" s="24" t="s">
        <v>64</v>
      </c>
      <c r="B54" s="38">
        <f>+B56</f>
        <v>435956814</v>
      </c>
      <c r="C54" s="38">
        <f>+C122</f>
        <v>1420839253.056</v>
      </c>
      <c r="D54" s="38">
        <f>+D137</f>
        <v>1297503112</v>
      </c>
      <c r="E54" s="38">
        <f>+E175</f>
        <v>253932438</v>
      </c>
      <c r="F54" s="38">
        <f>+F65</f>
        <v>4750443756.6000004</v>
      </c>
      <c r="G54" s="38">
        <f>+G105</f>
        <v>4203399345</v>
      </c>
      <c r="H54" s="38">
        <f>+H184</f>
        <v>835973249</v>
      </c>
      <c r="I54" s="38">
        <f>SUM(B54:H54)</f>
        <v>13198047967.656</v>
      </c>
      <c r="J54" s="25"/>
      <c r="K54" s="25">
        <f>+K56+K137</f>
        <v>-280329948</v>
      </c>
      <c r="L54" s="25">
        <f>SUM(I54:K54)</f>
        <v>12917718019.656</v>
      </c>
      <c r="M54" s="18">
        <f>+M56+M65+M105+M122+M137+M175+M184</f>
        <v>11694328223</v>
      </c>
      <c r="N54" s="18">
        <f>+M54-L54</f>
        <v>-1223389796.6560001</v>
      </c>
      <c r="O54" s="39">
        <f>+M54/L54</f>
        <v>0.90529365985583121</v>
      </c>
    </row>
    <row r="55" spans="1:16" x14ac:dyDescent="0.25">
      <c r="A55" s="24"/>
      <c r="B55" s="34"/>
      <c r="C55" s="34"/>
      <c r="D55" s="34"/>
      <c r="E55" s="34"/>
      <c r="F55" s="34"/>
      <c r="G55" s="34"/>
      <c r="H55" s="34"/>
      <c r="I55" s="34"/>
      <c r="J55" s="15"/>
      <c r="K55" s="15"/>
      <c r="L55" s="15"/>
      <c r="M55" s="17"/>
      <c r="N55" s="17"/>
      <c r="O55" s="19"/>
    </row>
    <row r="56" spans="1:16" x14ac:dyDescent="0.25">
      <c r="A56" s="24" t="s">
        <v>65</v>
      </c>
      <c r="B56" s="25">
        <f>SUM(B60+B57)</f>
        <v>435956814</v>
      </c>
      <c r="C56" s="25"/>
      <c r="D56" s="25"/>
      <c r="E56" s="25"/>
      <c r="F56" s="25"/>
      <c r="G56" s="25"/>
      <c r="H56" s="25"/>
      <c r="I56" s="15">
        <f t="shared" ref="I56:I63" si="15">SUM(B56:H56)</f>
        <v>435956814</v>
      </c>
      <c r="J56" s="25"/>
      <c r="K56" s="25">
        <f>SUM(K60+K57)</f>
        <v>-129469948</v>
      </c>
      <c r="L56" s="25">
        <f t="shared" ref="L56:L63" si="16">SUM(I56:K56)</f>
        <v>306486866</v>
      </c>
      <c r="M56" s="18">
        <f>+M57+M60</f>
        <v>271168939</v>
      </c>
      <c r="N56" s="18">
        <f t="shared" ref="N56:N62" si="17">+M56-L56</f>
        <v>-35317927</v>
      </c>
      <c r="O56" s="19">
        <f t="shared" ref="O56:O63" si="18">+M56/L56</f>
        <v>0.8847652838735347</v>
      </c>
    </row>
    <row r="57" spans="1:16" s="37" customFormat="1" x14ac:dyDescent="0.25">
      <c r="A57" s="40" t="s">
        <v>66</v>
      </c>
      <c r="B57" s="25">
        <f>SUM(B58:B59)</f>
        <v>56645314</v>
      </c>
      <c r="C57" s="25"/>
      <c r="D57" s="25"/>
      <c r="E57" s="25"/>
      <c r="F57" s="25"/>
      <c r="G57" s="25"/>
      <c r="H57" s="25"/>
      <c r="I57" s="25">
        <f t="shared" si="15"/>
        <v>56645314</v>
      </c>
      <c r="J57" s="25"/>
      <c r="K57" s="25">
        <f>SUM(K58:K59)</f>
        <v>-5692688</v>
      </c>
      <c r="L57" s="25">
        <f t="shared" si="16"/>
        <v>50952626</v>
      </c>
      <c r="M57" s="18">
        <f>SUM(M58:M59)</f>
        <v>42571429</v>
      </c>
      <c r="N57" s="18">
        <f t="shared" si="17"/>
        <v>-8381197</v>
      </c>
      <c r="O57" s="19">
        <f t="shared" si="18"/>
        <v>0.83551000884625648</v>
      </c>
    </row>
    <row r="58" spans="1:16" s="37" customFormat="1" hidden="1" outlineLevel="1" x14ac:dyDescent="0.25">
      <c r="A58" s="36" t="s">
        <v>67</v>
      </c>
      <c r="B58" s="21">
        <f>+[1]ECO!U38</f>
        <v>33280037</v>
      </c>
      <c r="C58" s="25"/>
      <c r="D58" s="25"/>
      <c r="E58" s="25"/>
      <c r="F58" s="25"/>
      <c r="G58" s="25"/>
      <c r="H58" s="25"/>
      <c r="I58" s="20">
        <f t="shared" si="15"/>
        <v>33280037</v>
      </c>
      <c r="J58" s="25"/>
      <c r="K58" s="21">
        <v>-5692688</v>
      </c>
      <c r="L58" s="21">
        <f t="shared" si="16"/>
        <v>27587349</v>
      </c>
      <c r="M58" s="17">
        <f>+[2]ECO!AC38</f>
        <v>21862858</v>
      </c>
      <c r="N58" s="17">
        <f t="shared" si="17"/>
        <v>-5724491</v>
      </c>
      <c r="O58" s="22">
        <f t="shared" si="18"/>
        <v>0.7924957921835839</v>
      </c>
    </row>
    <row r="59" spans="1:16" s="37" customFormat="1" hidden="1" outlineLevel="1" x14ac:dyDescent="0.25">
      <c r="A59" s="36" t="s">
        <v>68</v>
      </c>
      <c r="B59" s="21">
        <f>+[1]ECO!U39</f>
        <v>23365277</v>
      </c>
      <c r="C59" s="25"/>
      <c r="D59" s="25"/>
      <c r="E59" s="25"/>
      <c r="F59" s="25"/>
      <c r="G59" s="25"/>
      <c r="H59" s="25"/>
      <c r="I59" s="20">
        <f t="shared" si="15"/>
        <v>23365277</v>
      </c>
      <c r="J59" s="25"/>
      <c r="K59" s="25"/>
      <c r="L59" s="21">
        <f t="shared" si="16"/>
        <v>23365277</v>
      </c>
      <c r="M59" s="17">
        <f>+[2]ECO!AC39</f>
        <v>20708571</v>
      </c>
      <c r="N59" s="17">
        <f t="shared" si="17"/>
        <v>-2656706</v>
      </c>
      <c r="O59" s="22">
        <f t="shared" si="18"/>
        <v>0.88629683268895121</v>
      </c>
    </row>
    <row r="60" spans="1:16" s="37" customFormat="1" collapsed="1" x14ac:dyDescent="0.25">
      <c r="A60" s="35" t="s">
        <v>69</v>
      </c>
      <c r="B60" s="25">
        <f>SUM(B61:B63)</f>
        <v>379311500</v>
      </c>
      <c r="C60" s="25"/>
      <c r="D60" s="25"/>
      <c r="E60" s="25"/>
      <c r="F60" s="25"/>
      <c r="G60" s="25"/>
      <c r="H60" s="25"/>
      <c r="I60" s="15">
        <f t="shared" si="15"/>
        <v>379311500</v>
      </c>
      <c r="J60" s="25"/>
      <c r="K60" s="25">
        <f>SUM(K61:K63)</f>
        <v>-123777260</v>
      </c>
      <c r="L60" s="25">
        <f t="shared" si="16"/>
        <v>255534240</v>
      </c>
      <c r="M60" s="18">
        <f>SUM(M61:M63)</f>
        <v>228597510</v>
      </c>
      <c r="N60" s="18">
        <f t="shared" si="17"/>
        <v>-26936730</v>
      </c>
      <c r="O60" s="19">
        <f t="shared" si="18"/>
        <v>0.89458661195462497</v>
      </c>
    </row>
    <row r="61" spans="1:16" s="37" customFormat="1" hidden="1" outlineLevel="1" x14ac:dyDescent="0.25">
      <c r="A61" s="36" t="s">
        <v>70</v>
      </c>
      <c r="B61" s="21">
        <f>+[1]ECO!U41+5000000</f>
        <v>95718111</v>
      </c>
      <c r="C61" s="25"/>
      <c r="D61" s="25"/>
      <c r="E61" s="25"/>
      <c r="F61" s="25"/>
      <c r="G61" s="25"/>
      <c r="H61" s="25"/>
      <c r="I61" s="20">
        <f t="shared" si="15"/>
        <v>95718111</v>
      </c>
      <c r="J61" s="25"/>
      <c r="K61" s="21">
        <v>-20187691</v>
      </c>
      <c r="L61" s="21">
        <f t="shared" si="16"/>
        <v>75530420</v>
      </c>
      <c r="M61" s="17">
        <f>+[2]ECO!AC41</f>
        <v>75351748</v>
      </c>
      <c r="N61" s="17">
        <f t="shared" si="17"/>
        <v>-178672</v>
      </c>
      <c r="O61" s="33">
        <f t="shared" si="18"/>
        <v>0.99763443656211626</v>
      </c>
    </row>
    <row r="62" spans="1:16" s="37" customFormat="1" hidden="1" outlineLevel="1" x14ac:dyDescent="0.25">
      <c r="A62" s="36" t="s">
        <v>71</v>
      </c>
      <c r="B62" s="21">
        <f>+[1]ECO!U42</f>
        <v>161992159</v>
      </c>
      <c r="C62" s="25"/>
      <c r="D62" s="25"/>
      <c r="E62" s="25"/>
      <c r="F62" s="25"/>
      <c r="G62" s="25"/>
      <c r="H62" s="25"/>
      <c r="I62" s="20">
        <f t="shared" si="15"/>
        <v>161992159</v>
      </c>
      <c r="J62" s="25"/>
      <c r="K62" s="21">
        <v>-8941839</v>
      </c>
      <c r="L62" s="21">
        <f t="shared" si="16"/>
        <v>153050320</v>
      </c>
      <c r="M62" s="17">
        <f>+[2]ECO!AC42</f>
        <v>141922868</v>
      </c>
      <c r="N62" s="17">
        <f t="shared" si="17"/>
        <v>-11127452</v>
      </c>
      <c r="O62" s="22">
        <f t="shared" si="18"/>
        <v>0.92729546726854284</v>
      </c>
    </row>
    <row r="63" spans="1:16" s="37" customFormat="1" hidden="1" outlineLevel="1" x14ac:dyDescent="0.25">
      <c r="A63" s="36" t="s">
        <v>72</v>
      </c>
      <c r="B63" s="21">
        <f>+[1]ECO!U43-5000000</f>
        <v>121601230</v>
      </c>
      <c r="C63" s="25"/>
      <c r="D63" s="25"/>
      <c r="E63" s="25"/>
      <c r="F63" s="25"/>
      <c r="G63" s="25"/>
      <c r="H63" s="25"/>
      <c r="I63" s="20">
        <f t="shared" si="15"/>
        <v>121601230</v>
      </c>
      <c r="J63" s="25"/>
      <c r="K63" s="21">
        <v>-94647730</v>
      </c>
      <c r="L63" s="21">
        <f t="shared" si="16"/>
        <v>26953500</v>
      </c>
      <c r="M63" s="17">
        <f>+[2]ECO!AC43</f>
        <v>11322894</v>
      </c>
      <c r="N63" s="17">
        <f>+M63-L63</f>
        <v>-15630606</v>
      </c>
      <c r="O63" s="22">
        <f t="shared" si="18"/>
        <v>0.42008993266180644</v>
      </c>
    </row>
    <row r="64" spans="1:16" s="37" customFormat="1" collapsed="1" x14ac:dyDescent="0.25">
      <c r="A64" s="36"/>
      <c r="B64" s="21"/>
      <c r="C64" s="25"/>
      <c r="D64" s="25"/>
      <c r="E64" s="25"/>
      <c r="F64" s="25"/>
      <c r="G64" s="25"/>
      <c r="H64" s="25"/>
      <c r="I64" s="20"/>
      <c r="J64" s="25"/>
      <c r="K64" s="25"/>
      <c r="L64" s="21"/>
      <c r="M64" s="17"/>
      <c r="N64" s="17"/>
      <c r="O64" s="22"/>
    </row>
    <row r="65" spans="1:15" s="37" customFormat="1" x14ac:dyDescent="0.25">
      <c r="A65" s="35" t="s">
        <v>73</v>
      </c>
      <c r="B65" s="21"/>
      <c r="C65" s="25"/>
      <c r="D65" s="25"/>
      <c r="E65" s="25"/>
      <c r="F65" s="25">
        <f>+F66+F73+F83+F94+F98</f>
        <v>4750443756.6000004</v>
      </c>
      <c r="G65" s="25"/>
      <c r="H65" s="25"/>
      <c r="I65" s="25">
        <f t="shared" ref="I65:I103" si="19">SUM(B65:H65)</f>
        <v>4750443756.6000004</v>
      </c>
      <c r="J65" s="25"/>
      <c r="K65" s="25"/>
      <c r="L65" s="25">
        <f t="shared" ref="L65:L103" si="20">SUM(I65:K65)</f>
        <v>4750443756.6000004</v>
      </c>
      <c r="M65" s="18">
        <f>+M66+M73+M83+M94+M98</f>
        <v>4345046568</v>
      </c>
      <c r="N65" s="18">
        <f t="shared" ref="N65:N113" si="21">+M65-L65</f>
        <v>-405397188.60000038</v>
      </c>
      <c r="O65" s="19">
        <f t="shared" ref="O65:O103" si="22">+M65/L65</f>
        <v>0.91466119601210638</v>
      </c>
    </row>
    <row r="66" spans="1:15" s="37" customFormat="1" x14ac:dyDescent="0.25">
      <c r="A66" s="35" t="s">
        <v>74</v>
      </c>
      <c r="B66" s="21"/>
      <c r="C66" s="25"/>
      <c r="D66" s="25"/>
      <c r="E66" s="25"/>
      <c r="F66" s="25">
        <f>SUM(F67:F72)</f>
        <v>344335061</v>
      </c>
      <c r="G66" s="25"/>
      <c r="H66" s="25"/>
      <c r="I66" s="25">
        <f t="shared" si="19"/>
        <v>344335061</v>
      </c>
      <c r="J66" s="25"/>
      <c r="K66" s="25"/>
      <c r="L66" s="25">
        <f t="shared" si="20"/>
        <v>344335061</v>
      </c>
      <c r="M66" s="18">
        <f>SUM(M67:M72)</f>
        <v>289917328</v>
      </c>
      <c r="N66" s="18">
        <f t="shared" si="21"/>
        <v>-54417733</v>
      </c>
      <c r="O66" s="19">
        <f t="shared" si="22"/>
        <v>0.84196284618254424</v>
      </c>
    </row>
    <row r="67" spans="1:15" s="37" customFormat="1" hidden="1" outlineLevel="1" x14ac:dyDescent="0.25">
      <c r="A67" s="36" t="s">
        <v>75</v>
      </c>
      <c r="B67" s="21"/>
      <c r="C67" s="25"/>
      <c r="D67" s="25"/>
      <c r="E67" s="25"/>
      <c r="F67" s="21">
        <f>+[1]MER!U38</f>
        <v>93369096</v>
      </c>
      <c r="G67" s="25"/>
      <c r="H67" s="21"/>
      <c r="I67" s="20">
        <f t="shared" si="19"/>
        <v>93369096</v>
      </c>
      <c r="J67" s="25"/>
      <c r="K67" s="25"/>
      <c r="L67" s="21">
        <f t="shared" si="20"/>
        <v>93369096</v>
      </c>
      <c r="M67" s="17">
        <f>+[2]MER!AC38</f>
        <v>93192328</v>
      </c>
      <c r="N67" s="17">
        <f t="shared" si="21"/>
        <v>-176768</v>
      </c>
      <c r="O67" s="22">
        <f t="shared" si="22"/>
        <v>0.99810678256968455</v>
      </c>
    </row>
    <row r="68" spans="1:15" s="37" customFormat="1" hidden="1" outlineLevel="1" x14ac:dyDescent="0.25">
      <c r="A68" s="36" t="s">
        <v>76</v>
      </c>
      <c r="B68" s="21"/>
      <c r="C68" s="25"/>
      <c r="D68" s="25"/>
      <c r="E68" s="25"/>
      <c r="F68" s="21">
        <f>+[1]MER!U39</f>
        <v>119565852</v>
      </c>
      <c r="G68" s="25"/>
      <c r="H68" s="21"/>
      <c r="I68" s="20">
        <f t="shared" si="19"/>
        <v>119565852</v>
      </c>
      <c r="J68" s="25"/>
      <c r="K68" s="25"/>
      <c r="L68" s="21">
        <f t="shared" si="20"/>
        <v>119565852</v>
      </c>
      <c r="M68" s="17">
        <f>+[2]MER!AC39</f>
        <v>109975000</v>
      </c>
      <c r="N68" s="17">
        <f t="shared" si="21"/>
        <v>-9590852</v>
      </c>
      <c r="O68" s="22">
        <f t="shared" si="22"/>
        <v>0.91978602720114433</v>
      </c>
    </row>
    <row r="69" spans="1:15" s="37" customFormat="1" hidden="1" outlineLevel="1" x14ac:dyDescent="0.25">
      <c r="A69" s="36" t="s">
        <v>77</v>
      </c>
      <c r="B69" s="21"/>
      <c r="C69" s="25"/>
      <c r="D69" s="25"/>
      <c r="E69" s="25"/>
      <c r="F69" s="21">
        <f>+[1]MER!U40</f>
        <v>26131034</v>
      </c>
      <c r="G69" s="25"/>
      <c r="H69" s="21"/>
      <c r="I69" s="20">
        <f t="shared" si="19"/>
        <v>26131034</v>
      </c>
      <c r="J69" s="25"/>
      <c r="K69" s="25"/>
      <c r="L69" s="21">
        <f t="shared" si="20"/>
        <v>26131034</v>
      </c>
      <c r="M69" s="17">
        <f>+[2]MER!AC40</f>
        <v>9000000</v>
      </c>
      <c r="N69" s="17">
        <f t="shared" si="21"/>
        <v>-17131034</v>
      </c>
      <c r="O69" s="22">
        <f t="shared" si="22"/>
        <v>0.34441805861949437</v>
      </c>
    </row>
    <row r="70" spans="1:15" s="37" customFormat="1" hidden="1" outlineLevel="1" x14ac:dyDescent="0.25">
      <c r="A70" s="36" t="s">
        <v>78</v>
      </c>
      <c r="B70" s="21"/>
      <c r="C70" s="25"/>
      <c r="D70" s="25"/>
      <c r="E70" s="25"/>
      <c r="F70" s="21">
        <f>+[1]MER!U41</f>
        <v>0</v>
      </c>
      <c r="G70" s="25"/>
      <c r="H70" s="21"/>
      <c r="I70" s="20">
        <f t="shared" si="19"/>
        <v>0</v>
      </c>
      <c r="J70" s="25"/>
      <c r="K70" s="25"/>
      <c r="L70" s="21">
        <f t="shared" si="20"/>
        <v>0</v>
      </c>
      <c r="M70" s="17">
        <f>+[2]MER!AC41</f>
        <v>0</v>
      </c>
      <c r="N70" s="17">
        <f t="shared" si="21"/>
        <v>0</v>
      </c>
      <c r="O70" s="22">
        <v>0</v>
      </c>
    </row>
    <row r="71" spans="1:15" s="37" customFormat="1" hidden="1" outlineLevel="1" x14ac:dyDescent="0.25">
      <c r="A71" s="36" t="s">
        <v>79</v>
      </c>
      <c r="B71" s="21"/>
      <c r="C71" s="25"/>
      <c r="D71" s="25"/>
      <c r="E71" s="25"/>
      <c r="F71" s="21">
        <f>+[1]MER!U42</f>
        <v>21133831</v>
      </c>
      <c r="G71" s="25"/>
      <c r="H71" s="21"/>
      <c r="I71" s="20">
        <f t="shared" si="19"/>
        <v>21133831</v>
      </c>
      <c r="J71" s="25"/>
      <c r="K71" s="25"/>
      <c r="L71" s="21">
        <f t="shared" si="20"/>
        <v>21133831</v>
      </c>
      <c r="M71" s="17">
        <f>+[2]MER!AC42</f>
        <v>0</v>
      </c>
      <c r="N71" s="17">
        <f t="shared" si="21"/>
        <v>-21133831</v>
      </c>
      <c r="O71" s="22">
        <f t="shared" si="22"/>
        <v>0</v>
      </c>
    </row>
    <row r="72" spans="1:15" s="37" customFormat="1" hidden="1" outlineLevel="1" x14ac:dyDescent="0.25">
      <c r="A72" s="36" t="s">
        <v>80</v>
      </c>
      <c r="B72" s="21"/>
      <c r="C72" s="25"/>
      <c r="D72" s="25"/>
      <c r="E72" s="25"/>
      <c r="F72" s="21">
        <f>+[1]MER!U43</f>
        <v>84135248</v>
      </c>
      <c r="G72" s="25"/>
      <c r="H72" s="21"/>
      <c r="I72" s="20">
        <f t="shared" si="19"/>
        <v>84135248</v>
      </c>
      <c r="J72" s="25"/>
      <c r="K72" s="25"/>
      <c r="L72" s="21">
        <f t="shared" si="20"/>
        <v>84135248</v>
      </c>
      <c r="M72" s="17">
        <f>+[2]MER!AC43</f>
        <v>77750000</v>
      </c>
      <c r="N72" s="17">
        <f t="shared" si="21"/>
        <v>-6385248</v>
      </c>
      <c r="O72" s="22">
        <f t="shared" si="22"/>
        <v>0.92410733727200756</v>
      </c>
    </row>
    <row r="73" spans="1:15" s="37" customFormat="1" collapsed="1" x14ac:dyDescent="0.25">
      <c r="A73" s="35" t="s">
        <v>81</v>
      </c>
      <c r="B73" s="21"/>
      <c r="C73" s="25"/>
      <c r="D73" s="25"/>
      <c r="E73" s="25"/>
      <c r="F73" s="25">
        <f>SUM(F74:F82)</f>
        <v>3381784718</v>
      </c>
      <c r="G73" s="25"/>
      <c r="H73" s="25"/>
      <c r="I73" s="25">
        <f t="shared" si="19"/>
        <v>3381784718</v>
      </c>
      <c r="J73" s="25"/>
      <c r="K73" s="25"/>
      <c r="L73" s="25">
        <f t="shared" si="20"/>
        <v>3381784718</v>
      </c>
      <c r="M73" s="18">
        <f>SUM(M74:M82)</f>
        <v>3268835157</v>
      </c>
      <c r="N73" s="18">
        <f t="shared" si="21"/>
        <v>-112949561</v>
      </c>
      <c r="O73" s="19">
        <f t="shared" si="22"/>
        <v>0.96660060576925233</v>
      </c>
    </row>
    <row r="74" spans="1:15" s="37" customFormat="1" hidden="1" outlineLevel="1" x14ac:dyDescent="0.25">
      <c r="A74" s="36" t="s">
        <v>82</v>
      </c>
      <c r="B74" s="21"/>
      <c r="C74" s="25"/>
      <c r="D74" s="25"/>
      <c r="E74" s="25"/>
      <c r="F74" s="21">
        <f>+[1]MER!U45</f>
        <v>2704833697</v>
      </c>
      <c r="G74" s="25"/>
      <c r="H74" s="21"/>
      <c r="I74" s="20">
        <f t="shared" si="19"/>
        <v>2704833697</v>
      </c>
      <c r="J74" s="25"/>
      <c r="K74" s="25"/>
      <c r="L74" s="21">
        <f t="shared" si="20"/>
        <v>2704833697</v>
      </c>
      <c r="M74" s="17">
        <f>+[2]MER!AC45</f>
        <v>2612218214</v>
      </c>
      <c r="N74" s="17">
        <f t="shared" si="21"/>
        <v>-92615483</v>
      </c>
      <c r="O74" s="22">
        <f t="shared" si="22"/>
        <v>0.96575926900691822</v>
      </c>
    </row>
    <row r="75" spans="1:15" s="37" customFormat="1" hidden="1" outlineLevel="1" x14ac:dyDescent="0.25">
      <c r="A75" s="36" t="s">
        <v>83</v>
      </c>
      <c r="B75" s="21"/>
      <c r="C75" s="25"/>
      <c r="D75" s="25"/>
      <c r="E75" s="25"/>
      <c r="F75" s="21">
        <f>+[1]MER!U46</f>
        <v>0</v>
      </c>
      <c r="G75" s="25"/>
      <c r="H75" s="21"/>
      <c r="I75" s="20">
        <f t="shared" si="19"/>
        <v>0</v>
      </c>
      <c r="J75" s="25"/>
      <c r="K75" s="25"/>
      <c r="L75" s="21">
        <f t="shared" si="20"/>
        <v>0</v>
      </c>
      <c r="M75" s="17">
        <f>+[2]MER!AC46</f>
        <v>0</v>
      </c>
      <c r="N75" s="17">
        <f t="shared" si="21"/>
        <v>0</v>
      </c>
      <c r="O75" s="22">
        <v>0</v>
      </c>
    </row>
    <row r="76" spans="1:15" s="37" customFormat="1" hidden="1" outlineLevel="1" x14ac:dyDescent="0.25">
      <c r="A76" s="36" t="s">
        <v>84</v>
      </c>
      <c r="B76" s="21"/>
      <c r="C76" s="25"/>
      <c r="D76" s="25"/>
      <c r="E76" s="25"/>
      <c r="F76" s="21">
        <f>+[1]MER!U47</f>
        <v>27775969</v>
      </c>
      <c r="G76" s="25"/>
      <c r="H76" s="21"/>
      <c r="I76" s="20">
        <f t="shared" si="19"/>
        <v>27775969</v>
      </c>
      <c r="J76" s="25"/>
      <c r="K76" s="25"/>
      <c r="L76" s="21">
        <f t="shared" si="20"/>
        <v>27775969</v>
      </c>
      <c r="M76" s="17">
        <f>+[2]MER!AC47</f>
        <v>15999921</v>
      </c>
      <c r="N76" s="17">
        <f t="shared" si="21"/>
        <v>-11776048</v>
      </c>
      <c r="O76" s="22">
        <f t="shared" si="22"/>
        <v>0.57603466507325096</v>
      </c>
    </row>
    <row r="77" spans="1:15" s="37" customFormat="1" hidden="1" outlineLevel="1" x14ac:dyDescent="0.25">
      <c r="A77" s="36" t="s">
        <v>85</v>
      </c>
      <c r="B77" s="21"/>
      <c r="C77" s="25"/>
      <c r="D77" s="25"/>
      <c r="E77" s="25"/>
      <c r="F77" s="21">
        <f>+[1]MER!U48</f>
        <v>2796150</v>
      </c>
      <c r="G77" s="25"/>
      <c r="H77" s="21"/>
      <c r="I77" s="20">
        <f t="shared" si="19"/>
        <v>2796150</v>
      </c>
      <c r="J77" s="25"/>
      <c r="K77" s="25"/>
      <c r="L77" s="21">
        <f t="shared" si="20"/>
        <v>2796150</v>
      </c>
      <c r="M77" s="17">
        <f>+[2]MER!AC48</f>
        <v>2796150</v>
      </c>
      <c r="N77" s="17">
        <f t="shared" si="21"/>
        <v>0</v>
      </c>
      <c r="O77" s="22">
        <f t="shared" si="22"/>
        <v>1</v>
      </c>
    </row>
    <row r="78" spans="1:15" s="37" customFormat="1" hidden="1" outlineLevel="1" x14ac:dyDescent="0.25">
      <c r="A78" s="36" t="s">
        <v>86</v>
      </c>
      <c r="B78" s="21"/>
      <c r="C78" s="25"/>
      <c r="D78" s="25"/>
      <c r="E78" s="25"/>
      <c r="F78" s="21">
        <f>+[1]MER!U49</f>
        <v>10000000</v>
      </c>
      <c r="G78" s="25"/>
      <c r="H78" s="21"/>
      <c r="I78" s="20">
        <f t="shared" si="19"/>
        <v>10000000</v>
      </c>
      <c r="J78" s="25"/>
      <c r="K78" s="25"/>
      <c r="L78" s="21">
        <f t="shared" si="20"/>
        <v>10000000</v>
      </c>
      <c r="M78" s="17">
        <f>+[2]MER!AC49</f>
        <v>10000000</v>
      </c>
      <c r="N78" s="17">
        <f t="shared" si="21"/>
        <v>0</v>
      </c>
      <c r="O78" s="22">
        <f t="shared" si="22"/>
        <v>1</v>
      </c>
    </row>
    <row r="79" spans="1:15" s="37" customFormat="1" hidden="1" outlineLevel="1" x14ac:dyDescent="0.25">
      <c r="A79" s="36" t="s">
        <v>87</v>
      </c>
      <c r="B79" s="21"/>
      <c r="C79" s="25"/>
      <c r="D79" s="25"/>
      <c r="E79" s="25"/>
      <c r="F79" s="21">
        <f>+[1]MER!U50</f>
        <v>124104528</v>
      </c>
      <c r="G79" s="25"/>
      <c r="H79" s="21"/>
      <c r="I79" s="20">
        <f t="shared" si="19"/>
        <v>124104528</v>
      </c>
      <c r="J79" s="25"/>
      <c r="K79" s="25"/>
      <c r="L79" s="21">
        <f t="shared" si="20"/>
        <v>124104528</v>
      </c>
      <c r="M79" s="17">
        <f>+[2]MER!AC50</f>
        <v>124104530</v>
      </c>
      <c r="N79" s="17">
        <f t="shared" si="21"/>
        <v>2</v>
      </c>
      <c r="O79" s="22">
        <f t="shared" si="22"/>
        <v>1.0000000161154474</v>
      </c>
    </row>
    <row r="80" spans="1:15" s="37" customFormat="1" hidden="1" outlineLevel="1" x14ac:dyDescent="0.25">
      <c r="A80" s="36" t="s">
        <v>88</v>
      </c>
      <c r="B80" s="21"/>
      <c r="C80" s="25"/>
      <c r="D80" s="25"/>
      <c r="E80" s="25"/>
      <c r="F80" s="21">
        <f>+[1]MER!U51</f>
        <v>30707005</v>
      </c>
      <c r="G80" s="25"/>
      <c r="H80" s="21"/>
      <c r="I80" s="20">
        <f t="shared" si="19"/>
        <v>30707005</v>
      </c>
      <c r="J80" s="25"/>
      <c r="K80" s="25"/>
      <c r="L80" s="21">
        <f t="shared" si="20"/>
        <v>30707005</v>
      </c>
      <c r="M80" s="17">
        <f>+[2]MER!AC51</f>
        <v>29546605</v>
      </c>
      <c r="N80" s="17">
        <f t="shared" si="21"/>
        <v>-1160400</v>
      </c>
      <c r="O80" s="22">
        <f t="shared" si="22"/>
        <v>0.96221057703283008</v>
      </c>
    </row>
    <row r="81" spans="1:15" s="37" customFormat="1" hidden="1" outlineLevel="1" x14ac:dyDescent="0.25">
      <c r="A81" s="36" t="s">
        <v>89</v>
      </c>
      <c r="B81" s="21"/>
      <c r="C81" s="25"/>
      <c r="D81" s="25"/>
      <c r="E81" s="25"/>
      <c r="F81" s="21">
        <f>+[1]MER!U52</f>
        <v>194214525</v>
      </c>
      <c r="G81" s="25"/>
      <c r="H81" s="21"/>
      <c r="I81" s="20">
        <f t="shared" si="19"/>
        <v>194214525</v>
      </c>
      <c r="J81" s="25"/>
      <c r="K81" s="25"/>
      <c r="L81" s="21">
        <f t="shared" si="20"/>
        <v>194214525</v>
      </c>
      <c r="M81" s="17">
        <f>+[2]MER!AC52</f>
        <v>194214525</v>
      </c>
      <c r="N81" s="17">
        <f t="shared" si="21"/>
        <v>0</v>
      </c>
      <c r="O81" s="22">
        <f t="shared" si="22"/>
        <v>1</v>
      </c>
    </row>
    <row r="82" spans="1:15" s="37" customFormat="1" hidden="1" outlineLevel="1" x14ac:dyDescent="0.25">
      <c r="A82" s="36" t="s">
        <v>90</v>
      </c>
      <c r="B82" s="21"/>
      <c r="C82" s="25"/>
      <c r="D82" s="25"/>
      <c r="E82" s="25"/>
      <c r="F82" s="21">
        <f>+[1]MER!U53</f>
        <v>287352844</v>
      </c>
      <c r="G82" s="25"/>
      <c r="H82" s="21"/>
      <c r="I82" s="20">
        <f t="shared" si="19"/>
        <v>287352844</v>
      </c>
      <c r="J82" s="25"/>
      <c r="K82" s="25"/>
      <c r="L82" s="21">
        <f t="shared" si="20"/>
        <v>287352844</v>
      </c>
      <c r="M82" s="17">
        <f>+[2]MER!AC53</f>
        <v>279955212</v>
      </c>
      <c r="N82" s="17">
        <f t="shared" si="21"/>
        <v>-7397632</v>
      </c>
      <c r="O82" s="22">
        <f t="shared" si="22"/>
        <v>0.97425592906259872</v>
      </c>
    </row>
    <row r="83" spans="1:15" s="37" customFormat="1" collapsed="1" x14ac:dyDescent="0.25">
      <c r="A83" s="35" t="s">
        <v>91</v>
      </c>
      <c r="B83" s="21"/>
      <c r="C83" s="25"/>
      <c r="D83" s="25"/>
      <c r="E83" s="25"/>
      <c r="F83" s="25">
        <f>SUM(F84:F93)</f>
        <v>773091987</v>
      </c>
      <c r="G83" s="25"/>
      <c r="H83" s="25"/>
      <c r="I83" s="15">
        <f t="shared" si="19"/>
        <v>773091987</v>
      </c>
      <c r="J83" s="25"/>
      <c r="K83" s="25"/>
      <c r="L83" s="25">
        <f t="shared" si="20"/>
        <v>773091987</v>
      </c>
      <c r="M83" s="18">
        <f>SUM(M84:M93)</f>
        <v>661917996</v>
      </c>
      <c r="N83" s="18">
        <f t="shared" si="21"/>
        <v>-111173991</v>
      </c>
      <c r="O83" s="19">
        <f t="shared" si="22"/>
        <v>0.85619564958703942</v>
      </c>
    </row>
    <row r="84" spans="1:15" s="37" customFormat="1" hidden="1" outlineLevel="1" x14ac:dyDescent="0.25">
      <c r="A84" s="36" t="s">
        <v>92</v>
      </c>
      <c r="B84" s="21"/>
      <c r="C84" s="25"/>
      <c r="D84" s="25"/>
      <c r="E84" s="25"/>
      <c r="F84" s="21">
        <f>+[1]MER!U55</f>
        <v>185913026</v>
      </c>
      <c r="G84" s="25"/>
      <c r="H84" s="21"/>
      <c r="I84" s="20">
        <f t="shared" si="19"/>
        <v>185913026</v>
      </c>
      <c r="J84" s="25"/>
      <c r="K84" s="25"/>
      <c r="L84" s="21">
        <f t="shared" si="20"/>
        <v>185913026</v>
      </c>
      <c r="M84" s="17">
        <f>+[2]MER!AC55</f>
        <v>166087545</v>
      </c>
      <c r="N84" s="17">
        <f t="shared" si="21"/>
        <v>-19825481</v>
      </c>
      <c r="O84" s="22">
        <f t="shared" si="22"/>
        <v>0.89336152809432512</v>
      </c>
    </row>
    <row r="85" spans="1:15" s="37" customFormat="1" hidden="1" outlineLevel="1" x14ac:dyDescent="0.25">
      <c r="A85" s="36" t="s">
        <v>93</v>
      </c>
      <c r="B85" s="21"/>
      <c r="C85" s="25"/>
      <c r="D85" s="25"/>
      <c r="E85" s="25"/>
      <c r="F85" s="21">
        <f>+[1]MER!U56</f>
        <v>36674545</v>
      </c>
      <c r="G85" s="25"/>
      <c r="H85" s="21"/>
      <c r="I85" s="20">
        <f t="shared" si="19"/>
        <v>36674545</v>
      </c>
      <c r="J85" s="25"/>
      <c r="K85" s="25"/>
      <c r="L85" s="21">
        <f t="shared" si="20"/>
        <v>36674545</v>
      </c>
      <c r="M85" s="17">
        <f>+[2]MER!AC56</f>
        <v>29665554</v>
      </c>
      <c r="N85" s="17">
        <f t="shared" si="21"/>
        <v>-7008991</v>
      </c>
      <c r="O85" s="22">
        <f t="shared" si="22"/>
        <v>0.80888676328499776</v>
      </c>
    </row>
    <row r="86" spans="1:15" s="37" customFormat="1" hidden="1" outlineLevel="1" x14ac:dyDescent="0.25">
      <c r="A86" s="36" t="s">
        <v>94</v>
      </c>
      <c r="B86" s="21"/>
      <c r="C86" s="25"/>
      <c r="D86" s="25"/>
      <c r="E86" s="25"/>
      <c r="F86" s="21">
        <f>+[1]MER!U57</f>
        <v>8413324</v>
      </c>
      <c r="G86" s="25"/>
      <c r="H86" s="21"/>
      <c r="I86" s="20">
        <f t="shared" si="19"/>
        <v>8413324</v>
      </c>
      <c r="J86" s="25"/>
      <c r="K86" s="25"/>
      <c r="L86" s="21">
        <f t="shared" si="20"/>
        <v>8413324</v>
      </c>
      <c r="M86" s="17">
        <f>+[2]MER!AC57</f>
        <v>7012830</v>
      </c>
      <c r="N86" s="17">
        <f t="shared" si="21"/>
        <v>-1400494</v>
      </c>
      <c r="O86" s="22">
        <f t="shared" si="22"/>
        <v>0.83353856335498311</v>
      </c>
    </row>
    <row r="87" spans="1:15" s="37" customFormat="1" hidden="1" outlineLevel="1" x14ac:dyDescent="0.25">
      <c r="A87" s="36" t="s">
        <v>95</v>
      </c>
      <c r="B87" s="21"/>
      <c r="C87" s="25"/>
      <c r="D87" s="25"/>
      <c r="E87" s="25"/>
      <c r="F87" s="21">
        <f>+[1]MER!U58</f>
        <v>0</v>
      </c>
      <c r="G87" s="25"/>
      <c r="H87" s="21"/>
      <c r="I87" s="20">
        <f t="shared" si="19"/>
        <v>0</v>
      </c>
      <c r="J87" s="25"/>
      <c r="K87" s="25"/>
      <c r="L87" s="21">
        <f t="shared" si="20"/>
        <v>0</v>
      </c>
      <c r="M87" s="17">
        <f>+[2]MER!AC58</f>
        <v>0</v>
      </c>
      <c r="N87" s="17">
        <f t="shared" si="21"/>
        <v>0</v>
      </c>
      <c r="O87" s="22">
        <v>0</v>
      </c>
    </row>
    <row r="88" spans="1:15" s="37" customFormat="1" hidden="1" outlineLevel="1" x14ac:dyDescent="0.25">
      <c r="A88" s="36" t="s">
        <v>96</v>
      </c>
      <c r="B88" s="21"/>
      <c r="C88" s="25"/>
      <c r="D88" s="25"/>
      <c r="E88" s="25"/>
      <c r="F88" s="21">
        <f>+[1]MER!U59</f>
        <v>98604000</v>
      </c>
      <c r="G88" s="25"/>
      <c r="H88" s="21"/>
      <c r="I88" s="20">
        <f t="shared" si="19"/>
        <v>98604000</v>
      </c>
      <c r="J88" s="25"/>
      <c r="K88" s="25"/>
      <c r="L88" s="21">
        <f t="shared" si="20"/>
        <v>98604000</v>
      </c>
      <c r="M88" s="17">
        <f>+[2]MER!AC59</f>
        <v>27570879</v>
      </c>
      <c r="N88" s="17">
        <f t="shared" si="21"/>
        <v>-71033121</v>
      </c>
      <c r="O88" s="22">
        <f t="shared" si="22"/>
        <v>0.27961217597663379</v>
      </c>
    </row>
    <row r="89" spans="1:15" s="37" customFormat="1" hidden="1" outlineLevel="1" x14ac:dyDescent="0.25">
      <c r="A89" s="36" t="s">
        <v>97</v>
      </c>
      <c r="B89" s="21"/>
      <c r="C89" s="25"/>
      <c r="D89" s="25"/>
      <c r="E89" s="25"/>
      <c r="F89" s="21">
        <f>+[1]MER!U60</f>
        <v>0</v>
      </c>
      <c r="G89" s="25"/>
      <c r="H89" s="21"/>
      <c r="I89" s="20">
        <f t="shared" si="19"/>
        <v>0</v>
      </c>
      <c r="J89" s="25"/>
      <c r="K89" s="25"/>
      <c r="L89" s="21">
        <f t="shared" si="20"/>
        <v>0</v>
      </c>
      <c r="M89" s="17">
        <f>+[2]MER!AC60</f>
        <v>0</v>
      </c>
      <c r="N89" s="17">
        <f t="shared" si="21"/>
        <v>0</v>
      </c>
      <c r="O89" s="22">
        <v>0</v>
      </c>
    </row>
    <row r="90" spans="1:15" s="37" customFormat="1" hidden="1" outlineLevel="1" x14ac:dyDescent="0.25">
      <c r="A90" s="36" t="s">
        <v>98</v>
      </c>
      <c r="B90" s="21"/>
      <c r="C90" s="25"/>
      <c r="D90" s="25"/>
      <c r="E90" s="25"/>
      <c r="F90" s="21">
        <f>+[1]MER!U61</f>
        <v>10446511</v>
      </c>
      <c r="G90" s="25"/>
      <c r="H90" s="21"/>
      <c r="I90" s="20">
        <f t="shared" si="19"/>
        <v>10446511</v>
      </c>
      <c r="J90" s="25"/>
      <c r="K90" s="25"/>
      <c r="L90" s="21">
        <f t="shared" si="20"/>
        <v>10446511</v>
      </c>
      <c r="M90" s="17">
        <f>+[2]MER!AC61</f>
        <v>5912050</v>
      </c>
      <c r="N90" s="17">
        <f t="shared" si="21"/>
        <v>-4534461</v>
      </c>
      <c r="O90" s="22">
        <f t="shared" si="22"/>
        <v>0.56593536349121731</v>
      </c>
    </row>
    <row r="91" spans="1:15" s="37" customFormat="1" hidden="1" outlineLevel="1" x14ac:dyDescent="0.25">
      <c r="A91" s="36" t="s">
        <v>99</v>
      </c>
      <c r="B91" s="21"/>
      <c r="C91" s="25"/>
      <c r="D91" s="25"/>
      <c r="E91" s="25"/>
      <c r="F91" s="21">
        <f>+[1]MER!U62</f>
        <v>50000000</v>
      </c>
      <c r="G91" s="25"/>
      <c r="H91" s="21"/>
      <c r="I91" s="20">
        <f t="shared" si="19"/>
        <v>50000000</v>
      </c>
      <c r="J91" s="25"/>
      <c r="K91" s="25"/>
      <c r="L91" s="21">
        <f t="shared" si="20"/>
        <v>50000000</v>
      </c>
      <c r="M91" s="17">
        <f>+[2]MER!AC62</f>
        <v>50000000</v>
      </c>
      <c r="N91" s="17">
        <f t="shared" si="21"/>
        <v>0</v>
      </c>
      <c r="O91" s="22">
        <f t="shared" si="22"/>
        <v>1</v>
      </c>
    </row>
    <row r="92" spans="1:15" s="37" customFormat="1" hidden="1" outlineLevel="1" x14ac:dyDescent="0.25">
      <c r="A92" s="36" t="s">
        <v>100</v>
      </c>
      <c r="B92" s="21"/>
      <c r="C92" s="25"/>
      <c r="D92" s="25"/>
      <c r="E92" s="25"/>
      <c r="F92" s="21">
        <f>+[1]MER!U63</f>
        <v>7065142</v>
      </c>
      <c r="G92" s="25"/>
      <c r="H92" s="21"/>
      <c r="I92" s="20">
        <f t="shared" si="19"/>
        <v>7065142</v>
      </c>
      <c r="J92" s="25"/>
      <c r="K92" s="25"/>
      <c r="L92" s="21">
        <f t="shared" si="20"/>
        <v>7065142</v>
      </c>
      <c r="M92" s="17">
        <f>+[2]MER!AC63</f>
        <v>0</v>
      </c>
      <c r="N92" s="17">
        <f t="shared" si="21"/>
        <v>-7065142</v>
      </c>
      <c r="O92" s="22">
        <f t="shared" si="22"/>
        <v>0</v>
      </c>
    </row>
    <row r="93" spans="1:15" s="37" customFormat="1" hidden="1" outlineLevel="1" x14ac:dyDescent="0.25">
      <c r="A93" s="36" t="s">
        <v>101</v>
      </c>
      <c r="B93" s="21"/>
      <c r="C93" s="25"/>
      <c r="D93" s="25"/>
      <c r="E93" s="25"/>
      <c r="F93" s="21">
        <f>+[1]MER!U64</f>
        <v>375975439</v>
      </c>
      <c r="G93" s="25"/>
      <c r="H93" s="21"/>
      <c r="I93" s="20">
        <f t="shared" si="19"/>
        <v>375975439</v>
      </c>
      <c r="J93" s="25"/>
      <c r="K93" s="25"/>
      <c r="L93" s="21">
        <f t="shared" si="20"/>
        <v>375975439</v>
      </c>
      <c r="M93" s="17">
        <f>+[2]MER!AC64</f>
        <v>375669138</v>
      </c>
      <c r="N93" s="17">
        <f t="shared" si="21"/>
        <v>-306301</v>
      </c>
      <c r="O93" s="22">
        <f t="shared" si="22"/>
        <v>0.99918531646424913</v>
      </c>
    </row>
    <row r="94" spans="1:15" s="37" customFormat="1" collapsed="1" x14ac:dyDescent="0.25">
      <c r="A94" s="35" t="s">
        <v>102</v>
      </c>
      <c r="B94" s="25"/>
      <c r="C94" s="25"/>
      <c r="D94" s="25"/>
      <c r="E94" s="25"/>
      <c r="F94" s="25">
        <f>SUM(F95:F97)</f>
        <v>104058224.59999999</v>
      </c>
      <c r="G94" s="25"/>
      <c r="H94" s="25"/>
      <c r="I94" s="25">
        <f t="shared" si="19"/>
        <v>104058224.59999999</v>
      </c>
      <c r="J94" s="25"/>
      <c r="K94" s="25"/>
      <c r="L94" s="25">
        <f t="shared" si="20"/>
        <v>104058224.59999999</v>
      </c>
      <c r="M94" s="18">
        <f>SUM(M95:M97)</f>
        <v>84695277</v>
      </c>
      <c r="N94" s="18">
        <f t="shared" si="21"/>
        <v>-19362947.599999994</v>
      </c>
      <c r="O94" s="19">
        <f t="shared" si="22"/>
        <v>0.81392198767150603</v>
      </c>
    </row>
    <row r="95" spans="1:15" s="37" customFormat="1" hidden="1" outlineLevel="1" x14ac:dyDescent="0.25">
      <c r="A95" s="36" t="s">
        <v>103</v>
      </c>
      <c r="B95" s="21"/>
      <c r="C95" s="25"/>
      <c r="D95" s="25"/>
      <c r="E95" s="25"/>
      <c r="F95" s="21">
        <f>+[1]MER!U66</f>
        <v>15168300</v>
      </c>
      <c r="G95" s="25"/>
      <c r="H95" s="21"/>
      <c r="I95" s="20">
        <f t="shared" si="19"/>
        <v>15168300</v>
      </c>
      <c r="J95" s="25"/>
      <c r="K95" s="25"/>
      <c r="L95" s="21">
        <f t="shared" si="20"/>
        <v>15168300</v>
      </c>
      <c r="M95" s="17">
        <f>+[2]MER!AC66</f>
        <v>0</v>
      </c>
      <c r="N95" s="17">
        <f t="shared" si="21"/>
        <v>-15168300</v>
      </c>
      <c r="O95" s="22">
        <f t="shared" si="22"/>
        <v>0</v>
      </c>
    </row>
    <row r="96" spans="1:15" s="37" customFormat="1" hidden="1" outlineLevel="1" x14ac:dyDescent="0.25">
      <c r="A96" s="36" t="s">
        <v>104</v>
      </c>
      <c r="B96" s="21"/>
      <c r="C96" s="25"/>
      <c r="D96" s="25"/>
      <c r="E96" s="25"/>
      <c r="F96" s="21">
        <f>+[1]MER!U67</f>
        <v>2880822</v>
      </c>
      <c r="G96" s="25"/>
      <c r="H96" s="21"/>
      <c r="I96" s="20">
        <f t="shared" si="19"/>
        <v>2880822</v>
      </c>
      <c r="J96" s="25"/>
      <c r="K96" s="25"/>
      <c r="L96" s="21">
        <f t="shared" si="20"/>
        <v>2880822</v>
      </c>
      <c r="M96" s="17">
        <f>+[2]MER!AC67</f>
        <v>921280</v>
      </c>
      <c r="N96" s="17">
        <f t="shared" si="21"/>
        <v>-1959542</v>
      </c>
      <c r="O96" s="22">
        <f t="shared" si="22"/>
        <v>0.3197976133200871</v>
      </c>
    </row>
    <row r="97" spans="1:15" s="37" customFormat="1" hidden="1" outlineLevel="1" x14ac:dyDescent="0.25">
      <c r="A97" s="36" t="s">
        <v>105</v>
      </c>
      <c r="B97" s="21"/>
      <c r="C97" s="25"/>
      <c r="D97" s="25"/>
      <c r="E97" s="25"/>
      <c r="F97" s="21">
        <f>+[1]MER!U68</f>
        <v>86009102.599999994</v>
      </c>
      <c r="G97" s="25"/>
      <c r="H97" s="21"/>
      <c r="I97" s="20">
        <f t="shared" si="19"/>
        <v>86009102.599999994</v>
      </c>
      <c r="J97" s="25"/>
      <c r="K97" s="25"/>
      <c r="L97" s="21">
        <f t="shared" si="20"/>
        <v>86009102.599999994</v>
      </c>
      <c r="M97" s="17">
        <f>+[2]MER!AC68</f>
        <v>83773997</v>
      </c>
      <c r="N97" s="17">
        <f t="shared" si="21"/>
        <v>-2235105.599999994</v>
      </c>
      <c r="O97" s="22">
        <f t="shared" si="22"/>
        <v>0.97401315055692728</v>
      </c>
    </row>
    <row r="98" spans="1:15" s="37" customFormat="1" collapsed="1" x14ac:dyDescent="0.25">
      <c r="A98" s="35" t="s">
        <v>106</v>
      </c>
      <c r="B98" s="21"/>
      <c r="C98" s="25"/>
      <c r="D98" s="25"/>
      <c r="E98" s="25"/>
      <c r="F98" s="25">
        <f>SUM(F99:F103)</f>
        <v>147173766</v>
      </c>
      <c r="G98" s="25"/>
      <c r="H98" s="25"/>
      <c r="I98" s="25">
        <f t="shared" si="19"/>
        <v>147173766</v>
      </c>
      <c r="J98" s="25"/>
      <c r="K98" s="25"/>
      <c r="L98" s="25">
        <f t="shared" si="20"/>
        <v>147173766</v>
      </c>
      <c r="M98" s="18">
        <f>SUM(M99:M103)</f>
        <v>39680810</v>
      </c>
      <c r="N98" s="18">
        <f t="shared" si="21"/>
        <v>-107492956</v>
      </c>
      <c r="O98" s="19">
        <f t="shared" si="22"/>
        <v>0.26961877159547576</v>
      </c>
    </row>
    <row r="99" spans="1:15" s="37" customFormat="1" hidden="1" outlineLevel="1" x14ac:dyDescent="0.25">
      <c r="A99" s="36" t="s">
        <v>107</v>
      </c>
      <c r="B99" s="21"/>
      <c r="C99" s="25"/>
      <c r="D99" s="25"/>
      <c r="E99" s="25"/>
      <c r="F99" s="21">
        <f>+[1]MER!U70</f>
        <v>35381003</v>
      </c>
      <c r="G99" s="25"/>
      <c r="H99" s="21"/>
      <c r="I99" s="20">
        <f t="shared" si="19"/>
        <v>35381003</v>
      </c>
      <c r="J99" s="25"/>
      <c r="K99" s="25"/>
      <c r="L99" s="21">
        <f t="shared" si="20"/>
        <v>35381003</v>
      </c>
      <c r="M99" s="17">
        <f>+[2]MER!AC70</f>
        <v>34153310</v>
      </c>
      <c r="N99" s="17">
        <f t="shared" si="21"/>
        <v>-1227693</v>
      </c>
      <c r="O99" s="22">
        <f t="shared" si="22"/>
        <v>0.96530078584827006</v>
      </c>
    </row>
    <row r="100" spans="1:15" s="37" customFormat="1" hidden="1" outlineLevel="1" x14ac:dyDescent="0.25">
      <c r="A100" s="36" t="s">
        <v>108</v>
      </c>
      <c r="B100" s="21"/>
      <c r="C100" s="25"/>
      <c r="D100" s="25"/>
      <c r="E100" s="25"/>
      <c r="F100" s="21">
        <f>+[1]MER!U71</f>
        <v>100000000</v>
      </c>
      <c r="G100" s="25"/>
      <c r="H100" s="21"/>
      <c r="I100" s="20">
        <f t="shared" si="19"/>
        <v>100000000</v>
      </c>
      <c r="J100" s="25"/>
      <c r="K100" s="25"/>
      <c r="L100" s="21">
        <f t="shared" si="20"/>
        <v>100000000</v>
      </c>
      <c r="M100" s="17">
        <f>+[2]MER!AC71</f>
        <v>0</v>
      </c>
      <c r="N100" s="17">
        <f t="shared" si="21"/>
        <v>-100000000</v>
      </c>
      <c r="O100" s="22">
        <f t="shared" si="22"/>
        <v>0</v>
      </c>
    </row>
    <row r="101" spans="1:15" s="37" customFormat="1" hidden="1" outlineLevel="1" x14ac:dyDescent="0.25">
      <c r="A101" s="36" t="s">
        <v>109</v>
      </c>
      <c r="B101" s="21"/>
      <c r="C101" s="25"/>
      <c r="D101" s="25"/>
      <c r="E101" s="25"/>
      <c r="F101" s="21">
        <f>+[1]MER!U72</f>
        <v>4998242</v>
      </c>
      <c r="G101" s="25"/>
      <c r="H101" s="21"/>
      <c r="I101" s="20">
        <f t="shared" si="19"/>
        <v>4998242</v>
      </c>
      <c r="J101" s="25"/>
      <c r="K101" s="25"/>
      <c r="L101" s="21">
        <f t="shared" si="20"/>
        <v>4998242</v>
      </c>
      <c r="M101" s="17">
        <f>+[2]MER!AC72</f>
        <v>4690000</v>
      </c>
      <c r="N101" s="17">
        <f t="shared" si="21"/>
        <v>-308242</v>
      </c>
      <c r="O101" s="22">
        <f t="shared" si="22"/>
        <v>0.93832991679874644</v>
      </c>
    </row>
    <row r="102" spans="1:15" s="37" customFormat="1" hidden="1" outlineLevel="1" x14ac:dyDescent="0.25">
      <c r="A102" s="36" t="s">
        <v>110</v>
      </c>
      <c r="B102" s="21"/>
      <c r="C102" s="25"/>
      <c r="D102" s="25"/>
      <c r="E102" s="25"/>
      <c r="F102" s="21">
        <f>+[1]MER!U73</f>
        <v>0</v>
      </c>
      <c r="G102" s="25"/>
      <c r="H102" s="21"/>
      <c r="I102" s="20">
        <f t="shared" si="19"/>
        <v>0</v>
      </c>
      <c r="J102" s="25"/>
      <c r="K102" s="25"/>
      <c r="L102" s="21">
        <f t="shared" si="20"/>
        <v>0</v>
      </c>
      <c r="M102" s="17">
        <f>+[2]MER!AC73</f>
        <v>0</v>
      </c>
      <c r="N102" s="17">
        <f t="shared" si="21"/>
        <v>0</v>
      </c>
      <c r="O102" s="22">
        <v>0</v>
      </c>
    </row>
    <row r="103" spans="1:15" s="37" customFormat="1" hidden="1" outlineLevel="1" x14ac:dyDescent="0.25">
      <c r="A103" s="36" t="s">
        <v>111</v>
      </c>
      <c r="B103" s="21"/>
      <c r="C103" s="25"/>
      <c r="D103" s="25"/>
      <c r="E103" s="25"/>
      <c r="F103" s="21">
        <f>+[1]MER!U74</f>
        <v>6794521</v>
      </c>
      <c r="G103" s="25"/>
      <c r="H103" s="21"/>
      <c r="I103" s="20">
        <f t="shared" si="19"/>
        <v>6794521</v>
      </c>
      <c r="J103" s="25"/>
      <c r="K103" s="25"/>
      <c r="L103" s="21">
        <f t="shared" si="20"/>
        <v>6794521</v>
      </c>
      <c r="M103" s="17">
        <f>+[2]MER!AC74</f>
        <v>837500</v>
      </c>
      <c r="N103" s="17">
        <f t="shared" si="21"/>
        <v>-5957021</v>
      </c>
      <c r="O103" s="22">
        <f t="shared" si="22"/>
        <v>0.1232610805088394</v>
      </c>
    </row>
    <row r="104" spans="1:15" s="37" customFormat="1" collapsed="1" x14ac:dyDescent="0.25">
      <c r="A104" s="36"/>
      <c r="B104" s="21"/>
      <c r="C104" s="25"/>
      <c r="D104" s="25"/>
      <c r="E104" s="25"/>
      <c r="F104" s="21"/>
      <c r="G104" s="25"/>
      <c r="H104" s="21"/>
      <c r="I104" s="20"/>
      <c r="J104" s="25"/>
      <c r="K104" s="25"/>
      <c r="L104" s="21"/>
      <c r="M104" s="17"/>
      <c r="N104" s="17"/>
      <c r="O104" s="22"/>
    </row>
    <row r="105" spans="1:15" s="37" customFormat="1" x14ac:dyDescent="0.25">
      <c r="A105" s="35" t="s">
        <v>112</v>
      </c>
      <c r="B105" s="25"/>
      <c r="C105" s="25"/>
      <c r="D105" s="25"/>
      <c r="E105" s="25"/>
      <c r="F105" s="25"/>
      <c r="G105" s="25">
        <f>+G106+G114+G116+G119</f>
        <v>4203399345</v>
      </c>
      <c r="H105" s="25"/>
      <c r="I105" s="15">
        <f t="shared" ref="I105:I120" si="23">SUM(B105:H105)</f>
        <v>4203399345</v>
      </c>
      <c r="J105" s="25"/>
      <c r="K105" s="25"/>
      <c r="L105" s="25">
        <f t="shared" ref="L105:L135" si="24">SUM(I105:K105)</f>
        <v>4203399345</v>
      </c>
      <c r="M105" s="18">
        <f>+M106+M114+M116+M119</f>
        <v>3859435244</v>
      </c>
      <c r="N105" s="18">
        <f>+M105-L105</f>
        <v>-343964101</v>
      </c>
      <c r="O105" s="19">
        <f t="shared" ref="O105:O135" si="25">+M105/L105</f>
        <v>0.91817001603496229</v>
      </c>
    </row>
    <row r="106" spans="1:15" s="37" customFormat="1" x14ac:dyDescent="0.25">
      <c r="A106" s="35" t="s">
        <v>113</v>
      </c>
      <c r="B106" s="25"/>
      <c r="C106" s="25"/>
      <c r="D106" s="25"/>
      <c r="E106" s="25"/>
      <c r="F106" s="25"/>
      <c r="G106" s="25">
        <f>SUM(G107:G113)</f>
        <v>4074040755</v>
      </c>
      <c r="H106" s="25"/>
      <c r="I106" s="15">
        <f t="shared" si="23"/>
        <v>4074040755</v>
      </c>
      <c r="J106" s="25"/>
      <c r="K106" s="25"/>
      <c r="L106" s="25">
        <f t="shared" si="24"/>
        <v>4074040755</v>
      </c>
      <c r="M106" s="18">
        <f>+SUM(M107:M113)</f>
        <v>3733275126</v>
      </c>
      <c r="N106" s="18">
        <f>+M106-L106</f>
        <v>-340765629</v>
      </c>
      <c r="O106" s="19">
        <f t="shared" si="25"/>
        <v>0.91635684336692402</v>
      </c>
    </row>
    <row r="107" spans="1:15" s="37" customFormat="1" hidden="1" outlineLevel="1" x14ac:dyDescent="0.25">
      <c r="A107" s="36" t="s">
        <v>114</v>
      </c>
      <c r="B107" s="25"/>
      <c r="C107" s="25"/>
      <c r="D107" s="25"/>
      <c r="E107" s="21"/>
      <c r="F107" s="25"/>
      <c r="G107" s="21">
        <f>+[1]PPC!U43-27900000</f>
        <v>238448750</v>
      </c>
      <c r="H107" s="25"/>
      <c r="I107" s="20">
        <f t="shared" si="23"/>
        <v>238448750</v>
      </c>
      <c r="J107" s="25"/>
      <c r="K107" s="25"/>
      <c r="L107" s="21">
        <f t="shared" si="24"/>
        <v>238448750</v>
      </c>
      <c r="M107" s="17">
        <f>+[2]PPC!AC43</f>
        <v>238376150</v>
      </c>
      <c r="N107" s="17">
        <f t="shared" si="21"/>
        <v>-72600</v>
      </c>
      <c r="O107" s="22">
        <f t="shared" si="25"/>
        <v>0.9996955320587757</v>
      </c>
    </row>
    <row r="108" spans="1:15" s="37" customFormat="1" hidden="1" outlineLevel="1" x14ac:dyDescent="0.25">
      <c r="A108" s="36" t="s">
        <v>115</v>
      </c>
      <c r="B108" s="25"/>
      <c r="C108" s="25"/>
      <c r="D108" s="25"/>
      <c r="E108" s="21"/>
      <c r="F108" s="25"/>
      <c r="G108" s="21">
        <f>+[1]PPC!U44-224000000</f>
        <v>120560797</v>
      </c>
      <c r="H108" s="25"/>
      <c r="I108" s="20">
        <f t="shared" si="23"/>
        <v>120560797</v>
      </c>
      <c r="J108" s="25"/>
      <c r="K108" s="25"/>
      <c r="L108" s="21">
        <f t="shared" si="24"/>
        <v>120560797</v>
      </c>
      <c r="M108" s="17">
        <f>+[2]PPC!AC44</f>
        <v>102730520</v>
      </c>
      <c r="N108" s="17">
        <f t="shared" si="21"/>
        <v>-17830277</v>
      </c>
      <c r="O108" s="22">
        <f t="shared" si="25"/>
        <v>0.85210551486317732</v>
      </c>
    </row>
    <row r="109" spans="1:15" s="37" customFormat="1" hidden="1" outlineLevel="1" x14ac:dyDescent="0.25">
      <c r="A109" s="36" t="s">
        <v>116</v>
      </c>
      <c r="B109" s="25"/>
      <c r="C109" s="25"/>
      <c r="D109" s="25"/>
      <c r="E109" s="21"/>
      <c r="F109" s="25"/>
      <c r="G109" s="21">
        <f>+[1]PPC!U45+27900000</f>
        <v>130552583</v>
      </c>
      <c r="H109" s="25"/>
      <c r="I109" s="20">
        <f t="shared" si="23"/>
        <v>130552583</v>
      </c>
      <c r="J109" s="25"/>
      <c r="K109" s="25"/>
      <c r="L109" s="21">
        <f t="shared" si="24"/>
        <v>130552583</v>
      </c>
      <c r="M109" s="17">
        <f>+[2]PPC!AC45</f>
        <v>117755460</v>
      </c>
      <c r="N109" s="17">
        <f>+M109-L109</f>
        <v>-12797123</v>
      </c>
      <c r="O109" s="22">
        <f t="shared" si="25"/>
        <v>0.90197725157226494</v>
      </c>
    </row>
    <row r="110" spans="1:15" s="37" customFormat="1" hidden="1" outlineLevel="1" x14ac:dyDescent="0.25">
      <c r="A110" s="36" t="s">
        <v>117</v>
      </c>
      <c r="B110" s="25"/>
      <c r="C110" s="25"/>
      <c r="D110" s="25"/>
      <c r="E110" s="21"/>
      <c r="F110" s="25"/>
      <c r="G110" s="21">
        <f>+[1]PPC!U46</f>
        <v>85000000</v>
      </c>
      <c r="H110" s="25"/>
      <c r="I110" s="20">
        <f t="shared" si="23"/>
        <v>85000000</v>
      </c>
      <c r="J110" s="25"/>
      <c r="K110" s="25"/>
      <c r="L110" s="21">
        <f t="shared" si="24"/>
        <v>85000000</v>
      </c>
      <c r="M110" s="17">
        <f>+[2]PPC!AC46</f>
        <v>78483349</v>
      </c>
      <c r="N110" s="17">
        <f t="shared" si="21"/>
        <v>-6516651</v>
      </c>
      <c r="O110" s="22">
        <f t="shared" si="25"/>
        <v>0.92333351764705884</v>
      </c>
    </row>
    <row r="111" spans="1:15" s="37" customFormat="1" hidden="1" outlineLevel="1" x14ac:dyDescent="0.25">
      <c r="A111" s="36" t="s">
        <v>118</v>
      </c>
      <c r="B111" s="25"/>
      <c r="C111" s="25"/>
      <c r="D111" s="25"/>
      <c r="E111" s="21"/>
      <c r="F111" s="25"/>
      <c r="G111" s="21">
        <f>+[1]PPC!U47</f>
        <v>165784916</v>
      </c>
      <c r="H111" s="25"/>
      <c r="I111" s="20">
        <f t="shared" si="23"/>
        <v>165784916</v>
      </c>
      <c r="J111" s="25"/>
      <c r="K111" s="25"/>
      <c r="L111" s="21">
        <f t="shared" si="24"/>
        <v>165784916</v>
      </c>
      <c r="M111" s="17">
        <f>+[2]PPC!AC47</f>
        <v>140786088</v>
      </c>
      <c r="N111" s="17">
        <f t="shared" si="21"/>
        <v>-24998828</v>
      </c>
      <c r="O111" s="22">
        <f t="shared" si="25"/>
        <v>0.84920927305593952</v>
      </c>
    </row>
    <row r="112" spans="1:15" s="37" customFormat="1" hidden="1" outlineLevel="1" x14ac:dyDescent="0.25">
      <c r="A112" s="36" t="s">
        <v>119</v>
      </c>
      <c r="B112" s="25"/>
      <c r="C112" s="25"/>
      <c r="D112" s="25"/>
      <c r="E112" s="21"/>
      <c r="F112" s="25"/>
      <c r="G112" s="21">
        <f>+[1]PPC!U48+224000000-10500000-7000000</f>
        <v>3306500000</v>
      </c>
      <c r="H112" s="25"/>
      <c r="I112" s="20">
        <f t="shared" si="23"/>
        <v>3306500000</v>
      </c>
      <c r="J112" s="25"/>
      <c r="K112" s="25"/>
      <c r="L112" s="21">
        <f t="shared" si="24"/>
        <v>3306500000</v>
      </c>
      <c r="M112" s="17">
        <f>+[2]PPC!AC48</f>
        <v>3039375266</v>
      </c>
      <c r="N112" s="17">
        <f t="shared" si="21"/>
        <v>-267124734</v>
      </c>
      <c r="O112" s="22">
        <f t="shared" si="25"/>
        <v>0.91921223831846366</v>
      </c>
    </row>
    <row r="113" spans="1:15" s="37" customFormat="1" hidden="1" outlineLevel="1" x14ac:dyDescent="0.25">
      <c r="A113" s="36" t="s">
        <v>120</v>
      </c>
      <c r="B113" s="25"/>
      <c r="C113" s="25"/>
      <c r="D113" s="25"/>
      <c r="E113" s="21"/>
      <c r="F113" s="25"/>
      <c r="G113" s="21">
        <f>+[1]PPC!U49+10500000+7000000</f>
        <v>27193709</v>
      </c>
      <c r="H113" s="25"/>
      <c r="I113" s="20">
        <f t="shared" si="23"/>
        <v>27193709</v>
      </c>
      <c r="J113" s="25"/>
      <c r="K113" s="25"/>
      <c r="L113" s="21">
        <f t="shared" si="24"/>
        <v>27193709</v>
      </c>
      <c r="M113" s="17">
        <f>+[2]PPC!AC49</f>
        <v>15768293</v>
      </c>
      <c r="N113" s="17">
        <f t="shared" si="21"/>
        <v>-11425416</v>
      </c>
      <c r="O113" s="22">
        <f t="shared" si="25"/>
        <v>0.57985076621949583</v>
      </c>
    </row>
    <row r="114" spans="1:15" s="37" customFormat="1" collapsed="1" x14ac:dyDescent="0.25">
      <c r="A114" s="35" t="s">
        <v>121</v>
      </c>
      <c r="B114" s="25"/>
      <c r="C114" s="25"/>
      <c r="D114" s="25"/>
      <c r="E114" s="25"/>
      <c r="F114" s="25"/>
      <c r="G114" s="25">
        <f>+G115</f>
        <v>4845480</v>
      </c>
      <c r="H114" s="25"/>
      <c r="I114" s="15">
        <f t="shared" si="23"/>
        <v>4845480</v>
      </c>
      <c r="J114" s="25"/>
      <c r="K114" s="25"/>
      <c r="L114" s="25">
        <f t="shared" si="24"/>
        <v>4845480</v>
      </c>
      <c r="M114" s="18">
        <f>+M115</f>
        <v>2742420</v>
      </c>
      <c r="N114" s="18">
        <f>+M114-L114</f>
        <v>-2103060</v>
      </c>
      <c r="O114" s="19">
        <f t="shared" si="25"/>
        <v>0.56597488793679884</v>
      </c>
    </row>
    <row r="115" spans="1:15" s="37" customFormat="1" hidden="1" outlineLevel="1" x14ac:dyDescent="0.25">
      <c r="A115" s="36" t="s">
        <v>122</v>
      </c>
      <c r="B115" s="25"/>
      <c r="C115" s="25"/>
      <c r="D115" s="25"/>
      <c r="E115" s="21"/>
      <c r="F115" s="25"/>
      <c r="G115" s="21">
        <f>+[1]PPC!U51</f>
        <v>4845480</v>
      </c>
      <c r="H115" s="25"/>
      <c r="I115" s="20">
        <f t="shared" si="23"/>
        <v>4845480</v>
      </c>
      <c r="J115" s="25"/>
      <c r="K115" s="25"/>
      <c r="L115" s="21">
        <f t="shared" si="24"/>
        <v>4845480</v>
      </c>
      <c r="M115" s="17">
        <f>+[2]PPC!AC51</f>
        <v>2742420</v>
      </c>
      <c r="N115" s="17">
        <f t="shared" ref="N115:N141" si="26">+M115-L115</f>
        <v>-2103060</v>
      </c>
      <c r="O115" s="22">
        <f t="shared" si="25"/>
        <v>0.56597488793679884</v>
      </c>
    </row>
    <row r="116" spans="1:15" s="37" customFormat="1" collapsed="1" x14ac:dyDescent="0.25">
      <c r="A116" s="35" t="s">
        <v>123</v>
      </c>
      <c r="B116" s="25"/>
      <c r="C116" s="25"/>
      <c r="D116" s="25"/>
      <c r="E116" s="25"/>
      <c r="F116" s="25"/>
      <c r="G116" s="25">
        <f>SUM(G117:G118)</f>
        <v>60510174</v>
      </c>
      <c r="H116" s="25"/>
      <c r="I116" s="15">
        <f t="shared" si="23"/>
        <v>60510174</v>
      </c>
      <c r="J116" s="25"/>
      <c r="K116" s="25"/>
      <c r="L116" s="25">
        <f t="shared" si="24"/>
        <v>60510174</v>
      </c>
      <c r="M116" s="18">
        <f>+SUM(M117:M118)</f>
        <v>60182421</v>
      </c>
      <c r="N116" s="18">
        <f>+M116-L116</f>
        <v>-327753</v>
      </c>
      <c r="O116" s="19">
        <f t="shared" si="25"/>
        <v>0.99458350590761813</v>
      </c>
    </row>
    <row r="117" spans="1:15" s="37" customFormat="1" hidden="1" outlineLevel="1" x14ac:dyDescent="0.25">
      <c r="A117" s="36" t="s">
        <v>124</v>
      </c>
      <c r="B117" s="25"/>
      <c r="C117" s="25"/>
      <c r="D117" s="25"/>
      <c r="E117" s="21"/>
      <c r="F117" s="25"/>
      <c r="G117" s="21">
        <f>+[1]PPC!U53-3500000</f>
        <v>38037420</v>
      </c>
      <c r="H117" s="25"/>
      <c r="I117" s="20">
        <f t="shared" si="23"/>
        <v>38037420</v>
      </c>
      <c r="J117" s="25"/>
      <c r="K117" s="25"/>
      <c r="L117" s="21">
        <f t="shared" si="24"/>
        <v>38037420</v>
      </c>
      <c r="M117" s="17">
        <f>+[2]PPC!AC53</f>
        <v>37709667</v>
      </c>
      <c r="N117" s="17">
        <f t="shared" si="26"/>
        <v>-327753</v>
      </c>
      <c r="O117" s="22">
        <f t="shared" si="25"/>
        <v>0.99138340613006881</v>
      </c>
    </row>
    <row r="118" spans="1:15" s="37" customFormat="1" hidden="1" outlineLevel="1" x14ac:dyDescent="0.25">
      <c r="A118" s="36" t="s">
        <v>125</v>
      </c>
      <c r="B118" s="25"/>
      <c r="C118" s="25"/>
      <c r="D118" s="25"/>
      <c r="E118" s="21"/>
      <c r="F118" s="25"/>
      <c r="G118" s="21">
        <f>+[1]PPC!U54+3500000</f>
        <v>22472754</v>
      </c>
      <c r="H118" s="25"/>
      <c r="I118" s="20">
        <f t="shared" si="23"/>
        <v>22472754</v>
      </c>
      <c r="J118" s="25"/>
      <c r="K118" s="25"/>
      <c r="L118" s="21">
        <f t="shared" si="24"/>
        <v>22472754</v>
      </c>
      <c r="M118" s="17">
        <f>+[2]PPC!AC54</f>
        <v>22472754</v>
      </c>
      <c r="N118" s="17">
        <f t="shared" si="26"/>
        <v>0</v>
      </c>
      <c r="O118" s="22">
        <f t="shared" si="25"/>
        <v>1</v>
      </c>
    </row>
    <row r="119" spans="1:15" s="37" customFormat="1" collapsed="1" x14ac:dyDescent="0.25">
      <c r="A119" s="35" t="s">
        <v>126</v>
      </c>
      <c r="B119" s="25"/>
      <c r="C119" s="25"/>
      <c r="D119" s="25"/>
      <c r="E119" s="25"/>
      <c r="F119" s="25"/>
      <c r="G119" s="25">
        <f>+G120</f>
        <v>64002936</v>
      </c>
      <c r="H119" s="25"/>
      <c r="I119" s="15">
        <f t="shared" si="23"/>
        <v>64002936</v>
      </c>
      <c r="J119" s="25"/>
      <c r="K119" s="25"/>
      <c r="L119" s="25">
        <f t="shared" si="24"/>
        <v>64002936</v>
      </c>
      <c r="M119" s="18">
        <f>+M120</f>
        <v>63235277</v>
      </c>
      <c r="N119" s="18">
        <f t="shared" si="26"/>
        <v>-767659</v>
      </c>
      <c r="O119" s="19">
        <f t="shared" si="25"/>
        <v>0.98800587835533049</v>
      </c>
    </row>
    <row r="120" spans="1:15" s="37" customFormat="1" hidden="1" outlineLevel="1" x14ac:dyDescent="0.25">
      <c r="A120" s="36" t="s">
        <v>127</v>
      </c>
      <c r="B120" s="25"/>
      <c r="C120" s="25"/>
      <c r="D120" s="25"/>
      <c r="E120" s="21"/>
      <c r="F120" s="25"/>
      <c r="G120" s="21">
        <f>+[1]PPC!U56</f>
        <v>64002936</v>
      </c>
      <c r="H120" s="25"/>
      <c r="I120" s="20">
        <f t="shared" si="23"/>
        <v>64002936</v>
      </c>
      <c r="J120" s="25"/>
      <c r="K120" s="25"/>
      <c r="L120" s="21">
        <f t="shared" si="24"/>
        <v>64002936</v>
      </c>
      <c r="M120" s="17">
        <f>+[2]PPC!AC56</f>
        <v>63235277</v>
      </c>
      <c r="N120" s="17">
        <f t="shared" si="26"/>
        <v>-767659</v>
      </c>
      <c r="O120" s="22">
        <f t="shared" si="25"/>
        <v>0.98800587835533049</v>
      </c>
    </row>
    <row r="121" spans="1:15" s="37" customFormat="1" collapsed="1" x14ac:dyDescent="0.25">
      <c r="A121" s="36"/>
      <c r="B121" s="25"/>
      <c r="C121" s="25"/>
      <c r="D121" s="25"/>
      <c r="E121" s="21"/>
      <c r="F121" s="25"/>
      <c r="G121" s="21"/>
      <c r="H121" s="25"/>
      <c r="I121" s="20"/>
      <c r="J121" s="25"/>
      <c r="K121" s="25"/>
      <c r="L121" s="21"/>
      <c r="M121" s="17"/>
      <c r="N121" s="17"/>
      <c r="O121" s="22"/>
    </row>
    <row r="122" spans="1:15" s="43" customFormat="1" x14ac:dyDescent="0.25">
      <c r="A122" s="35" t="s">
        <v>128</v>
      </c>
      <c r="B122" s="41"/>
      <c r="C122" s="25">
        <f>+C123+C131</f>
        <v>1420839253.056</v>
      </c>
      <c r="D122" s="41"/>
      <c r="E122" s="42"/>
      <c r="F122" s="41"/>
      <c r="G122" s="42"/>
      <c r="H122" s="41"/>
      <c r="I122" s="25">
        <f t="shared" ref="I122:I135" si="27">SUM(B122:H122)</f>
        <v>1420839253.056</v>
      </c>
      <c r="J122" s="41"/>
      <c r="K122" s="41"/>
      <c r="L122" s="25">
        <f t="shared" si="24"/>
        <v>1420839253.056</v>
      </c>
      <c r="M122" s="18">
        <f>+M123+M131</f>
        <v>1260904903</v>
      </c>
      <c r="N122" s="18">
        <f t="shared" si="26"/>
        <v>-159934350.05599999</v>
      </c>
      <c r="O122" s="19">
        <f t="shared" si="25"/>
        <v>0.88743670354545279</v>
      </c>
    </row>
    <row r="123" spans="1:15" s="37" customFormat="1" x14ac:dyDescent="0.25">
      <c r="A123" s="35" t="s">
        <v>129</v>
      </c>
      <c r="B123" s="41"/>
      <c r="C123" s="25">
        <f>SUM(C124:C128)</f>
        <v>880238569</v>
      </c>
      <c r="D123" s="25"/>
      <c r="E123" s="25"/>
      <c r="F123" s="25"/>
      <c r="G123" s="25"/>
      <c r="H123" s="25"/>
      <c r="I123" s="25">
        <f t="shared" si="27"/>
        <v>880238569</v>
      </c>
      <c r="J123" s="25"/>
      <c r="K123" s="25"/>
      <c r="L123" s="25">
        <f t="shared" si="24"/>
        <v>880238569</v>
      </c>
      <c r="M123" s="18">
        <f>SUM(M124:M128)</f>
        <v>816828356</v>
      </c>
      <c r="N123" s="18">
        <f t="shared" si="26"/>
        <v>-63410213</v>
      </c>
      <c r="O123" s="19">
        <f t="shared" si="25"/>
        <v>0.92796246922918002</v>
      </c>
    </row>
    <row r="124" spans="1:15" s="37" customFormat="1" hidden="1" outlineLevel="1" x14ac:dyDescent="0.25">
      <c r="A124" s="36" t="s">
        <v>130</v>
      </c>
      <c r="B124" s="41"/>
      <c r="C124" s="21">
        <f>+[1]TEC!U38</f>
        <v>1249591</v>
      </c>
      <c r="D124" s="25"/>
      <c r="E124" s="25"/>
      <c r="F124" s="25"/>
      <c r="G124" s="25"/>
      <c r="H124" s="25"/>
      <c r="I124" s="20">
        <f t="shared" si="27"/>
        <v>1249591</v>
      </c>
      <c r="J124" s="25"/>
      <c r="K124" s="25"/>
      <c r="L124" s="21">
        <f t="shared" si="24"/>
        <v>1249591</v>
      </c>
      <c r="M124" s="17">
        <f>+[2]TEC!AC38</f>
        <v>1249591</v>
      </c>
      <c r="N124" s="17">
        <f t="shared" si="26"/>
        <v>0</v>
      </c>
      <c r="O124" s="22">
        <f t="shared" si="25"/>
        <v>1</v>
      </c>
    </row>
    <row r="125" spans="1:15" s="37" customFormat="1" hidden="1" outlineLevel="1" x14ac:dyDescent="0.25">
      <c r="A125" s="36" t="s">
        <v>131</v>
      </c>
      <c r="B125" s="41"/>
      <c r="C125" s="21">
        <f>+[1]TEC!U39</f>
        <v>426980938</v>
      </c>
      <c r="D125" s="25"/>
      <c r="E125" s="25"/>
      <c r="F125" s="25"/>
      <c r="G125" s="25"/>
      <c r="H125" s="25"/>
      <c r="I125" s="20">
        <f t="shared" si="27"/>
        <v>426980938</v>
      </c>
      <c r="J125" s="25"/>
      <c r="K125" s="25"/>
      <c r="L125" s="21">
        <f t="shared" si="24"/>
        <v>426980938</v>
      </c>
      <c r="M125" s="17">
        <f>+[2]TEC!AC39</f>
        <v>421465969</v>
      </c>
      <c r="N125" s="17">
        <f t="shared" si="26"/>
        <v>-5514969</v>
      </c>
      <c r="O125" s="22">
        <f t="shared" si="25"/>
        <v>0.98708380513230309</v>
      </c>
    </row>
    <row r="126" spans="1:15" s="37" customFormat="1" hidden="1" outlineLevel="1" x14ac:dyDescent="0.25">
      <c r="A126" s="36" t="s">
        <v>132</v>
      </c>
      <c r="B126" s="41"/>
      <c r="C126" s="21">
        <f>+[1]TEC!U40</f>
        <v>33999791</v>
      </c>
      <c r="D126" s="25"/>
      <c r="E126" s="25"/>
      <c r="F126" s="25"/>
      <c r="G126" s="25"/>
      <c r="H126" s="25"/>
      <c r="I126" s="20">
        <f t="shared" si="27"/>
        <v>33999791</v>
      </c>
      <c r="J126" s="25"/>
      <c r="K126" s="25"/>
      <c r="L126" s="21">
        <f t="shared" si="24"/>
        <v>33999791</v>
      </c>
      <c r="M126" s="17">
        <f>+[2]TEC!AC40</f>
        <v>24663520</v>
      </c>
      <c r="N126" s="17">
        <f t="shared" si="26"/>
        <v>-9336271</v>
      </c>
      <c r="O126" s="22">
        <f t="shared" si="25"/>
        <v>0.72540210614824074</v>
      </c>
    </row>
    <row r="127" spans="1:15" s="37" customFormat="1" hidden="1" outlineLevel="1" x14ac:dyDescent="0.25">
      <c r="A127" s="36" t="s">
        <v>133</v>
      </c>
      <c r="B127" s="41"/>
      <c r="C127" s="21">
        <f>+[1]TEC!U41</f>
        <v>418008249</v>
      </c>
      <c r="D127" s="25"/>
      <c r="E127" s="25"/>
      <c r="F127" s="25"/>
      <c r="G127" s="25"/>
      <c r="H127" s="25"/>
      <c r="I127" s="20">
        <f t="shared" si="27"/>
        <v>418008249</v>
      </c>
      <c r="J127" s="25"/>
      <c r="K127" s="25"/>
      <c r="L127" s="21">
        <f t="shared" si="24"/>
        <v>418008249</v>
      </c>
      <c r="M127" s="17">
        <f>+[2]TEC!AC41</f>
        <v>369449276</v>
      </c>
      <c r="N127" s="17">
        <f t="shared" si="26"/>
        <v>-48558973</v>
      </c>
      <c r="O127" s="22">
        <f t="shared" si="25"/>
        <v>0.88383250063565133</v>
      </c>
    </row>
    <row r="128" spans="1:15" s="37" customFormat="1" hidden="1" outlineLevel="1" x14ac:dyDescent="0.25">
      <c r="A128" s="36" t="s">
        <v>134</v>
      </c>
      <c r="B128" s="41"/>
      <c r="C128" s="21">
        <f>+C129+C130</f>
        <v>0</v>
      </c>
      <c r="D128" s="25"/>
      <c r="E128" s="25"/>
      <c r="F128" s="25"/>
      <c r="G128" s="25"/>
      <c r="H128" s="25"/>
      <c r="I128" s="20">
        <f t="shared" si="27"/>
        <v>0</v>
      </c>
      <c r="J128" s="25"/>
      <c r="K128" s="25"/>
      <c r="L128" s="21">
        <f t="shared" si="24"/>
        <v>0</v>
      </c>
      <c r="M128" s="17">
        <f>+[4]TEC!$AA$42</f>
        <v>0</v>
      </c>
      <c r="N128" s="17">
        <f t="shared" si="26"/>
        <v>0</v>
      </c>
      <c r="O128" s="22">
        <v>0</v>
      </c>
    </row>
    <row r="129" spans="1:15" s="37" customFormat="1" hidden="1" outlineLevel="2" x14ac:dyDescent="0.25">
      <c r="A129" s="36" t="s">
        <v>135</v>
      </c>
      <c r="B129" s="41"/>
      <c r="C129" s="21">
        <v>0</v>
      </c>
      <c r="D129" s="25"/>
      <c r="E129" s="25"/>
      <c r="F129" s="25"/>
      <c r="G129" s="25"/>
      <c r="H129" s="25"/>
      <c r="I129" s="20">
        <f t="shared" si="27"/>
        <v>0</v>
      </c>
      <c r="J129" s="25"/>
      <c r="K129" s="25"/>
      <c r="L129" s="21">
        <f t="shared" si="24"/>
        <v>0</v>
      </c>
      <c r="M129" s="17">
        <f>+[4]TEC!$AA$43</f>
        <v>0</v>
      </c>
      <c r="N129" s="17">
        <f t="shared" si="26"/>
        <v>0</v>
      </c>
      <c r="O129" s="22">
        <v>0</v>
      </c>
    </row>
    <row r="130" spans="1:15" s="37" customFormat="1" hidden="1" outlineLevel="2" x14ac:dyDescent="0.25">
      <c r="A130" s="36" t="s">
        <v>136</v>
      </c>
      <c r="B130" s="25"/>
      <c r="C130" s="21">
        <v>0</v>
      </c>
      <c r="D130" s="25"/>
      <c r="E130" s="25"/>
      <c r="F130" s="25"/>
      <c r="G130" s="25"/>
      <c r="H130" s="25"/>
      <c r="I130" s="20">
        <f t="shared" si="27"/>
        <v>0</v>
      </c>
      <c r="J130" s="25"/>
      <c r="K130" s="25"/>
      <c r="L130" s="21">
        <f t="shared" si="24"/>
        <v>0</v>
      </c>
      <c r="M130" s="17">
        <f>+[4]TEC!$AA$45</f>
        <v>0</v>
      </c>
      <c r="N130" s="17">
        <f t="shared" si="26"/>
        <v>0</v>
      </c>
      <c r="O130" s="22">
        <v>0</v>
      </c>
    </row>
    <row r="131" spans="1:15" s="37" customFormat="1" ht="33" customHeight="1" collapsed="1" x14ac:dyDescent="0.25">
      <c r="A131" s="44" t="s">
        <v>137</v>
      </c>
      <c r="B131" s="41"/>
      <c r="C131" s="25">
        <f>SUM(C132:C135)</f>
        <v>540600684.05599999</v>
      </c>
      <c r="D131" s="25"/>
      <c r="E131" s="25"/>
      <c r="F131" s="25"/>
      <c r="G131" s="25"/>
      <c r="H131" s="25"/>
      <c r="I131" s="25">
        <f t="shared" si="27"/>
        <v>540600684.05599999</v>
      </c>
      <c r="J131" s="25"/>
      <c r="K131" s="25"/>
      <c r="L131" s="25">
        <f t="shared" si="24"/>
        <v>540600684.05599999</v>
      </c>
      <c r="M131" s="18">
        <f>SUM(M132:M135)</f>
        <v>444076547</v>
      </c>
      <c r="N131" s="18">
        <f t="shared" si="26"/>
        <v>-96524137.055999994</v>
      </c>
      <c r="O131" s="19">
        <f t="shared" si="25"/>
        <v>0.82145021287838171</v>
      </c>
    </row>
    <row r="132" spans="1:15" s="37" customFormat="1" hidden="1" outlineLevel="1" x14ac:dyDescent="0.25">
      <c r="A132" s="36" t="s">
        <v>138</v>
      </c>
      <c r="B132" s="41"/>
      <c r="C132" s="21">
        <f>+[1]TEC!U47</f>
        <v>16251605</v>
      </c>
      <c r="D132" s="25"/>
      <c r="E132" s="25"/>
      <c r="F132" s="25"/>
      <c r="G132" s="25"/>
      <c r="H132" s="25"/>
      <c r="I132" s="20">
        <f t="shared" si="27"/>
        <v>16251605</v>
      </c>
      <c r="J132" s="25"/>
      <c r="K132" s="25"/>
      <c r="L132" s="21">
        <f t="shared" si="24"/>
        <v>16251605</v>
      </c>
      <c r="M132" s="17">
        <f>+[2]TEC!AC47</f>
        <v>7184200</v>
      </c>
      <c r="N132" s="17">
        <f t="shared" si="26"/>
        <v>-9067405</v>
      </c>
      <c r="O132" s="22">
        <f t="shared" si="25"/>
        <v>0.44206095336429846</v>
      </c>
    </row>
    <row r="133" spans="1:15" s="37" customFormat="1" hidden="1" outlineLevel="1" x14ac:dyDescent="0.25">
      <c r="A133" s="36" t="s">
        <v>139</v>
      </c>
      <c r="B133" s="41"/>
      <c r="C133" s="21">
        <f>+[1]TEC!U48</f>
        <v>393920291</v>
      </c>
      <c r="D133" s="25"/>
      <c r="E133" s="25"/>
      <c r="F133" s="25"/>
      <c r="G133" s="25"/>
      <c r="H133" s="25"/>
      <c r="I133" s="20">
        <f t="shared" si="27"/>
        <v>393920291</v>
      </c>
      <c r="J133" s="25"/>
      <c r="K133" s="25"/>
      <c r="L133" s="21">
        <f t="shared" si="24"/>
        <v>393920291</v>
      </c>
      <c r="M133" s="17">
        <f>+[2]TEC!AC48</f>
        <v>351308864</v>
      </c>
      <c r="N133" s="17">
        <f t="shared" si="26"/>
        <v>-42611427</v>
      </c>
      <c r="O133" s="22">
        <f t="shared" si="25"/>
        <v>0.89182728594196736</v>
      </c>
    </row>
    <row r="134" spans="1:15" s="37" customFormat="1" hidden="1" outlineLevel="1" x14ac:dyDescent="0.25">
      <c r="A134" s="36" t="s">
        <v>140</v>
      </c>
      <c r="B134" s="41"/>
      <c r="C134" s="21">
        <f>+[1]TEC!U49</f>
        <v>87692694.703999996</v>
      </c>
      <c r="D134" s="25"/>
      <c r="E134" s="25"/>
      <c r="F134" s="25"/>
      <c r="G134" s="25"/>
      <c r="H134" s="25"/>
      <c r="I134" s="20">
        <f t="shared" si="27"/>
        <v>87692694.703999996</v>
      </c>
      <c r="J134" s="25"/>
      <c r="K134" s="25"/>
      <c r="L134" s="21">
        <f t="shared" si="24"/>
        <v>87692694.703999996</v>
      </c>
      <c r="M134" s="17">
        <f>+[2]TEC!AC49</f>
        <v>56657263</v>
      </c>
      <c r="N134" s="17">
        <f t="shared" si="26"/>
        <v>-31035431.703999996</v>
      </c>
      <c r="O134" s="22">
        <f t="shared" si="25"/>
        <v>0.64608874423624763</v>
      </c>
    </row>
    <row r="135" spans="1:15" s="37" customFormat="1" hidden="1" outlineLevel="1" x14ac:dyDescent="0.25">
      <c r="A135" s="36" t="s">
        <v>141</v>
      </c>
      <c r="B135" s="41"/>
      <c r="C135" s="21">
        <f>+[1]TEC!U50</f>
        <v>42736093.351999998</v>
      </c>
      <c r="D135" s="25"/>
      <c r="E135" s="25"/>
      <c r="F135" s="25"/>
      <c r="G135" s="25"/>
      <c r="H135" s="25"/>
      <c r="I135" s="20">
        <f t="shared" si="27"/>
        <v>42736093.351999998</v>
      </c>
      <c r="J135" s="25"/>
      <c r="K135" s="25"/>
      <c r="L135" s="21">
        <f t="shared" si="24"/>
        <v>42736093.351999998</v>
      </c>
      <c r="M135" s="17">
        <f>+[2]TEC!AC50</f>
        <v>28926220</v>
      </c>
      <c r="N135" s="17">
        <f t="shared" si="26"/>
        <v>-13809873.351999998</v>
      </c>
      <c r="O135" s="22">
        <f t="shared" si="25"/>
        <v>0.67685690785412622</v>
      </c>
    </row>
    <row r="136" spans="1:15" s="37" customFormat="1" collapsed="1" x14ac:dyDescent="0.25">
      <c r="A136" s="36"/>
      <c r="B136" s="41"/>
      <c r="C136" s="25"/>
      <c r="D136" s="25"/>
      <c r="E136" s="25"/>
      <c r="F136" s="25"/>
      <c r="G136" s="25"/>
      <c r="H136" s="25"/>
      <c r="I136" s="20"/>
      <c r="J136" s="25"/>
      <c r="K136" s="25"/>
      <c r="L136" s="21"/>
      <c r="M136" s="17"/>
      <c r="N136" s="17"/>
      <c r="O136" s="22"/>
    </row>
    <row r="137" spans="1:15" s="37" customFormat="1" x14ac:dyDescent="0.25">
      <c r="A137" s="35" t="s">
        <v>142</v>
      </c>
      <c r="B137" s="41"/>
      <c r="C137" s="25"/>
      <c r="D137" s="25">
        <f>+D138+D142+D163</f>
        <v>1297503112</v>
      </c>
      <c r="E137" s="25"/>
      <c r="F137" s="25"/>
      <c r="G137" s="25"/>
      <c r="H137" s="25"/>
      <c r="I137" s="15">
        <f t="shared" ref="I137:I173" si="28">SUM(B137:H137)</f>
        <v>1297503112</v>
      </c>
      <c r="J137" s="25"/>
      <c r="K137" s="25">
        <f>+K138+K142+K163</f>
        <v>-150860000</v>
      </c>
      <c r="L137" s="25">
        <f t="shared" ref="L137:L173" si="29">SUM(I137:K137)</f>
        <v>1146643112</v>
      </c>
      <c r="M137" s="18">
        <f>+M138+M142+M163</f>
        <v>897380568</v>
      </c>
      <c r="N137" s="18">
        <f t="shared" si="26"/>
        <v>-249262544</v>
      </c>
      <c r="O137" s="19">
        <f t="shared" ref="O137:O173" si="30">+M137/L137</f>
        <v>0.78261540893466774</v>
      </c>
    </row>
    <row r="138" spans="1:15" s="37" customFormat="1" x14ac:dyDescent="0.25">
      <c r="A138" s="35" t="s">
        <v>143</v>
      </c>
      <c r="B138" s="25"/>
      <c r="C138" s="25"/>
      <c r="D138" s="25">
        <f>SUM(D139:D141)</f>
        <v>412916412</v>
      </c>
      <c r="E138" s="25"/>
      <c r="F138" s="25"/>
      <c r="G138" s="25"/>
      <c r="H138" s="25"/>
      <c r="I138" s="15">
        <f t="shared" si="28"/>
        <v>412916412</v>
      </c>
      <c r="J138" s="25"/>
      <c r="K138" s="25">
        <f>SUM(K139:K141)</f>
        <v>0</v>
      </c>
      <c r="L138" s="25">
        <f t="shared" si="29"/>
        <v>412916412</v>
      </c>
      <c r="M138" s="18">
        <f>SUM(M139:M141)</f>
        <v>412666666</v>
      </c>
      <c r="N138" s="18">
        <f t="shared" si="26"/>
        <v>-249746</v>
      </c>
      <c r="O138" s="19">
        <f t="shared" si="30"/>
        <v>0.99939516572182163</v>
      </c>
    </row>
    <row r="139" spans="1:15" s="37" customFormat="1" hidden="1" outlineLevel="1" x14ac:dyDescent="0.25">
      <c r="A139" s="36" t="s">
        <v>144</v>
      </c>
      <c r="B139" s="25"/>
      <c r="C139" s="25"/>
      <c r="D139" s="21">
        <f>+[1]TRANSF!U38-14000000+5300000</f>
        <v>384875830</v>
      </c>
      <c r="E139" s="25"/>
      <c r="F139" s="25"/>
      <c r="G139" s="25"/>
      <c r="H139" s="25"/>
      <c r="I139" s="20">
        <f t="shared" si="28"/>
        <v>384875830</v>
      </c>
      <c r="J139" s="25"/>
      <c r="K139" s="25"/>
      <c r="L139" s="21">
        <f t="shared" si="29"/>
        <v>384875830</v>
      </c>
      <c r="M139" s="17">
        <f>+[2]TRANSF!AC38</f>
        <v>384875830</v>
      </c>
      <c r="N139" s="17">
        <f t="shared" si="26"/>
        <v>0</v>
      </c>
      <c r="O139" s="22">
        <f t="shared" si="30"/>
        <v>1</v>
      </c>
    </row>
    <row r="140" spans="1:15" s="37" customFormat="1" hidden="1" outlineLevel="1" x14ac:dyDescent="0.25">
      <c r="A140" s="36" t="s">
        <v>95</v>
      </c>
      <c r="B140" s="25"/>
      <c r="C140" s="25"/>
      <c r="D140" s="21">
        <f>+[1]TRANSF!U39</f>
        <v>0</v>
      </c>
      <c r="E140" s="25"/>
      <c r="F140" s="25"/>
      <c r="G140" s="25"/>
      <c r="H140" s="25"/>
      <c r="I140" s="20">
        <f t="shared" si="28"/>
        <v>0</v>
      </c>
      <c r="J140" s="25"/>
      <c r="K140" s="25"/>
      <c r="L140" s="21">
        <f t="shared" si="29"/>
        <v>0</v>
      </c>
      <c r="M140" s="17">
        <f>+[2]TRANSF!AC39</f>
        <v>0</v>
      </c>
      <c r="N140" s="17">
        <f t="shared" si="26"/>
        <v>0</v>
      </c>
      <c r="O140" s="22">
        <v>0</v>
      </c>
    </row>
    <row r="141" spans="1:15" s="37" customFormat="1" hidden="1" outlineLevel="1" x14ac:dyDescent="0.25">
      <c r="A141" s="36" t="s">
        <v>145</v>
      </c>
      <c r="B141" s="25"/>
      <c r="C141" s="25"/>
      <c r="D141" s="21">
        <f>+[1]TRANSF!U40+14000000-5300000</f>
        <v>28040582</v>
      </c>
      <c r="E141" s="25"/>
      <c r="F141" s="25"/>
      <c r="G141" s="25"/>
      <c r="H141" s="25"/>
      <c r="I141" s="20">
        <f t="shared" si="28"/>
        <v>28040582</v>
      </c>
      <c r="J141" s="25"/>
      <c r="K141" s="25"/>
      <c r="L141" s="21">
        <f t="shared" si="29"/>
        <v>28040582</v>
      </c>
      <c r="M141" s="17">
        <f>+[2]TRANSF!AC40</f>
        <v>27790836</v>
      </c>
      <c r="N141" s="17">
        <f t="shared" si="26"/>
        <v>-249746</v>
      </c>
      <c r="O141" s="22">
        <f t="shared" si="30"/>
        <v>0.99109340883152852</v>
      </c>
    </row>
    <row r="142" spans="1:15" s="37" customFormat="1" collapsed="1" x14ac:dyDescent="0.25">
      <c r="A142" s="35" t="s">
        <v>146</v>
      </c>
      <c r="B142" s="25"/>
      <c r="C142" s="25"/>
      <c r="D142" s="25">
        <f>+D143+D155</f>
        <v>524035890</v>
      </c>
      <c r="E142" s="25"/>
      <c r="F142" s="25"/>
      <c r="G142" s="25"/>
      <c r="H142" s="25"/>
      <c r="I142" s="15">
        <f t="shared" si="28"/>
        <v>524035890</v>
      </c>
      <c r="J142" s="25"/>
      <c r="K142" s="25">
        <f>+K143+K155</f>
        <v>-150860000</v>
      </c>
      <c r="L142" s="25">
        <f t="shared" si="29"/>
        <v>373175890</v>
      </c>
      <c r="M142" s="18">
        <f>+M143+M155</f>
        <v>131381332</v>
      </c>
      <c r="N142" s="18">
        <f>+M142-L142</f>
        <v>-241794558</v>
      </c>
      <c r="O142" s="19">
        <f t="shared" si="30"/>
        <v>0.35206275517960178</v>
      </c>
    </row>
    <row r="143" spans="1:15" s="37" customFormat="1" hidden="1" outlineLevel="1" x14ac:dyDescent="0.25">
      <c r="A143" s="35" t="s">
        <v>147</v>
      </c>
      <c r="B143" s="25"/>
      <c r="C143" s="25"/>
      <c r="D143" s="25">
        <f>SUM(D144:D154)</f>
        <v>344502465</v>
      </c>
      <c r="E143" s="25"/>
      <c r="F143" s="25"/>
      <c r="G143" s="25"/>
      <c r="H143" s="25"/>
      <c r="I143" s="15">
        <f t="shared" si="28"/>
        <v>344502465</v>
      </c>
      <c r="J143" s="25"/>
      <c r="K143" s="25">
        <f>SUM(K144:K154)</f>
        <v>-150860000</v>
      </c>
      <c r="L143" s="25">
        <f t="shared" si="29"/>
        <v>193642465</v>
      </c>
      <c r="M143" s="18">
        <f>SUM(M144:M154)</f>
        <v>-11506903</v>
      </c>
      <c r="N143" s="18">
        <f t="shared" ref="N143:N203" si="31">+M143-L143</f>
        <v>-205149368</v>
      </c>
      <c r="O143" s="19">
        <f t="shared" si="30"/>
        <v>-5.9423448260690133E-2</v>
      </c>
    </row>
    <row r="144" spans="1:15" s="37" customFormat="1" hidden="1" outlineLevel="2" x14ac:dyDescent="0.25">
      <c r="A144" s="36" t="s">
        <v>148</v>
      </c>
      <c r="B144" s="25"/>
      <c r="C144" s="25"/>
      <c r="D144" s="21">
        <f>+[1]TRANSF!U43-17000000</f>
        <v>13079480</v>
      </c>
      <c r="E144" s="25"/>
      <c r="F144" s="25"/>
      <c r="G144" s="25"/>
      <c r="H144" s="25"/>
      <c r="I144" s="20">
        <f t="shared" si="28"/>
        <v>13079480</v>
      </c>
      <c r="J144" s="25"/>
      <c r="K144" s="25"/>
      <c r="L144" s="21">
        <f t="shared" si="29"/>
        <v>13079480</v>
      </c>
      <c r="M144" s="17">
        <f>+[2]TRANSF!AC43</f>
        <v>12621003</v>
      </c>
      <c r="N144" s="17">
        <f t="shared" si="31"/>
        <v>-458477</v>
      </c>
      <c r="O144" s="22">
        <f t="shared" si="30"/>
        <v>0.96494684803983033</v>
      </c>
    </row>
    <row r="145" spans="1:15" s="37" customFormat="1" hidden="1" outlineLevel="2" x14ac:dyDescent="0.25">
      <c r="A145" s="36" t="s">
        <v>149</v>
      </c>
      <c r="B145" s="25"/>
      <c r="C145" s="25"/>
      <c r="D145" s="21">
        <f>+[1]TRANSF!U44-7000000-6800000-600000</f>
        <v>13540792</v>
      </c>
      <c r="E145" s="25"/>
      <c r="F145" s="25"/>
      <c r="G145" s="25"/>
      <c r="H145" s="25"/>
      <c r="I145" s="20">
        <f t="shared" si="28"/>
        <v>13540792</v>
      </c>
      <c r="J145" s="25"/>
      <c r="K145" s="25"/>
      <c r="L145" s="21">
        <f t="shared" si="29"/>
        <v>13540792</v>
      </c>
      <c r="M145" s="17">
        <f>+[2]TRANSF!AC44</f>
        <v>11521533</v>
      </c>
      <c r="N145" s="17">
        <f t="shared" si="31"/>
        <v>-2019259</v>
      </c>
      <c r="O145" s="22">
        <f t="shared" si="30"/>
        <v>0.85087585718767411</v>
      </c>
    </row>
    <row r="146" spans="1:15" s="37" customFormat="1" hidden="1" outlineLevel="2" x14ac:dyDescent="0.25">
      <c r="A146" s="36" t="s">
        <v>150</v>
      </c>
      <c r="B146" s="25"/>
      <c r="C146" s="25"/>
      <c r="D146" s="21">
        <f>+[1]TRANSF!U45</f>
        <v>14052576</v>
      </c>
      <c r="E146" s="25"/>
      <c r="F146" s="25"/>
      <c r="G146" s="25"/>
      <c r="H146" s="25"/>
      <c r="I146" s="20">
        <f t="shared" si="28"/>
        <v>14052576</v>
      </c>
      <c r="J146" s="25"/>
      <c r="K146" s="25"/>
      <c r="L146" s="21">
        <f t="shared" si="29"/>
        <v>14052576</v>
      </c>
      <c r="M146" s="17">
        <f>+[2]TRANSF!AC45</f>
        <v>14049504</v>
      </c>
      <c r="N146" s="17">
        <f t="shared" si="31"/>
        <v>-3072</v>
      </c>
      <c r="O146" s="22">
        <f t="shared" si="30"/>
        <v>0.99978139239382158</v>
      </c>
    </row>
    <row r="147" spans="1:15" s="37" customFormat="1" hidden="1" outlineLevel="2" x14ac:dyDescent="0.25">
      <c r="A147" s="36" t="s">
        <v>151</v>
      </c>
      <c r="B147" s="25"/>
      <c r="C147" s="25"/>
      <c r="D147" s="21">
        <f>+[1]TRANSF!U46</f>
        <v>35642141</v>
      </c>
      <c r="E147" s="25"/>
      <c r="F147" s="25"/>
      <c r="G147" s="25"/>
      <c r="H147" s="25"/>
      <c r="I147" s="20">
        <f t="shared" si="28"/>
        <v>35642141</v>
      </c>
      <c r="J147" s="25"/>
      <c r="K147" s="25"/>
      <c r="L147" s="21">
        <f t="shared" si="29"/>
        <v>35642141</v>
      </c>
      <c r="M147" s="17">
        <f>+[2]TRANSF!AC46</f>
        <v>0</v>
      </c>
      <c r="N147" s="17">
        <f t="shared" si="31"/>
        <v>-35642141</v>
      </c>
      <c r="O147" s="22">
        <f t="shared" si="30"/>
        <v>0</v>
      </c>
    </row>
    <row r="148" spans="1:15" s="37" customFormat="1" hidden="1" outlineLevel="2" x14ac:dyDescent="0.25">
      <c r="A148" s="36" t="s">
        <v>152</v>
      </c>
      <c r="B148" s="25"/>
      <c r="C148" s="25"/>
      <c r="D148" s="21">
        <f>+[1]TRANSF!U47-16800000</f>
        <v>47054966</v>
      </c>
      <c r="E148" s="25"/>
      <c r="F148" s="25"/>
      <c r="G148" s="25"/>
      <c r="H148" s="25"/>
      <c r="I148" s="20">
        <f t="shared" si="28"/>
        <v>47054966</v>
      </c>
      <c r="J148" s="25"/>
      <c r="K148" s="25"/>
      <c r="L148" s="21">
        <f t="shared" si="29"/>
        <v>47054966</v>
      </c>
      <c r="M148" s="17">
        <f>+[2]TRANSF!AC47</f>
        <v>40000000</v>
      </c>
      <c r="N148" s="17">
        <f t="shared" si="31"/>
        <v>-7054966</v>
      </c>
      <c r="O148" s="22">
        <f t="shared" si="30"/>
        <v>0.85006968233703539</v>
      </c>
    </row>
    <row r="149" spans="1:15" s="37" customFormat="1" hidden="1" outlineLevel="2" x14ac:dyDescent="0.25">
      <c r="A149" s="36" t="s">
        <v>153</v>
      </c>
      <c r="B149" s="25"/>
      <c r="C149" s="25"/>
      <c r="D149" s="21">
        <f>+[1]TRANSF!U48</f>
        <v>1430</v>
      </c>
      <c r="E149" s="25"/>
      <c r="F149" s="25"/>
      <c r="G149" s="25"/>
      <c r="H149" s="25"/>
      <c r="I149" s="20">
        <f t="shared" si="28"/>
        <v>1430</v>
      </c>
      <c r="J149" s="25"/>
      <c r="K149" s="25"/>
      <c r="L149" s="21">
        <f t="shared" si="29"/>
        <v>1430</v>
      </c>
      <c r="M149" s="17">
        <f>+[2]TRANSF!AC48</f>
        <v>0</v>
      </c>
      <c r="N149" s="17">
        <f t="shared" si="31"/>
        <v>-1430</v>
      </c>
      <c r="O149" s="22">
        <f t="shared" si="30"/>
        <v>0</v>
      </c>
    </row>
    <row r="150" spans="1:15" s="37" customFormat="1" hidden="1" outlineLevel="2" x14ac:dyDescent="0.25">
      <c r="A150" s="36" t="s">
        <v>154</v>
      </c>
      <c r="B150" s="25"/>
      <c r="C150" s="25"/>
      <c r="D150" s="21">
        <f>+[1]TRANSF!U49</f>
        <v>0</v>
      </c>
      <c r="E150" s="25"/>
      <c r="F150" s="25"/>
      <c r="G150" s="25"/>
      <c r="H150" s="25"/>
      <c r="I150" s="20">
        <f t="shared" si="28"/>
        <v>0</v>
      </c>
      <c r="J150" s="25"/>
      <c r="K150" s="25"/>
      <c r="L150" s="21">
        <f t="shared" si="29"/>
        <v>0</v>
      </c>
      <c r="M150" s="17">
        <f>+[2]TRANSF!AC49</f>
        <v>0</v>
      </c>
      <c r="N150" s="17">
        <f t="shared" si="31"/>
        <v>0</v>
      </c>
      <c r="O150" s="22">
        <v>0</v>
      </c>
    </row>
    <row r="151" spans="1:15" s="37" customFormat="1" hidden="1" outlineLevel="2" x14ac:dyDescent="0.25">
      <c r="A151" s="36" t="s">
        <v>155</v>
      </c>
      <c r="B151" s="25"/>
      <c r="C151" s="25"/>
      <c r="D151" s="21">
        <f>+[1]TRANSF!U50+714000</f>
        <v>714000</v>
      </c>
      <c r="E151" s="25"/>
      <c r="F151" s="25"/>
      <c r="G151" s="25"/>
      <c r="H151" s="25"/>
      <c r="I151" s="20">
        <f t="shared" si="28"/>
        <v>714000</v>
      </c>
      <c r="J151" s="25"/>
      <c r="K151" s="25"/>
      <c r="L151" s="21">
        <f t="shared" si="29"/>
        <v>714000</v>
      </c>
      <c r="M151" s="17">
        <f>+[2]TRANSF!AC50</f>
        <v>714000</v>
      </c>
      <c r="N151" s="17">
        <f t="shared" si="31"/>
        <v>0</v>
      </c>
      <c r="O151" s="22">
        <v>0</v>
      </c>
    </row>
    <row r="152" spans="1:15" s="37" customFormat="1" hidden="1" outlineLevel="2" x14ac:dyDescent="0.25">
      <c r="A152" s="36" t="s">
        <v>156</v>
      </c>
      <c r="B152" s="25"/>
      <c r="C152" s="25"/>
      <c r="D152" s="21">
        <f>+[1]TRANSF!U51</f>
        <v>20000000</v>
      </c>
      <c r="E152" s="25"/>
      <c r="F152" s="25"/>
      <c r="G152" s="25"/>
      <c r="H152" s="25"/>
      <c r="I152" s="20">
        <f t="shared" si="28"/>
        <v>20000000</v>
      </c>
      <c r="J152" s="25"/>
      <c r="K152" s="25"/>
      <c r="L152" s="21">
        <f t="shared" si="29"/>
        <v>20000000</v>
      </c>
      <c r="M152" s="17">
        <f>+[2]TRANSF!AC51</f>
        <v>13215000</v>
      </c>
      <c r="N152" s="17">
        <f t="shared" si="31"/>
        <v>-6785000</v>
      </c>
      <c r="O152" s="22">
        <f t="shared" si="30"/>
        <v>0.66074999999999995</v>
      </c>
    </row>
    <row r="153" spans="1:15" s="37" customFormat="1" hidden="1" outlineLevel="2" x14ac:dyDescent="0.25">
      <c r="A153" s="36" t="s">
        <v>157</v>
      </c>
      <c r="B153" s="25"/>
      <c r="C153" s="25"/>
      <c r="D153" s="21">
        <f>+[1]TRANSF!U52</f>
        <v>49557080</v>
      </c>
      <c r="E153" s="25"/>
      <c r="F153" s="25"/>
      <c r="G153" s="25"/>
      <c r="H153" s="25"/>
      <c r="I153" s="20">
        <f t="shared" si="28"/>
        <v>49557080</v>
      </c>
      <c r="J153" s="25"/>
      <c r="K153" s="25"/>
      <c r="L153" s="21">
        <f t="shared" si="29"/>
        <v>49557080</v>
      </c>
      <c r="M153" s="17">
        <f>+[2]TRANSF!AC52</f>
        <v>48872057</v>
      </c>
      <c r="N153" s="17">
        <f t="shared" si="31"/>
        <v>-685023</v>
      </c>
      <c r="O153" s="22">
        <f t="shared" si="30"/>
        <v>0.98617709114419172</v>
      </c>
    </row>
    <row r="154" spans="1:15" s="37" customFormat="1" hidden="1" outlineLevel="2" x14ac:dyDescent="0.25">
      <c r="A154" s="36" t="s">
        <v>158</v>
      </c>
      <c r="B154" s="25"/>
      <c r="C154" s="25"/>
      <c r="D154" s="21">
        <f>+[1]TRANSF!U53</f>
        <v>150860000</v>
      </c>
      <c r="E154" s="25"/>
      <c r="F154" s="25"/>
      <c r="G154" s="25"/>
      <c r="H154" s="25"/>
      <c r="I154" s="20">
        <f t="shared" si="28"/>
        <v>150860000</v>
      </c>
      <c r="J154" s="25"/>
      <c r="K154" s="21">
        <v>-150860000</v>
      </c>
      <c r="L154" s="21">
        <f t="shared" si="29"/>
        <v>0</v>
      </c>
      <c r="M154" s="17">
        <f>+[2]TRANSF!AC53</f>
        <v>-152500000</v>
      </c>
      <c r="N154" s="17">
        <f t="shared" si="31"/>
        <v>-152500000</v>
      </c>
      <c r="O154" s="22" t="e">
        <f t="shared" si="30"/>
        <v>#DIV/0!</v>
      </c>
    </row>
    <row r="155" spans="1:15" s="37" customFormat="1" hidden="1" outlineLevel="1" x14ac:dyDescent="0.25">
      <c r="A155" s="35" t="s">
        <v>159</v>
      </c>
      <c r="B155" s="25"/>
      <c r="C155" s="25"/>
      <c r="D155" s="25">
        <f>SUM(D156:D162)</f>
        <v>179533425</v>
      </c>
      <c r="E155" s="25"/>
      <c r="F155" s="25"/>
      <c r="G155" s="25"/>
      <c r="H155" s="25"/>
      <c r="I155" s="15">
        <f t="shared" si="28"/>
        <v>179533425</v>
      </c>
      <c r="J155" s="25"/>
      <c r="K155" s="25">
        <f>SUM(K156:K162)</f>
        <v>0</v>
      </c>
      <c r="L155" s="25">
        <f t="shared" si="29"/>
        <v>179533425</v>
      </c>
      <c r="M155" s="18">
        <f>SUM(M156:M162)</f>
        <v>142888235</v>
      </c>
      <c r="N155" s="18">
        <f t="shared" si="31"/>
        <v>-36645190</v>
      </c>
      <c r="O155" s="19">
        <f t="shared" si="30"/>
        <v>0.79588653199258019</v>
      </c>
    </row>
    <row r="156" spans="1:15" s="37" customFormat="1" hidden="1" outlineLevel="2" x14ac:dyDescent="0.25">
      <c r="A156" s="36" t="s">
        <v>160</v>
      </c>
      <c r="B156" s="25"/>
      <c r="C156" s="25"/>
      <c r="D156" s="21">
        <f>+[1]TRANSF!U55-714000</f>
        <v>11694198</v>
      </c>
      <c r="E156" s="25"/>
      <c r="F156" s="25"/>
      <c r="G156" s="25"/>
      <c r="H156" s="25"/>
      <c r="I156" s="20">
        <f t="shared" si="28"/>
        <v>11694198</v>
      </c>
      <c r="J156" s="25"/>
      <c r="K156" s="25"/>
      <c r="L156" s="21">
        <f t="shared" si="29"/>
        <v>11694198</v>
      </c>
      <c r="M156" s="17">
        <f>+[2]TRANSF!AC55</f>
        <v>9776184</v>
      </c>
      <c r="N156" s="17">
        <f t="shared" si="31"/>
        <v>-1918014</v>
      </c>
      <c r="O156" s="22">
        <f t="shared" si="30"/>
        <v>0.83598584528840714</v>
      </c>
    </row>
    <row r="157" spans="1:15" s="37" customFormat="1" hidden="1" outlineLevel="2" x14ac:dyDescent="0.25">
      <c r="A157" s="36" t="s">
        <v>161</v>
      </c>
      <c r="B157" s="25"/>
      <c r="C157" s="25"/>
      <c r="D157" s="21">
        <f>+[1]TRANSF!U56</f>
        <v>18700000</v>
      </c>
      <c r="E157" s="25"/>
      <c r="F157" s="25"/>
      <c r="G157" s="25"/>
      <c r="H157" s="25"/>
      <c r="I157" s="20">
        <f t="shared" si="28"/>
        <v>18700000</v>
      </c>
      <c r="J157" s="25"/>
      <c r="K157" s="25"/>
      <c r="L157" s="21">
        <f t="shared" si="29"/>
        <v>18700000</v>
      </c>
      <c r="M157" s="17">
        <f>+[2]TRANSF!AC56</f>
        <v>12511550</v>
      </c>
      <c r="N157" s="17">
        <f t="shared" si="31"/>
        <v>-6188450</v>
      </c>
      <c r="O157" s="33">
        <f t="shared" si="30"/>
        <v>0.66906684491978607</v>
      </c>
    </row>
    <row r="158" spans="1:15" s="37" customFormat="1" hidden="1" outlineLevel="2" x14ac:dyDescent="0.25">
      <c r="A158" s="36" t="s">
        <v>162</v>
      </c>
      <c r="B158" s="25"/>
      <c r="C158" s="25"/>
      <c r="D158" s="21">
        <f>+[1]TRANSF!U57</f>
        <v>0</v>
      </c>
      <c r="E158" s="25"/>
      <c r="F158" s="25"/>
      <c r="G158" s="25"/>
      <c r="H158" s="25"/>
      <c r="I158" s="20">
        <f t="shared" si="28"/>
        <v>0</v>
      </c>
      <c r="J158" s="25"/>
      <c r="K158" s="25"/>
      <c r="L158" s="21">
        <f t="shared" si="29"/>
        <v>0</v>
      </c>
      <c r="M158" s="17">
        <f>+[2]TRANSF!AC57</f>
        <v>0</v>
      </c>
      <c r="N158" s="17">
        <f t="shared" si="31"/>
        <v>0</v>
      </c>
      <c r="O158" s="33">
        <v>0</v>
      </c>
    </row>
    <row r="159" spans="1:15" s="37" customFormat="1" hidden="1" outlineLevel="2" x14ac:dyDescent="0.25">
      <c r="A159" s="36" t="s">
        <v>163</v>
      </c>
      <c r="B159" s="25"/>
      <c r="C159" s="25"/>
      <c r="D159" s="21">
        <f>+[1]TRANSF!U58-10300000</f>
        <v>23200000</v>
      </c>
      <c r="E159" s="25"/>
      <c r="F159" s="25"/>
      <c r="G159" s="25"/>
      <c r="H159" s="25"/>
      <c r="I159" s="20">
        <f t="shared" si="28"/>
        <v>23200000</v>
      </c>
      <c r="J159" s="25"/>
      <c r="K159" s="25"/>
      <c r="L159" s="21">
        <f t="shared" si="29"/>
        <v>23200000</v>
      </c>
      <c r="M159" s="17">
        <f>+[2]TRANSF!AC58</f>
        <v>-4000000</v>
      </c>
      <c r="N159" s="17">
        <f t="shared" si="31"/>
        <v>-27200000</v>
      </c>
      <c r="O159" s="33">
        <f t="shared" si="30"/>
        <v>-0.17241379310344829</v>
      </c>
    </row>
    <row r="160" spans="1:15" s="37" customFormat="1" hidden="1" outlineLevel="2" x14ac:dyDescent="0.25">
      <c r="A160" s="36" t="s">
        <v>164</v>
      </c>
      <c r="B160" s="25"/>
      <c r="C160" s="25"/>
      <c r="D160" s="21">
        <f>+[1]TRANSF!U59+17000000+6800000+10300000</f>
        <v>84100000</v>
      </c>
      <c r="E160" s="25"/>
      <c r="F160" s="25"/>
      <c r="G160" s="25"/>
      <c r="H160" s="25"/>
      <c r="I160" s="20">
        <f t="shared" si="28"/>
        <v>84100000</v>
      </c>
      <c r="J160" s="25"/>
      <c r="K160" s="25"/>
      <c r="L160" s="21">
        <f t="shared" si="29"/>
        <v>84100000</v>
      </c>
      <c r="M160" s="17">
        <f>+[2]TRANSF!AC59</f>
        <v>84027087</v>
      </c>
      <c r="N160" s="17">
        <f t="shared" si="31"/>
        <v>-72913</v>
      </c>
      <c r="O160" s="33">
        <f t="shared" si="30"/>
        <v>0.99913302021403094</v>
      </c>
    </row>
    <row r="161" spans="1:15" s="37" customFormat="1" hidden="1" outlineLevel="2" x14ac:dyDescent="0.25">
      <c r="A161" s="36" t="s">
        <v>165</v>
      </c>
      <c r="B161" s="25"/>
      <c r="C161" s="25"/>
      <c r="D161" s="21">
        <f>+[1]TRANSF!U60+16800000+7000000</f>
        <v>35246291</v>
      </c>
      <c r="E161" s="25"/>
      <c r="F161" s="25"/>
      <c r="G161" s="25"/>
      <c r="H161" s="25"/>
      <c r="I161" s="20">
        <f t="shared" si="28"/>
        <v>35246291</v>
      </c>
      <c r="J161" s="25"/>
      <c r="K161" s="25"/>
      <c r="L161" s="21">
        <f t="shared" si="29"/>
        <v>35246291</v>
      </c>
      <c r="M161" s="17">
        <f>+[2]TRANSF!AC60</f>
        <v>34464584</v>
      </c>
      <c r="N161" s="17">
        <f t="shared" si="31"/>
        <v>-781707</v>
      </c>
      <c r="O161" s="33">
        <f t="shared" si="30"/>
        <v>0.97782158128354557</v>
      </c>
    </row>
    <row r="162" spans="1:15" s="37" customFormat="1" hidden="1" outlineLevel="2" x14ac:dyDescent="0.25">
      <c r="A162" s="36" t="s">
        <v>166</v>
      </c>
      <c r="B162" s="25"/>
      <c r="C162" s="25"/>
      <c r="D162" s="21">
        <f>+[1]TRANSF!U61+600000</f>
        <v>6592936</v>
      </c>
      <c r="E162" s="25"/>
      <c r="F162" s="25"/>
      <c r="G162" s="25"/>
      <c r="H162" s="25"/>
      <c r="I162" s="20">
        <f t="shared" si="28"/>
        <v>6592936</v>
      </c>
      <c r="J162" s="25"/>
      <c r="K162" s="25"/>
      <c r="L162" s="21">
        <f t="shared" si="29"/>
        <v>6592936</v>
      </c>
      <c r="M162" s="17">
        <f>+[2]TRANSF!AC61</f>
        <v>6108830</v>
      </c>
      <c r="N162" s="17">
        <f t="shared" si="31"/>
        <v>-484106</v>
      </c>
      <c r="O162" s="33">
        <f t="shared" si="30"/>
        <v>0.92657201586667914</v>
      </c>
    </row>
    <row r="163" spans="1:15" s="37" customFormat="1" collapsed="1" x14ac:dyDescent="0.25">
      <c r="A163" s="35" t="s">
        <v>167</v>
      </c>
      <c r="B163" s="25"/>
      <c r="C163" s="25"/>
      <c r="D163" s="25">
        <f>+D164+D168</f>
        <v>360550810</v>
      </c>
      <c r="E163" s="25"/>
      <c r="F163" s="25"/>
      <c r="G163" s="25"/>
      <c r="H163" s="25"/>
      <c r="I163" s="15">
        <f t="shared" si="28"/>
        <v>360550810</v>
      </c>
      <c r="J163" s="25"/>
      <c r="K163" s="25">
        <f>+K164+K168</f>
        <v>0</v>
      </c>
      <c r="L163" s="25">
        <f t="shared" si="29"/>
        <v>360550810</v>
      </c>
      <c r="M163" s="18">
        <f>+M164+M168</f>
        <v>353332570</v>
      </c>
      <c r="N163" s="18">
        <f t="shared" si="31"/>
        <v>-7218240</v>
      </c>
      <c r="O163" s="39">
        <f t="shared" si="30"/>
        <v>0.97997996454369363</v>
      </c>
    </row>
    <row r="164" spans="1:15" s="37" customFormat="1" hidden="1" outlineLevel="1" x14ac:dyDescent="0.25">
      <c r="A164" s="35" t="s">
        <v>168</v>
      </c>
      <c r="B164" s="25"/>
      <c r="C164" s="25"/>
      <c r="D164" s="25">
        <f>SUM(D165:D167)</f>
        <v>73156172</v>
      </c>
      <c r="E164" s="25"/>
      <c r="F164" s="25"/>
      <c r="G164" s="25"/>
      <c r="H164" s="25"/>
      <c r="I164" s="15">
        <f t="shared" si="28"/>
        <v>73156172</v>
      </c>
      <c r="J164" s="25"/>
      <c r="K164" s="25">
        <f>SUM(K165:K167)</f>
        <v>0</v>
      </c>
      <c r="L164" s="25">
        <f t="shared" si="29"/>
        <v>73156172</v>
      </c>
      <c r="M164" s="18">
        <f>SUM(M165:M167)</f>
        <v>71064881</v>
      </c>
      <c r="N164" s="18">
        <f t="shared" si="31"/>
        <v>-2091291</v>
      </c>
      <c r="O164" s="39">
        <f t="shared" si="30"/>
        <v>0.97141333474911729</v>
      </c>
    </row>
    <row r="165" spans="1:15" s="37" customFormat="1" hidden="1" outlineLevel="2" x14ac:dyDescent="0.25">
      <c r="A165" s="36" t="s">
        <v>169</v>
      </c>
      <c r="B165" s="25"/>
      <c r="C165" s="25"/>
      <c r="D165" s="21">
        <f>+[1]TRANSF!U64-35500000-7700000</f>
        <v>7395122</v>
      </c>
      <c r="E165" s="25"/>
      <c r="F165" s="25"/>
      <c r="G165" s="25"/>
      <c r="H165" s="25"/>
      <c r="I165" s="20">
        <f t="shared" si="28"/>
        <v>7395122</v>
      </c>
      <c r="J165" s="25"/>
      <c r="K165" s="25"/>
      <c r="L165" s="21">
        <f t="shared" si="29"/>
        <v>7395122</v>
      </c>
      <c r="M165" s="17">
        <f>+[2]TRANSF!AC64</f>
        <v>5388906</v>
      </c>
      <c r="N165" s="17">
        <f t="shared" si="31"/>
        <v>-2006216</v>
      </c>
      <c r="O165" s="33">
        <f t="shared" si="30"/>
        <v>0.72871089888713125</v>
      </c>
    </row>
    <row r="166" spans="1:15" s="37" customFormat="1" hidden="1" outlineLevel="2" x14ac:dyDescent="0.25">
      <c r="A166" s="36" t="s">
        <v>170</v>
      </c>
      <c r="B166" s="25"/>
      <c r="C166" s="25"/>
      <c r="D166" s="21">
        <f>+[1]TRANSF!U65-26600000</f>
        <v>35959714</v>
      </c>
      <c r="E166" s="25"/>
      <c r="F166" s="25"/>
      <c r="G166" s="25"/>
      <c r="H166" s="25"/>
      <c r="I166" s="20">
        <f t="shared" si="28"/>
        <v>35959714</v>
      </c>
      <c r="J166" s="25"/>
      <c r="K166" s="25"/>
      <c r="L166" s="21">
        <f t="shared" si="29"/>
        <v>35959714</v>
      </c>
      <c r="M166" s="17">
        <f>+[2]TRANSF!AC65</f>
        <v>35874639</v>
      </c>
      <c r="N166" s="17">
        <f t="shared" si="31"/>
        <v>-85075</v>
      </c>
      <c r="O166" s="33">
        <f t="shared" si="30"/>
        <v>0.99763415804697442</v>
      </c>
    </row>
    <row r="167" spans="1:15" s="37" customFormat="1" hidden="1" outlineLevel="2" x14ac:dyDescent="0.25">
      <c r="A167" s="36" t="s">
        <v>171</v>
      </c>
      <c r="B167" s="25"/>
      <c r="C167" s="25"/>
      <c r="D167" s="21">
        <f>+[1]TRANSF!U66</f>
        <v>29801336</v>
      </c>
      <c r="E167" s="25"/>
      <c r="F167" s="25"/>
      <c r="G167" s="25"/>
      <c r="H167" s="25"/>
      <c r="I167" s="20">
        <f t="shared" si="28"/>
        <v>29801336</v>
      </c>
      <c r="J167" s="25"/>
      <c r="K167" s="25"/>
      <c r="L167" s="21">
        <f t="shared" si="29"/>
        <v>29801336</v>
      </c>
      <c r="M167" s="17">
        <f>+[2]TRANSF!AC66</f>
        <v>29801336</v>
      </c>
      <c r="N167" s="17">
        <f t="shared" si="31"/>
        <v>0</v>
      </c>
      <c r="O167" s="33">
        <f t="shared" si="30"/>
        <v>1</v>
      </c>
    </row>
    <row r="168" spans="1:15" s="37" customFormat="1" hidden="1" outlineLevel="1" x14ac:dyDescent="0.25">
      <c r="A168" s="35" t="s">
        <v>172</v>
      </c>
      <c r="B168" s="25"/>
      <c r="C168" s="25"/>
      <c r="D168" s="25">
        <f>SUM(D169:D173)</f>
        <v>287394638</v>
      </c>
      <c r="E168" s="25"/>
      <c r="F168" s="25"/>
      <c r="G168" s="25"/>
      <c r="H168" s="25"/>
      <c r="I168" s="15">
        <f t="shared" si="28"/>
        <v>287394638</v>
      </c>
      <c r="J168" s="25"/>
      <c r="K168" s="25">
        <f>SUM(K169:K173)</f>
        <v>0</v>
      </c>
      <c r="L168" s="25">
        <f t="shared" si="29"/>
        <v>287394638</v>
      </c>
      <c r="M168" s="18">
        <f>SUM(M169:M173)</f>
        <v>282267689</v>
      </c>
      <c r="N168" s="18">
        <f t="shared" si="31"/>
        <v>-5126949</v>
      </c>
      <c r="O168" s="39">
        <f t="shared" si="30"/>
        <v>0.98216059619038543</v>
      </c>
    </row>
    <row r="169" spans="1:15" s="37" customFormat="1" hidden="1" outlineLevel="2" x14ac:dyDescent="0.25">
      <c r="A169" s="36" t="s">
        <v>173</v>
      </c>
      <c r="B169" s="25"/>
      <c r="C169" s="25"/>
      <c r="D169" s="21">
        <f>+[1]TRANSF!U68+35500000+26600000+20900000+2700000+25000000-3000000</f>
        <v>214002955</v>
      </c>
      <c r="E169" s="25"/>
      <c r="F169" s="25"/>
      <c r="G169" s="25"/>
      <c r="H169" s="25"/>
      <c r="I169" s="20">
        <f t="shared" si="28"/>
        <v>214002955</v>
      </c>
      <c r="J169" s="25"/>
      <c r="K169" s="25"/>
      <c r="L169" s="21">
        <f t="shared" si="29"/>
        <v>214002955</v>
      </c>
      <c r="M169" s="17">
        <f>+[2]TRANSF!AC68</f>
        <v>211684370</v>
      </c>
      <c r="N169" s="17">
        <f t="shared" si="31"/>
        <v>-2318585</v>
      </c>
      <c r="O169" s="33">
        <f t="shared" si="30"/>
        <v>0.98916564025950016</v>
      </c>
    </row>
    <row r="170" spans="1:15" s="37" customFormat="1" hidden="1" outlineLevel="2" x14ac:dyDescent="0.25">
      <c r="A170" s="36" t="s">
        <v>174</v>
      </c>
      <c r="B170" s="25"/>
      <c r="C170" s="25"/>
      <c r="D170" s="21">
        <f>+[1]TRANSF!U69-20900000</f>
        <v>3692000</v>
      </c>
      <c r="E170" s="21"/>
      <c r="F170" s="21"/>
      <c r="G170" s="21"/>
      <c r="H170" s="21"/>
      <c r="I170" s="20">
        <f t="shared" si="28"/>
        <v>3692000</v>
      </c>
      <c r="J170" s="21"/>
      <c r="K170" s="21"/>
      <c r="L170" s="21">
        <f t="shared" si="29"/>
        <v>3692000</v>
      </c>
      <c r="M170" s="17">
        <f>+[2]TRANSF!AC69</f>
        <v>3619692</v>
      </c>
      <c r="N170" s="17">
        <f t="shared" si="31"/>
        <v>-72308</v>
      </c>
      <c r="O170" s="33">
        <f t="shared" si="30"/>
        <v>0.98041495124593714</v>
      </c>
    </row>
    <row r="171" spans="1:15" s="37" customFormat="1" hidden="1" outlineLevel="2" x14ac:dyDescent="0.25">
      <c r="A171" s="36" t="s">
        <v>175</v>
      </c>
      <c r="B171" s="25"/>
      <c r="C171" s="25"/>
      <c r="D171" s="21">
        <f>+[1]TRANSF!U70+7700000+3000000</f>
        <v>16568149</v>
      </c>
      <c r="E171" s="21"/>
      <c r="F171" s="21"/>
      <c r="G171" s="21"/>
      <c r="H171" s="21"/>
      <c r="I171" s="20">
        <f t="shared" si="28"/>
        <v>16568149</v>
      </c>
      <c r="J171" s="21"/>
      <c r="K171" s="21"/>
      <c r="L171" s="21">
        <f t="shared" si="29"/>
        <v>16568149</v>
      </c>
      <c r="M171" s="17">
        <f>+[2]TRANSF!AC70</f>
        <v>16514992</v>
      </c>
      <c r="N171" s="17">
        <f t="shared" si="31"/>
        <v>-53157</v>
      </c>
      <c r="O171" s="22">
        <f t="shared" si="30"/>
        <v>0.99679161504402214</v>
      </c>
    </row>
    <row r="172" spans="1:15" s="37" customFormat="1" hidden="1" outlineLevel="1" x14ac:dyDescent="0.25">
      <c r="A172" s="35" t="s">
        <v>176</v>
      </c>
      <c r="B172" s="25"/>
      <c r="C172" s="25"/>
      <c r="D172" s="25">
        <f>+[1]TRANSF!U71-2700000</f>
        <v>7697110</v>
      </c>
      <c r="E172" s="25"/>
      <c r="F172" s="25"/>
      <c r="G172" s="25"/>
      <c r="H172" s="25"/>
      <c r="I172" s="15">
        <f t="shared" si="28"/>
        <v>7697110</v>
      </c>
      <c r="J172" s="25"/>
      <c r="K172" s="25"/>
      <c r="L172" s="25">
        <f t="shared" si="29"/>
        <v>7697110</v>
      </c>
      <c r="M172" s="18">
        <f>+[2]TRANSF!AC71</f>
        <v>6192899</v>
      </c>
      <c r="N172" s="18">
        <f t="shared" si="31"/>
        <v>-1504211</v>
      </c>
      <c r="O172" s="19">
        <f t="shared" si="30"/>
        <v>0.8045745740933935</v>
      </c>
    </row>
    <row r="173" spans="1:15" s="37" customFormat="1" hidden="1" outlineLevel="1" x14ac:dyDescent="0.25">
      <c r="A173" s="35" t="s">
        <v>177</v>
      </c>
      <c r="B173" s="25"/>
      <c r="C173" s="25"/>
      <c r="D173" s="25">
        <f>+[1]TRANSF!U72-25000000</f>
        <v>45434424</v>
      </c>
      <c r="E173" s="25"/>
      <c r="F173" s="25"/>
      <c r="G173" s="25"/>
      <c r="H173" s="25"/>
      <c r="I173" s="15">
        <f t="shared" si="28"/>
        <v>45434424</v>
      </c>
      <c r="J173" s="25"/>
      <c r="K173" s="25"/>
      <c r="L173" s="25">
        <f t="shared" si="29"/>
        <v>45434424</v>
      </c>
      <c r="M173" s="18">
        <f>+[2]TRANSF!AC72</f>
        <v>44255736</v>
      </c>
      <c r="N173" s="18">
        <f t="shared" si="31"/>
        <v>-1178688</v>
      </c>
      <c r="O173" s="19">
        <f t="shared" si="30"/>
        <v>0.97405737992848773</v>
      </c>
    </row>
    <row r="174" spans="1:15" s="37" customFormat="1" collapsed="1" x14ac:dyDescent="0.25">
      <c r="A174" s="36"/>
      <c r="B174" s="25"/>
      <c r="C174" s="25"/>
      <c r="D174" s="25"/>
      <c r="E174" s="25"/>
      <c r="F174" s="25"/>
      <c r="G174" s="25"/>
      <c r="H174" s="25"/>
      <c r="I174" s="20"/>
      <c r="J174" s="25"/>
      <c r="K174" s="25"/>
      <c r="L174" s="21"/>
      <c r="M174" s="17"/>
      <c r="N174" s="17"/>
      <c r="O174" s="22"/>
    </row>
    <row r="175" spans="1:15" s="37" customFormat="1" x14ac:dyDescent="0.25">
      <c r="A175" s="35" t="s">
        <v>178</v>
      </c>
      <c r="B175" s="25"/>
      <c r="C175" s="25"/>
      <c r="D175" s="25"/>
      <c r="E175" s="25">
        <f>+E176+E179</f>
        <v>253932438</v>
      </c>
      <c r="F175" s="25"/>
      <c r="G175" s="25"/>
      <c r="H175" s="25"/>
      <c r="I175" s="25">
        <f t="shared" ref="I175:I182" si="32">SUM(B175:H175)</f>
        <v>253932438</v>
      </c>
      <c r="J175" s="25"/>
      <c r="K175" s="25"/>
      <c r="L175" s="25">
        <f t="shared" ref="L175:L182" si="33">SUM(I175:K175)</f>
        <v>253932438</v>
      </c>
      <c r="M175" s="18">
        <f>+M176+M179</f>
        <v>237407166</v>
      </c>
      <c r="N175" s="18">
        <f t="shared" si="31"/>
        <v>-16525272</v>
      </c>
      <c r="O175" s="19">
        <f t="shared" ref="O175:O182" si="34">+M175/L175</f>
        <v>0.93492256393017426</v>
      </c>
    </row>
    <row r="176" spans="1:15" s="37" customFormat="1" x14ac:dyDescent="0.25">
      <c r="A176" s="35" t="s">
        <v>179</v>
      </c>
      <c r="B176" s="25"/>
      <c r="C176" s="25"/>
      <c r="D176" s="25"/>
      <c r="E176" s="25">
        <f>SUM(E177:E178)</f>
        <v>187813185</v>
      </c>
      <c r="F176" s="25"/>
      <c r="G176" s="25"/>
      <c r="H176" s="25"/>
      <c r="I176" s="25">
        <f t="shared" si="32"/>
        <v>187813185</v>
      </c>
      <c r="J176" s="25"/>
      <c r="K176" s="25"/>
      <c r="L176" s="25">
        <f t="shared" si="33"/>
        <v>187813185</v>
      </c>
      <c r="M176" s="18">
        <f>SUM(M177:M178)</f>
        <v>187073112</v>
      </c>
      <c r="N176" s="18">
        <f t="shared" si="31"/>
        <v>-740073</v>
      </c>
      <c r="O176" s="19">
        <f t="shared" si="34"/>
        <v>0.99605952585277757</v>
      </c>
    </row>
    <row r="177" spans="1:15" s="37" customFormat="1" hidden="1" outlineLevel="1" x14ac:dyDescent="0.25">
      <c r="A177" s="36" t="s">
        <v>180</v>
      </c>
      <c r="B177" s="25"/>
      <c r="C177" s="25"/>
      <c r="D177" s="25"/>
      <c r="E177" s="21">
        <f>+[1]SAN!U32</f>
        <v>155128949</v>
      </c>
      <c r="F177" s="25"/>
      <c r="G177" s="25"/>
      <c r="H177" s="25"/>
      <c r="I177" s="20">
        <f t="shared" si="32"/>
        <v>155128949</v>
      </c>
      <c r="J177" s="25"/>
      <c r="K177" s="25"/>
      <c r="L177" s="21">
        <f t="shared" si="33"/>
        <v>155128949</v>
      </c>
      <c r="M177" s="17">
        <f>+[2]SAN!AC32</f>
        <v>154395112</v>
      </c>
      <c r="N177" s="17">
        <f t="shared" si="31"/>
        <v>-733837</v>
      </c>
      <c r="O177" s="22">
        <f t="shared" si="34"/>
        <v>0.99526950317957741</v>
      </c>
    </row>
    <row r="178" spans="1:15" s="37" customFormat="1" hidden="1" outlineLevel="1" x14ac:dyDescent="0.25">
      <c r="A178" s="36" t="s">
        <v>181</v>
      </c>
      <c r="B178" s="25"/>
      <c r="C178" s="25"/>
      <c r="D178" s="25"/>
      <c r="E178" s="21">
        <f>+[1]SAN!U33</f>
        <v>32684236</v>
      </c>
      <c r="F178" s="25"/>
      <c r="G178" s="25"/>
      <c r="H178" s="25"/>
      <c r="I178" s="20">
        <f t="shared" si="32"/>
        <v>32684236</v>
      </c>
      <c r="J178" s="25"/>
      <c r="K178" s="25"/>
      <c r="L178" s="21">
        <f t="shared" si="33"/>
        <v>32684236</v>
      </c>
      <c r="M178" s="17">
        <f>+[2]SAN!AC33</f>
        <v>32678000</v>
      </c>
      <c r="N178" s="17">
        <f t="shared" si="31"/>
        <v>-6236</v>
      </c>
      <c r="O178" s="22">
        <f t="shared" si="34"/>
        <v>0.99980920465756029</v>
      </c>
    </row>
    <row r="179" spans="1:15" s="37" customFormat="1" collapsed="1" x14ac:dyDescent="0.25">
      <c r="A179" s="35" t="s">
        <v>182</v>
      </c>
      <c r="B179" s="25"/>
      <c r="C179" s="25"/>
      <c r="D179" s="25"/>
      <c r="E179" s="25">
        <f>SUM(E180:E182)</f>
        <v>66119253</v>
      </c>
      <c r="F179" s="25"/>
      <c r="G179" s="25"/>
      <c r="H179" s="25"/>
      <c r="I179" s="25">
        <f t="shared" si="32"/>
        <v>66119253</v>
      </c>
      <c r="J179" s="25"/>
      <c r="K179" s="25"/>
      <c r="L179" s="25">
        <f t="shared" si="33"/>
        <v>66119253</v>
      </c>
      <c r="M179" s="18">
        <f>SUM(M180:M182)</f>
        <v>50334054</v>
      </c>
      <c r="N179" s="18">
        <f t="shared" si="31"/>
        <v>-15785199</v>
      </c>
      <c r="O179" s="19">
        <f t="shared" si="34"/>
        <v>0.76126168576042441</v>
      </c>
    </row>
    <row r="180" spans="1:15" s="37" customFormat="1" hidden="1" outlineLevel="1" x14ac:dyDescent="0.25">
      <c r="A180" s="36" t="s">
        <v>183</v>
      </c>
      <c r="B180" s="25"/>
      <c r="C180" s="25"/>
      <c r="D180" s="25"/>
      <c r="E180" s="21">
        <f>+[1]SAN!U35</f>
        <v>0</v>
      </c>
      <c r="F180" s="25"/>
      <c r="G180" s="25"/>
      <c r="H180" s="25"/>
      <c r="I180" s="20">
        <f t="shared" si="32"/>
        <v>0</v>
      </c>
      <c r="J180" s="25"/>
      <c r="K180" s="25"/>
      <c r="L180" s="21">
        <f t="shared" si="33"/>
        <v>0</v>
      </c>
      <c r="M180" s="17">
        <f>+[2]SAN!AC35</f>
        <v>0</v>
      </c>
      <c r="N180" s="17">
        <f t="shared" si="31"/>
        <v>0</v>
      </c>
      <c r="O180" s="22">
        <v>0</v>
      </c>
    </row>
    <row r="181" spans="1:15" s="37" customFormat="1" hidden="1" outlineLevel="1" x14ac:dyDescent="0.25">
      <c r="A181" s="36" t="s">
        <v>184</v>
      </c>
      <c r="B181" s="25"/>
      <c r="C181" s="25"/>
      <c r="D181" s="25"/>
      <c r="E181" s="21">
        <f>+[1]SAN!U36</f>
        <v>41774664</v>
      </c>
      <c r="F181" s="25"/>
      <c r="G181" s="25"/>
      <c r="H181" s="25"/>
      <c r="I181" s="20">
        <f t="shared" si="32"/>
        <v>41774664</v>
      </c>
      <c r="J181" s="25"/>
      <c r="K181" s="25"/>
      <c r="L181" s="21">
        <f t="shared" si="33"/>
        <v>41774664</v>
      </c>
      <c r="M181" s="17">
        <f>+[2]SAN!AC36</f>
        <v>31847470</v>
      </c>
      <c r="N181" s="17">
        <f t="shared" si="31"/>
        <v>-9927194</v>
      </c>
      <c r="O181" s="22">
        <f t="shared" si="34"/>
        <v>0.76236328316129609</v>
      </c>
    </row>
    <row r="182" spans="1:15" s="37" customFormat="1" hidden="1" outlineLevel="1" x14ac:dyDescent="0.25">
      <c r="A182" s="36" t="s">
        <v>185</v>
      </c>
      <c r="B182" s="25"/>
      <c r="C182" s="25"/>
      <c r="D182" s="25"/>
      <c r="E182" s="21">
        <f>+[1]SAN!U37</f>
        <v>24344589</v>
      </c>
      <c r="F182" s="25"/>
      <c r="G182" s="25"/>
      <c r="H182" s="25"/>
      <c r="I182" s="20">
        <f t="shared" si="32"/>
        <v>24344589</v>
      </c>
      <c r="J182" s="25"/>
      <c r="K182" s="25"/>
      <c r="L182" s="21">
        <f t="shared" si="33"/>
        <v>24344589</v>
      </c>
      <c r="M182" s="17">
        <f>+[2]SAN!AC37</f>
        <v>18486584</v>
      </c>
      <c r="N182" s="17">
        <f t="shared" si="31"/>
        <v>-5858005</v>
      </c>
      <c r="O182" s="22">
        <f t="shared" si="34"/>
        <v>0.7593713740659167</v>
      </c>
    </row>
    <row r="183" spans="1:15" s="37" customFormat="1" collapsed="1" x14ac:dyDescent="0.25">
      <c r="A183" s="36"/>
      <c r="B183" s="21"/>
      <c r="C183" s="25"/>
      <c r="D183" s="25"/>
      <c r="E183" s="25"/>
      <c r="F183" s="25"/>
      <c r="G183" s="25"/>
      <c r="H183" s="25"/>
      <c r="I183" s="20"/>
      <c r="J183" s="25"/>
      <c r="K183" s="25"/>
      <c r="L183" s="21"/>
      <c r="M183" s="17"/>
      <c r="N183" s="17"/>
      <c r="O183" s="22"/>
    </row>
    <row r="184" spans="1:15" s="37" customFormat="1" x14ac:dyDescent="0.25">
      <c r="A184" s="35" t="s">
        <v>186</v>
      </c>
      <c r="B184" s="25"/>
      <c r="C184" s="25"/>
      <c r="D184" s="25"/>
      <c r="E184" s="25"/>
      <c r="F184" s="25"/>
      <c r="G184" s="25"/>
      <c r="H184" s="25">
        <f>+H185+H190+H194</f>
        <v>835973249</v>
      </c>
      <c r="I184" s="25">
        <f t="shared" ref="I184:I197" si="35">SUM(B184:H184)</f>
        <v>835973249</v>
      </c>
      <c r="J184" s="25"/>
      <c r="K184" s="25"/>
      <c r="L184" s="25">
        <f t="shared" ref="L184:L197" si="36">SUM(I184:K184)</f>
        <v>835973249</v>
      </c>
      <c r="M184" s="18">
        <f>+M185+M190+M194</f>
        <v>822984835</v>
      </c>
      <c r="N184" s="18">
        <f t="shared" si="31"/>
        <v>-12988414</v>
      </c>
      <c r="O184" s="19">
        <f t="shared" ref="O184:O197" si="37">+M184/L184</f>
        <v>0.9844631224557282</v>
      </c>
    </row>
    <row r="185" spans="1:15" s="37" customFormat="1" x14ac:dyDescent="0.25">
      <c r="A185" s="35" t="s">
        <v>187</v>
      </c>
      <c r="B185" s="25"/>
      <c r="C185" s="25"/>
      <c r="D185" s="25"/>
      <c r="E185" s="25"/>
      <c r="F185" s="25"/>
      <c r="G185" s="25"/>
      <c r="H185" s="25">
        <f>SUM(H186:H189)</f>
        <v>463359111</v>
      </c>
      <c r="I185" s="25">
        <f t="shared" si="35"/>
        <v>463359111</v>
      </c>
      <c r="J185" s="25"/>
      <c r="K185" s="25"/>
      <c r="L185" s="25">
        <f t="shared" si="36"/>
        <v>463359111</v>
      </c>
      <c r="M185" s="18">
        <f>SUM(M186:M189)</f>
        <v>454688777</v>
      </c>
      <c r="N185" s="18">
        <f t="shared" si="31"/>
        <v>-8670334</v>
      </c>
      <c r="O185" s="19">
        <f t="shared" si="37"/>
        <v>0.9812880899626899</v>
      </c>
    </row>
    <row r="186" spans="1:15" s="37" customFormat="1" hidden="1" outlineLevel="1" x14ac:dyDescent="0.25">
      <c r="A186" s="36" t="s">
        <v>188</v>
      </c>
      <c r="B186" s="25"/>
      <c r="C186" s="25"/>
      <c r="D186" s="25"/>
      <c r="E186" s="21"/>
      <c r="F186" s="25"/>
      <c r="G186" s="25"/>
      <c r="H186" s="21">
        <f>+[1]COM!U38</f>
        <v>2505574</v>
      </c>
      <c r="I186" s="20">
        <f t="shared" si="35"/>
        <v>2505574</v>
      </c>
      <c r="J186" s="25"/>
      <c r="K186" s="25"/>
      <c r="L186" s="21">
        <f t="shared" si="36"/>
        <v>2505574</v>
      </c>
      <c r="M186" s="17">
        <f>+[2]COM!AC38</f>
        <v>2475028</v>
      </c>
      <c r="N186" s="17">
        <f t="shared" si="31"/>
        <v>-30546</v>
      </c>
      <c r="O186" s="22">
        <f t="shared" si="37"/>
        <v>0.98780878154067686</v>
      </c>
    </row>
    <row r="187" spans="1:15" s="37" customFormat="1" hidden="1" outlineLevel="1" x14ac:dyDescent="0.25">
      <c r="A187" s="36" t="s">
        <v>189</v>
      </c>
      <c r="B187" s="25"/>
      <c r="C187" s="25"/>
      <c r="D187" s="25"/>
      <c r="E187" s="21"/>
      <c r="F187" s="25"/>
      <c r="G187" s="25"/>
      <c r="H187" s="21">
        <f>+[1]COM!U39</f>
        <v>305960753</v>
      </c>
      <c r="I187" s="20">
        <f t="shared" si="35"/>
        <v>305960753</v>
      </c>
      <c r="J187" s="25"/>
      <c r="K187" s="25"/>
      <c r="L187" s="21">
        <f t="shared" si="36"/>
        <v>305960753</v>
      </c>
      <c r="M187" s="17">
        <f>+[2]COM!AC39</f>
        <v>303523281</v>
      </c>
      <c r="N187" s="17">
        <f t="shared" si="31"/>
        <v>-2437472</v>
      </c>
      <c r="O187" s="22">
        <f t="shared" si="37"/>
        <v>0.99203338344509828</v>
      </c>
    </row>
    <row r="188" spans="1:15" s="37" customFormat="1" hidden="1" outlineLevel="1" x14ac:dyDescent="0.25">
      <c r="A188" s="36" t="s">
        <v>190</v>
      </c>
      <c r="B188" s="25"/>
      <c r="C188" s="25"/>
      <c r="D188" s="25"/>
      <c r="E188" s="21"/>
      <c r="F188" s="25"/>
      <c r="G188" s="25"/>
      <c r="H188" s="21">
        <f>+[1]COM!U40</f>
        <v>136241698</v>
      </c>
      <c r="I188" s="20">
        <f t="shared" si="35"/>
        <v>136241698</v>
      </c>
      <c r="J188" s="25"/>
      <c r="K188" s="25"/>
      <c r="L188" s="21">
        <f t="shared" si="36"/>
        <v>136241698</v>
      </c>
      <c r="M188" s="17">
        <f>+[2]COM!AC40</f>
        <v>136018438</v>
      </c>
      <c r="N188" s="17">
        <f t="shared" si="31"/>
        <v>-223260</v>
      </c>
      <c r="O188" s="22">
        <f t="shared" si="37"/>
        <v>0.99836129464563783</v>
      </c>
    </row>
    <row r="189" spans="1:15" s="37" customFormat="1" hidden="1" outlineLevel="1" x14ac:dyDescent="0.25">
      <c r="A189" s="36" t="s">
        <v>191</v>
      </c>
      <c r="B189" s="25"/>
      <c r="C189" s="25"/>
      <c r="D189" s="25"/>
      <c r="E189" s="21"/>
      <c r="F189" s="25"/>
      <c r="G189" s="25"/>
      <c r="H189" s="21">
        <f>+[1]COM!U41</f>
        <v>18651086</v>
      </c>
      <c r="I189" s="20">
        <f t="shared" si="35"/>
        <v>18651086</v>
      </c>
      <c r="J189" s="25"/>
      <c r="K189" s="25"/>
      <c r="L189" s="21">
        <f t="shared" si="36"/>
        <v>18651086</v>
      </c>
      <c r="M189" s="17">
        <f>+[2]COM!AC41</f>
        <v>12672030</v>
      </c>
      <c r="N189" s="17">
        <f t="shared" si="31"/>
        <v>-5979056</v>
      </c>
      <c r="O189" s="22">
        <f t="shared" si="37"/>
        <v>0.67942585219970564</v>
      </c>
    </row>
    <row r="190" spans="1:15" s="37" customFormat="1" collapsed="1" x14ac:dyDescent="0.25">
      <c r="A190" s="35" t="s">
        <v>192</v>
      </c>
      <c r="B190" s="25"/>
      <c r="C190" s="25"/>
      <c r="D190" s="25"/>
      <c r="E190" s="25"/>
      <c r="F190" s="25"/>
      <c r="G190" s="25"/>
      <c r="H190" s="25">
        <f>SUM(H191:H193)</f>
        <v>222551905</v>
      </c>
      <c r="I190" s="25">
        <f t="shared" si="35"/>
        <v>222551905</v>
      </c>
      <c r="J190" s="25"/>
      <c r="K190" s="25"/>
      <c r="L190" s="25">
        <f t="shared" si="36"/>
        <v>222551905</v>
      </c>
      <c r="M190" s="18">
        <f>SUM(M191:M193)</f>
        <v>218409336</v>
      </c>
      <c r="N190" s="18">
        <f t="shared" si="31"/>
        <v>-4142569</v>
      </c>
      <c r="O190" s="19">
        <f t="shared" si="37"/>
        <v>0.98138605463745632</v>
      </c>
    </row>
    <row r="191" spans="1:15" s="37" customFormat="1" hidden="1" outlineLevel="1" x14ac:dyDescent="0.25">
      <c r="A191" s="36" t="s">
        <v>188</v>
      </c>
      <c r="B191" s="25"/>
      <c r="C191" s="25"/>
      <c r="D191" s="25"/>
      <c r="E191" s="21"/>
      <c r="F191" s="25"/>
      <c r="G191" s="25"/>
      <c r="H191" s="21">
        <f>+[1]COM!U43</f>
        <v>3494145</v>
      </c>
      <c r="I191" s="20">
        <f t="shared" si="35"/>
        <v>3494145</v>
      </c>
      <c r="J191" s="25"/>
      <c r="K191" s="25"/>
      <c r="L191" s="21">
        <f t="shared" si="36"/>
        <v>3494145</v>
      </c>
      <c r="M191" s="17">
        <f>+[2]COM!AC43</f>
        <v>3395665</v>
      </c>
      <c r="N191" s="17">
        <f t="shared" si="31"/>
        <v>-98480</v>
      </c>
      <c r="O191" s="22">
        <f t="shared" si="37"/>
        <v>0.97181570885009061</v>
      </c>
    </row>
    <row r="192" spans="1:15" s="37" customFormat="1" hidden="1" outlineLevel="1" x14ac:dyDescent="0.25">
      <c r="A192" s="36" t="s">
        <v>193</v>
      </c>
      <c r="B192" s="25"/>
      <c r="C192" s="25"/>
      <c r="D192" s="25"/>
      <c r="E192" s="21"/>
      <c r="F192" s="25"/>
      <c r="G192" s="25"/>
      <c r="H192" s="21">
        <f>+[1]COM!U44</f>
        <v>196738528</v>
      </c>
      <c r="I192" s="20">
        <f t="shared" si="35"/>
        <v>196738528</v>
      </c>
      <c r="J192" s="25"/>
      <c r="K192" s="25"/>
      <c r="L192" s="21">
        <f t="shared" si="36"/>
        <v>196738528</v>
      </c>
      <c r="M192" s="17">
        <f>+[2]COM!AC44</f>
        <v>196738528</v>
      </c>
      <c r="N192" s="17">
        <f t="shared" si="31"/>
        <v>0</v>
      </c>
      <c r="O192" s="22">
        <f t="shared" si="37"/>
        <v>1</v>
      </c>
    </row>
    <row r="193" spans="1:17" s="37" customFormat="1" hidden="1" outlineLevel="1" x14ac:dyDescent="0.25">
      <c r="A193" s="36" t="s">
        <v>194</v>
      </c>
      <c r="B193" s="25"/>
      <c r="C193" s="25"/>
      <c r="D193" s="25"/>
      <c r="E193" s="21"/>
      <c r="F193" s="25"/>
      <c r="G193" s="25"/>
      <c r="H193" s="21">
        <f>+[1]COM!U45</f>
        <v>22319232</v>
      </c>
      <c r="I193" s="20">
        <f t="shared" si="35"/>
        <v>22319232</v>
      </c>
      <c r="J193" s="25"/>
      <c r="K193" s="25"/>
      <c r="L193" s="21">
        <f t="shared" si="36"/>
        <v>22319232</v>
      </c>
      <c r="M193" s="17">
        <f>+[2]COM!AC45</f>
        <v>18275143</v>
      </c>
      <c r="N193" s="17">
        <f>+M193-L193</f>
        <v>-4044089</v>
      </c>
      <c r="O193" s="22">
        <f t="shared" si="37"/>
        <v>0.81880698224741788</v>
      </c>
    </row>
    <row r="194" spans="1:17" s="37" customFormat="1" collapsed="1" x14ac:dyDescent="0.25">
      <c r="A194" s="35" t="s">
        <v>195</v>
      </c>
      <c r="B194" s="25"/>
      <c r="C194" s="25"/>
      <c r="D194" s="25"/>
      <c r="E194" s="25"/>
      <c r="F194" s="25"/>
      <c r="G194" s="25"/>
      <c r="H194" s="25">
        <f>SUM(H195:H197)</f>
        <v>150062233</v>
      </c>
      <c r="I194" s="25">
        <f t="shared" si="35"/>
        <v>150062233</v>
      </c>
      <c r="J194" s="25"/>
      <c r="K194" s="25"/>
      <c r="L194" s="25">
        <f t="shared" si="36"/>
        <v>150062233</v>
      </c>
      <c r="M194" s="18">
        <f>SUM(M195:M197)</f>
        <v>149886722</v>
      </c>
      <c r="N194" s="18">
        <f t="shared" si="31"/>
        <v>-175511</v>
      </c>
      <c r="O194" s="19">
        <f t="shared" si="37"/>
        <v>0.99883041191316935</v>
      </c>
    </row>
    <row r="195" spans="1:17" s="37" customFormat="1" hidden="1" outlineLevel="1" x14ac:dyDescent="0.25">
      <c r="A195" s="36" t="s">
        <v>188</v>
      </c>
      <c r="B195" s="25"/>
      <c r="C195" s="25"/>
      <c r="D195" s="25"/>
      <c r="E195" s="21"/>
      <c r="F195" s="25"/>
      <c r="G195" s="25"/>
      <c r="H195" s="21">
        <f>+[1]COM!U47</f>
        <v>246692</v>
      </c>
      <c r="I195" s="20">
        <f t="shared" si="35"/>
        <v>246692</v>
      </c>
      <c r="J195" s="25"/>
      <c r="K195" s="25"/>
      <c r="L195" s="21">
        <f t="shared" si="36"/>
        <v>246692</v>
      </c>
      <c r="M195" s="17">
        <f>+[2]COM!AC47</f>
        <v>178910</v>
      </c>
      <c r="N195" s="17">
        <f t="shared" si="31"/>
        <v>-67782</v>
      </c>
      <c r="O195" s="22">
        <f t="shared" si="37"/>
        <v>0.72523632707992147</v>
      </c>
    </row>
    <row r="196" spans="1:17" s="37" customFormat="1" hidden="1" outlineLevel="1" x14ac:dyDescent="0.25">
      <c r="A196" s="36" t="s">
        <v>196</v>
      </c>
      <c r="B196" s="25"/>
      <c r="C196" s="25"/>
      <c r="D196" s="25"/>
      <c r="E196" s="21"/>
      <c r="F196" s="25"/>
      <c r="G196" s="25"/>
      <c r="H196" s="21">
        <f>+[1]COM!U48</f>
        <v>25522394</v>
      </c>
      <c r="I196" s="20">
        <f t="shared" si="35"/>
        <v>25522394</v>
      </c>
      <c r="J196" s="25"/>
      <c r="K196" s="25"/>
      <c r="L196" s="21">
        <f t="shared" si="36"/>
        <v>25522394</v>
      </c>
      <c r="M196" s="17">
        <f>+[2]COM!AC48</f>
        <v>25522394</v>
      </c>
      <c r="N196" s="17">
        <f t="shared" si="31"/>
        <v>0</v>
      </c>
      <c r="O196" s="22">
        <f t="shared" si="37"/>
        <v>1</v>
      </c>
    </row>
    <row r="197" spans="1:17" s="37" customFormat="1" hidden="1" outlineLevel="1" x14ac:dyDescent="0.25">
      <c r="A197" s="36" t="s">
        <v>197</v>
      </c>
      <c r="B197" s="25"/>
      <c r="C197" s="25"/>
      <c r="D197" s="25"/>
      <c r="E197" s="21"/>
      <c r="F197" s="25"/>
      <c r="G197" s="25"/>
      <c r="H197" s="21">
        <f>+[1]COM!U49</f>
        <v>124293147</v>
      </c>
      <c r="I197" s="20">
        <f t="shared" si="35"/>
        <v>124293147</v>
      </c>
      <c r="J197" s="25"/>
      <c r="K197" s="25"/>
      <c r="L197" s="21">
        <f t="shared" si="36"/>
        <v>124293147</v>
      </c>
      <c r="M197" s="17">
        <f>+[2]COM!AC49</f>
        <v>124185418</v>
      </c>
      <c r="N197" s="17">
        <f t="shared" si="31"/>
        <v>-107729</v>
      </c>
      <c r="O197" s="22">
        <f t="shared" si="37"/>
        <v>0.99913326677616421</v>
      </c>
    </row>
    <row r="198" spans="1:17" s="37" customFormat="1" collapsed="1" x14ac:dyDescent="0.25">
      <c r="A198" s="36"/>
      <c r="B198" s="21"/>
      <c r="C198" s="25"/>
      <c r="D198" s="25"/>
      <c r="E198" s="25"/>
      <c r="F198" s="25"/>
      <c r="G198" s="25"/>
      <c r="H198" s="25"/>
      <c r="I198" s="20"/>
      <c r="J198" s="25"/>
      <c r="K198" s="25"/>
      <c r="L198" s="21"/>
      <c r="M198" s="17"/>
      <c r="N198" s="17"/>
      <c r="O198" s="22"/>
    </row>
    <row r="199" spans="1:17" x14ac:dyDescent="0.25">
      <c r="A199" s="40" t="s">
        <v>198</v>
      </c>
      <c r="B199" s="21"/>
      <c r="C199" s="21"/>
      <c r="D199" s="21"/>
      <c r="E199" s="21"/>
      <c r="F199" s="21"/>
      <c r="G199" s="21"/>
      <c r="H199" s="21"/>
      <c r="I199" s="20"/>
      <c r="J199" s="25">
        <f>SUM(J200:J201)</f>
        <v>2097398793</v>
      </c>
      <c r="K199" s="25"/>
      <c r="L199" s="25">
        <f>SUM(I199:K199)</f>
        <v>2097398793</v>
      </c>
      <c r="M199" s="18">
        <f>SUM(M200:M201)</f>
        <v>1952887825</v>
      </c>
      <c r="N199" s="18">
        <f t="shared" si="31"/>
        <v>-144510968</v>
      </c>
      <c r="O199" s="19">
        <f>+M199/L199</f>
        <v>0.93109990885743776</v>
      </c>
    </row>
    <row r="200" spans="1:17" hidden="1" outlineLevel="1" x14ac:dyDescent="0.25">
      <c r="A200" s="45" t="s">
        <v>199</v>
      </c>
      <c r="B200" s="21"/>
      <c r="C200" s="21"/>
      <c r="D200" s="21"/>
      <c r="E200" s="21"/>
      <c r="F200" s="21"/>
      <c r="G200" s="21"/>
      <c r="H200" s="21"/>
      <c r="I200" s="20"/>
      <c r="J200" s="21">
        <f>+[1]FUN!$U$59</f>
        <v>1310872853.5625</v>
      </c>
      <c r="K200" s="21"/>
      <c r="L200" s="21">
        <f>SUM(I200:K200)</f>
        <v>1310872853.5625</v>
      </c>
      <c r="M200" s="17">
        <f>+[2]FUN!AC59</f>
        <v>1220554892</v>
      </c>
      <c r="N200" s="17">
        <f t="shared" si="31"/>
        <v>-90317961.5625</v>
      </c>
      <c r="O200" s="22">
        <f>+M200/L200</f>
        <v>0.93110089867446189</v>
      </c>
    </row>
    <row r="201" spans="1:17" hidden="1" outlineLevel="1" x14ac:dyDescent="0.25">
      <c r="A201" s="45" t="s">
        <v>200</v>
      </c>
      <c r="B201" s="21"/>
      <c r="C201" s="21"/>
      <c r="D201" s="21"/>
      <c r="E201" s="21"/>
      <c r="F201" s="21"/>
      <c r="H201" s="21"/>
      <c r="I201" s="20"/>
      <c r="J201" s="21">
        <f>+[1]FUN!$U$60</f>
        <v>786525939.4375</v>
      </c>
      <c r="K201" s="21"/>
      <c r="L201" s="21">
        <f>SUM(I201:K201)</f>
        <v>786525939.4375</v>
      </c>
      <c r="M201" s="17">
        <f>+[2]FUN!AC60</f>
        <v>732332933</v>
      </c>
      <c r="N201" s="17">
        <f t="shared" si="31"/>
        <v>-54193006.4375</v>
      </c>
      <c r="O201" s="22">
        <f>+M201/L201</f>
        <v>0.93109825916706923</v>
      </c>
    </row>
    <row r="202" spans="1:17" collapsed="1" x14ac:dyDescent="0.25">
      <c r="A202" s="24"/>
      <c r="B202" s="21"/>
      <c r="C202" s="21"/>
      <c r="D202" s="21"/>
      <c r="E202" s="21"/>
      <c r="F202" s="21"/>
      <c r="G202" s="21"/>
      <c r="H202" s="21"/>
      <c r="I202" s="20"/>
      <c r="J202" s="21"/>
      <c r="K202" s="21"/>
      <c r="L202" s="21"/>
      <c r="M202" s="17"/>
      <c r="N202" s="17"/>
      <c r="O202" s="19"/>
    </row>
    <row r="203" spans="1:17" x14ac:dyDescent="0.25">
      <c r="A203" s="40" t="s">
        <v>201</v>
      </c>
      <c r="B203" s="25"/>
      <c r="C203" s="25"/>
      <c r="D203" s="25"/>
      <c r="E203" s="25"/>
      <c r="F203" s="25"/>
      <c r="G203" s="25"/>
      <c r="H203" s="25"/>
      <c r="I203" s="25"/>
      <c r="J203" s="25">
        <v>0</v>
      </c>
      <c r="K203" s="25"/>
      <c r="L203" s="25">
        <f>SUM(I203:K203)</f>
        <v>0</v>
      </c>
      <c r="M203" s="17">
        <v>0</v>
      </c>
      <c r="N203" s="17">
        <f t="shared" si="31"/>
        <v>0</v>
      </c>
      <c r="O203" s="19">
        <v>0</v>
      </c>
      <c r="P203" s="26"/>
      <c r="Q203" s="46"/>
    </row>
    <row r="204" spans="1:17" x14ac:dyDescent="0.25">
      <c r="A204" s="40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47"/>
      <c r="M204" s="17"/>
      <c r="N204" s="17"/>
      <c r="O204" s="19"/>
      <c r="P204" s="26"/>
      <c r="Q204" s="32"/>
    </row>
    <row r="205" spans="1:17" x14ac:dyDescent="0.25">
      <c r="A205" s="40" t="s">
        <v>202</v>
      </c>
      <c r="B205" s="25"/>
      <c r="C205" s="25"/>
      <c r="D205" s="25"/>
      <c r="E205" s="25"/>
      <c r="F205" s="25"/>
      <c r="G205" s="25">
        <v>0</v>
      </c>
      <c r="H205" s="25"/>
      <c r="I205" s="25">
        <f>SUM(B205:H205)</f>
        <v>0</v>
      </c>
      <c r="J205" s="25"/>
      <c r="K205" s="25"/>
      <c r="L205" s="47">
        <f>SUM(I205:K205)</f>
        <v>0</v>
      </c>
      <c r="M205" s="17">
        <v>0</v>
      </c>
      <c r="N205" s="17">
        <v>0</v>
      </c>
      <c r="O205" s="19">
        <v>0</v>
      </c>
    </row>
    <row r="206" spans="1:17" x14ac:dyDescent="0.25">
      <c r="A206" s="24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17"/>
      <c r="N206" s="17"/>
      <c r="O206" s="19"/>
    </row>
    <row r="207" spans="1:17" x14ac:dyDescent="0.25">
      <c r="A207" s="40" t="s">
        <v>203</v>
      </c>
      <c r="B207" s="21"/>
      <c r="C207" s="21"/>
      <c r="D207" s="21"/>
      <c r="E207" s="21"/>
      <c r="F207" s="21"/>
      <c r="G207" s="21"/>
      <c r="H207" s="21"/>
      <c r="I207" s="25"/>
      <c r="J207" s="25">
        <f>SUM(J208:J209)</f>
        <v>0</v>
      </c>
      <c r="K207" s="25"/>
      <c r="L207" s="25">
        <f>SUM(I207:K207)</f>
        <v>0</v>
      </c>
      <c r="M207" s="17">
        <v>0</v>
      </c>
      <c r="N207" s="17">
        <f>+M207-L207</f>
        <v>0</v>
      </c>
      <c r="O207" s="19">
        <v>0</v>
      </c>
    </row>
    <row r="208" spans="1:17" hidden="1" outlineLevel="1" x14ac:dyDescent="0.25">
      <c r="A208" s="16" t="s">
        <v>204</v>
      </c>
      <c r="B208" s="21"/>
      <c r="C208" s="21"/>
      <c r="D208" s="21"/>
      <c r="E208" s="21"/>
      <c r="F208" s="21"/>
      <c r="G208" s="21"/>
      <c r="H208" s="21"/>
      <c r="I208" s="20"/>
      <c r="J208" s="21">
        <v>0</v>
      </c>
      <c r="K208" s="21"/>
      <c r="L208" s="21">
        <f>SUM(I208:K208)</f>
        <v>0</v>
      </c>
      <c r="M208" s="17">
        <v>0</v>
      </c>
      <c r="N208" s="17">
        <f>+M208-L208</f>
        <v>0</v>
      </c>
      <c r="O208" s="22">
        <v>0</v>
      </c>
    </row>
    <row r="209" spans="1:17" hidden="1" outlineLevel="1" x14ac:dyDescent="0.25">
      <c r="A209" s="16" t="s">
        <v>205</v>
      </c>
      <c r="B209" s="21"/>
      <c r="C209" s="21"/>
      <c r="D209" s="21"/>
      <c r="E209" s="21"/>
      <c r="F209" s="21"/>
      <c r="G209" s="21"/>
      <c r="H209" s="21"/>
      <c r="I209" s="20"/>
      <c r="J209" s="21">
        <v>0</v>
      </c>
      <c r="K209" s="21"/>
      <c r="L209" s="21">
        <f>SUM(I209:K209)</f>
        <v>0</v>
      </c>
      <c r="M209" s="17">
        <v>0</v>
      </c>
      <c r="N209" s="17">
        <v>0</v>
      </c>
      <c r="O209" s="22">
        <v>0</v>
      </c>
    </row>
    <row r="210" spans="1:17" collapsed="1" x14ac:dyDescent="0.25">
      <c r="A210" s="24"/>
      <c r="B210" s="21"/>
      <c r="C210" s="21"/>
      <c r="D210" s="21"/>
      <c r="E210" s="21"/>
      <c r="F210" s="21"/>
      <c r="G210" s="21"/>
      <c r="H210" s="21"/>
      <c r="I210" s="20"/>
      <c r="J210" s="21"/>
      <c r="K210" s="21"/>
      <c r="L210" s="21"/>
      <c r="M210" s="17"/>
      <c r="N210" s="17"/>
      <c r="O210" s="19"/>
      <c r="Q210" s="48"/>
    </row>
    <row r="211" spans="1:17" x14ac:dyDescent="0.25">
      <c r="A211" s="24" t="s">
        <v>206</v>
      </c>
      <c r="B211" s="25">
        <f>+B52+B54</f>
        <v>593096088</v>
      </c>
      <c r="C211" s="25">
        <f t="shared" ref="C211:H211" si="38">+C52+C54</f>
        <v>1741765856.056</v>
      </c>
      <c r="D211" s="25">
        <f t="shared" si="38"/>
        <v>1492441510</v>
      </c>
      <c r="E211" s="25">
        <f t="shared" si="38"/>
        <v>280016716</v>
      </c>
      <c r="F211" s="25">
        <f t="shared" si="38"/>
        <v>4968531389.6000004</v>
      </c>
      <c r="G211" s="25">
        <f t="shared" si="38"/>
        <v>5025523593</v>
      </c>
      <c r="H211" s="25">
        <f t="shared" si="38"/>
        <v>1231041498</v>
      </c>
      <c r="I211" s="25">
        <f>SUM(B211:H211)</f>
        <v>15332416650.656</v>
      </c>
      <c r="J211" s="25">
        <f>+J199+J52</f>
        <v>3366681338</v>
      </c>
      <c r="K211" s="25">
        <f>+K54+K52</f>
        <v>-248929948</v>
      </c>
      <c r="L211" s="25">
        <f>SUM(I211:K211)</f>
        <v>18450168040.655998</v>
      </c>
      <c r="M211" s="18">
        <f>+M52+M54+M199</f>
        <v>16436150703</v>
      </c>
      <c r="N211" s="18">
        <f>+M211-L211</f>
        <v>-2014017337.6559982</v>
      </c>
      <c r="O211" s="19">
        <f>+M211/L211</f>
        <v>0.89084016290702628</v>
      </c>
      <c r="P211" s="26"/>
      <c r="Q211" s="49"/>
    </row>
    <row r="212" spans="1:17" x14ac:dyDescent="0.25">
      <c r="A212" s="16"/>
      <c r="B212" s="25"/>
      <c r="C212" s="50"/>
      <c r="D212" s="50"/>
      <c r="E212" s="21"/>
      <c r="F212" s="50"/>
      <c r="G212" s="21"/>
      <c r="H212" s="50"/>
      <c r="I212" s="16"/>
      <c r="J212" s="50"/>
      <c r="K212" s="50"/>
      <c r="L212" s="50"/>
      <c r="M212" s="51"/>
      <c r="N212" s="51"/>
      <c r="O212" s="16"/>
      <c r="P212" s="30"/>
      <c r="Q212" s="52"/>
    </row>
    <row r="213" spans="1:17" x14ac:dyDescent="0.25">
      <c r="B213" s="26">
        <f>+B211-[1]ECO!$U$46</f>
        <v>0</v>
      </c>
      <c r="C213" s="26">
        <f>+C211-[1]TEC!$U$54</f>
        <v>0</v>
      </c>
      <c r="D213" s="26">
        <f>+D211-[1]TRANSF!$U$75</f>
        <v>0</v>
      </c>
      <c r="E213" s="26">
        <f>+E211-[1]SAN!$U$40</f>
        <v>0</v>
      </c>
      <c r="F213" s="26">
        <f>+F211-[1]MER!$U$77</f>
        <v>0</v>
      </c>
      <c r="G213" s="53">
        <f>+G211-[1]PPC!$U$62</f>
        <v>0</v>
      </c>
      <c r="H213" s="26">
        <f>+H211-[1]COM!$U$53</f>
        <v>0</v>
      </c>
      <c r="I213" s="26"/>
      <c r="J213" s="26">
        <f>+J211-[1]FUN!$U$68</f>
        <v>0</v>
      </c>
      <c r="K213" s="26"/>
      <c r="L213" s="26"/>
      <c r="M213" s="54"/>
      <c r="N213" s="55"/>
      <c r="O213" s="56"/>
    </row>
    <row r="214" spans="1:17" x14ac:dyDescent="0.25">
      <c r="B214" s="26"/>
      <c r="C214" s="26"/>
      <c r="D214" s="26"/>
      <c r="E214" s="26"/>
      <c r="F214" s="26"/>
      <c r="G214" s="53"/>
      <c r="H214" s="26"/>
      <c r="I214" s="26"/>
      <c r="J214" s="26"/>
      <c r="K214" s="26"/>
      <c r="L214" s="57"/>
      <c r="M214" s="55"/>
      <c r="N214" s="58"/>
      <c r="O214" s="59"/>
    </row>
    <row r="215" spans="1:17" hidden="1" outlineLevel="1" x14ac:dyDescent="0.25">
      <c r="I215" s="60"/>
      <c r="J215" s="60"/>
      <c r="K215" s="60"/>
      <c r="L215" s="61"/>
      <c r="M215" s="58"/>
    </row>
    <row r="216" spans="1:17" hidden="1" outlineLevel="1" x14ac:dyDescent="0.25">
      <c r="A216" s="26"/>
      <c r="G216" s="37"/>
      <c r="I216" s="26"/>
      <c r="J216" s="63"/>
      <c r="K216" s="63"/>
      <c r="L216" s="63"/>
      <c r="N216" s="64"/>
    </row>
    <row r="217" spans="1:17" ht="14.4" hidden="1" outlineLevel="1" thickBot="1" x14ac:dyDescent="0.3">
      <c r="C217" s="26"/>
      <c r="D217" s="30"/>
      <c r="G217" s="37"/>
      <c r="I217" s="65"/>
      <c r="J217" s="66"/>
      <c r="K217" s="66"/>
      <c r="L217" s="66"/>
      <c r="M217" s="64"/>
    </row>
    <row r="218" spans="1:17" hidden="1" outlineLevel="1" x14ac:dyDescent="0.25">
      <c r="B218" s="26"/>
      <c r="C218" s="26"/>
      <c r="D218" s="30"/>
      <c r="I218" s="67"/>
      <c r="J218" s="68"/>
      <c r="K218" s="68"/>
      <c r="L218" s="68"/>
    </row>
    <row r="219" spans="1:17" collapsed="1" x14ac:dyDescent="0.25">
      <c r="I219" s="26"/>
      <c r="J219" s="69"/>
      <c r="K219" s="69"/>
      <c r="L219" s="57"/>
    </row>
    <row r="220" spans="1:17" hidden="1" x14ac:dyDescent="0.25">
      <c r="I220" s="60"/>
      <c r="J220" s="60"/>
      <c r="K220" s="60"/>
      <c r="L220" s="70"/>
    </row>
    <row r="221" spans="1:17" hidden="1" x14ac:dyDescent="0.25">
      <c r="I221" s="71"/>
      <c r="J221" s="72"/>
      <c r="K221" s="72"/>
      <c r="L221" s="73"/>
    </row>
    <row r="222" spans="1:17" hidden="1" x14ac:dyDescent="0.25">
      <c r="I222" s="26"/>
      <c r="J222" s="27"/>
      <c r="K222" s="27"/>
      <c r="L222" s="63"/>
    </row>
    <row r="223" spans="1:17" hidden="1" x14ac:dyDescent="0.25">
      <c r="I223" s="26"/>
      <c r="J223" s="26"/>
      <c r="K223" s="26"/>
      <c r="L223" s="26"/>
    </row>
    <row r="224" spans="1:17" hidden="1" x14ac:dyDescent="0.25">
      <c r="F224" s="37"/>
      <c r="H224" s="37"/>
      <c r="I224" s="67"/>
      <c r="J224" s="67"/>
      <c r="K224" s="67"/>
      <c r="L224" s="67"/>
    </row>
    <row r="225" spans="12:12" x14ac:dyDescent="0.25">
      <c r="L225" s="26"/>
    </row>
    <row r="226" spans="12:12" x14ac:dyDescent="0.25">
      <c r="L226" s="26"/>
    </row>
    <row r="227" spans="12:12" x14ac:dyDescent="0.25"/>
    <row r="228" spans="12:12" x14ac:dyDescent="0.25"/>
    <row r="229" spans="12:12" x14ac:dyDescent="0.25"/>
    <row r="230" spans="12:12" x14ac:dyDescent="0.25"/>
    <row r="231" spans="12:12" x14ac:dyDescent="0.25"/>
    <row r="232" spans="12:12" x14ac:dyDescent="0.25"/>
    <row r="233" spans="12:12" x14ac:dyDescent="0.25"/>
    <row r="234" spans="12:12" x14ac:dyDescent="0.25"/>
    <row r="235" spans="12:12" x14ac:dyDescent="0.25"/>
    <row r="236" spans="12:12" x14ac:dyDescent="0.25"/>
    <row r="237" spans="12:12" x14ac:dyDescent="0.25"/>
    <row r="238" spans="12:12" x14ac:dyDescent="0.25"/>
    <row r="239" spans="12:12" x14ac:dyDescent="0.25"/>
    <row r="240" spans="12:12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</sheetData>
  <mergeCells count="4">
    <mergeCell ref="A1:O1"/>
    <mergeCell ref="A2:O2"/>
    <mergeCell ref="A3:O3"/>
    <mergeCell ref="A4:O4"/>
  </mergeCells>
  <printOptions horizontalCentered="1"/>
  <pageMargins left="0.7" right="0.7" top="0.75" bottom="0.75" header="0.3" footer="0.3"/>
  <pageSetup scale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 </vt:lpstr>
      <vt:lpstr>'Anexo 2 '!Área_de_impresión</vt:lpstr>
      <vt:lpstr>'Anexo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2026-03-31T15:56:00Z</dcterms:created>
  <dcterms:modified xsi:type="dcterms:W3CDTF">2026-03-31T15:57:37Z</dcterms:modified>
</cp:coreProperties>
</file>