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B:\Año 2020\información y soportes ley de transparencia 2020\5. PRESUPUESTO\5.1 Presupuesto general\2017\Gasto\"/>
    </mc:Choice>
  </mc:AlternateContent>
  <xr:revisionPtr revIDLastSave="0" documentId="8_{9A8A5E22-2E21-4BE2-8821-6CC6E8B69403}" xr6:coauthVersionLast="45" xr6:coauthVersionMax="45" xr10:uidLastSave="{00000000-0000-0000-0000-000000000000}"/>
  <bookViews>
    <workbookView xWindow="-120" yWindow="-120" windowWidth="20730" windowHeight="11160" tabRatio="843"/>
  </bookViews>
  <sheets>
    <sheet name="Anexo 2 " sheetId="94" r:id="rId1"/>
    <sheet name="Funcionamiento" sheetId="23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hidden="1">#REF!</definedName>
    <definedName name="ANEXO" hidden="1">'[7]Inversión total en programas'!$A$50:$IV$50,'[7]Inversión total en programas'!$A$60:$IV$63</definedName>
    <definedName name="_xlnm.Print_Area" localSheetId="0">'Anexo 2 '!$A$1:$P$207</definedName>
    <definedName name="_xlnm.Print_Area" localSheetId="1">Funcionamiento!$A$1:$P$37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'[8]Anexo 1 Minagricultura'!#REF!</definedName>
    <definedName name="CABEZAS_PROYEC" localSheetId="0">'[12]Anexo 1 Minagricultura'!$C$46</definedName>
    <definedName name="CABEZAS_PROYEC">'[24]Anexo 1'!#REF!</definedName>
    <definedName name="CONTRATOS">#REF!</definedName>
    <definedName name="CUOTAPPC2005" localSheetId="0">'[12]Anexo 1 Minagricultura'!#REF!</definedName>
    <definedName name="CUOTAPPC2005">'[24]Anexo 1'!#REF!</definedName>
    <definedName name="CUOTAPPC2013" localSheetId="0">'[12]Anexo 1 Minagricultura'!#REF!</definedName>
    <definedName name="CUOTAPPC2013">'[24]Anexo 1'!#REF!</definedName>
    <definedName name="CUOTAPPC203" localSheetId="0">'[12]Anexo 1 Minagricultura'!#REF!</definedName>
    <definedName name="CUOTAPPC203">'[24]Anexo 1'!#REF!</definedName>
    <definedName name="DIAG_PPC">#REF!</definedName>
    <definedName name="DIRECCION">[23]consecutivo!$M$9:$M$13</definedName>
    <definedName name="DISTRIBUIDOR">#REF!</definedName>
    <definedName name="Dólar" localSheetId="0">#REF!</definedName>
    <definedName name="Dólar">#REF!</definedName>
    <definedName name="eeeee" localSheetId="0">'[12]Ejecución ingresos 2014'!#REF!</definedName>
    <definedName name="eeeee">#REF!</definedName>
    <definedName name="EPPC" localSheetId="0">'[12]Anexo 1 Minagricultura'!$C$54</definedName>
    <definedName name="EPPC">'[24]Anexo 1'!#REF!</definedName>
    <definedName name="Euro" localSheetId="0">#REF!</definedName>
    <definedName name="Euro">#REF!</definedName>
    <definedName name="FDGFDG">#REF!</definedName>
    <definedName name="FECHA_DE_RECIBIDO">[5]BASE!$E$3:$E$177</definedName>
    <definedName name="FOMENTO" localSheetId="0">'[12]Anexo 1 Minagricultura'!$C$53</definedName>
    <definedName name="FOMENTO">'[24]Anexo 1'!#REF!</definedName>
    <definedName name="FOMENTOS">'[1]Anexo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 localSheetId="0">#REF!</definedName>
    <definedName name="Pasajes">#REF!</definedName>
    <definedName name="ppc">'[24]Anexo 1'!$B$15</definedName>
    <definedName name="RESERV_FUTU">#REF!</definedName>
    <definedName name="saldo" localSheetId="0">'[12]Ejecución ingresos 2014'!#REF!</definedName>
    <definedName name="saldo">#REF!</definedName>
    <definedName name="saldos" localSheetId="0">'[12]Ejecución ingresos 2014'!#REF!</definedName>
    <definedName name="saldos">#REF!</definedName>
    <definedName name="SUPERA2004" localSheetId="0">'[12]Anexo 1 Minagricultura'!#REF!</definedName>
    <definedName name="SUPERA2004">'[24]Anexo 1'!#REF!</definedName>
    <definedName name="SUPERA2005" localSheetId="0">'[12]Anexo 1 Minagricultura'!#REF!</definedName>
    <definedName name="SUPERA2005">'[24]Anexo 1'!#REF!</definedName>
    <definedName name="SUPERA2010">'[4]Anexo 1 Minagricultura'!$C$21</definedName>
    <definedName name="SUPERA2012" localSheetId="0">'[12]Anexo 1 Minagricultura'!#REF!</definedName>
    <definedName name="SUPERA2012">'[24]Anexo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2 '!$1:$6</definedName>
    <definedName name="_xlnm.Print_Titles" localSheetId="1">Funcionamiento!$A:$A</definedName>
    <definedName name="_xlnm.Print_Titles">#REF!</definedName>
    <definedName name="VTAS2005">'[24]Anexo 1'!$B$32</definedName>
    <definedName name="xx">[2]Ingresos!$C$19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'[11]Ingresos 2014'!#REF!</definedName>
    <definedName name="ZFRONTERA">'[11]Ingresos 2014'!#REF!</definedName>
  </definedNames>
  <calcPr calcId="191029" fullCalcOnLoad="1"/>
  <customWorkbookViews>
    <customWorkbookView name="Fondo Nacional de la Porcicultura - Vista personalizada" guid="{4099E833-BB74-4680-85C9-A6CF399D1CE2}" mergeInterval="0" personalView="1" maximized="1" windowWidth="796" windowHeight="399" tabRatio="605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1" i="94" l="1"/>
  <c r="N200" i="94"/>
  <c r="N192" i="94"/>
  <c r="N185" i="94"/>
  <c r="N184" i="94"/>
  <c r="N176" i="94"/>
  <c r="N169" i="94"/>
  <c r="N163" i="94"/>
  <c r="N155" i="94"/>
  <c r="N154" i="94"/>
  <c r="N149" i="94"/>
  <c r="N150" i="94"/>
  <c r="N146" i="94"/>
  <c r="N143" i="94"/>
  <c r="N140" i="94"/>
  <c r="N136" i="94"/>
  <c r="N135" i="94" s="1"/>
  <c r="N130" i="94"/>
  <c r="N127" i="94"/>
  <c r="N118" i="94"/>
  <c r="N113" i="94"/>
  <c r="N112" i="94" s="1"/>
  <c r="N106" i="94"/>
  <c r="N94" i="94"/>
  <c r="N90" i="94"/>
  <c r="N83" i="94"/>
  <c r="N75" i="94"/>
  <c r="N70" i="94"/>
  <c r="N66" i="94"/>
  <c r="N62" i="94"/>
  <c r="N58" i="94"/>
  <c r="N53" i="94"/>
  <c r="N49" i="94"/>
  <c r="N48" i="94"/>
  <c r="N45" i="94" s="1"/>
  <c r="N42" i="94"/>
  <c r="N36" i="94"/>
  <c r="N37" i="94" s="1"/>
  <c r="N19" i="94"/>
  <c r="N8" i="94"/>
  <c r="M201" i="94"/>
  <c r="M202" i="94"/>
  <c r="M187" i="94"/>
  <c r="M98" i="94"/>
  <c r="M92" i="94"/>
  <c r="M84" i="94"/>
  <c r="M83" i="94"/>
  <c r="M74" i="94"/>
  <c r="M43" i="94"/>
  <c r="M42" i="94" s="1"/>
  <c r="M106" i="94"/>
  <c r="M94" i="94"/>
  <c r="M90" i="94"/>
  <c r="M75" i="94"/>
  <c r="M53" i="94"/>
  <c r="M48" i="94"/>
  <c r="M45" i="94" s="1"/>
  <c r="B53" i="94"/>
  <c r="H53" i="94" s="1"/>
  <c r="J53" i="94" s="1"/>
  <c r="M49" i="94"/>
  <c r="M192" i="94"/>
  <c r="M176" i="94"/>
  <c r="M169" i="94"/>
  <c r="M168" i="94" s="1"/>
  <c r="M163" i="94"/>
  <c r="M155" i="94"/>
  <c r="M154" i="94"/>
  <c r="M150" i="94"/>
  <c r="M149" i="94"/>
  <c r="M146" i="94"/>
  <c r="M143" i="94"/>
  <c r="M140" i="94"/>
  <c r="M136" i="94"/>
  <c r="M135" i="94" s="1"/>
  <c r="M130" i="94"/>
  <c r="M127" i="94"/>
  <c r="M121" i="94"/>
  <c r="M112" i="94" s="1"/>
  <c r="M118" i="94"/>
  <c r="M113" i="94"/>
  <c r="M70" i="94"/>
  <c r="M66" i="94"/>
  <c r="M62" i="94"/>
  <c r="M58" i="94"/>
  <c r="M36" i="94"/>
  <c r="M19" i="94"/>
  <c r="M8" i="94"/>
  <c r="L202" i="94"/>
  <c r="L201" i="94"/>
  <c r="J202" i="94"/>
  <c r="J201" i="94"/>
  <c r="O201" i="94" s="1"/>
  <c r="B50" i="94"/>
  <c r="B49" i="94" s="1"/>
  <c r="B57" i="94"/>
  <c r="B47" i="94"/>
  <c r="B46" i="94"/>
  <c r="H54" i="94"/>
  <c r="J54" i="94" s="1"/>
  <c r="O54" i="94" s="1"/>
  <c r="H55" i="94"/>
  <c r="J55" i="94"/>
  <c r="O55" i="94"/>
  <c r="H51" i="94"/>
  <c r="J51" i="94" s="1"/>
  <c r="O51" i="94" s="1"/>
  <c r="H52" i="94"/>
  <c r="J52" i="94" s="1"/>
  <c r="O52" i="94" s="1"/>
  <c r="L200" i="94"/>
  <c r="L192" i="94"/>
  <c r="L185" i="94"/>
  <c r="L184" i="94"/>
  <c r="L176" i="94"/>
  <c r="L169" i="94"/>
  <c r="L168" i="94" s="1"/>
  <c r="L163" i="94"/>
  <c r="L155" i="94"/>
  <c r="L154" i="94"/>
  <c r="L150" i="94"/>
  <c r="L146" i="94"/>
  <c r="L135" i="94" s="1"/>
  <c r="L143" i="94"/>
  <c r="L140" i="94"/>
  <c r="L136" i="94"/>
  <c r="L130" i="94"/>
  <c r="L127" i="94"/>
  <c r="L112" i="94" s="1"/>
  <c r="L121" i="94"/>
  <c r="L118" i="94"/>
  <c r="L113" i="94"/>
  <c r="L106" i="94"/>
  <c r="L94" i="94"/>
  <c r="L90" i="94"/>
  <c r="L83" i="94"/>
  <c r="L74" i="94" s="1"/>
  <c r="L75" i="94"/>
  <c r="L70" i="94"/>
  <c r="L66" i="94"/>
  <c r="L62" i="94"/>
  <c r="L58" i="94"/>
  <c r="L53" i="94"/>
  <c r="L49" i="94"/>
  <c r="L42" i="94"/>
  <c r="L36" i="94"/>
  <c r="K202" i="94"/>
  <c r="O202" i="94" s="1"/>
  <c r="K201" i="94"/>
  <c r="H196" i="94"/>
  <c r="J196" i="94" s="1"/>
  <c r="O196" i="94" s="1"/>
  <c r="K185" i="94"/>
  <c r="K184" i="94" s="1"/>
  <c r="I185" i="94"/>
  <c r="G185" i="94"/>
  <c r="F185" i="94"/>
  <c r="H190" i="94"/>
  <c r="J190" i="94"/>
  <c r="O190" i="94" s="1"/>
  <c r="K121" i="94"/>
  <c r="B36" i="94"/>
  <c r="B19" i="94"/>
  <c r="H47" i="94"/>
  <c r="J47" i="94"/>
  <c r="O47" i="94"/>
  <c r="F103" i="94"/>
  <c r="H103" i="94" s="1"/>
  <c r="J103" i="94" s="1"/>
  <c r="O103" i="94" s="1"/>
  <c r="F107" i="94"/>
  <c r="H107" i="94" s="1"/>
  <c r="J107" i="94" s="1"/>
  <c r="O107" i="94"/>
  <c r="C146" i="94"/>
  <c r="H146" i="94" s="1"/>
  <c r="K146" i="94"/>
  <c r="K140" i="94"/>
  <c r="K135" i="94" s="1"/>
  <c r="O135" i="94" s="1"/>
  <c r="K106" i="94"/>
  <c r="K75" i="94"/>
  <c r="K192" i="94"/>
  <c r="K150" i="94"/>
  <c r="K136" i="94"/>
  <c r="K53" i="94"/>
  <c r="K49" i="94"/>
  <c r="K48" i="94"/>
  <c r="K45" i="94" s="1"/>
  <c r="K143" i="94"/>
  <c r="K36" i="94"/>
  <c r="G133" i="94"/>
  <c r="H133" i="94"/>
  <c r="J133" i="94"/>
  <c r="O133" i="94"/>
  <c r="G132" i="94"/>
  <c r="G131" i="94"/>
  <c r="H131" i="94" s="1"/>
  <c r="G129" i="94"/>
  <c r="G127" i="94"/>
  <c r="H129" i="94"/>
  <c r="J129" i="94" s="1"/>
  <c r="O129" i="94" s="1"/>
  <c r="G128" i="94"/>
  <c r="G126" i="94"/>
  <c r="H126" i="94" s="1"/>
  <c r="J126" i="94" s="1"/>
  <c r="O126" i="94"/>
  <c r="G125" i="94"/>
  <c r="H125" i="94" s="1"/>
  <c r="J125" i="94" s="1"/>
  <c r="O125" i="94" s="1"/>
  <c r="G124" i="94"/>
  <c r="H124" i="94"/>
  <c r="J124" i="94"/>
  <c r="G123" i="94"/>
  <c r="H123" i="94" s="1"/>
  <c r="J123" i="94" s="1"/>
  <c r="O123" i="94" s="1"/>
  <c r="G122" i="94"/>
  <c r="G121" i="94" s="1"/>
  <c r="G120" i="94"/>
  <c r="H120" i="94"/>
  <c r="J120" i="94"/>
  <c r="O120" i="94"/>
  <c r="G119" i="94"/>
  <c r="G118" i="94"/>
  <c r="G116" i="94"/>
  <c r="H116" i="94" s="1"/>
  <c r="J116" i="94" s="1"/>
  <c r="O116" i="94" s="1"/>
  <c r="G115" i="94"/>
  <c r="H115" i="94" s="1"/>
  <c r="J115" i="94" s="1"/>
  <c r="O115" i="94" s="1"/>
  <c r="G10" i="23"/>
  <c r="G34" i="23"/>
  <c r="G30" i="23"/>
  <c r="G24" i="23"/>
  <c r="G22" i="23"/>
  <c r="D177" i="94"/>
  <c r="D176" i="94"/>
  <c r="H177" i="94"/>
  <c r="F98" i="94"/>
  <c r="H98" i="94" s="1"/>
  <c r="J98" i="94" s="1"/>
  <c r="O98" i="94" s="1"/>
  <c r="F93" i="94"/>
  <c r="H93" i="94" s="1"/>
  <c r="J93" i="94" s="1"/>
  <c r="O93" i="94" s="1"/>
  <c r="F78" i="94"/>
  <c r="H78" i="94" s="1"/>
  <c r="J78" i="94" s="1"/>
  <c r="O78" i="94" s="1"/>
  <c r="G20" i="23"/>
  <c r="M20" i="23" s="1"/>
  <c r="O20" i="23" s="1"/>
  <c r="P20" i="23" s="1"/>
  <c r="D10" i="23"/>
  <c r="L16" i="23"/>
  <c r="K16" i="23"/>
  <c r="J16" i="23"/>
  <c r="I16" i="23"/>
  <c r="H16" i="23"/>
  <c r="C16" i="23"/>
  <c r="B16" i="23"/>
  <c r="F16" i="23" s="1"/>
  <c r="G16" i="23"/>
  <c r="C20" i="23"/>
  <c r="B20" i="23"/>
  <c r="E189" i="94"/>
  <c r="H189" i="94" s="1"/>
  <c r="J189" i="94" s="1"/>
  <c r="O189" i="94" s="1"/>
  <c r="I28" i="23"/>
  <c r="M28" i="23" s="1"/>
  <c r="O28" i="23" s="1"/>
  <c r="P28" i="23" s="1"/>
  <c r="I10" i="23"/>
  <c r="E16" i="23"/>
  <c r="D16" i="23"/>
  <c r="D14" i="23"/>
  <c r="B72" i="94"/>
  <c r="H72" i="94" s="1"/>
  <c r="B71" i="94"/>
  <c r="B70" i="94"/>
  <c r="B69" i="94"/>
  <c r="B68" i="94"/>
  <c r="B67" i="94"/>
  <c r="B65" i="94"/>
  <c r="H65" i="94"/>
  <c r="J65" i="94"/>
  <c r="O65" i="94"/>
  <c r="B64" i="94"/>
  <c r="B63" i="94"/>
  <c r="B62" i="94" s="1"/>
  <c r="B61" i="94"/>
  <c r="H61" i="94"/>
  <c r="J61" i="94"/>
  <c r="O61" i="94"/>
  <c r="B60" i="94"/>
  <c r="B59" i="94"/>
  <c r="B44" i="94"/>
  <c r="H44" i="94"/>
  <c r="J44" i="94" s="1"/>
  <c r="O44" i="94" s="1"/>
  <c r="B43" i="94"/>
  <c r="B42" i="94" s="1"/>
  <c r="G28" i="23"/>
  <c r="B34" i="23"/>
  <c r="C12" i="23"/>
  <c r="F12" i="23" s="1"/>
  <c r="M12" i="23" s="1"/>
  <c r="O12" i="23" s="1"/>
  <c r="P12" i="23" s="1"/>
  <c r="H180" i="94"/>
  <c r="J180" i="94"/>
  <c r="O180" i="94" s="1"/>
  <c r="D181" i="94"/>
  <c r="H181" i="94" s="1"/>
  <c r="J181" i="94" s="1"/>
  <c r="O181" i="94" s="1"/>
  <c r="F110" i="94"/>
  <c r="H110" i="94"/>
  <c r="J110" i="94"/>
  <c r="O110" i="94" s="1"/>
  <c r="F109" i="94"/>
  <c r="H109" i="94"/>
  <c r="J109" i="94" s="1"/>
  <c r="O109" i="94" s="1"/>
  <c r="F108" i="94"/>
  <c r="F106" i="94" s="1"/>
  <c r="H106" i="94" s="1"/>
  <c r="J106" i="94" s="1"/>
  <c r="O106" i="94" s="1"/>
  <c r="F105" i="94"/>
  <c r="H105" i="94" s="1"/>
  <c r="J105" i="94" s="1"/>
  <c r="O105" i="94" s="1"/>
  <c r="F104" i="94"/>
  <c r="H104" i="94"/>
  <c r="J104" i="94" s="1"/>
  <c r="O104" i="94" s="1"/>
  <c r="F102" i="94"/>
  <c r="H102" i="94" s="1"/>
  <c r="J102" i="94" s="1"/>
  <c r="O102" i="94" s="1"/>
  <c r="F101" i="94"/>
  <c r="H101" i="94" s="1"/>
  <c r="J101" i="94" s="1"/>
  <c r="O101" i="94" s="1"/>
  <c r="F100" i="94"/>
  <c r="H100" i="94" s="1"/>
  <c r="J100" i="94" s="1"/>
  <c r="O100" i="94" s="1"/>
  <c r="F99" i="94"/>
  <c r="H99" i="94"/>
  <c r="J99" i="94" s="1"/>
  <c r="O99" i="94" s="1"/>
  <c r="F97" i="94"/>
  <c r="H97" i="94" s="1"/>
  <c r="J97" i="94" s="1"/>
  <c r="O97" i="94" s="1"/>
  <c r="F96" i="94"/>
  <c r="H96" i="94"/>
  <c r="J96" i="94" s="1"/>
  <c r="O96" i="94" s="1"/>
  <c r="F95" i="94"/>
  <c r="H95" i="94" s="1"/>
  <c r="F92" i="94"/>
  <c r="H92" i="94" s="1"/>
  <c r="J92" i="94" s="1"/>
  <c r="O92" i="94" s="1"/>
  <c r="F91" i="94"/>
  <c r="F89" i="94"/>
  <c r="H89" i="94" s="1"/>
  <c r="J89" i="94" s="1"/>
  <c r="O89" i="94" s="1"/>
  <c r="F88" i="94"/>
  <c r="H88" i="94"/>
  <c r="J88" i="94"/>
  <c r="O88" i="94" s="1"/>
  <c r="F87" i="94"/>
  <c r="H87" i="94" s="1"/>
  <c r="J87" i="94" s="1"/>
  <c r="O87" i="94" s="1"/>
  <c r="F86" i="94"/>
  <c r="H86" i="94" s="1"/>
  <c r="J86" i="94" s="1"/>
  <c r="O86" i="94" s="1"/>
  <c r="F84" i="94"/>
  <c r="F82" i="94"/>
  <c r="H82" i="94"/>
  <c r="J82" i="94" s="1"/>
  <c r="O82" i="94" s="1"/>
  <c r="F81" i="94"/>
  <c r="H81" i="94" s="1"/>
  <c r="J81" i="94" s="1"/>
  <c r="O81" i="94" s="1"/>
  <c r="F80" i="94"/>
  <c r="H80" i="94"/>
  <c r="J80" i="94" s="1"/>
  <c r="O80" i="94" s="1"/>
  <c r="F79" i="94"/>
  <c r="H79" i="94" s="1"/>
  <c r="J79" i="94" s="1"/>
  <c r="O79" i="94" s="1"/>
  <c r="F77" i="94"/>
  <c r="H77" i="94" s="1"/>
  <c r="J77" i="94" s="1"/>
  <c r="O77" i="94" s="1"/>
  <c r="F76" i="94"/>
  <c r="I20" i="23"/>
  <c r="C10" i="23"/>
  <c r="B10" i="23"/>
  <c r="F10" i="23" s="1"/>
  <c r="B36" i="23"/>
  <c r="E10" i="23"/>
  <c r="B22" i="23"/>
  <c r="D166" i="94"/>
  <c r="H166" i="94" s="1"/>
  <c r="J166" i="94" s="1"/>
  <c r="D153" i="94"/>
  <c r="H153" i="94"/>
  <c r="J153" i="94"/>
  <c r="O153" i="94" s="1"/>
  <c r="D172" i="94"/>
  <c r="H172" i="94" s="1"/>
  <c r="J172" i="94" s="1"/>
  <c r="O172" i="94" s="1"/>
  <c r="D173" i="94"/>
  <c r="H173" i="94"/>
  <c r="J173" i="94" s="1"/>
  <c r="O173" i="94" s="1"/>
  <c r="D182" i="94"/>
  <c r="H182" i="94" s="1"/>
  <c r="J182" i="94" s="1"/>
  <c r="O182" i="94" s="1"/>
  <c r="D175" i="94"/>
  <c r="H175" i="94"/>
  <c r="J175" i="94"/>
  <c r="O175" i="94" s="1"/>
  <c r="D167" i="94"/>
  <c r="H167" i="94" s="1"/>
  <c r="J167" i="94" s="1"/>
  <c r="O167" i="94" s="1"/>
  <c r="D164" i="94"/>
  <c r="H164" i="94"/>
  <c r="J164" i="94" s="1"/>
  <c r="O164" i="94" s="1"/>
  <c r="D162" i="94"/>
  <c r="H162" i="94" s="1"/>
  <c r="J162" i="94" s="1"/>
  <c r="O162" i="94" s="1"/>
  <c r="D161" i="94"/>
  <c r="H161" i="94" s="1"/>
  <c r="J161" i="94" s="1"/>
  <c r="O161" i="94"/>
  <c r="D160" i="94"/>
  <c r="H160" i="94" s="1"/>
  <c r="J160" i="94" s="1"/>
  <c r="O160" i="94" s="1"/>
  <c r="D159" i="94"/>
  <c r="H159" i="94" s="1"/>
  <c r="J159" i="94" s="1"/>
  <c r="O159" i="94"/>
  <c r="D156" i="94"/>
  <c r="D151" i="94"/>
  <c r="H151" i="94" s="1"/>
  <c r="J151" i="94" s="1"/>
  <c r="G14" i="23"/>
  <c r="M14" i="23" s="1"/>
  <c r="H23" i="94"/>
  <c r="J23" i="94"/>
  <c r="O23" i="94" s="1"/>
  <c r="L28" i="23"/>
  <c r="H30" i="23"/>
  <c r="H37" i="23"/>
  <c r="H26" i="23"/>
  <c r="E188" i="94"/>
  <c r="H188" i="94"/>
  <c r="J188" i="94" s="1"/>
  <c r="O188" i="94" s="1"/>
  <c r="E187" i="94"/>
  <c r="H187" i="94"/>
  <c r="J187" i="94"/>
  <c r="O187" i="94"/>
  <c r="H145" i="94"/>
  <c r="J145" i="94"/>
  <c r="O145" i="94" s="1"/>
  <c r="H144" i="94"/>
  <c r="J144" i="94"/>
  <c r="H142" i="94"/>
  <c r="J142" i="94"/>
  <c r="O142" i="94"/>
  <c r="C140" i="94"/>
  <c r="H140" i="94"/>
  <c r="H139" i="94"/>
  <c r="J139" i="94" s="1"/>
  <c r="O139" i="94" s="1"/>
  <c r="H138" i="94"/>
  <c r="J138" i="94"/>
  <c r="J136" i="94" s="1"/>
  <c r="O136" i="94" s="1"/>
  <c r="O138" i="94"/>
  <c r="H137" i="94"/>
  <c r="J137" i="94"/>
  <c r="J28" i="23"/>
  <c r="J10" i="23"/>
  <c r="D36" i="23"/>
  <c r="C36" i="23"/>
  <c r="F36" i="23" s="1"/>
  <c r="M36" i="23" s="1"/>
  <c r="D32" i="23"/>
  <c r="C32" i="23"/>
  <c r="B32" i="23"/>
  <c r="K30" i="23"/>
  <c r="J30" i="23"/>
  <c r="D30" i="23"/>
  <c r="C30" i="23"/>
  <c r="B30" i="23"/>
  <c r="K28" i="23"/>
  <c r="C28" i="23"/>
  <c r="B28" i="23"/>
  <c r="F28" i="23"/>
  <c r="L26" i="23"/>
  <c r="K26" i="23"/>
  <c r="J26" i="23"/>
  <c r="C26" i="23"/>
  <c r="B26" i="23"/>
  <c r="F26" i="23" s="1"/>
  <c r="J24" i="23"/>
  <c r="C24" i="23"/>
  <c r="B24" i="23"/>
  <c r="F24" i="23" s="1"/>
  <c r="M24" i="23" s="1"/>
  <c r="O24" i="23" s="1"/>
  <c r="P24" i="23" s="1"/>
  <c r="L22" i="23"/>
  <c r="K22" i="23"/>
  <c r="J22" i="23"/>
  <c r="F22" i="23"/>
  <c r="L20" i="23"/>
  <c r="F20" i="23"/>
  <c r="L18" i="23"/>
  <c r="K18" i="23"/>
  <c r="J18" i="23"/>
  <c r="J37" i="23" s="1"/>
  <c r="I18" i="23"/>
  <c r="G18" i="23"/>
  <c r="E18" i="23"/>
  <c r="D18" i="23"/>
  <c r="C18" i="23"/>
  <c r="B18" i="23"/>
  <c r="F18" i="23"/>
  <c r="M18" i="23"/>
  <c r="O18" i="23" s="1"/>
  <c r="P18" i="23" s="1"/>
  <c r="N37" i="23"/>
  <c r="C14" i="23"/>
  <c r="B14" i="23"/>
  <c r="F14" i="23"/>
  <c r="O14" i="23"/>
  <c r="P14" i="23" s="1"/>
  <c r="B8" i="23"/>
  <c r="F8" i="23" s="1"/>
  <c r="M8" i="23" s="1"/>
  <c r="O8" i="23" s="1"/>
  <c r="F34" i="23"/>
  <c r="M34" i="23" s="1"/>
  <c r="O34" i="23" s="1"/>
  <c r="P34" i="23" s="1"/>
  <c r="O36" i="23"/>
  <c r="P36" i="23" s="1"/>
  <c r="H26" i="94"/>
  <c r="J26" i="94"/>
  <c r="O26" i="94" s="1"/>
  <c r="H31" i="94"/>
  <c r="J31" i="94"/>
  <c r="O31" i="94"/>
  <c r="H34" i="94"/>
  <c r="J34" i="94"/>
  <c r="O34" i="94" s="1"/>
  <c r="H35" i="94"/>
  <c r="J35" i="94" s="1"/>
  <c r="O35" i="94" s="1"/>
  <c r="H198" i="94"/>
  <c r="J198" i="94"/>
  <c r="O198" i="94"/>
  <c r="H200" i="94"/>
  <c r="J200" i="94" s="1"/>
  <c r="H201" i="94"/>
  <c r="H202" i="94"/>
  <c r="D158" i="94"/>
  <c r="H158" i="94"/>
  <c r="J158" i="94" s="1"/>
  <c r="O158" i="94" s="1"/>
  <c r="D178" i="94"/>
  <c r="D157" i="94"/>
  <c r="H157" i="94" s="1"/>
  <c r="J157" i="94" s="1"/>
  <c r="O157" i="94" s="1"/>
  <c r="D152" i="94"/>
  <c r="H152" i="94"/>
  <c r="J152" i="94"/>
  <c r="O152" i="94" s="1"/>
  <c r="D150" i="94"/>
  <c r="D165" i="94"/>
  <c r="H165" i="94" s="1"/>
  <c r="J165" i="94" s="1"/>
  <c r="O165" i="94" s="1"/>
  <c r="D171" i="94"/>
  <c r="H171" i="94"/>
  <c r="J171" i="94" s="1"/>
  <c r="O171" i="94" s="1"/>
  <c r="I22" i="23"/>
  <c r="I30" i="23"/>
  <c r="H12" i="94"/>
  <c r="J12" i="94"/>
  <c r="O12" i="94" s="1"/>
  <c r="I24" i="23"/>
  <c r="I26" i="23"/>
  <c r="E8" i="94"/>
  <c r="E19" i="94"/>
  <c r="D179" i="94"/>
  <c r="H179" i="94" s="1"/>
  <c r="J179" i="94" s="1"/>
  <c r="O179" i="94" s="1"/>
  <c r="D174" i="94"/>
  <c r="H174" i="94"/>
  <c r="J174" i="94"/>
  <c r="O174" i="94" s="1"/>
  <c r="D170" i="94"/>
  <c r="D169" i="94" s="1"/>
  <c r="D168" i="94" s="1"/>
  <c r="F85" i="94"/>
  <c r="H85" i="94"/>
  <c r="J85" i="94"/>
  <c r="O85" i="94"/>
  <c r="E186" i="94"/>
  <c r="B8" i="94"/>
  <c r="G26" i="23"/>
  <c r="G117" i="94"/>
  <c r="H117" i="94"/>
  <c r="J117" i="94"/>
  <c r="O117" i="94" s="1"/>
  <c r="G114" i="94"/>
  <c r="G113" i="94" s="1"/>
  <c r="G112" i="94" s="1"/>
  <c r="G39" i="94" s="1"/>
  <c r="G204" i="94" s="1"/>
  <c r="I194" i="94"/>
  <c r="J194" i="94" s="1"/>
  <c r="O194" i="94" s="1"/>
  <c r="I193" i="94"/>
  <c r="J193" i="94" s="1"/>
  <c r="O193" i="94" s="1"/>
  <c r="K176" i="94"/>
  <c r="K83" i="94"/>
  <c r="K163" i="94"/>
  <c r="K155" i="94"/>
  <c r="K154" i="94"/>
  <c r="K94" i="94"/>
  <c r="K130" i="94"/>
  <c r="K112" i="94" s="1"/>
  <c r="K169" i="94"/>
  <c r="K168" i="94" s="1"/>
  <c r="K149" i="94" s="1"/>
  <c r="K118" i="94"/>
  <c r="K70" i="94"/>
  <c r="K62" i="94"/>
  <c r="K58" i="94"/>
  <c r="K113" i="94"/>
  <c r="K42" i="94"/>
  <c r="K41" i="94" s="1"/>
  <c r="K90" i="94"/>
  <c r="K127" i="94"/>
  <c r="K66" i="94"/>
  <c r="H147" i="94"/>
  <c r="J147" i="94"/>
  <c r="J146" i="94"/>
  <c r="H13" i="94"/>
  <c r="J13" i="94"/>
  <c r="O13" i="94" s="1"/>
  <c r="I19" i="94"/>
  <c r="H18" i="94"/>
  <c r="J18" i="94"/>
  <c r="O18" i="94" s="1"/>
  <c r="H9" i="94"/>
  <c r="H14" i="94"/>
  <c r="J14" i="94" s="1"/>
  <c r="O14" i="94" s="1"/>
  <c r="H17" i="94"/>
  <c r="J17" i="94"/>
  <c r="O17" i="94"/>
  <c r="H10" i="94"/>
  <c r="J10" i="94"/>
  <c r="I8" i="94"/>
  <c r="D8" i="94"/>
  <c r="G19" i="94"/>
  <c r="G37" i="94"/>
  <c r="G8" i="94"/>
  <c r="C19" i="94"/>
  <c r="H19" i="94" s="1"/>
  <c r="H16" i="94"/>
  <c r="J16" i="94"/>
  <c r="O16" i="94" s="1"/>
  <c r="C8" i="94"/>
  <c r="D19" i="94"/>
  <c r="H15" i="94"/>
  <c r="F8" i="94"/>
  <c r="F19" i="94"/>
  <c r="H11" i="94"/>
  <c r="J11" i="94"/>
  <c r="O11" i="94"/>
  <c r="I200" i="94"/>
  <c r="K200" i="94"/>
  <c r="K8" i="94"/>
  <c r="K19" i="94"/>
  <c r="K37" i="94"/>
  <c r="D36" i="94"/>
  <c r="D37" i="94" s="1"/>
  <c r="H27" i="94"/>
  <c r="J27" i="94" s="1"/>
  <c r="O27" i="94" s="1"/>
  <c r="I36" i="94"/>
  <c r="I37" i="94" s="1"/>
  <c r="H32" i="94"/>
  <c r="J32" i="94"/>
  <c r="O32" i="94"/>
  <c r="H22" i="94"/>
  <c r="J22" i="94"/>
  <c r="H30" i="94"/>
  <c r="H29" i="94"/>
  <c r="J29" i="94"/>
  <c r="O29" i="94"/>
  <c r="H28" i="94"/>
  <c r="J28" i="94" s="1"/>
  <c r="O28" i="94" s="1"/>
  <c r="F36" i="94"/>
  <c r="F37" i="94" s="1"/>
  <c r="E36" i="94"/>
  <c r="H21" i="94"/>
  <c r="J21" i="94"/>
  <c r="O21" i="94"/>
  <c r="C36" i="94"/>
  <c r="H24" i="94"/>
  <c r="H33" i="94"/>
  <c r="J33" i="94"/>
  <c r="O33" i="94"/>
  <c r="H25" i="94"/>
  <c r="J25" i="94" s="1"/>
  <c r="O25" i="94" s="1"/>
  <c r="G36" i="94"/>
  <c r="H56" i="94"/>
  <c r="J56" i="94"/>
  <c r="O56" i="94"/>
  <c r="H46" i="94"/>
  <c r="H141" i="94"/>
  <c r="J141" i="94" s="1"/>
  <c r="C143" i="94"/>
  <c r="H143" i="94"/>
  <c r="C136" i="94"/>
  <c r="H136" i="94" s="1"/>
  <c r="H135" i="94" s="1"/>
  <c r="J135" i="94" s="1"/>
  <c r="L19" i="94"/>
  <c r="L8" i="94"/>
  <c r="M185" i="94"/>
  <c r="M184" i="94"/>
  <c r="H43" i="94"/>
  <c r="H42" i="94" s="1"/>
  <c r="H76" i="94"/>
  <c r="H114" i="94"/>
  <c r="J30" i="94"/>
  <c r="O30" i="94"/>
  <c r="I192" i="94"/>
  <c r="J192" i="94" s="1"/>
  <c r="O192" i="94" s="1"/>
  <c r="H64" i="94"/>
  <c r="J64" i="94"/>
  <c r="O64" i="94"/>
  <c r="H71" i="94"/>
  <c r="H122" i="94"/>
  <c r="J122" i="94"/>
  <c r="O122" i="94"/>
  <c r="H132" i="94"/>
  <c r="H57" i="94"/>
  <c r="J57" i="94"/>
  <c r="O57" i="94"/>
  <c r="I37" i="23"/>
  <c r="H68" i="94"/>
  <c r="H63" i="94"/>
  <c r="H62" i="94" s="1"/>
  <c r="J63" i="94"/>
  <c r="O63" i="94" s="1"/>
  <c r="H178" i="94"/>
  <c r="J178" i="94"/>
  <c r="O178" i="94" s="1"/>
  <c r="D163" i="94"/>
  <c r="H108" i="94"/>
  <c r="J108" i="94"/>
  <c r="O108" i="94"/>
  <c r="H59" i="94"/>
  <c r="J59" i="94"/>
  <c r="H128" i="94"/>
  <c r="J128" i="94" s="1"/>
  <c r="H170" i="94"/>
  <c r="J170" i="94" s="1"/>
  <c r="O170" i="94" s="1"/>
  <c r="H69" i="94"/>
  <c r="J69" i="94"/>
  <c r="O69" i="94" s="1"/>
  <c r="H119" i="94"/>
  <c r="J119" i="94" s="1"/>
  <c r="O119" i="94" s="1"/>
  <c r="J118" i="94"/>
  <c r="O118" i="94" s="1"/>
  <c r="G130" i="94"/>
  <c r="O147" i="94"/>
  <c r="N168" i="94"/>
  <c r="J9" i="94"/>
  <c r="J68" i="94"/>
  <c r="O68" i="94"/>
  <c r="B37" i="94"/>
  <c r="H118" i="94"/>
  <c r="O59" i="94"/>
  <c r="H121" i="94"/>
  <c r="J46" i="94"/>
  <c r="O151" i="94"/>
  <c r="J72" i="94"/>
  <c r="O72" i="94" s="1"/>
  <c r="O146" i="94"/>
  <c r="J76" i="94"/>
  <c r="L37" i="94"/>
  <c r="O10" i="94"/>
  <c r="O46" i="94"/>
  <c r="O22" i="94"/>
  <c r="H127" i="94"/>
  <c r="H163" i="94"/>
  <c r="M37" i="94"/>
  <c r="C135" i="94"/>
  <c r="C39" i="94"/>
  <c r="J143" i="94"/>
  <c r="O143" i="94" s="1"/>
  <c r="O144" i="94"/>
  <c r="O76" i="94"/>
  <c r="J132" i="94"/>
  <c r="O132" i="94"/>
  <c r="O137" i="94"/>
  <c r="O124" i="94"/>
  <c r="J121" i="94"/>
  <c r="O121" i="94"/>
  <c r="H70" i="94"/>
  <c r="J71" i="94"/>
  <c r="J70" i="94" s="1"/>
  <c r="O70" i="94" s="1"/>
  <c r="J62" i="94"/>
  <c r="O62" i="94" s="1"/>
  <c r="H150" i="94"/>
  <c r="L149" i="94"/>
  <c r="O71" i="94"/>
  <c r="O166" i="94"/>
  <c r="O128" i="94" l="1"/>
  <c r="J127" i="94"/>
  <c r="O127" i="94" s="1"/>
  <c r="M10" i="23"/>
  <c r="O10" i="23" s="1"/>
  <c r="P10" i="23" s="1"/>
  <c r="J163" i="94"/>
  <c r="O163" i="94" s="1"/>
  <c r="H113" i="94"/>
  <c r="J15" i="94"/>
  <c r="H8" i="94"/>
  <c r="O37" i="23"/>
  <c r="P37" i="23" s="1"/>
  <c r="P8" i="23"/>
  <c r="K37" i="23"/>
  <c r="F94" i="94"/>
  <c r="B66" i="94"/>
  <c r="E37" i="94"/>
  <c r="B48" i="94"/>
  <c r="H49" i="94"/>
  <c r="J49" i="94" s="1"/>
  <c r="O49" i="94" s="1"/>
  <c r="H75" i="94"/>
  <c r="L37" i="23"/>
  <c r="F32" i="23"/>
  <c r="M32" i="23" s="1"/>
  <c r="O32" i="23" s="1"/>
  <c r="P32" i="23" s="1"/>
  <c r="N41" i="94"/>
  <c r="N74" i="94"/>
  <c r="H36" i="94"/>
  <c r="J131" i="94"/>
  <c r="H130" i="94"/>
  <c r="J95" i="94"/>
  <c r="H94" i="94"/>
  <c r="M16" i="23"/>
  <c r="O16" i="23" s="1"/>
  <c r="P16" i="23" s="1"/>
  <c r="J75" i="94"/>
  <c r="O75" i="94" s="1"/>
  <c r="C37" i="94"/>
  <c r="M26" i="23"/>
  <c r="O26" i="23" s="1"/>
  <c r="P26" i="23" s="1"/>
  <c r="O141" i="94"/>
  <c r="J140" i="94"/>
  <c r="O140" i="94" s="1"/>
  <c r="J114" i="94"/>
  <c r="G37" i="23"/>
  <c r="K74" i="94"/>
  <c r="K39" i="94" s="1"/>
  <c r="K204" i="94" s="1"/>
  <c r="E185" i="94"/>
  <c r="E184" i="94" s="1"/>
  <c r="E39" i="94" s="1"/>
  <c r="H186" i="94"/>
  <c r="M22" i="23"/>
  <c r="O22" i="23" s="1"/>
  <c r="P22" i="23" s="1"/>
  <c r="F30" i="23"/>
  <c r="M30" i="23" s="1"/>
  <c r="O30" i="23" s="1"/>
  <c r="P30" i="23" s="1"/>
  <c r="F75" i="94"/>
  <c r="F74" i="94" s="1"/>
  <c r="F39" i="94" s="1"/>
  <c r="F204" i="94" s="1"/>
  <c r="F83" i="94"/>
  <c r="F90" i="94"/>
  <c r="H91" i="94"/>
  <c r="J177" i="94"/>
  <c r="H176" i="94"/>
  <c r="L41" i="94"/>
  <c r="L39" i="94" s="1"/>
  <c r="L204" i="94" s="1"/>
  <c r="D155" i="94"/>
  <c r="D154" i="94" s="1"/>
  <c r="D149" i="94" s="1"/>
  <c r="D39" i="94" s="1"/>
  <c r="D204" i="94" s="1"/>
  <c r="H156" i="94"/>
  <c r="J169" i="94"/>
  <c r="H169" i="94"/>
  <c r="I204" i="94"/>
  <c r="J150" i="94"/>
  <c r="O150" i="94" s="1"/>
  <c r="H60" i="94"/>
  <c r="B58" i="94"/>
  <c r="L48" i="94"/>
  <c r="L45" i="94" s="1"/>
  <c r="O53" i="94"/>
  <c r="M41" i="94"/>
  <c r="M39" i="94" s="1"/>
  <c r="M200" i="94"/>
  <c r="O200" i="94" s="1"/>
  <c r="H50" i="94"/>
  <c r="J50" i="94" s="1"/>
  <c r="O50" i="94" s="1"/>
  <c r="O9" i="94"/>
  <c r="J43" i="94"/>
  <c r="H84" i="94"/>
  <c r="H67" i="94"/>
  <c r="J24" i="94"/>
  <c r="H155" i="94" l="1"/>
  <c r="H154" i="94" s="1"/>
  <c r="J156" i="94"/>
  <c r="J42" i="94"/>
  <c r="O43" i="94"/>
  <c r="J113" i="94"/>
  <c r="O114" i="94"/>
  <c r="O15" i="94"/>
  <c r="J8" i="94"/>
  <c r="O8" i="94" s="1"/>
  <c r="H58" i="94"/>
  <c r="J60" i="94"/>
  <c r="N39" i="94"/>
  <c r="N204" i="94" s="1"/>
  <c r="M37" i="23"/>
  <c r="O95" i="94"/>
  <c r="J94" i="94"/>
  <c r="O94" i="94" s="1"/>
  <c r="H112" i="94"/>
  <c r="O177" i="94"/>
  <c r="J176" i="94"/>
  <c r="O176" i="94" s="1"/>
  <c r="F37" i="23"/>
  <c r="M204" i="94"/>
  <c r="H90" i="94"/>
  <c r="J91" i="94"/>
  <c r="O131" i="94"/>
  <c r="J130" i="94"/>
  <c r="O130" i="94" s="1"/>
  <c r="H185" i="94"/>
  <c r="H184" i="94" s="1"/>
  <c r="J184" i="94" s="1"/>
  <c r="O184" i="94" s="1"/>
  <c r="J186" i="94"/>
  <c r="H83" i="94"/>
  <c r="J84" i="94"/>
  <c r="H74" i="94"/>
  <c r="J74" i="94" s="1"/>
  <c r="O74" i="94" s="1"/>
  <c r="H168" i="94"/>
  <c r="J19" i="94"/>
  <c r="O19" i="94" s="1"/>
  <c r="O24" i="94"/>
  <c r="J36" i="94"/>
  <c r="J168" i="94"/>
  <c r="O168" i="94" s="1"/>
  <c r="O169" i="94"/>
  <c r="H66" i="94"/>
  <c r="J67" i="94"/>
  <c r="E204" i="94"/>
  <c r="C204" i="94"/>
  <c r="H37" i="94"/>
  <c r="H48" i="94"/>
  <c r="B45" i="94"/>
  <c r="B41" i="94" s="1"/>
  <c r="B39" i="94" s="1"/>
  <c r="O84" i="94" l="1"/>
  <c r="J83" i="94"/>
  <c r="O83" i="94" s="1"/>
  <c r="J48" i="94"/>
  <c r="H45" i="94"/>
  <c r="H41" i="94" s="1"/>
  <c r="O36" i="94"/>
  <c r="J37" i="94"/>
  <c r="O37" i="94" s="1"/>
  <c r="O113" i="94"/>
  <c r="J112" i="94"/>
  <c r="O112" i="94" s="1"/>
  <c r="O186" i="94"/>
  <c r="J185" i="94"/>
  <c r="O185" i="94" s="1"/>
  <c r="O60" i="94"/>
  <c r="J58" i="94"/>
  <c r="O58" i="94" s="1"/>
  <c r="O42" i="94"/>
  <c r="J155" i="94"/>
  <c r="O156" i="94"/>
  <c r="J90" i="94"/>
  <c r="O90" i="94" s="1"/>
  <c r="O91" i="94"/>
  <c r="J66" i="94"/>
  <c r="O66" i="94" s="1"/>
  <c r="O67" i="94"/>
  <c r="H149" i="94"/>
  <c r="J149" i="94" s="1"/>
  <c r="O149" i="94" s="1"/>
  <c r="H39" i="94"/>
  <c r="J39" i="94" s="1"/>
  <c r="O39" i="94" s="1"/>
  <c r="B204" i="94"/>
  <c r="H204" i="94" s="1"/>
  <c r="J204" i="94" s="1"/>
  <c r="O204" i="94" s="1"/>
  <c r="P168" i="94" s="1"/>
  <c r="P37" i="94" l="1"/>
  <c r="P67" i="94"/>
  <c r="P66" i="94"/>
  <c r="P8" i="94"/>
  <c r="P39" i="94"/>
  <c r="P184" i="94"/>
  <c r="P177" i="94"/>
  <c r="P186" i="94"/>
  <c r="P130" i="94"/>
  <c r="P91" i="94"/>
  <c r="P169" i="94"/>
  <c r="P114" i="94"/>
  <c r="P36" i="94"/>
  <c r="P90" i="94"/>
  <c r="P42" i="94"/>
  <c r="P137" i="94"/>
  <c r="P136" i="94"/>
  <c r="P204" i="94"/>
  <c r="P171" i="94"/>
  <c r="P65" i="94"/>
  <c r="P16" i="94"/>
  <c r="P85" i="94"/>
  <c r="P133" i="94"/>
  <c r="P106" i="94"/>
  <c r="P178" i="94"/>
  <c r="P146" i="94"/>
  <c r="P202" i="94"/>
  <c r="P97" i="94"/>
  <c r="P51" i="94"/>
  <c r="P181" i="94"/>
  <c r="P30" i="94"/>
  <c r="P26" i="94"/>
  <c r="P63" i="94"/>
  <c r="P107" i="94"/>
  <c r="P124" i="94"/>
  <c r="P10" i="94"/>
  <c r="P182" i="94"/>
  <c r="P162" i="94"/>
  <c r="P92" i="94"/>
  <c r="P108" i="94"/>
  <c r="P120" i="94"/>
  <c r="P82" i="94"/>
  <c r="P143" i="94"/>
  <c r="P138" i="94"/>
  <c r="P103" i="94"/>
  <c r="P27" i="94"/>
  <c r="P153" i="94"/>
  <c r="P22" i="94"/>
  <c r="P190" i="94"/>
  <c r="P78" i="94"/>
  <c r="P147" i="94"/>
  <c r="P59" i="94"/>
  <c r="P56" i="94"/>
  <c r="P126" i="94"/>
  <c r="P102" i="94"/>
  <c r="P99" i="94"/>
  <c r="P164" i="94"/>
  <c r="P122" i="94"/>
  <c r="P152" i="94"/>
  <c r="P174" i="94"/>
  <c r="P175" i="94"/>
  <c r="P77" i="94"/>
  <c r="P32" i="94"/>
  <c r="P28" i="94"/>
  <c r="P31" i="94"/>
  <c r="P142" i="94"/>
  <c r="P12" i="94"/>
  <c r="P98" i="94"/>
  <c r="P123" i="94"/>
  <c r="P189" i="94"/>
  <c r="P76" i="94"/>
  <c r="P88" i="94"/>
  <c r="P105" i="94"/>
  <c r="P198" i="94"/>
  <c r="P151" i="94"/>
  <c r="P35" i="94"/>
  <c r="P18" i="94"/>
  <c r="P21" i="94"/>
  <c r="P72" i="94"/>
  <c r="P100" i="94"/>
  <c r="P180" i="94"/>
  <c r="P89" i="94"/>
  <c r="P46" i="94"/>
  <c r="P104" i="94"/>
  <c r="P160" i="94"/>
  <c r="P23" i="94"/>
  <c r="P165" i="94"/>
  <c r="P145" i="94"/>
  <c r="P52" i="94"/>
  <c r="P179" i="94"/>
  <c r="P144" i="94"/>
  <c r="P188" i="94"/>
  <c r="P11" i="94"/>
  <c r="P47" i="94"/>
  <c r="P54" i="94"/>
  <c r="P132" i="94"/>
  <c r="P81" i="94"/>
  <c r="P161" i="94"/>
  <c r="P125" i="94"/>
  <c r="P57" i="94"/>
  <c r="P14" i="94"/>
  <c r="P139" i="94"/>
  <c r="P87" i="94"/>
  <c r="P158" i="94"/>
  <c r="P101" i="94"/>
  <c r="P25" i="94"/>
  <c r="P13" i="94"/>
  <c r="P121" i="94"/>
  <c r="P135" i="94"/>
  <c r="P172" i="94"/>
  <c r="P71" i="94"/>
  <c r="P170" i="94"/>
  <c r="P69" i="94"/>
  <c r="P55" i="94"/>
  <c r="P115" i="94"/>
  <c r="P193" i="94"/>
  <c r="P62" i="94"/>
  <c r="P33" i="94"/>
  <c r="P129" i="94"/>
  <c r="P187" i="94"/>
  <c r="P110" i="94"/>
  <c r="P86" i="94"/>
  <c r="P109" i="94"/>
  <c r="P194" i="94"/>
  <c r="P70" i="94"/>
  <c r="P29" i="94"/>
  <c r="P159" i="94"/>
  <c r="P117" i="94"/>
  <c r="P61" i="94"/>
  <c r="P17" i="94"/>
  <c r="P166" i="94"/>
  <c r="P118" i="94"/>
  <c r="P68" i="94"/>
  <c r="P167" i="94"/>
  <c r="P34" i="94"/>
  <c r="P192" i="94"/>
  <c r="P79" i="94"/>
  <c r="P173" i="94"/>
  <c r="P119" i="94"/>
  <c r="P64" i="94"/>
  <c r="P44" i="94"/>
  <c r="P196" i="94"/>
  <c r="P93" i="94"/>
  <c r="P96" i="94"/>
  <c r="P80" i="94"/>
  <c r="P157" i="94"/>
  <c r="P116" i="94"/>
  <c r="P201" i="94"/>
  <c r="P200" i="94"/>
  <c r="P140" i="94"/>
  <c r="P128" i="94"/>
  <c r="P127" i="94"/>
  <c r="P53" i="94"/>
  <c r="P9" i="94"/>
  <c r="P75" i="94"/>
  <c r="P141" i="94"/>
  <c r="P49" i="94"/>
  <c r="P150" i="94"/>
  <c r="P50" i="94"/>
  <c r="P163" i="94"/>
  <c r="P15" i="94"/>
  <c r="P43" i="94"/>
  <c r="O48" i="94"/>
  <c r="P48" i="94" s="1"/>
  <c r="J45" i="94"/>
  <c r="P58" i="94"/>
  <c r="P24" i="94"/>
  <c r="P83" i="94"/>
  <c r="P176" i="94"/>
  <c r="P149" i="94"/>
  <c r="P60" i="94"/>
  <c r="P112" i="94"/>
  <c r="P84" i="94"/>
  <c r="P19" i="94"/>
  <c r="P74" i="94"/>
  <c r="P156" i="94"/>
  <c r="J154" i="94"/>
  <c r="O154" i="94" s="1"/>
  <c r="P154" i="94" s="1"/>
  <c r="O155" i="94"/>
  <c r="P155" i="94" s="1"/>
  <c r="P95" i="94"/>
  <c r="P94" i="94"/>
  <c r="P185" i="94"/>
  <c r="P113" i="94"/>
  <c r="P131" i="94"/>
  <c r="O45" i="94" l="1"/>
  <c r="P45" i="94" s="1"/>
  <c r="J41" i="94"/>
  <c r="O41" i="94" s="1"/>
  <c r="P41" i="94" s="1"/>
</calcChain>
</file>

<file path=xl/comments1.xml><?xml version="1.0" encoding="utf-8"?>
<comments xmlns="http://schemas.openxmlformats.org/spreadsheetml/2006/main">
  <authors>
    <author>Coordinacion Administrativa</author>
    <author>Oscar Rubio</author>
  </authors>
  <commentList>
    <comment ref="M12" authorId="0" shapeId="0">
      <text>
        <r>
          <rPr>
            <b/>
            <sz val="9"/>
            <color indexed="81"/>
            <rFont val="Tahoma"/>
            <family val="2"/>
          </rPr>
          <t>Incapacidad no ejecutada de la Coordinadora Regional de PPC.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No pago de Auxilios de movilización por: 1) Incapacidad y 2) Licencia de Maternidad, de dos Coord. De Recaudo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4" authorId="0" shapeId="0">
      <text>
        <r>
          <rPr>
            <b/>
            <sz val="9"/>
            <color indexed="81"/>
            <rFont val="Tahoma"/>
            <charset val="1"/>
          </rPr>
          <t>Valor para pagar Cuota de Auditaje 2017 de la Contraloría. Total a pagar $55.460.130 según resolución.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No participación a Expoalimentaria Perú 2017 ( Pérdida temporal del status líbre de Fiebre aftosa)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45" authorId="0" shapeId="0">
      <text>
        <r>
          <rPr>
            <b/>
            <sz val="9"/>
            <color indexed="81"/>
            <rFont val="Tahoma"/>
            <family val="2"/>
          </rPr>
          <t>Convenio Gob del Valle no suscrito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3" authorId="0" shapeId="0">
      <text>
        <r>
          <rPr>
            <b/>
            <sz val="9"/>
            <color indexed="81"/>
            <rFont val="Tahoma"/>
            <family val="2"/>
          </rPr>
          <t>1) En el concurso sabor Porkcolombia se logró optimizar el recurso por actividades de mayor alcance e impacto en el publico objetivo, bajo desarrollos digitales.
2) La vinculación del profesional de comunicación integral se inicio una vez se definió la estrategia de comunicación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0" authorId="0" shapeId="0">
      <text>
        <r>
          <rPr>
            <b/>
            <sz val="9"/>
            <color indexed="81"/>
            <rFont val="Tahoma"/>
            <family val="2"/>
          </rPr>
          <t>El cronograma previsto para la Consultoria del Plan de Marketing y de la Agencia de monitoreos se amplió en los tiempos para contar con su definición y evaluación del proceso contractual.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4" authorId="0" shapeId="0">
      <text>
        <r>
          <rPr>
            <b/>
            <sz val="9"/>
            <color indexed="81"/>
            <rFont val="Tahoma"/>
            <family val="2"/>
          </rPr>
          <t>Se optimizan los recursos destinados a la frecuencia en pautas del FESTIVAL PORKCOLOMBIA gracias a la Negociación realizada, teniendo en cuenta que los indicadores de alcance lo permiten.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3" authorId="0" shapeId="0">
      <text>
        <r>
          <rPr>
            <b/>
            <sz val="9"/>
            <color indexed="81"/>
            <rFont val="Tahoma"/>
            <family val="2"/>
          </rPr>
          <t>Reserva de 1.400.000 Unidades de Chapetas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8" authorId="0" shapeId="0">
      <text>
        <r>
          <rPr>
            <b/>
            <sz val="9"/>
            <color indexed="81"/>
            <rFont val="Tahoma"/>
            <family val="2"/>
          </rPr>
          <t>Optimización del recurso por re orientación en la programación de visitas presenciales a virtuales de Consultoria Internacional. Ademas del ahorro en impresión de RUV´s y RU ; y estrategia de edu-comunicación por material de divulgación de menor costo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40" authorId="0" shapeId="0">
      <text>
        <r>
          <rPr>
            <b/>
            <sz val="9"/>
            <color indexed="81"/>
            <rFont val="Tahoma"/>
            <family val="2"/>
          </rPr>
          <t>Nuevo convenio (No. 307) suscrito con Cortolima, implementación de biodigestores, composteras y elementos de ahorro, uso eficiente del agua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6" authorId="1" shapeId="0">
      <text>
        <r>
          <rPr>
            <sz val="9"/>
            <color indexed="81"/>
            <rFont val="Tahoma"/>
            <family val="2"/>
          </rPr>
          <t xml:space="preserve">Se conforma por:
1.Honorarios coordinador </t>
        </r>
        <r>
          <rPr>
            <b/>
            <sz val="9"/>
            <color indexed="81"/>
            <rFont val="Tahoma"/>
            <family val="2"/>
          </rPr>
          <t>$39.540.828</t>
        </r>
        <r>
          <rPr>
            <sz val="9"/>
            <color indexed="81"/>
            <rFont val="Tahoma"/>
            <family val="2"/>
          </rPr>
          <t xml:space="preserve">(8.5 mensualidades de $4.651.862)
2.Movilizaciones </t>
        </r>
        <r>
          <rPr>
            <b/>
            <sz val="9"/>
            <color indexed="81"/>
            <rFont val="Tahoma"/>
            <family val="2"/>
          </rPr>
          <t>$23.800.000</t>
        </r>
        <r>
          <rPr>
            <sz val="9"/>
            <color indexed="81"/>
            <rFont val="Tahoma"/>
            <family val="2"/>
          </rPr>
          <t xml:space="preserve"> (34 movilizaciones)
3.Profesional apoyo zonificación </t>
        </r>
        <r>
          <rPr>
            <b/>
            <sz val="9"/>
            <color indexed="81"/>
            <rFont val="Tahoma"/>
            <family val="2"/>
          </rPr>
          <t>$19.762.500</t>
        </r>
        <r>
          <rPr>
            <sz val="9"/>
            <color indexed="81"/>
            <rFont val="Tahoma"/>
            <family val="2"/>
          </rPr>
          <t xml:space="preserve"> (8.5 mensualidades de $2.325.000)</t>
        </r>
      </text>
    </comment>
    <comment ref="M146" authorId="0" shapeId="0">
      <text>
        <r>
          <rPr>
            <b/>
            <sz val="9"/>
            <color indexed="81"/>
            <rFont val="Tahoma"/>
            <family val="2"/>
          </rPr>
          <t>El inicio del proyecto se dio un mes posterior al periodo inicialmente proyectado en razón a los tiempos de los trámites administrativos para su firma, ademas de la selección del profesional idóneo.</t>
        </r>
      </text>
    </comment>
    <comment ref="M154" authorId="0" shapeId="0">
      <text>
        <r>
          <rPr>
            <b/>
            <sz val="9"/>
            <color indexed="81"/>
            <rFont val="Tahoma"/>
            <family val="2"/>
          </rPr>
          <t>Corresponde a tres (3) cupos de asistentes a la gira técnica a realizarse en Brasil.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5" authorId="0" shapeId="0">
      <text>
        <r>
          <rPr>
            <b/>
            <sz val="9"/>
            <color indexed="81"/>
            <rFont val="Tahoma"/>
            <family val="2"/>
          </rPr>
          <t>El diseño muestreal del Programa Nacional de Sanidad Porcina por parte del ICA fue aprobado con posterioridad a los tiempos previamente establecidos (abril/17), por consiguiente, el personal encargado de la toma de muestras no inicio en los tiempos previstos.</t>
        </r>
      </text>
    </comment>
    <comment ref="M192" authorId="0" shapeId="0">
      <text>
        <r>
          <rPr>
            <b/>
            <sz val="9"/>
            <color indexed="81"/>
            <rFont val="Tahoma"/>
            <family val="2"/>
          </rPr>
          <t>10% sobre el valor de disminución de los ingresos.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Oscar Rubio</author>
  </authors>
  <commentList>
    <comment ref="P8" authorId="0" shapeId="0">
      <text>
        <r>
          <rPr>
            <sz val="9"/>
            <color indexed="81"/>
            <rFont val="Tahoma"/>
            <family val="2"/>
          </rPr>
          <t>Se mantiene el mismo recurso del año 2016</t>
        </r>
      </text>
    </comment>
    <comment ref="C10" authorId="0" shapeId="0">
      <text>
        <r>
          <rPr>
            <sz val="9"/>
            <color indexed="81"/>
            <rFont val="Tahoma"/>
            <family val="2"/>
          </rPr>
          <t>Antivirus y licencias $19.951.684, Oracle $13.346.264</t>
        </r>
      </text>
    </comment>
    <comment ref="D10" authorId="0" shapeId="0">
      <text>
        <r>
          <rPr>
            <sz val="9"/>
            <color indexed="81"/>
            <rFont val="Tahoma"/>
            <family val="2"/>
          </rPr>
          <t>Mnatenimiento y soporte Apoteosys, se ajusta IV 19%</t>
        </r>
      </text>
    </comment>
    <comment ref="E10" authorId="0" shapeId="0">
      <text>
        <r>
          <rPr>
            <sz val="8"/>
            <color indexed="81"/>
            <rFont val="Tahoma"/>
            <family val="2"/>
          </rPr>
          <t>Ampliación banda ancha de 10-15 megas $28.661.955 e internet de respaldo UNE $8.285.027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 xml:space="preserve">compra de muebles y equipos de oficina $2.400.000  </t>
        </r>
      </text>
    </comment>
    <comment ref="I10" authorId="0" shapeId="0">
      <text>
        <r>
          <rPr>
            <sz val="9"/>
            <color indexed="81"/>
            <rFont val="Tahoma"/>
            <family val="2"/>
          </rPr>
          <t>Soporte heinsohn SNR $129.265.236, Oracle $3.500.000, Equipos $10.000.000 Coordinador calidad y digitador</t>
        </r>
      </text>
    </comment>
    <comment ref="J10" authorId="0" shapeId="0">
      <text>
        <r>
          <rPr>
            <sz val="9"/>
            <color indexed="81"/>
            <rFont val="Tahoma"/>
            <family val="2"/>
          </rPr>
          <t>Compra videobeam</t>
        </r>
      </text>
    </comment>
    <comment ref="L10" authorId="0" shapeId="0">
      <text>
        <r>
          <rPr>
            <sz val="9"/>
            <color indexed="81"/>
            <rFont val="Tahoma"/>
            <family val="2"/>
          </rPr>
          <t>Licencias ilustrador profesional comunicación integral</t>
        </r>
      </text>
    </comment>
    <comment ref="P10" authorId="0" shapeId="0">
      <text>
        <r>
          <rPr>
            <sz val="9"/>
            <color indexed="81"/>
            <rFont val="Tahoma"/>
            <family val="2"/>
          </rPr>
          <t>Área Económica soporte SNR (Heinsohn), y compra 2 equipos computo. Área Mercadeo Licencias Ilustrador equipo comunicación integral.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Se ajusta valor con IPC real e IVA 19% sobre AIU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Se aumenta el 20% debido al incremento de funcionarios en los ultimos años
</t>
        </r>
      </text>
    </comment>
    <comment ref="P12" authorId="0" shapeId="0">
      <text>
        <r>
          <rPr>
            <sz val="9"/>
            <color indexed="81"/>
            <rFont val="Tahoma"/>
            <family val="2"/>
          </rPr>
          <t xml:space="preserve">Se incrementa el 20% en aseo y cafeteria debido al aumento de personal en los ultimos años
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Se ajusta valor con IPC real e IVA 19%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Se ajusta valor con IPC real e IVA 19%</t>
        </r>
      </text>
    </comment>
    <comment ref="I20" authorId="0" shapeId="0">
      <text>
        <r>
          <rPr>
            <sz val="9"/>
            <color indexed="81"/>
            <rFont val="Tahoma"/>
            <family val="2"/>
          </rPr>
          <t>Arrendamiento virtual de información SNR $14.280.000,Almacenamiento papeleria recaudo $3.375.600</t>
        </r>
      </text>
    </comment>
    <comment ref="P20" authorId="0" shapeId="0">
      <text>
        <r>
          <rPr>
            <sz val="9"/>
            <color indexed="81"/>
            <rFont val="Tahoma"/>
            <family val="2"/>
          </rPr>
          <t xml:space="preserve">El área Económica contempla $13.920.000 para arriendamiento virtual de información del SNR </t>
        </r>
      </text>
    </comment>
    <comment ref="P22" authorId="0" shapeId="0">
      <text>
        <r>
          <rPr>
            <sz val="9"/>
            <color indexed="81"/>
            <rFont val="Tahoma"/>
            <family val="2"/>
          </rPr>
          <t>Funcionamiento mantiene el mismo recurso vigencia 2016</t>
        </r>
      </text>
    </comment>
    <comment ref="I24" authorId="0" shapeId="0">
      <text>
        <r>
          <rPr>
            <sz val="8"/>
            <color indexed="81"/>
            <rFont val="Tahoma"/>
            <family val="2"/>
          </rPr>
          <t>Publicaciones cuota de fomento 2017 formatos varios, calendario y otros impresos</t>
        </r>
      </text>
    </comment>
    <comment ref="P24" authorId="0" shapeId="0">
      <text>
        <r>
          <rPr>
            <sz val="9"/>
            <color indexed="81"/>
            <rFont val="Tahoma"/>
            <family val="2"/>
          </rPr>
          <t>El área de Sanidad no solicita recurso para impresión.</t>
        </r>
      </text>
    </comment>
    <comment ref="B26" authorId="0" shapeId="0">
      <text>
        <r>
          <rPr>
            <sz val="9"/>
            <color indexed="81"/>
            <rFont val="Tahoma"/>
            <family val="2"/>
          </rPr>
          <t>1, se contempla mantenimiento correo electronico a un costo mensual de $2,093.826 vr promedio agosto 2016, envios correspondencia $4.108.077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 xml:space="preserve">
1, se contempla mantenimiento correo electronico a un costo mensual de $2,145.832</t>
        </r>
      </text>
    </comment>
    <comment ref="I26" authorId="0" shapeId="0">
      <text>
        <r>
          <rPr>
            <sz val="9"/>
            <color indexed="81"/>
            <rFont val="Tahoma"/>
            <family val="2"/>
          </rPr>
          <t>con la entreada en vigencia del SNR se  redujo el envio de información en forma fisica</t>
        </r>
      </text>
    </comment>
    <comment ref="P26" authorId="0" shapeId="0">
      <text>
        <r>
          <rPr>
            <sz val="9"/>
            <color indexed="81"/>
            <rFont val="Tahoma"/>
            <family val="2"/>
          </rPr>
          <t>con la entreada en vigencia del SNR se  redujo el envio de información en forma fisica</t>
        </r>
      </text>
    </comment>
    <comment ref="I28" authorId="0" shapeId="0">
      <text>
        <r>
          <rPr>
            <sz val="8"/>
            <color indexed="81"/>
            <rFont val="Tahoma"/>
            <family val="2"/>
          </rPr>
          <t>El área Económica disminuye el valor contemplado para el 2017</t>
        </r>
      </text>
    </comment>
    <comment ref="P28" authorId="0" shapeId="0">
      <text>
        <r>
          <rPr>
            <sz val="8"/>
            <color indexed="81"/>
            <rFont val="Tahoma"/>
            <family val="2"/>
          </rPr>
          <t>El área Mercadeo disminuye el valor contemplado para el 2017, Técnica,Económica mantienen el recurso vigencia 2016</t>
        </r>
      </text>
    </comment>
    <comment ref="P30" authorId="0" shapeId="0">
      <text>
        <r>
          <rPr>
            <sz val="9"/>
            <color indexed="81"/>
            <rFont val="Tahoma"/>
            <family val="2"/>
          </rPr>
          <t>se disminuye el recurso debido a la disminución de convenios interinstitucionales</t>
        </r>
      </text>
    </comment>
    <comment ref="P34" authorId="0" shapeId="0">
      <text>
        <r>
          <rPr>
            <sz val="9"/>
            <color indexed="81"/>
            <rFont val="Tahoma"/>
            <family val="2"/>
          </rPr>
          <t>Se incrementa para el área Económica $13.500.000 correspondiente al pago por comisiones y gastos bancarios a PAY U del SNR, y $7.000.000 para cubrir los gastos bancarios y comisiones de los diferentes convenios con Gobernaciones y Alcaldias</t>
        </r>
      </text>
    </comment>
    <comment ref="B36" authorId="0" shapeId="0">
      <text>
        <r>
          <rPr>
            <b/>
            <sz val="8"/>
            <color indexed="81"/>
            <rFont val="Tahoma"/>
            <family val="2"/>
          </rPr>
          <t>cuota fiscalización 2016 $48.328.180</t>
        </r>
      </text>
    </comment>
  </commentList>
</comments>
</file>

<file path=xl/sharedStrings.xml><?xml version="1.0" encoding="utf-8"?>
<sst xmlns="http://schemas.openxmlformats.org/spreadsheetml/2006/main" count="279" uniqueCount="255">
  <si>
    <t>Prima legal</t>
  </si>
  <si>
    <t>Vacaciones</t>
  </si>
  <si>
    <t>Seguros y/o fondos privados</t>
  </si>
  <si>
    <t>Aportes ICBF y SENA</t>
  </si>
  <si>
    <t>Cesantías</t>
  </si>
  <si>
    <t>Intereses de cesantías</t>
  </si>
  <si>
    <t>Caja de compensación</t>
  </si>
  <si>
    <t>Administración del programa</t>
  </si>
  <si>
    <t>Fortalecimiento institucional</t>
  </si>
  <si>
    <t>Capacitación y divulgación</t>
  </si>
  <si>
    <t>GASTOS DE FUNCIONAMIENTO</t>
  </si>
  <si>
    <t>TOTAL PROGRAMAS Y PROYECTOS</t>
  </si>
  <si>
    <t>MINISTERIO DE AGRICULTURA  Y DESARROLLO RURAL</t>
  </si>
  <si>
    <t>Honorarios</t>
  </si>
  <si>
    <t>GASTOS GENERALES</t>
  </si>
  <si>
    <t xml:space="preserve">Mantenimiento </t>
  </si>
  <si>
    <t>Arriendos</t>
  </si>
  <si>
    <t>Correo</t>
  </si>
  <si>
    <t>TOTAL PRESUPUESTO</t>
  </si>
  <si>
    <t>CUENTAS</t>
  </si>
  <si>
    <t>Transportes, fletes y acarreos</t>
  </si>
  <si>
    <t>Muebles, equipos de oficina y software</t>
  </si>
  <si>
    <t>Aseo, vigilancia y cafetería</t>
  </si>
  <si>
    <t>Materiales y suministros</t>
  </si>
  <si>
    <t>Servicios públicos</t>
  </si>
  <si>
    <t>Seguros, impuestos y gastos legales</t>
  </si>
  <si>
    <t>Gastos comisión de fomento</t>
  </si>
  <si>
    <t>Comisiones y gastos bancarios</t>
  </si>
  <si>
    <t>Cuota auditaje CGR</t>
  </si>
  <si>
    <t>DIRECCIÓN DE PLANEACIÓN Y SEGUIMIENTO PRESUPUESTAL</t>
  </si>
  <si>
    <t>Capacitación</t>
  </si>
  <si>
    <t>Aseo y cafetería</t>
  </si>
  <si>
    <t>Fotocopias</t>
  </si>
  <si>
    <t>Papelería</t>
  </si>
  <si>
    <t>Teléfonos</t>
  </si>
  <si>
    <t>Celular</t>
  </si>
  <si>
    <t>Energía</t>
  </si>
  <si>
    <t>Acueducto</t>
  </si>
  <si>
    <t>Bodega</t>
  </si>
  <si>
    <t>Viajes</t>
  </si>
  <si>
    <t>Transporte Caja M.</t>
  </si>
  <si>
    <t>Acarreos</t>
  </si>
  <si>
    <t>Seguros</t>
  </si>
  <si>
    <t>Gastos Legales</t>
  </si>
  <si>
    <t>Pasajes</t>
  </si>
  <si>
    <t>Gastos</t>
  </si>
  <si>
    <t>TOTAL GASTOS GENERALES</t>
  </si>
  <si>
    <t>Administración de la base de datos</t>
  </si>
  <si>
    <t>Sistemas de información de mercados</t>
  </si>
  <si>
    <t>CUOTA DE ADMINISTRACIÓN</t>
  </si>
  <si>
    <t>Muebles,  equipos  de oficina y software</t>
  </si>
  <si>
    <t>Impresos y publicaciones</t>
  </si>
  <si>
    <t xml:space="preserve">Capacitación </t>
  </si>
  <si>
    <t xml:space="preserve">RESERVA FUTURAS INVERSIONES Y GASTOS </t>
  </si>
  <si>
    <t>Servicios de personal</t>
  </si>
  <si>
    <t>SUBTOTAL GASTOS PERSONAL</t>
  </si>
  <si>
    <t>SUBTOTAL GASTOS GENERALES</t>
  </si>
  <si>
    <t>TOTAL FUNCIONAMIENTO</t>
  </si>
  <si>
    <t>PROGRAMAS ECONÓMICA</t>
  </si>
  <si>
    <t>PROGRAMAS TÉCNICA</t>
  </si>
  <si>
    <t>PROGRAMAS MERCADEO</t>
  </si>
  <si>
    <t>TOTAL INVERSIÓN</t>
  </si>
  <si>
    <t>GASTOS DE PERSONAL</t>
  </si>
  <si>
    <t xml:space="preserve">Dotación y suministro </t>
  </si>
  <si>
    <t>Sueldos</t>
  </si>
  <si>
    <t>Item</t>
  </si>
  <si>
    <t>Gastos de viaje</t>
  </si>
  <si>
    <t>Impresos varios</t>
  </si>
  <si>
    <t>Hospedaje</t>
  </si>
  <si>
    <t>Alimentación</t>
  </si>
  <si>
    <t>Asoporcicultores</t>
  </si>
  <si>
    <t>TOTAL PPC</t>
  </si>
  <si>
    <t>TOTAL ECONÓMICA</t>
  </si>
  <si>
    <t>TOTAL TÉCNICA</t>
  </si>
  <si>
    <t>TOTAL MERCADEO</t>
  </si>
  <si>
    <t>Ciclos de vacunación</t>
  </si>
  <si>
    <t>Centro de servicios técnicos y financieros</t>
  </si>
  <si>
    <t>Recolección de desechos biológicos</t>
  </si>
  <si>
    <t>Cuota de fomento porcícola</t>
  </si>
  <si>
    <t>Cuota de erradicación Peste Porcina Clásica</t>
  </si>
  <si>
    <t>Integra Seguridad</t>
  </si>
  <si>
    <t xml:space="preserve">TOTAL GASTOS </t>
  </si>
  <si>
    <t>IPC APROX.</t>
  </si>
  <si>
    <t>Cuota Auditaje</t>
  </si>
  <si>
    <t>Alquiler de equipos visita</t>
  </si>
  <si>
    <t>fotocopias</t>
  </si>
  <si>
    <t>Impuestos</t>
  </si>
  <si>
    <t>Contratación de personal</t>
  </si>
  <si>
    <t>Campaña de fomento al consumo</t>
  </si>
  <si>
    <t>ANEXO 2</t>
  </si>
  <si>
    <t>Licencias antivirus</t>
  </si>
  <si>
    <t>TOTAL INVESTIGACIÓN</t>
  </si>
  <si>
    <t>Diagnóstico Rutinario</t>
  </si>
  <si>
    <t>Investigación de mercados</t>
  </si>
  <si>
    <t>PROGRAMAS INVESTIGACIÓN Y TRANSFERENCIA DE TÉCNOLOGÍA</t>
  </si>
  <si>
    <t>Monitoreo de Medios</t>
  </si>
  <si>
    <t>Capacitación anual contratistas</t>
  </si>
  <si>
    <t>Campaña de publicidad</t>
  </si>
  <si>
    <t>Pauta institucional</t>
  </si>
  <si>
    <t>Divulgación</t>
  </si>
  <si>
    <t>Proyectos</t>
  </si>
  <si>
    <t>Capacitación anual</t>
  </si>
  <si>
    <t>Jornadas de divulgación resultados de investigación</t>
  </si>
  <si>
    <t>Cuota de administración FNP</t>
  </si>
  <si>
    <t>Cuota de administración PPC</t>
  </si>
  <si>
    <t>Gira técnica</t>
  </si>
  <si>
    <t>Material de apoyo</t>
  </si>
  <si>
    <t>Consultoría MESA</t>
  </si>
  <si>
    <t>Mantenimiento red</t>
  </si>
  <si>
    <t>Equipos computo y muebles</t>
  </si>
  <si>
    <t>Apoteosys</t>
  </si>
  <si>
    <t>Trabajo con autoridades</t>
  </si>
  <si>
    <t>Depuración, codificación y verificación de predios</t>
  </si>
  <si>
    <t>M/to Fotocopiadora</t>
  </si>
  <si>
    <t>Atención de Solicitudes (Asistencia a Productores)</t>
  </si>
  <si>
    <t>Convenios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</si>
  <si>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</si>
  <si>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</si>
  <si>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</si>
  <si>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</si>
  <si>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</si>
  <si>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</si>
  <si>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Movilización Jefe Coordinadores de recaudo</t>
  </si>
  <si>
    <t>Pago de Axilios de frío, flete y movilización</t>
  </si>
  <si>
    <t>Vigilancia Epidemiológica</t>
  </si>
  <si>
    <t>Auxilios comités</t>
  </si>
  <si>
    <t>PROGRAMA SANIDAD</t>
  </si>
  <si>
    <t xml:space="preserve">PROGRAMA PPC </t>
  </si>
  <si>
    <t>TOTAL SANIDAD</t>
  </si>
  <si>
    <t>Apoyo programa PRRS</t>
  </si>
  <si>
    <t>Epidemiología de la enfermedad (Nacional)</t>
  </si>
  <si>
    <t>Sensibilización y divulgación</t>
  </si>
  <si>
    <t>Programa nacional de bioseguridad, sanidad y productividad-PNBSP</t>
  </si>
  <si>
    <t xml:space="preserve">Sostenibilidad y responsabilidad social empresarial en producción primaria </t>
  </si>
  <si>
    <t>Inocuidad y bienestar animal en producción primaria y transporte</t>
  </si>
  <si>
    <t>Investigación y desarrollo</t>
  </si>
  <si>
    <t>Transferencia de tecnología</t>
  </si>
  <si>
    <t>Capacitación para expendedores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</si>
  <si>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</si>
  <si>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</si>
  <si>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</si>
  <si>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</si>
  <si>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</si>
  <si>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>Diagnostico rutinario con laboratorios privados</t>
  </si>
  <si>
    <t>PRRS</t>
  </si>
  <si>
    <t>Promoción del diagnóstico</t>
  </si>
  <si>
    <t>Aseguramiento de la calidad</t>
  </si>
  <si>
    <t>Asesorias BPM y HACCP</t>
  </si>
  <si>
    <t>Sello de producto en la cadena de transformación</t>
  </si>
  <si>
    <t>Brand equity tracking</t>
  </si>
  <si>
    <t>Eye Trancking</t>
  </si>
  <si>
    <t>Viajes regionales equipo incentivo y sensibilizacion de las bondades de la carne de cerdo</t>
  </si>
  <si>
    <t>Kit Publicitario</t>
  </si>
  <si>
    <t>Jornadas de trabajo con los coordinadores regionales (visita plantas)</t>
  </si>
  <si>
    <t>Jornadas de trabajo con los coordinadores regionales(trabajo con autoridades)</t>
  </si>
  <si>
    <t>Suscripciones</t>
  </si>
  <si>
    <t xml:space="preserve">  Vinculación tecnologica</t>
  </si>
  <si>
    <t xml:space="preserve">  Talleres y seminarios</t>
  </si>
  <si>
    <t>TOTAL ÁREA ECONÓMICA</t>
  </si>
  <si>
    <t xml:space="preserve">Cadena Carnica Porcína </t>
  </si>
  <si>
    <t xml:space="preserve">   Contrapartidas Gobernaciones y/o Alcaldias</t>
  </si>
  <si>
    <t xml:space="preserve">   Contrapartidas FNP</t>
  </si>
  <si>
    <t>Fortalecimiento del beneficio formal</t>
  </si>
  <si>
    <t>TOTAL ÁREA MERCADEO</t>
  </si>
  <si>
    <t>TOTAL ÁREA ERRADICACIÓN PPC</t>
  </si>
  <si>
    <t>TOTAL ÁREA TÉCNICA</t>
  </si>
  <si>
    <t>Taller técnico de bioseguridad, sanidad y productividad</t>
  </si>
  <si>
    <t>TOTAL ÁREA INVESTIGACIÓN Y TRANSFERENCIA</t>
  </si>
  <si>
    <t>TOTAL ÁREA SANIDAD</t>
  </si>
  <si>
    <t>Fortalecimiento de competencias en bienestar animal e inocuidad</t>
  </si>
  <si>
    <t>Free Press ATL Influenciadores</t>
  </si>
  <si>
    <t>Asesores Gastronómicos Ejecutivos</t>
  </si>
  <si>
    <t>Seguimiento gestión a eventos de sensibilización de las bondades de la carne de cerdo</t>
  </si>
  <si>
    <t>Eventos especializados (Sector, gastronomicos , sector salud)</t>
  </si>
  <si>
    <t>Comercialización y Nuevos Negocios</t>
  </si>
  <si>
    <t>Material Promocional y Publicitario</t>
  </si>
  <si>
    <t>Acceso a Mercados</t>
  </si>
  <si>
    <t>Herramientas del centro de servicios</t>
  </si>
  <si>
    <t>Buenas practicas en el manejo de medicamentos veterinarios</t>
  </si>
  <si>
    <t xml:space="preserve">  Compras de insumos</t>
  </si>
  <si>
    <t xml:space="preserve">  Diagnóstico importados</t>
  </si>
  <si>
    <t>Rutinario</t>
  </si>
  <si>
    <t>Combos</t>
  </si>
  <si>
    <t>Inocuidad y Ambiente</t>
  </si>
  <si>
    <t>correo google</t>
  </si>
  <si>
    <t>correo</t>
  </si>
  <si>
    <t>Gastos varios</t>
  </si>
  <si>
    <t>Internet</t>
  </si>
  <si>
    <t>Reparaciones</t>
  </si>
  <si>
    <t>% VAR</t>
  </si>
  <si>
    <t>Determinació de factores de riesgo</t>
  </si>
  <si>
    <t>Profesionales de acompañamiento    *(Certificación en granja y transporte)</t>
  </si>
  <si>
    <t>Pork d¨Or Colombia 2017</t>
  </si>
  <si>
    <t xml:space="preserve">Acompañamiento y apoyo </t>
  </si>
  <si>
    <t>Granjas modelo y mesas de trabajo interinstitucionales e intergremiales</t>
  </si>
  <si>
    <t>Profesionales de apoyo en implementación y certificación granja y transporte</t>
  </si>
  <si>
    <t>Capacitación en desposte y transformación de la carne de cerdo</t>
  </si>
  <si>
    <t>Curso virtual en tecnologías ambientales para porcicultura</t>
  </si>
  <si>
    <t>Cambios en la 2640</t>
  </si>
  <si>
    <t>Encuentros regionales</t>
  </si>
  <si>
    <t>Capacitaciones técnico-sanitarias</t>
  </si>
  <si>
    <t>Talleres educación ambiental</t>
  </si>
  <si>
    <t xml:space="preserve">  Capacitación funcionarios laboratorios ICA</t>
  </si>
  <si>
    <t>Estudio Neurologico de la campaña vigente</t>
  </si>
  <si>
    <t>Estudio Consumidor Shopper</t>
  </si>
  <si>
    <t>Estudio NSOP (LSDA)</t>
  </si>
  <si>
    <t>Comunicación integral</t>
  </si>
  <si>
    <t>Porkcolombia.com</t>
  </si>
  <si>
    <t>Pauta digital</t>
  </si>
  <si>
    <t>Activaciones de consumo</t>
  </si>
  <si>
    <t>Material de promocion al consumo</t>
  </si>
  <si>
    <t>Festival PorkColombia</t>
  </si>
  <si>
    <t>Agroexpo</t>
  </si>
  <si>
    <t>Eventos Apertura Nuevos Negocios</t>
  </si>
  <si>
    <t>Higiene ambiental</t>
  </si>
  <si>
    <t>Comparativo 2016-2017</t>
  </si>
  <si>
    <t>TOTAL 2017</t>
  </si>
  <si>
    <t xml:space="preserve">Cocina PorkColombia </t>
  </si>
  <si>
    <t>PRESUPUESTO DE GASTOS DE FUNCIONAMIENTO E INVERSIÓN 2.017</t>
  </si>
  <si>
    <t>Apoyo autorización sanitaria</t>
  </si>
  <si>
    <t>Trabajo con autoridades y puestos de control</t>
  </si>
  <si>
    <t>Vigilancia epidemiológica</t>
  </si>
  <si>
    <t>Seguimiento y gestion comunicación integral.</t>
  </si>
  <si>
    <t>Desarrollo Digital (Concurso Innovador)</t>
  </si>
  <si>
    <t>Certificado PorkColombia (Expertos de carne de cerdo)</t>
  </si>
  <si>
    <t>ChefRegionales PorkColombia</t>
  </si>
  <si>
    <t>Gestion y seguimiento comercializacion y nuevos negocios</t>
  </si>
  <si>
    <t xml:space="preserve">Gestion de actividades nutricionales </t>
  </si>
  <si>
    <t>Pruebas interlaboratorios</t>
  </si>
  <si>
    <t>Equipos de comunicación puestos de control</t>
  </si>
  <si>
    <t>Programa de vigilancia de influenza porcina</t>
  </si>
  <si>
    <t>Varios</t>
  </si>
  <si>
    <t>Home panel de Nielsen</t>
  </si>
  <si>
    <t>ACUERDO 5/17</t>
  </si>
  <si>
    <t>PRESUPUESTO DEFINITIVO</t>
  </si>
  <si>
    <t>Zonificación y ordenamiento productivo</t>
  </si>
  <si>
    <t>Proyecto UPRA-Porkcolombia</t>
  </si>
  <si>
    <t>% PARTICIPACIÓN</t>
  </si>
  <si>
    <t>Chapetas y tenazas</t>
  </si>
  <si>
    <t>Vacunación e identificación de porcinos</t>
  </si>
  <si>
    <t>Suministros clinicos y dotaciones</t>
  </si>
  <si>
    <t xml:space="preserve">Barridos </t>
  </si>
  <si>
    <t>Caracterización cerdos Asilvestrados</t>
  </si>
  <si>
    <t>FONDO DE EMERGENCIA FNP</t>
  </si>
  <si>
    <t>FONDO DE EMERGENCIA PPC</t>
  </si>
  <si>
    <t>Control y monitoreo para la enfermedad en granjas de Colombia</t>
  </si>
  <si>
    <t>ACUERDO 9/17</t>
  </si>
  <si>
    <t xml:space="preserve">     Convenio Gobernacion Cundinamarca</t>
  </si>
  <si>
    <t xml:space="preserve">     Convenio Pereira</t>
  </si>
  <si>
    <t xml:space="preserve">     Convenio Gobernación Valle</t>
  </si>
  <si>
    <t xml:space="preserve">    Convenio Gobernacion Cundinamarca FNP</t>
  </si>
  <si>
    <t xml:space="preserve">    Convenio Pereira FNP</t>
  </si>
  <si>
    <t xml:space="preserve">    Convenio Gobernación Valle FNP</t>
  </si>
  <si>
    <t>ACUERDO 12/17</t>
  </si>
  <si>
    <t>ACUERDO 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</si>
</sst>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77" formatCode="_(* #,##0.00_);_(* \(#,##0.00\);_(* &quot;-&quot;??_);_(@_)"/>
    <numFmt numFmtId="184" formatCode="_ &quot;$&quot;\ * #,##0.00_ ;_ &quot;$&quot;\ * \-#,##0.00_ ;_ &quot;$&quot;\ * &quot;-&quot;??_ ;_ @_ "/>
    <numFmt numFmtId="185" formatCode="_ * #,##0.00_ ;_ * \-#,##0.00_ ;_ * &quot;-&quot;??_ ;_ @_ "/>
    <numFmt numFmtId="186" formatCode="_-* #,##0.00\ _€_-;\-* #,##0.00\ _€_-;_-* &quot;-&quot;??\ _€_-;_-@_-"/>
    <numFmt numFmtId="187" formatCode="_ * #,##0_ ;_ * \-#,##0_ ;_ * &quot;-&quot;??_ ;_ @_ "/>
    <numFmt numFmtId="189" formatCode="_(* #,##0_);_(* \(#,##0\);_(* &quot;-&quot;??_);_(@_)"/>
    <numFmt numFmtId="190" formatCode="_(* #,##0.000_);_(* \(#,##0.000\);_(* &quot;-&quot;??_);_(@_)"/>
    <numFmt numFmtId="193" formatCode="_ &quot;$&quot;\ * #,##0_ ;_ &quot;$&quot;\ * \-#,##0_ ;_ &quot;$&quot;\ * &quot;-&quot;??_ ;_ @_ "/>
    <numFmt numFmtId="195" formatCode="0.0000"/>
    <numFmt numFmtId="197" formatCode="_ [$€-2]\ * #,##0.00_ ;_ [$€-2]\ * \-#,##0.00_ ;_ [$€-2]\ * &quot;-&quot;??_ "/>
    <numFmt numFmtId="200" formatCode="_-* #,##0.00\ &quot;Pts&quot;_-;\-* #,##0.00\ &quot;Pts&quot;_-;_-* &quot;-&quot;??\ &quot;Pts&quot;_-;_-@_-"/>
    <numFmt numFmtId="204" formatCode="_-* #,##0.00\ &quot;€&quot;_-;\-* #,##0.00\ &quot;€&quot;_-;_-* &quot;-&quot;??\ &quot;€&quot;_-;_-@_-"/>
  </numFmts>
  <fonts count="76" x14ac:knownFonts="1">
    <font>
      <sz val="10"/>
      <name val="Arial"/>
    </font>
    <font>
      <sz val="10"/>
      <name val="Arial"/>
    </font>
    <font>
      <sz val="9"/>
      <name val="Times New Roman"/>
      <family val="1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Arial"/>
      <family val="2"/>
    </font>
    <font>
      <sz val="11"/>
      <name val="Comic Sans MS"/>
      <family val="4"/>
    </font>
    <font>
      <sz val="10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  <charset val="186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20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sz val="12"/>
      <color indexed="10"/>
      <name val="Calibri"/>
      <family val="2"/>
    </font>
    <font>
      <i/>
      <sz val="12"/>
      <color indexed="23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rgb="FFFF0000"/>
      <name val="Arial"/>
      <family val="2"/>
      <charset val="186"/>
    </font>
    <font>
      <b/>
      <sz val="11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2">
    <xf numFmtId="0" fontId="0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3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3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3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3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3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3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3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3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3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53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36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53" fillId="12" borderId="0" applyNumberFormat="0" applyBorder="0" applyAlignment="0" applyProtection="0"/>
    <xf numFmtId="0" fontId="36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53" fillId="9" borderId="0" applyNumberFormat="0" applyBorder="0" applyAlignment="0" applyProtection="0"/>
    <xf numFmtId="0" fontId="36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53" fillId="10" borderId="0" applyNumberFormat="0" applyBorder="0" applyAlignment="0" applyProtection="0"/>
    <xf numFmtId="0" fontId="36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36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36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53" fillId="19" borderId="0" applyNumberFormat="0" applyBorder="0" applyAlignment="0" applyProtection="0"/>
    <xf numFmtId="0" fontId="59" fillId="3" borderId="0" applyNumberFormat="0" applyBorder="0" applyAlignment="0" applyProtection="0"/>
    <xf numFmtId="0" fontId="37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20" borderId="1" applyNumberFormat="0" applyAlignment="0" applyProtection="0"/>
    <xf numFmtId="0" fontId="38" fillId="20" borderId="1" applyNumberFormat="0" applyAlignment="0" applyProtection="0"/>
    <xf numFmtId="0" fontId="55" fillId="20" borderId="1" applyNumberFormat="0" applyAlignment="0" applyProtection="0"/>
    <xf numFmtId="0" fontId="55" fillId="20" borderId="1" applyNumberFormat="0" applyAlignment="0" applyProtection="0"/>
    <xf numFmtId="0" fontId="55" fillId="20" borderId="1" applyNumberFormat="0" applyAlignment="0" applyProtection="0"/>
    <xf numFmtId="0" fontId="55" fillId="20" borderId="1" applyNumberFormat="0" applyAlignment="0" applyProtection="0"/>
    <xf numFmtId="0" fontId="55" fillId="20" borderId="1" applyNumberFormat="0" applyAlignment="0" applyProtection="0"/>
    <xf numFmtId="0" fontId="55" fillId="20" borderId="1" applyNumberFormat="0" applyAlignment="0" applyProtection="0"/>
    <xf numFmtId="0" fontId="39" fillId="21" borderId="2" applyNumberFormat="0" applyAlignment="0" applyProtection="0"/>
    <xf numFmtId="0" fontId="56" fillId="21" borderId="2" applyNumberFormat="0" applyAlignment="0" applyProtection="0"/>
    <xf numFmtId="0" fontId="56" fillId="21" borderId="2" applyNumberFormat="0" applyAlignment="0" applyProtection="0"/>
    <xf numFmtId="0" fontId="56" fillId="21" borderId="2" applyNumberFormat="0" applyAlignment="0" applyProtection="0"/>
    <xf numFmtId="0" fontId="56" fillId="21" borderId="2" applyNumberFormat="0" applyAlignment="0" applyProtection="0"/>
    <xf numFmtId="0" fontId="56" fillId="21" borderId="2" applyNumberFormat="0" applyAlignment="0" applyProtection="0"/>
    <xf numFmtId="0" fontId="56" fillId="21" borderId="2" applyNumberFormat="0" applyAlignment="0" applyProtection="0"/>
    <xf numFmtId="0" fontId="40" fillId="0" borderId="3" applyNumberFormat="0" applyFill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7" fillId="0" borderId="3" applyNumberFormat="0" applyFill="0" applyAlignment="0" applyProtection="0"/>
    <xf numFmtId="0" fontId="56" fillId="21" borderId="2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53" fillId="16" borderId="0" applyNumberFormat="0" applyBorder="0" applyAlignment="0" applyProtection="0"/>
    <xf numFmtId="0" fontId="36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36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53" fillId="18" borderId="0" applyNumberFormat="0" applyBorder="0" applyAlignment="0" applyProtection="0"/>
    <xf numFmtId="0" fontId="36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36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36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53" fillId="19" borderId="0" applyNumberFormat="0" applyBorder="0" applyAlignment="0" applyProtection="0"/>
    <xf numFmtId="0" fontId="41" fillId="7" borderId="1" applyNumberFormat="0" applyAlignment="0" applyProtection="0"/>
    <xf numFmtId="0" fontId="58" fillId="7" borderId="1" applyNumberFormat="0" applyAlignment="0" applyProtection="0"/>
    <xf numFmtId="0" fontId="58" fillId="7" borderId="1" applyNumberFormat="0" applyAlignment="0" applyProtection="0"/>
    <xf numFmtId="0" fontId="58" fillId="7" borderId="1" applyNumberFormat="0" applyAlignment="0" applyProtection="0"/>
    <xf numFmtId="0" fontId="58" fillId="7" borderId="1" applyNumberFormat="0" applyAlignment="0" applyProtection="0"/>
    <xf numFmtId="0" fontId="58" fillId="7" borderId="1" applyNumberFormat="0" applyAlignment="0" applyProtection="0"/>
    <xf numFmtId="0" fontId="58" fillId="7" borderId="1" applyNumberFormat="0" applyAlignment="0" applyProtection="0"/>
    <xf numFmtId="197" fontId="24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54" fillId="4" borderId="0" applyNumberFormat="0" applyBorder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2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8" fillId="7" borderId="1" applyNumberFormat="0" applyAlignment="0" applyProtection="0"/>
    <xf numFmtId="0" fontId="57" fillId="0" borderId="3" applyNumberFormat="0" applyFill="0" applyAlignment="0" applyProtection="0"/>
    <xf numFmtId="18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72" fillId="0" borderId="0" applyFont="0" applyFill="0" applyBorder="0" applyAlignment="0" applyProtection="0"/>
    <xf numFmtId="185" fontId="52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52" fillId="0" borderId="0" applyFont="0" applyFill="0" applyBorder="0" applyAlignment="0" applyProtection="0"/>
    <xf numFmtId="185" fontId="64" fillId="0" borderId="0" applyFont="0" applyFill="0" applyBorder="0" applyAlignment="0" applyProtection="0"/>
    <xf numFmtId="185" fontId="65" fillId="0" borderId="0" applyFont="0" applyFill="0" applyBorder="0" applyAlignment="0" applyProtection="0"/>
    <xf numFmtId="190" fontId="21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9" fontId="8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185" fontId="26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2" fillId="0" borderId="0" applyFont="0" applyFill="0" applyBorder="0" applyAlignment="0" applyProtection="0"/>
    <xf numFmtId="184" fontId="65" fillId="0" borderId="0" applyFont="0" applyFill="0" applyBorder="0" applyAlignment="0" applyProtection="0"/>
    <xf numFmtId="184" fontId="66" fillId="0" borderId="0" applyFont="0" applyFill="0" applyBorder="0" applyAlignment="0" applyProtection="0"/>
    <xf numFmtId="0" fontId="43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60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197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2" fillId="0" borderId="0"/>
    <xf numFmtId="0" fontId="8" fillId="23" borderId="7" applyNumberFormat="0" applyFont="0" applyAlignment="0" applyProtection="0"/>
    <xf numFmtId="0" fontId="25" fillId="23" borderId="7" applyNumberFormat="0" applyFont="0" applyAlignment="0" applyProtection="0"/>
    <xf numFmtId="0" fontId="25" fillId="23" borderId="7" applyNumberFormat="0" applyFont="0" applyAlignment="0" applyProtection="0"/>
    <xf numFmtId="0" fontId="25" fillId="23" borderId="7" applyNumberFormat="0" applyFont="0" applyAlignment="0" applyProtection="0"/>
    <xf numFmtId="0" fontId="25" fillId="23" borderId="7" applyNumberFormat="0" applyFont="0" applyAlignment="0" applyProtection="0"/>
    <xf numFmtId="0" fontId="25" fillId="23" borderId="7" applyNumberFormat="0" applyFont="0" applyAlignment="0" applyProtection="0"/>
    <xf numFmtId="0" fontId="25" fillId="23" borderId="7" applyNumberFormat="0" applyFont="0" applyAlignment="0" applyProtection="0"/>
    <xf numFmtId="0" fontId="25" fillId="23" borderId="7" applyNumberFormat="0" applyFont="0" applyAlignment="0" applyProtection="0"/>
    <xf numFmtId="0" fontId="25" fillId="23" borderId="7" applyNumberFormat="0" applyFont="0" applyAlignment="0" applyProtection="0"/>
    <xf numFmtId="0" fontId="8" fillId="27" borderId="49" applyNumberFormat="0" applyFont="0" applyAlignment="0" applyProtection="0"/>
    <xf numFmtId="0" fontId="61" fillId="20" borderId="8" applyNumberFormat="0" applyAlignment="0" applyProtection="0"/>
    <xf numFmtId="9" fontId="1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4" fillId="20" borderId="8" applyNumberFormat="0" applyAlignment="0" applyProtection="0"/>
    <xf numFmtId="0" fontId="61" fillId="20" borderId="8" applyNumberFormat="0" applyAlignment="0" applyProtection="0"/>
    <xf numFmtId="0" fontId="61" fillId="20" borderId="8" applyNumberFormat="0" applyAlignment="0" applyProtection="0"/>
    <xf numFmtId="0" fontId="61" fillId="20" borderId="8" applyNumberFormat="0" applyAlignment="0" applyProtection="0"/>
    <xf numFmtId="0" fontId="61" fillId="20" borderId="8" applyNumberFormat="0" applyAlignment="0" applyProtection="0"/>
    <xf numFmtId="0" fontId="61" fillId="20" borderId="8" applyNumberFormat="0" applyAlignment="0" applyProtection="0"/>
    <xf numFmtId="0" fontId="61" fillId="20" borderId="8" applyNumberFormat="0" applyAlignment="0" applyProtection="0"/>
    <xf numFmtId="0" fontId="4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48" fillId="0" borderId="9" applyNumberFormat="0" applyFill="0" applyAlignment="0" applyProtection="0"/>
    <xf numFmtId="0" fontId="62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Fill="1"/>
    <xf numFmtId="0" fontId="2" fillId="0" borderId="0" xfId="0" applyFont="1" applyFill="1"/>
    <xf numFmtId="0" fontId="10" fillId="0" borderId="0" xfId="0" applyFont="1"/>
    <xf numFmtId="0" fontId="10" fillId="0" borderId="0" xfId="0" applyFont="1" applyFill="1"/>
    <xf numFmtId="0" fontId="10" fillId="0" borderId="0" xfId="0" applyFont="1" applyFill="1" applyBorder="1"/>
    <xf numFmtId="3" fontId="15" fillId="0" borderId="10" xfId="0" applyNumberFormat="1" applyFont="1" applyFill="1" applyBorder="1" applyAlignment="1"/>
    <xf numFmtId="3" fontId="15" fillId="0" borderId="11" xfId="0" applyNumberFormat="1" applyFont="1" applyFill="1" applyBorder="1"/>
    <xf numFmtId="0" fontId="14" fillId="0" borderId="12" xfId="0" applyFont="1" applyFill="1" applyBorder="1"/>
    <xf numFmtId="3" fontId="15" fillId="0" borderId="12" xfId="0" applyNumberFormat="1" applyFont="1" applyFill="1" applyBorder="1"/>
    <xf numFmtId="3" fontId="14" fillId="0" borderId="10" xfId="0" applyNumberFormat="1" applyFont="1" applyFill="1" applyBorder="1" applyAlignment="1"/>
    <xf numFmtId="3" fontId="14" fillId="0" borderId="12" xfId="0" applyNumberFormat="1" applyFont="1" applyFill="1" applyBorder="1"/>
    <xf numFmtId="0" fontId="14" fillId="0" borderId="10" xfId="0" applyFont="1" applyFill="1" applyBorder="1" applyAlignment="1"/>
    <xf numFmtId="37" fontId="15" fillId="0" borderId="10" xfId="0" applyNumberFormat="1" applyFont="1" applyFill="1" applyBorder="1" applyAlignment="1"/>
    <xf numFmtId="3" fontId="16" fillId="0" borderId="12" xfId="0" applyNumberFormat="1" applyFont="1" applyFill="1" applyBorder="1"/>
    <xf numFmtId="0" fontId="15" fillId="0" borderId="10" xfId="0" applyFont="1" applyFill="1" applyBorder="1" applyAlignment="1"/>
    <xf numFmtId="0" fontId="8" fillId="0" borderId="0" xfId="0" applyFont="1" applyFill="1"/>
    <xf numFmtId="3" fontId="16" fillId="0" borderId="10" xfId="0" applyNumberFormat="1" applyFont="1" applyFill="1" applyBorder="1" applyAlignment="1"/>
    <xf numFmtId="0" fontId="15" fillId="0" borderId="13" xfId="0" applyFont="1" applyFill="1" applyBorder="1" applyAlignment="1">
      <alignment horizontal="center"/>
    </xf>
    <xf numFmtId="0" fontId="15" fillId="24" borderId="14" xfId="0" applyFont="1" applyFill="1" applyBorder="1" applyAlignment="1">
      <alignment horizontal="center"/>
    </xf>
    <xf numFmtId="3" fontId="4" fillId="0" borderId="12" xfId="0" applyNumberFormat="1" applyFont="1" applyFill="1" applyBorder="1"/>
    <xf numFmtId="37" fontId="4" fillId="0" borderId="10" xfId="0" applyNumberFormat="1" applyFont="1" applyFill="1" applyBorder="1" applyAlignment="1"/>
    <xf numFmtId="0" fontId="0" fillId="25" borderId="0" xfId="0" applyFill="1"/>
    <xf numFmtId="0" fontId="14" fillId="25" borderId="0" xfId="0" applyFont="1" applyFill="1"/>
    <xf numFmtId="195" fontId="16" fillId="26" borderId="15" xfId="0" applyNumberFormat="1" applyFont="1" applyFill="1" applyBorder="1" applyAlignment="1">
      <alignment horizontal="center"/>
    </xf>
    <xf numFmtId="0" fontId="16" fillId="26" borderId="15" xfId="0" applyFont="1" applyFill="1" applyBorder="1"/>
    <xf numFmtId="0" fontId="10" fillId="25" borderId="0" xfId="0" applyFont="1" applyFill="1"/>
    <xf numFmtId="3" fontId="17" fillId="25" borderId="0" xfId="0" applyNumberFormat="1" applyFont="1" applyFill="1" applyBorder="1" applyAlignment="1"/>
    <xf numFmtId="187" fontId="10" fillId="25" borderId="0" xfId="274" applyNumberFormat="1" applyFont="1" applyFill="1" applyBorder="1"/>
    <xf numFmtId="0" fontId="10" fillId="25" borderId="0" xfId="0" applyFont="1" applyFill="1" applyBorder="1"/>
    <xf numFmtId="187" fontId="10" fillId="25" borderId="0" xfId="0" applyNumberFormat="1" applyFont="1" applyFill="1" applyBorder="1"/>
    <xf numFmtId="3" fontId="22" fillId="0" borderId="16" xfId="0" applyNumberFormat="1" applyFont="1" applyFill="1" applyBorder="1" applyAlignment="1">
      <alignment horizontal="centerContinuous"/>
    </xf>
    <xf numFmtId="0" fontId="15" fillId="0" borderId="16" xfId="0" applyFont="1" applyFill="1" applyBorder="1" applyAlignment="1">
      <alignment horizontal="centerContinuous"/>
    </xf>
    <xf numFmtId="0" fontId="22" fillId="0" borderId="16" xfId="0" applyFont="1" applyFill="1" applyBorder="1" applyAlignment="1">
      <alignment horizontal="centerContinuous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3" fontId="0" fillId="0" borderId="0" xfId="0" applyNumberFormat="1" applyFill="1"/>
    <xf numFmtId="3" fontId="2" fillId="0" borderId="0" xfId="0" applyNumberFormat="1" applyFont="1" applyFill="1"/>
    <xf numFmtId="0" fontId="14" fillId="0" borderId="19" xfId="0" applyFont="1" applyFill="1" applyBorder="1" applyAlignment="1"/>
    <xf numFmtId="0" fontId="14" fillId="0" borderId="11" xfId="0" applyFont="1" applyFill="1" applyBorder="1"/>
    <xf numFmtId="0" fontId="2" fillId="0" borderId="0" xfId="0" applyFont="1" applyFill="1" applyAlignment="1"/>
    <xf numFmtId="187" fontId="0" fillId="25" borderId="0" xfId="0" applyNumberFormat="1" applyFill="1"/>
    <xf numFmtId="187" fontId="10" fillId="25" borderId="0" xfId="274" applyNumberFormat="1" applyFont="1" applyFill="1"/>
    <xf numFmtId="187" fontId="17" fillId="25" borderId="0" xfId="274" applyNumberFormat="1" applyFont="1" applyFill="1" applyBorder="1" applyAlignment="1"/>
    <xf numFmtId="187" fontId="24" fillId="25" borderId="0" xfId="274" applyNumberFormat="1" applyFont="1" applyFill="1"/>
    <xf numFmtId="0" fontId="3" fillId="0" borderId="0" xfId="0" applyFont="1" applyFill="1"/>
    <xf numFmtId="0" fontId="16" fillId="25" borderId="0" xfId="0" applyFont="1" applyFill="1"/>
    <xf numFmtId="3" fontId="14" fillId="0" borderId="11" xfId="0" applyNumberFormat="1" applyFont="1" applyFill="1" applyBorder="1"/>
    <xf numFmtId="3" fontId="15" fillId="0" borderId="16" xfId="0" applyNumberFormat="1" applyFont="1" applyFill="1" applyBorder="1" applyAlignment="1">
      <alignment horizontal="centerContinuous"/>
    </xf>
    <xf numFmtId="0" fontId="15" fillId="28" borderId="14" xfId="0" applyFont="1" applyFill="1" applyBorder="1" applyAlignment="1">
      <alignment horizontal="center"/>
    </xf>
    <xf numFmtId="0" fontId="74" fillId="0" borderId="16" xfId="0" applyFont="1" applyFill="1" applyBorder="1" applyAlignment="1">
      <alignment horizontal="centerContinuous"/>
    </xf>
    <xf numFmtId="37" fontId="16" fillId="0" borderId="10" xfId="0" applyNumberFormat="1" applyFont="1" applyFill="1" applyBorder="1" applyAlignment="1"/>
    <xf numFmtId="37" fontId="4" fillId="0" borderId="10" xfId="0" applyNumberFormat="1" applyFont="1" applyFill="1" applyBorder="1" applyAlignment="1">
      <alignment horizontal="left"/>
    </xf>
    <xf numFmtId="37" fontId="2" fillId="0" borderId="0" xfId="0" applyNumberFormat="1" applyFont="1" applyFill="1"/>
    <xf numFmtId="37" fontId="0" fillId="0" borderId="0" xfId="0" applyNumberFormat="1" applyFill="1"/>
    <xf numFmtId="0" fontId="15" fillId="0" borderId="23" xfId="0" applyFont="1" applyFill="1" applyBorder="1" applyAlignment="1"/>
    <xf numFmtId="3" fontId="15" fillId="0" borderId="24" xfId="0" applyNumberFormat="1" applyFont="1" applyFill="1" applyBorder="1"/>
    <xf numFmtId="0" fontId="14" fillId="0" borderId="25" xfId="0" applyFont="1" applyFill="1" applyBorder="1" applyAlignment="1"/>
    <xf numFmtId="3" fontId="14" fillId="0" borderId="26" xfId="0" applyNumberFormat="1" applyFont="1" applyFill="1" applyBorder="1"/>
    <xf numFmtId="0" fontId="15" fillId="0" borderId="27" xfId="0" applyFont="1" applyFill="1" applyBorder="1" applyAlignment="1"/>
    <xf numFmtId="3" fontId="15" fillId="0" borderId="28" xfId="0" applyNumberFormat="1" applyFont="1" applyFill="1" applyBorder="1"/>
    <xf numFmtId="187" fontId="14" fillId="0" borderId="21" xfId="274" applyNumberFormat="1" applyFont="1" applyFill="1" applyBorder="1"/>
    <xf numFmtId="187" fontId="14" fillId="0" borderId="29" xfId="274" applyNumberFormat="1" applyFont="1" applyFill="1" applyBorder="1"/>
    <xf numFmtId="37" fontId="16" fillId="0" borderId="10" xfId="0" applyNumberFormat="1" applyFont="1" applyFill="1" applyBorder="1" applyAlignment="1">
      <alignment horizontal="left"/>
    </xf>
    <xf numFmtId="187" fontId="14" fillId="0" borderId="21" xfId="274" applyNumberFormat="1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4" fillId="0" borderId="21" xfId="0" applyFont="1" applyFill="1" applyBorder="1"/>
    <xf numFmtId="0" fontId="15" fillId="0" borderId="22" xfId="0" applyFont="1" applyFill="1" applyBorder="1"/>
    <xf numFmtId="0" fontId="14" fillId="0" borderId="22" xfId="0" applyFont="1" applyFill="1" applyBorder="1"/>
    <xf numFmtId="0" fontId="15" fillId="0" borderId="30" xfId="0" applyFont="1" applyFill="1" applyBorder="1" applyAlignment="1">
      <alignment horizontal="center"/>
    </xf>
    <xf numFmtId="10" fontId="0" fillId="0" borderId="0" xfId="386" applyNumberFormat="1" applyFont="1" applyFill="1"/>
    <xf numFmtId="3" fontId="18" fillId="0" borderId="12" xfId="0" applyNumberFormat="1" applyFont="1" applyFill="1" applyBorder="1"/>
    <xf numFmtId="3" fontId="14" fillId="0" borderId="12" xfId="295" applyNumberFormat="1" applyFont="1" applyFill="1" applyBorder="1"/>
    <xf numFmtId="3" fontId="16" fillId="0" borderId="12" xfId="295" applyNumberFormat="1" applyFont="1" applyFill="1" applyBorder="1"/>
    <xf numFmtId="3" fontId="16" fillId="0" borderId="28" xfId="295" applyNumberFormat="1" applyFont="1" applyFill="1" applyBorder="1"/>
    <xf numFmtId="185" fontId="15" fillId="0" borderId="12" xfId="295" applyFont="1" applyFill="1" applyBorder="1"/>
    <xf numFmtId="185" fontId="4" fillId="0" borderId="12" xfId="295" applyFont="1" applyFill="1" applyBorder="1"/>
    <xf numFmtId="185" fontId="3" fillId="0" borderId="0" xfId="295" applyFont="1" applyFill="1"/>
    <xf numFmtId="185" fontId="2" fillId="0" borderId="0" xfId="295" applyFont="1" applyFill="1"/>
    <xf numFmtId="10" fontId="2" fillId="0" borderId="0" xfId="386" applyNumberFormat="1" applyFont="1" applyFill="1"/>
    <xf numFmtId="0" fontId="14" fillId="0" borderId="31" xfId="0" applyFont="1" applyFill="1" applyBorder="1"/>
    <xf numFmtId="0" fontId="15" fillId="0" borderId="22" xfId="0" applyFont="1" applyFill="1" applyBorder="1" applyAlignment="1">
      <alignment horizontal="left"/>
    </xf>
    <xf numFmtId="0" fontId="15" fillId="0" borderId="32" xfId="0" applyFont="1" applyFill="1" applyBorder="1" applyAlignment="1">
      <alignment horizontal="center"/>
    </xf>
    <xf numFmtId="187" fontId="14" fillId="0" borderId="22" xfId="274" applyNumberFormat="1" applyFont="1" applyFill="1" applyBorder="1"/>
    <xf numFmtId="0" fontId="14" fillId="0" borderId="33" xfId="0" applyFont="1" applyFill="1" applyBorder="1"/>
    <xf numFmtId="187" fontId="14" fillId="0" borderId="21" xfId="0" applyNumberFormat="1" applyFont="1" applyFill="1" applyBorder="1"/>
    <xf numFmtId="10" fontId="14" fillId="0" borderId="21" xfId="385" applyNumberFormat="1" applyFont="1" applyFill="1" applyBorder="1"/>
    <xf numFmtId="187" fontId="15" fillId="0" borderId="22" xfId="274" applyNumberFormat="1" applyFont="1" applyFill="1" applyBorder="1" applyAlignment="1">
      <alignment horizontal="center"/>
    </xf>
    <xf numFmtId="0" fontId="15" fillId="0" borderId="32" xfId="0" applyFont="1" applyFill="1" applyBorder="1"/>
    <xf numFmtId="9" fontId="14" fillId="0" borderId="22" xfId="385" applyNumberFormat="1" applyFont="1" applyFill="1" applyBorder="1"/>
    <xf numFmtId="0" fontId="14" fillId="0" borderId="34" xfId="0" applyFont="1" applyFill="1" applyBorder="1"/>
    <xf numFmtId="187" fontId="14" fillId="0" borderId="33" xfId="274" applyNumberFormat="1" applyFont="1" applyFill="1" applyBorder="1"/>
    <xf numFmtId="0" fontId="14" fillId="0" borderId="32" xfId="0" applyFont="1" applyFill="1" applyBorder="1"/>
    <xf numFmtId="187" fontId="14" fillId="0" borderId="22" xfId="0" applyNumberFormat="1" applyFont="1" applyFill="1" applyBorder="1"/>
    <xf numFmtId="0" fontId="15" fillId="0" borderId="31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 vertical="center" wrapText="1"/>
    </xf>
    <xf numFmtId="3" fontId="14" fillId="0" borderId="21" xfId="0" applyNumberFormat="1" applyFont="1" applyFill="1" applyBorder="1"/>
    <xf numFmtId="0" fontId="12" fillId="0" borderId="0" xfId="0" applyFont="1" applyFill="1"/>
    <xf numFmtId="187" fontId="12" fillId="0" borderId="0" xfId="0" applyNumberFormat="1" applyFont="1" applyFill="1"/>
    <xf numFmtId="187" fontId="14" fillId="0" borderId="22" xfId="274" applyNumberFormat="1" applyFont="1" applyFill="1" applyBorder="1" applyAlignment="1">
      <alignment horizontal="center"/>
    </xf>
    <xf numFmtId="187" fontId="14" fillId="0" borderId="21" xfId="274" applyNumberFormat="1" applyFont="1" applyFill="1" applyBorder="1" applyAlignment="1">
      <alignment wrapText="1"/>
    </xf>
    <xf numFmtId="187" fontId="10" fillId="0" borderId="0" xfId="274" applyNumberFormat="1" applyFont="1" applyFill="1" applyBorder="1"/>
    <xf numFmtId="3" fontId="16" fillId="0" borderId="12" xfId="289" applyNumberFormat="1" applyFont="1" applyFill="1" applyBorder="1"/>
    <xf numFmtId="0" fontId="75" fillId="25" borderId="0" xfId="0" applyFont="1" applyFill="1"/>
    <xf numFmtId="187" fontId="13" fillId="29" borderId="14" xfId="0" applyNumberFormat="1" applyFont="1" applyFill="1" applyBorder="1"/>
    <xf numFmtId="193" fontId="13" fillId="29" borderId="35" xfId="314" applyNumberFormat="1" applyFont="1" applyFill="1" applyBorder="1"/>
    <xf numFmtId="10" fontId="16" fillId="29" borderId="14" xfId="385" applyNumberFormat="1" applyFont="1" applyFill="1" applyBorder="1"/>
    <xf numFmtId="3" fontId="8" fillId="0" borderId="0" xfId="0" applyNumberFormat="1" applyFont="1" applyFill="1"/>
    <xf numFmtId="187" fontId="8" fillId="0" borderId="0" xfId="0" applyNumberFormat="1" applyFont="1" applyFill="1"/>
    <xf numFmtId="187" fontId="14" fillId="30" borderId="21" xfId="274" applyNumberFormat="1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/>
    <xf numFmtId="3" fontId="16" fillId="0" borderId="37" xfId="0" applyNumberFormat="1" applyFont="1" applyFill="1" applyBorder="1"/>
    <xf numFmtId="3" fontId="14" fillId="0" borderId="37" xfId="0" applyNumberFormat="1" applyFont="1" applyFill="1" applyBorder="1"/>
    <xf numFmtId="3" fontId="15" fillId="0" borderId="37" xfId="0" applyNumberFormat="1" applyFont="1" applyFill="1" applyBorder="1"/>
    <xf numFmtId="3" fontId="15" fillId="0" borderId="38" xfId="0" applyNumberFormat="1" applyFont="1" applyFill="1" applyBorder="1"/>
    <xf numFmtId="3" fontId="14" fillId="0" borderId="0" xfId="0" applyNumberFormat="1" applyFont="1" applyFill="1" applyBorder="1"/>
    <xf numFmtId="3" fontId="15" fillId="0" borderId="39" xfId="0" applyNumberFormat="1" applyFont="1" applyFill="1" applyBorder="1"/>
    <xf numFmtId="3" fontId="4" fillId="0" borderId="37" xfId="0" applyNumberFormat="1" applyFont="1" applyFill="1" applyBorder="1"/>
    <xf numFmtId="3" fontId="16" fillId="0" borderId="37" xfId="289" applyNumberFormat="1" applyFont="1" applyFill="1" applyBorder="1"/>
    <xf numFmtId="0" fontId="14" fillId="0" borderId="40" xfId="0" applyFont="1" applyFill="1" applyBorder="1"/>
    <xf numFmtId="1" fontId="0" fillId="0" borderId="0" xfId="0" applyNumberFormat="1" applyFill="1"/>
    <xf numFmtId="1" fontId="2" fillId="0" borderId="0" xfId="0" applyNumberFormat="1" applyFont="1" applyFill="1"/>
    <xf numFmtId="1" fontId="2" fillId="0" borderId="0" xfId="386" applyNumberFormat="1" applyFont="1" applyFill="1"/>
    <xf numFmtId="10" fontId="15" fillId="0" borderId="0" xfId="0" applyNumberFormat="1" applyFont="1" applyFill="1" applyAlignment="1">
      <alignment horizontal="center"/>
    </xf>
    <xf numFmtId="10" fontId="0" fillId="0" borderId="0" xfId="0" applyNumberFormat="1" applyFill="1"/>
    <xf numFmtId="10" fontId="15" fillId="0" borderId="41" xfId="0" applyNumberFormat="1" applyFont="1" applyFill="1" applyBorder="1" applyAlignment="1">
      <alignment horizontal="center" vertical="center" wrapText="1"/>
    </xf>
    <xf numFmtId="10" fontId="14" fillId="0" borderId="42" xfId="0" applyNumberFormat="1" applyFont="1" applyFill="1" applyBorder="1"/>
    <xf numFmtId="10" fontId="16" fillId="0" borderId="42" xfId="0" applyNumberFormat="1" applyFont="1" applyFill="1" applyBorder="1"/>
    <xf numFmtId="10" fontId="15" fillId="0" borderId="42" xfId="0" applyNumberFormat="1" applyFont="1" applyFill="1" applyBorder="1"/>
    <xf numFmtId="10" fontId="15" fillId="0" borderId="43" xfId="0" applyNumberFormat="1" applyFont="1" applyFill="1" applyBorder="1"/>
    <xf numFmtId="10" fontId="14" fillId="0" borderId="44" xfId="0" applyNumberFormat="1" applyFont="1" applyFill="1" applyBorder="1"/>
    <xf numFmtId="10" fontId="15" fillId="0" borderId="45" xfId="0" applyNumberFormat="1" applyFont="1" applyFill="1" applyBorder="1"/>
    <xf numFmtId="10" fontId="4" fillId="0" borderId="42" xfId="0" applyNumberFormat="1" applyFont="1" applyFill="1" applyBorder="1"/>
    <xf numFmtId="10" fontId="16" fillId="0" borderId="46" xfId="0" applyNumberFormat="1" applyFont="1" applyFill="1" applyBorder="1"/>
    <xf numFmtId="10" fontId="15" fillId="0" borderId="46" xfId="0" applyNumberFormat="1" applyFont="1" applyFill="1" applyBorder="1"/>
    <xf numFmtId="10" fontId="16" fillId="0" borderId="42" xfId="289" applyNumberFormat="1" applyFont="1" applyFill="1" applyBorder="1"/>
    <xf numFmtId="10" fontId="14" fillId="0" borderId="47" xfId="0" applyNumberFormat="1" applyFont="1" applyFill="1" applyBorder="1"/>
    <xf numFmtId="10" fontId="2" fillId="0" borderId="0" xfId="0" applyNumberFormat="1" applyFont="1" applyFill="1"/>
    <xf numFmtId="3" fontId="67" fillId="0" borderId="0" xfId="0" applyNumberFormat="1" applyFont="1" applyFill="1"/>
    <xf numFmtId="185" fontId="2" fillId="0" borderId="0" xfId="274" applyFont="1" applyFill="1"/>
    <xf numFmtId="187" fontId="2" fillId="0" borderId="0" xfId="274" applyNumberFormat="1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15" fillId="24" borderId="22" xfId="0" applyFont="1" applyFill="1" applyBorder="1" applyAlignment="1">
      <alignment horizontal="center" wrapText="1"/>
    </xf>
    <xf numFmtId="0" fontId="15" fillId="24" borderId="21" xfId="0" applyFont="1" applyFill="1" applyBorder="1" applyAlignment="1">
      <alignment horizontal="center" wrapText="1"/>
    </xf>
    <xf numFmtId="0" fontId="15" fillId="24" borderId="22" xfId="0" applyFont="1" applyFill="1" applyBorder="1" applyAlignment="1">
      <alignment horizontal="center"/>
    </xf>
    <xf numFmtId="0" fontId="15" fillId="24" borderId="21" xfId="0" applyFont="1" applyFill="1" applyBorder="1" applyAlignment="1">
      <alignment horizontal="center"/>
    </xf>
    <xf numFmtId="0" fontId="3" fillId="29" borderId="13" xfId="0" applyFont="1" applyFill="1" applyBorder="1" applyAlignment="1">
      <alignment horizontal="left"/>
    </xf>
    <xf numFmtId="0" fontId="3" fillId="29" borderId="48" xfId="0" applyFont="1" applyFill="1" applyBorder="1" applyAlignment="1">
      <alignment horizontal="left"/>
    </xf>
    <xf numFmtId="0" fontId="3" fillId="29" borderId="35" xfId="0" applyFont="1" applyFill="1" applyBorder="1" applyAlignment="1">
      <alignment horizontal="left"/>
    </xf>
    <xf numFmtId="0" fontId="19" fillId="25" borderId="0" xfId="0" applyFont="1" applyFill="1" applyAlignment="1">
      <alignment horizontal="center"/>
    </xf>
    <xf numFmtId="0" fontId="15" fillId="24" borderId="31" xfId="0" applyFont="1" applyFill="1" applyBorder="1" applyAlignment="1">
      <alignment horizontal="center"/>
    </xf>
    <xf numFmtId="0" fontId="15" fillId="24" borderId="0" xfId="0" applyFont="1" applyFill="1" applyBorder="1" applyAlignment="1">
      <alignment horizontal="center"/>
    </xf>
    <xf numFmtId="0" fontId="15" fillId="24" borderId="32" xfId="0" applyFont="1" applyFill="1" applyBorder="1" applyAlignment="1">
      <alignment horizontal="center"/>
    </xf>
    <xf numFmtId="0" fontId="15" fillId="24" borderId="34" xfId="0" applyFont="1" applyFill="1" applyBorder="1" applyAlignment="1">
      <alignment horizontal="center"/>
    </xf>
    <xf numFmtId="0" fontId="15" fillId="24" borderId="33" xfId="0" applyFont="1" applyFill="1" applyBorder="1" applyAlignment="1">
      <alignment horizontal="center"/>
    </xf>
    <xf numFmtId="0" fontId="15" fillId="31" borderId="13" xfId="0" applyFont="1" applyFill="1" applyBorder="1" applyAlignment="1">
      <alignment horizontal="center"/>
    </xf>
    <xf numFmtId="0" fontId="15" fillId="31" borderId="48" xfId="0" applyFont="1" applyFill="1" applyBorder="1" applyAlignment="1">
      <alignment horizontal="center"/>
    </xf>
    <xf numFmtId="0" fontId="15" fillId="31" borderId="35" xfId="0" applyFont="1" applyFill="1" applyBorder="1" applyAlignment="1">
      <alignment horizontal="center"/>
    </xf>
  </cellXfs>
  <cellStyles count="472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Énfasis1 2" xfId="13"/>
    <cellStyle name="20% - Énfasis1 2 2" xfId="14"/>
    <cellStyle name="20% - Énfasis1 3" xfId="15"/>
    <cellStyle name="20% - Énfasis1 4" xfId="16"/>
    <cellStyle name="20% - Énfasis1 5" xfId="17"/>
    <cellStyle name="20% - Énfasis1 6" xfId="18"/>
    <cellStyle name="20% - Énfasis1 7" xfId="19"/>
    <cellStyle name="20% - Énfasis2 2" xfId="20"/>
    <cellStyle name="20% - Énfasis2 2 2" xfId="21"/>
    <cellStyle name="20% - Énfasis2 3" xfId="22"/>
    <cellStyle name="20% - Énfasis2 4" xfId="23"/>
    <cellStyle name="20% - Énfasis2 5" xfId="24"/>
    <cellStyle name="20% - Énfasis2 6" xfId="25"/>
    <cellStyle name="20% - Énfasis2 7" xfId="26"/>
    <cellStyle name="20% - Énfasis3 2" xfId="27"/>
    <cellStyle name="20% - Énfasis3 2 2" xfId="28"/>
    <cellStyle name="20% - Énfasis3 3" xfId="29"/>
    <cellStyle name="20% - Énfasis3 4" xfId="30"/>
    <cellStyle name="20% - Énfasis3 5" xfId="31"/>
    <cellStyle name="20% - Énfasis3 6" xfId="32"/>
    <cellStyle name="20% - Énfasis3 7" xfId="33"/>
    <cellStyle name="20% - Énfasis4 2" xfId="34"/>
    <cellStyle name="20% - Énfasis4 2 2" xfId="35"/>
    <cellStyle name="20% - Énfasis4 3" xfId="36"/>
    <cellStyle name="20% - Énfasis4 4" xfId="37"/>
    <cellStyle name="20% - Énfasis4 5" xfId="38"/>
    <cellStyle name="20% - Énfasis4 6" xfId="39"/>
    <cellStyle name="20% - Énfasis4 7" xfId="40"/>
    <cellStyle name="20% - Énfasis5 2" xfId="41"/>
    <cellStyle name="20% - Énfasis5 2 2" xfId="42"/>
    <cellStyle name="20% - Énfasis5 3" xfId="43"/>
    <cellStyle name="20% - Énfasis5 4" xfId="44"/>
    <cellStyle name="20% - Énfasis5 5" xfId="45"/>
    <cellStyle name="20% - Énfasis5 6" xfId="46"/>
    <cellStyle name="20% - Énfasis5 7" xfId="47"/>
    <cellStyle name="20% - Énfasis6 2" xfId="48"/>
    <cellStyle name="20% - Énfasis6 2 2" xfId="49"/>
    <cellStyle name="20% - Énfasis6 3" xfId="50"/>
    <cellStyle name="20% - Énfasis6 4" xfId="51"/>
    <cellStyle name="20% - Énfasis6 5" xfId="52"/>
    <cellStyle name="20% - Énfasis6 6" xfId="53"/>
    <cellStyle name="20% - Énfasis6 7" xfId="54"/>
    <cellStyle name="40% - Accent1" xfId="55"/>
    <cellStyle name="40% - Accent1 2" xfId="56"/>
    <cellStyle name="40% - Accent2" xfId="57"/>
    <cellStyle name="40% - Accent2 2" xfId="58"/>
    <cellStyle name="40% - Accent3" xfId="59"/>
    <cellStyle name="40% - Accent3 2" xfId="60"/>
    <cellStyle name="40% - Accent4" xfId="61"/>
    <cellStyle name="40% - Accent4 2" xfId="62"/>
    <cellStyle name="40% - Accent5" xfId="63"/>
    <cellStyle name="40% - Accent5 2" xfId="64"/>
    <cellStyle name="40% - Accent6" xfId="65"/>
    <cellStyle name="40% - Accent6 2" xfId="66"/>
    <cellStyle name="40% - Énfasis1 2" xfId="67"/>
    <cellStyle name="40% - Énfasis1 2 2" xfId="68"/>
    <cellStyle name="40% - Énfasis1 3" xfId="69"/>
    <cellStyle name="40% - Énfasis1 4" xfId="70"/>
    <cellStyle name="40% - Énfasis1 5" xfId="71"/>
    <cellStyle name="40% - Énfasis1 6" xfId="72"/>
    <cellStyle name="40% - Énfasis1 7" xfId="73"/>
    <cellStyle name="40% - Énfasis2 2" xfId="74"/>
    <cellStyle name="40% - Énfasis2 2 2" xfId="75"/>
    <cellStyle name="40% - Énfasis2 3" xfId="76"/>
    <cellStyle name="40% - Énfasis2 4" xfId="77"/>
    <cellStyle name="40% - Énfasis2 5" xfId="78"/>
    <cellStyle name="40% - Énfasis2 6" xfId="79"/>
    <cellStyle name="40% - Énfasis2 7" xfId="80"/>
    <cellStyle name="40% - Énfasis3 2" xfId="81"/>
    <cellStyle name="40% - Énfasis3 2 2" xfId="82"/>
    <cellStyle name="40% - Énfasis3 3" xfId="83"/>
    <cellStyle name="40% - Énfasis3 4" xfId="84"/>
    <cellStyle name="40% - Énfasis3 5" xfId="85"/>
    <cellStyle name="40% - Énfasis3 6" xfId="86"/>
    <cellStyle name="40% - Énfasis3 7" xfId="87"/>
    <cellStyle name="40% - Énfasis4 2" xfId="88"/>
    <cellStyle name="40% - Énfasis4 2 2" xfId="89"/>
    <cellStyle name="40% - Énfasis4 3" xfId="90"/>
    <cellStyle name="40% - Énfasis4 4" xfId="91"/>
    <cellStyle name="40% - Énfasis4 5" xfId="92"/>
    <cellStyle name="40% - Énfasis4 6" xfId="93"/>
    <cellStyle name="40% - Énfasis4 7" xfId="94"/>
    <cellStyle name="40% - Énfasis5 2" xfId="95"/>
    <cellStyle name="40% - Énfasis5 2 2" xfId="96"/>
    <cellStyle name="40% - Énfasis5 3" xfId="97"/>
    <cellStyle name="40% - Énfasis5 4" xfId="98"/>
    <cellStyle name="40% - Énfasis5 5" xfId="99"/>
    <cellStyle name="40% - Énfasis5 6" xfId="100"/>
    <cellStyle name="40% - Énfasis5 7" xfId="101"/>
    <cellStyle name="40% - Énfasis6 2" xfId="102"/>
    <cellStyle name="40% - Énfasis6 2 2" xfId="103"/>
    <cellStyle name="40% - Énfasis6 3" xfId="104"/>
    <cellStyle name="40% - Énfasis6 4" xfId="105"/>
    <cellStyle name="40% - Énfasis6 5" xfId="106"/>
    <cellStyle name="40% - Énfasis6 6" xfId="107"/>
    <cellStyle name="40% - Énfasis6 7" xfId="108"/>
    <cellStyle name="40% - Énfšsis3" xfId="109"/>
    <cellStyle name="60% - Accent1" xfId="110"/>
    <cellStyle name="60% - Accent2" xfId="111"/>
    <cellStyle name="60% - Accent3" xfId="112"/>
    <cellStyle name="60% - Accent4" xfId="113"/>
    <cellStyle name="60% - Accent5" xfId="114"/>
    <cellStyle name="60% - Accent6" xfId="115"/>
    <cellStyle name="60% - Énfasis1 2" xfId="116"/>
    <cellStyle name="60% - Énfasis1 2 2" xfId="117"/>
    <cellStyle name="60% - Énfasis1 3" xfId="118"/>
    <cellStyle name="60% - Énfasis1 4" xfId="119"/>
    <cellStyle name="60% - Énfasis1 5" xfId="120"/>
    <cellStyle name="60% - Énfasis1 6" xfId="121"/>
    <cellStyle name="60% - Énfasis1 7" xfId="122"/>
    <cellStyle name="60% - Énfasis2 2" xfId="123"/>
    <cellStyle name="60% - Énfasis2 2 2" xfId="124"/>
    <cellStyle name="60% - Énfasis2 3" xfId="125"/>
    <cellStyle name="60% - Énfasis2 4" xfId="126"/>
    <cellStyle name="60% - Énfasis2 5" xfId="127"/>
    <cellStyle name="60% - Énfasis2 6" xfId="128"/>
    <cellStyle name="60% - Énfasis2 7" xfId="129"/>
    <cellStyle name="60% - Énfasis3 2" xfId="130"/>
    <cellStyle name="60% - Énfasis3 2 2" xfId="131"/>
    <cellStyle name="60% - Énfasis3 3" xfId="132"/>
    <cellStyle name="60% - Énfasis3 4" xfId="133"/>
    <cellStyle name="60% - Énfasis3 5" xfId="134"/>
    <cellStyle name="60% - Énfasis3 6" xfId="135"/>
    <cellStyle name="60% - Énfasis3 7" xfId="136"/>
    <cellStyle name="60% - Énfasis4 2" xfId="137"/>
    <cellStyle name="60% - Énfasis4 2 2" xfId="138"/>
    <cellStyle name="60% - Énfasis4 3" xfId="139"/>
    <cellStyle name="60% - Énfasis4 4" xfId="140"/>
    <cellStyle name="60% - Énfasis4 5" xfId="141"/>
    <cellStyle name="60% - Énfasis4 6" xfId="142"/>
    <cellStyle name="60% - Énfasis4 7" xfId="143"/>
    <cellStyle name="60% - Énfasis5 2" xfId="144"/>
    <cellStyle name="60% - Énfasis5 2 2" xfId="145"/>
    <cellStyle name="60% - Énfasis5 3" xfId="146"/>
    <cellStyle name="60% - Énfasis5 4" xfId="147"/>
    <cellStyle name="60% - Énfasis5 5" xfId="148"/>
    <cellStyle name="60% - Énfasis5 6" xfId="149"/>
    <cellStyle name="60% - Énfasis5 7" xfId="150"/>
    <cellStyle name="60% - Énfasis6 2" xfId="151"/>
    <cellStyle name="60% - Énfasis6 2 2" xfId="152"/>
    <cellStyle name="60% - Énfasis6 3" xfId="153"/>
    <cellStyle name="60% - Énfasis6 4" xfId="154"/>
    <cellStyle name="60% - Énfasis6 5" xfId="155"/>
    <cellStyle name="60% - Énfasis6 6" xfId="156"/>
    <cellStyle name="60% - Énfasis6 7" xfId="157"/>
    <cellStyle name="Accent1" xfId="158"/>
    <cellStyle name="Accent2" xfId="159"/>
    <cellStyle name="Accent3" xfId="160"/>
    <cellStyle name="Accent4" xfId="161"/>
    <cellStyle name="Accent5" xfId="162"/>
    <cellStyle name="Accent6" xfId="163"/>
    <cellStyle name="Bad" xfId="164"/>
    <cellStyle name="Buena 2" xfId="165"/>
    <cellStyle name="Buena 2 2" xfId="166"/>
    <cellStyle name="Buena 3" xfId="167"/>
    <cellStyle name="Buena 4" xfId="168"/>
    <cellStyle name="Buena 5" xfId="169"/>
    <cellStyle name="Buena 6" xfId="170"/>
    <cellStyle name="Buena 7" xfId="171"/>
    <cellStyle name="Calculation" xfId="172"/>
    <cellStyle name="Cálculo 2" xfId="173"/>
    <cellStyle name="Cálculo 2 2" xfId="174"/>
    <cellStyle name="Cálculo 3" xfId="175"/>
    <cellStyle name="Cálculo 4" xfId="176"/>
    <cellStyle name="Cálculo 5" xfId="177"/>
    <cellStyle name="Cálculo 6" xfId="178"/>
    <cellStyle name="Cálculo 7" xfId="179"/>
    <cellStyle name="Celda de comprobación 2" xfId="180"/>
    <cellStyle name="Celda de comprobación 2 2" xfId="181"/>
    <cellStyle name="Celda de comprobación 3" xfId="182"/>
    <cellStyle name="Celda de comprobación 4" xfId="183"/>
    <cellStyle name="Celda de comprobación 5" xfId="184"/>
    <cellStyle name="Celda de comprobación 6" xfId="185"/>
    <cellStyle name="Celda de comprobación 7" xfId="186"/>
    <cellStyle name="Celda vinculada 2" xfId="187"/>
    <cellStyle name="Celda vinculada 2 2" xfId="188"/>
    <cellStyle name="Celda vinculada 3" xfId="189"/>
    <cellStyle name="Celda vinculada 4" xfId="190"/>
    <cellStyle name="Celda vinculada 5" xfId="191"/>
    <cellStyle name="Celda vinculada 6" xfId="192"/>
    <cellStyle name="Celda vinculada 7" xfId="193"/>
    <cellStyle name="Check Cell" xfId="194"/>
    <cellStyle name="Encabezado 4 2" xfId="195"/>
    <cellStyle name="Encabezado 4 2 2" xfId="196"/>
    <cellStyle name="Encabezado 4 3" xfId="197"/>
    <cellStyle name="Encabezado 4 4" xfId="198"/>
    <cellStyle name="Encabezado 4 5" xfId="199"/>
    <cellStyle name="Encabezado 4 6" xfId="200"/>
    <cellStyle name="Encabezado 4 7" xfId="201"/>
    <cellStyle name="Énfasis1 2" xfId="202"/>
    <cellStyle name="Énfasis1 2 2" xfId="203"/>
    <cellStyle name="Énfasis1 3" xfId="204"/>
    <cellStyle name="Énfasis1 4" xfId="205"/>
    <cellStyle name="Énfasis1 5" xfId="206"/>
    <cellStyle name="Énfasis1 6" xfId="207"/>
    <cellStyle name="Énfasis1 7" xfId="208"/>
    <cellStyle name="Énfasis2 2" xfId="209"/>
    <cellStyle name="Énfasis2 2 2" xfId="210"/>
    <cellStyle name="Énfasis2 3" xfId="211"/>
    <cellStyle name="Énfasis2 4" xfId="212"/>
    <cellStyle name="Énfasis2 5" xfId="213"/>
    <cellStyle name="Énfasis2 6" xfId="214"/>
    <cellStyle name="Énfasis2 7" xfId="215"/>
    <cellStyle name="Énfasis3 2" xfId="216"/>
    <cellStyle name="Énfasis3 2 2" xfId="217"/>
    <cellStyle name="Énfasis3 3" xfId="218"/>
    <cellStyle name="Énfasis3 4" xfId="219"/>
    <cellStyle name="Énfasis3 5" xfId="220"/>
    <cellStyle name="Énfasis3 6" xfId="221"/>
    <cellStyle name="Énfasis3 7" xfId="222"/>
    <cellStyle name="Énfasis4 2" xfId="223"/>
    <cellStyle name="Énfasis4 2 2" xfId="224"/>
    <cellStyle name="Énfasis4 3" xfId="225"/>
    <cellStyle name="Énfasis4 4" xfId="226"/>
    <cellStyle name="Énfasis4 5" xfId="227"/>
    <cellStyle name="Énfasis4 6" xfId="228"/>
    <cellStyle name="Énfasis4 7" xfId="229"/>
    <cellStyle name="Énfasis5 2" xfId="230"/>
    <cellStyle name="Énfasis5 2 2" xfId="231"/>
    <cellStyle name="Énfasis5 3" xfId="232"/>
    <cellStyle name="Énfasis5 4" xfId="233"/>
    <cellStyle name="Énfasis5 5" xfId="234"/>
    <cellStyle name="Énfasis5 6" xfId="235"/>
    <cellStyle name="Énfasis5 7" xfId="236"/>
    <cellStyle name="Énfasis6 2" xfId="237"/>
    <cellStyle name="Énfasis6 2 2" xfId="238"/>
    <cellStyle name="Énfasis6 3" xfId="239"/>
    <cellStyle name="Énfasis6 4" xfId="240"/>
    <cellStyle name="Énfasis6 5" xfId="241"/>
    <cellStyle name="Énfasis6 6" xfId="242"/>
    <cellStyle name="Énfasis6 7" xfId="243"/>
    <cellStyle name="Entrada 2" xfId="244"/>
    <cellStyle name="Entrada 2 2" xfId="245"/>
    <cellStyle name="Entrada 3" xfId="246"/>
    <cellStyle name="Entrada 4" xfId="247"/>
    <cellStyle name="Entrada 5" xfId="248"/>
    <cellStyle name="Entrada 6" xfId="249"/>
    <cellStyle name="Entrada 7" xfId="250"/>
    <cellStyle name="Euro" xfId="251"/>
    <cellStyle name="Euro 2" xfId="252"/>
    <cellStyle name="Euro 3" xfId="253"/>
    <cellStyle name="Euro 4" xfId="254"/>
    <cellStyle name="Euro 5" xfId="255"/>
    <cellStyle name="Euro_HUILA" xfId="256"/>
    <cellStyle name="Explanatory Text" xfId="257"/>
    <cellStyle name="Good" xfId="258"/>
    <cellStyle name="Heading 1" xfId="259"/>
    <cellStyle name="Heading 2" xfId="260"/>
    <cellStyle name="Heading 3" xfId="261"/>
    <cellStyle name="Heading 4" xfId="262"/>
    <cellStyle name="Hipervínculo 2" xfId="263"/>
    <cellStyle name="Hipervínculo 2 2" xfId="264"/>
    <cellStyle name="Incorrecto 2" xfId="265"/>
    <cellStyle name="Incorrecto 2 2" xfId="266"/>
    <cellStyle name="Incorrecto 3" xfId="267"/>
    <cellStyle name="Incorrecto 4" xfId="268"/>
    <cellStyle name="Incorrecto 5" xfId="269"/>
    <cellStyle name="Incorrecto 6" xfId="270"/>
    <cellStyle name="Incorrecto 7" xfId="271"/>
    <cellStyle name="Input" xfId="272"/>
    <cellStyle name="Linked Cell" xfId="273"/>
    <cellStyle name="Millares" xfId="274" builtinId="3"/>
    <cellStyle name="Millares 10" xfId="275"/>
    <cellStyle name="Millares 11" xfId="276"/>
    <cellStyle name="Millares 11 2" xfId="277"/>
    <cellStyle name="Millares 12" xfId="278"/>
    <cellStyle name="Millares 12 2" xfId="279"/>
    <cellStyle name="Millares 13" xfId="280"/>
    <cellStyle name="Millares 14" xfId="281"/>
    <cellStyle name="Millares 15" xfId="282"/>
    <cellStyle name="Millares 15 2" xfId="283"/>
    <cellStyle name="Millares 16" xfId="284"/>
    <cellStyle name="Millares 17" xfId="285"/>
    <cellStyle name="Millares 18" xfId="286"/>
    <cellStyle name="Millares 19" xfId="287"/>
    <cellStyle name="Millares 2" xfId="288"/>
    <cellStyle name="Millares 2 2" xfId="289"/>
    <cellStyle name="Millares 2 2 2" xfId="290"/>
    <cellStyle name="Millares 2 2 4" xfId="291"/>
    <cellStyle name="Millares 20" xfId="292"/>
    <cellStyle name="Millares 21" xfId="293"/>
    <cellStyle name="Millares 22" xfId="294"/>
    <cellStyle name="Millares 23" xfId="295"/>
    <cellStyle name="Millares 24" xfId="296"/>
    <cellStyle name="Millares 3" xfId="297"/>
    <cellStyle name="Millares 3 2" xfId="298"/>
    <cellStyle name="Millares 4" xfId="299"/>
    <cellStyle name="Millares 4 2" xfId="300"/>
    <cellStyle name="Millares 4 2 2" xfId="301"/>
    <cellStyle name="Millares 5" xfId="302"/>
    <cellStyle name="Millares 5 2" xfId="303"/>
    <cellStyle name="Millares 5 3" xfId="304"/>
    <cellStyle name="Millares 6" xfId="305"/>
    <cellStyle name="Millares 6 2" xfId="306"/>
    <cellStyle name="Millares 7" xfId="307"/>
    <cellStyle name="Millares 7 2" xfId="308"/>
    <cellStyle name="Millares 7 2 2" xfId="309"/>
    <cellStyle name="Millares 8" xfId="310"/>
    <cellStyle name="Millares 9" xfId="311"/>
    <cellStyle name="Millares 9 2" xfId="312"/>
    <cellStyle name="Millares 9 2 2" xfId="313"/>
    <cellStyle name="Moneda" xfId="314" builtinId="4"/>
    <cellStyle name="Moneda 2" xfId="315"/>
    <cellStyle name="Moneda 2 2" xfId="316"/>
    <cellStyle name="Moneda 3" xfId="317"/>
    <cellStyle name="Moneda 3 2" xfId="318"/>
    <cellStyle name="Moneda 4" xfId="319"/>
    <cellStyle name="Moneda 5" xfId="320"/>
    <cellStyle name="Moneda 6" xfId="321"/>
    <cellStyle name="Moneda 7" xfId="322"/>
    <cellStyle name="Moneda 8" xfId="323"/>
    <cellStyle name="Moneda 9" xfId="324"/>
    <cellStyle name="Neutral 2" xfId="325"/>
    <cellStyle name="Neutral 2 2" xfId="326"/>
    <cellStyle name="Neutral 3" xfId="327"/>
    <cellStyle name="Neutral 4" xfId="328"/>
    <cellStyle name="Neutral 5" xfId="329"/>
    <cellStyle name="Neutral 6" xfId="330"/>
    <cellStyle name="Neutral 7" xfId="331"/>
    <cellStyle name="Normal" xfId="0" builtinId="0"/>
    <cellStyle name="Normal 10" xfId="332"/>
    <cellStyle name="Normal 11" xfId="333"/>
    <cellStyle name="Normal 11 2" xfId="334"/>
    <cellStyle name="Normal 11 3" xfId="335"/>
    <cellStyle name="Normal 12" xfId="336"/>
    <cellStyle name="Normal 13" xfId="337"/>
    <cellStyle name="Normal 15" xfId="338"/>
    <cellStyle name="Normal 15 2" xfId="339"/>
    <cellStyle name="Normal 16" xfId="340"/>
    <cellStyle name="Normal 2" xfId="341"/>
    <cellStyle name="Normal 2 2" xfId="342"/>
    <cellStyle name="Normal 2 2 10" xfId="343"/>
    <cellStyle name="Normal 2 2 2" xfId="344"/>
    <cellStyle name="Normal 2 2_HUILA" xfId="345"/>
    <cellStyle name="Normal 2 3" xfId="346"/>
    <cellStyle name="Normal 2 3 2" xfId="347"/>
    <cellStyle name="Normal 2 4" xfId="348"/>
    <cellStyle name="Normal 2 5" xfId="349"/>
    <cellStyle name="Normal 2_ANTIOQUIA" xfId="350"/>
    <cellStyle name="Normal 3" xfId="351"/>
    <cellStyle name="Normal 3 2" xfId="352"/>
    <cellStyle name="Normal 4" xfId="353"/>
    <cellStyle name="Normal 4 2" xfId="354"/>
    <cellStyle name="Normal 4 2 2" xfId="355"/>
    <cellStyle name="Normal 4 2 3" xfId="356"/>
    <cellStyle name="Normal 4 3" xfId="357"/>
    <cellStyle name="Normal 4 4" xfId="358"/>
    <cellStyle name="Normal 5" xfId="359"/>
    <cellStyle name="Normal 5 2" xfId="360"/>
    <cellStyle name="Normal 5 3" xfId="361"/>
    <cellStyle name="Normal 5 4" xfId="362"/>
    <cellStyle name="Normal 5 5" xfId="363"/>
    <cellStyle name="Normal 5_ANTIOQUIA" xfId="364"/>
    <cellStyle name="Normal 6" xfId="365"/>
    <cellStyle name="Normal 6 2" xfId="366"/>
    <cellStyle name="Normal 6 3" xfId="367"/>
    <cellStyle name="Normal 6 4" xfId="368"/>
    <cellStyle name="Normal 7" xfId="369"/>
    <cellStyle name="Normal 7 2" xfId="370"/>
    <cellStyle name="Normal 7 3" xfId="371"/>
    <cellStyle name="Normal 8" xfId="372"/>
    <cellStyle name="Normal 9" xfId="373"/>
    <cellStyle name="Notas 2" xfId="374"/>
    <cellStyle name="Notas 2 2" xfId="375"/>
    <cellStyle name="Notas 3" xfId="376"/>
    <cellStyle name="Notas 4" xfId="377"/>
    <cellStyle name="Notas 5" xfId="378"/>
    <cellStyle name="Notas 6" xfId="379"/>
    <cellStyle name="Notas 7" xfId="380"/>
    <cellStyle name="Note" xfId="381"/>
    <cellStyle name="Note 2" xfId="382"/>
    <cellStyle name="Note_NTE DA SANTANDER" xfId="383"/>
    <cellStyle name="Output" xfId="384"/>
    <cellStyle name="Porcentaje" xfId="385" builtinId="5"/>
    <cellStyle name="Porcentaje 10" xfId="386"/>
    <cellStyle name="Porcentaje 11" xfId="387"/>
    <cellStyle name="Porcentaje 12" xfId="388"/>
    <cellStyle name="Porcentaje 2" xfId="389"/>
    <cellStyle name="Porcentaje 2 2" xfId="390"/>
    <cellStyle name="Porcentaje 2 3" xfId="391"/>
    <cellStyle name="Porcentaje 3" xfId="392"/>
    <cellStyle name="Porcentaje 4" xfId="393"/>
    <cellStyle name="Porcentaje 5" xfId="394"/>
    <cellStyle name="Porcentaje 6" xfId="395"/>
    <cellStyle name="Porcentaje 7" xfId="396"/>
    <cellStyle name="Porcentaje 7 2" xfId="397"/>
    <cellStyle name="Porcentaje 8" xfId="398"/>
    <cellStyle name="Porcentaje 9" xfId="399"/>
    <cellStyle name="Porcentual 2" xfId="400"/>
    <cellStyle name="Porcentual 2 2" xfId="401"/>
    <cellStyle name="Porcentual 3" xfId="402"/>
    <cellStyle name="Porcentual 3 2" xfId="403"/>
    <cellStyle name="Porcentual 3 2 2" xfId="404"/>
    <cellStyle name="Porcentual 4" xfId="405"/>
    <cellStyle name="Porcentual 5" xfId="406"/>
    <cellStyle name="Porcentual 5 2" xfId="407"/>
    <cellStyle name="Porcentual 6" xfId="408"/>
    <cellStyle name="Porcentual 6 2" xfId="409"/>
    <cellStyle name="Porcentual 7" xfId="410"/>
    <cellStyle name="Porcentual 7 2" xfId="411"/>
    <cellStyle name="Porcentual 8" xfId="412"/>
    <cellStyle name="Porcentual 9" xfId="413"/>
    <cellStyle name="Salida 2" xfId="414"/>
    <cellStyle name="Salida 2 2" xfId="415"/>
    <cellStyle name="Salida 3" xfId="416"/>
    <cellStyle name="Salida 4" xfId="417"/>
    <cellStyle name="Salida 5" xfId="418"/>
    <cellStyle name="Salida 6" xfId="419"/>
    <cellStyle name="Salida 7" xfId="420"/>
    <cellStyle name="Texto de advertencia 2" xfId="421"/>
    <cellStyle name="Texto de advertencia 2 2" xfId="422"/>
    <cellStyle name="Texto de advertencia 3" xfId="423"/>
    <cellStyle name="Texto de advertencia 4" xfId="424"/>
    <cellStyle name="Texto de advertencia 5" xfId="425"/>
    <cellStyle name="Texto de advertencia 6" xfId="426"/>
    <cellStyle name="Texto de advertencia 7" xfId="427"/>
    <cellStyle name="Texto explicativo 2" xfId="428"/>
    <cellStyle name="Texto explicativo 2 2" xfId="429"/>
    <cellStyle name="Texto explicativo 3" xfId="430"/>
    <cellStyle name="Texto explicativo 4" xfId="431"/>
    <cellStyle name="Texto explicativo 5" xfId="432"/>
    <cellStyle name="Texto explicativo 6" xfId="433"/>
    <cellStyle name="Texto explicativo 7" xfId="434"/>
    <cellStyle name="Title" xfId="435"/>
    <cellStyle name="Título 1 2" xfId="436"/>
    <cellStyle name="Título 1 2 2" xfId="437"/>
    <cellStyle name="Título 1 3" xfId="438"/>
    <cellStyle name="Título 1 4" xfId="439"/>
    <cellStyle name="Título 1 5" xfId="440"/>
    <cellStyle name="Título 1 6" xfId="441"/>
    <cellStyle name="Título 1 7" xfId="442"/>
    <cellStyle name="Título 2 2" xfId="443"/>
    <cellStyle name="Título 2 2 2" xfId="444"/>
    <cellStyle name="Título 2 3" xfId="445"/>
    <cellStyle name="Título 2 4" xfId="446"/>
    <cellStyle name="Título 2 5" xfId="447"/>
    <cellStyle name="Título 2 6" xfId="448"/>
    <cellStyle name="Título 2 7" xfId="449"/>
    <cellStyle name="Título 3 2" xfId="450"/>
    <cellStyle name="Título 3 2 2" xfId="451"/>
    <cellStyle name="Título 3 3" xfId="452"/>
    <cellStyle name="Título 3 4" xfId="453"/>
    <cellStyle name="Título 3 5" xfId="454"/>
    <cellStyle name="Título 3 6" xfId="455"/>
    <cellStyle name="Título 3 7" xfId="456"/>
    <cellStyle name="Título 4" xfId="457"/>
    <cellStyle name="Título 4 2" xfId="458"/>
    <cellStyle name="Título 5" xfId="459"/>
    <cellStyle name="Título 6" xfId="460"/>
    <cellStyle name="Título 7" xfId="461"/>
    <cellStyle name="Título 8" xfId="462"/>
    <cellStyle name="Título 9" xfId="463"/>
    <cellStyle name="Total 2" xfId="464"/>
    <cellStyle name="Total 2 2" xfId="465"/>
    <cellStyle name="Total 3" xfId="466"/>
    <cellStyle name="Total 4" xfId="467"/>
    <cellStyle name="Total 5" xfId="468"/>
    <cellStyle name="Total 6" xfId="469"/>
    <cellStyle name="Total 7" xfId="470"/>
    <cellStyle name="Warning Text" xfId="4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5\PRESUPUESTO%202015\PRESUPUESTO%202015%20V.6\Presupuesto%202015%20version%2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&#193;REA%20ECONOMIC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&#193;REA%20T&#201;CNIC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&#193;REA%20INVESTIGACI&#211;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AREA%20SANIDA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&#193;REA%20MERCADE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upuesto\&#193;REA%20PP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SISTEM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&#193;REA%20PP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0/informaci&#243;n%20y%20soportes%20ley%20de%20transparencia%202020/5.%20PRESUPUESTO/5.1%20Presupuesto%20general/2017/Ingreso/Presupuesto%20modificado%20de%20ingresos%20diciembre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"/>
      <sheetName val="Generales"/>
      <sheetName val="Inversión"/>
      <sheetName val="Supuestos"/>
      <sheetName val="Ingresos"/>
      <sheetName val="Regionalización"/>
    </sheetNames>
    <sheetDataSet>
      <sheetData sheetId="0" refreshError="1">
        <row r="10">
          <cell r="D10">
            <v>142765236</v>
          </cell>
        </row>
        <row r="11">
          <cell r="D11">
            <v>33828230.850000001</v>
          </cell>
        </row>
        <row r="12">
          <cell r="D12">
            <v>23000000</v>
          </cell>
        </row>
        <row r="13">
          <cell r="D13">
            <v>1000000</v>
          </cell>
        </row>
        <row r="15">
          <cell r="D15">
            <v>3000000</v>
          </cell>
        </row>
        <row r="16">
          <cell r="D16">
            <v>15000000</v>
          </cell>
        </row>
        <row r="23">
          <cell r="D23">
            <v>385887326.64875001</v>
          </cell>
        </row>
        <row r="24">
          <cell r="D24">
            <v>17346252.870000005</v>
          </cell>
        </row>
        <row r="32">
          <cell r="D32">
            <v>470160046.50687748</v>
          </cell>
        </row>
        <row r="35">
          <cell r="D35">
            <v>150847192.98513001</v>
          </cell>
        </row>
        <row r="36">
          <cell r="D36">
            <v>65369157.05006326</v>
          </cell>
        </row>
        <row r="37">
          <cell r="D37">
            <v>58143470</v>
          </cell>
        </row>
        <row r="40">
          <cell r="D40">
            <v>143249743.42539349</v>
          </cell>
        </row>
        <row r="41">
          <cell r="D41">
            <v>187442610.21883804</v>
          </cell>
        </row>
        <row r="42">
          <cell r="D42">
            <v>21115389.0825</v>
          </cell>
        </row>
        <row r="45">
          <cell r="D45">
            <v>25703462.8125</v>
          </cell>
        </row>
        <row r="46">
          <cell r="D46">
            <v>153443250.00000003</v>
          </cell>
        </row>
        <row r="47">
          <cell r="D47">
            <v>16550250.870000001</v>
          </cell>
        </row>
        <row r="50">
          <cell r="D50">
            <v>374177107.00949156</v>
          </cell>
        </row>
        <row r="51">
          <cell r="D51">
            <v>109756876.83375001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7"/>
    </sheetNames>
    <sheetDataSet>
      <sheetData sheetId="0">
        <row r="5">
          <cell r="G5">
            <v>3000000</v>
          </cell>
        </row>
        <row r="9">
          <cell r="G9">
            <v>2709297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Investigación"/>
    </sheetNames>
    <sheetDataSet>
      <sheetData sheetId="0" refreshError="1">
        <row r="12">
          <cell r="C12">
            <v>378000000</v>
          </cell>
        </row>
        <row r="20">
          <cell r="C20">
            <v>11066040</v>
          </cell>
        </row>
        <row r="21">
          <cell r="C21">
            <v>15930000</v>
          </cell>
        </row>
        <row r="26">
          <cell r="C26">
            <v>34150000</v>
          </cell>
        </row>
        <row r="27">
          <cell r="C27">
            <v>36278000</v>
          </cell>
        </row>
        <row r="28">
          <cell r="C28">
            <v>46728000</v>
          </cell>
        </row>
        <row r="30">
          <cell r="C30">
            <v>200000000</v>
          </cell>
        </row>
        <row r="31">
          <cell r="C31">
            <v>50000000</v>
          </cell>
        </row>
        <row r="32">
          <cell r="C32">
            <v>120000000</v>
          </cell>
        </row>
        <row r="33">
          <cell r="C33">
            <v>38000000</v>
          </cell>
        </row>
        <row r="37">
          <cell r="C37">
            <v>49000000</v>
          </cell>
        </row>
        <row r="40">
          <cell r="C40">
            <v>56000000</v>
          </cell>
        </row>
        <row r="41">
          <cell r="C41">
            <v>24750000</v>
          </cell>
        </row>
        <row r="42">
          <cell r="C42">
            <v>160000000</v>
          </cell>
        </row>
        <row r="45">
          <cell r="C45">
            <v>14804989.425000001</v>
          </cell>
        </row>
        <row r="46">
          <cell r="C46">
            <v>17759118.8475</v>
          </cell>
        </row>
        <row r="47">
          <cell r="C47">
            <v>22697651.25</v>
          </cell>
        </row>
        <row r="48">
          <cell r="C48">
            <v>61258860</v>
          </cell>
        </row>
        <row r="49">
          <cell r="C49">
            <v>21266325</v>
          </cell>
        </row>
        <row r="50">
          <cell r="C50">
            <v>20000000</v>
          </cell>
        </row>
        <row r="52">
          <cell r="C52">
            <v>55793979.18</v>
          </cell>
        </row>
        <row r="53">
          <cell r="C53">
            <v>52893757.935000002</v>
          </cell>
        </row>
        <row r="54">
          <cell r="C54">
            <v>107701616.25</v>
          </cell>
        </row>
        <row r="56">
          <cell r="C56">
            <v>21150000</v>
          </cell>
        </row>
        <row r="57">
          <cell r="C57">
            <v>31725000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 2016 - 2017"/>
      <sheetName val="CONSOLIDADO SANIDAD"/>
      <sheetName val="JUSTIFICACIÓN 2017"/>
      <sheetName val="IMPRESOS 2017"/>
      <sheetName val="GRANJAS LIBRES PRRS 2017"/>
      <sheetName val="GRANJAS POSITIVAS 2017"/>
      <sheetName val="DESPLAZAMIENTOS 2017"/>
    </sheetNames>
    <sheetDataSet>
      <sheetData sheetId="0" refreshError="1">
        <row r="12">
          <cell r="C12">
            <v>46387237</v>
          </cell>
        </row>
        <row r="13">
          <cell r="C13">
            <v>120975000</v>
          </cell>
        </row>
        <row r="14">
          <cell r="C14">
            <v>37300000</v>
          </cell>
        </row>
        <row r="15">
          <cell r="C15">
            <v>44000000</v>
          </cell>
        </row>
      </sheetData>
      <sheetData sheetId="1" refreshError="1">
        <row r="8">
          <cell r="B8">
            <v>3800000</v>
          </cell>
        </row>
        <row r="9">
          <cell r="B9">
            <v>1500000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"/>
      <sheetName val="PROPUESTA 2017 Compacto "/>
      <sheetName val="Honorarios Contratistas"/>
    </sheetNames>
    <sheetDataSet>
      <sheetData sheetId="0"/>
      <sheetData sheetId="1">
        <row r="13">
          <cell r="C13">
            <v>2300000</v>
          </cell>
        </row>
        <row r="22">
          <cell r="C22">
            <v>48192457.785750002</v>
          </cell>
        </row>
        <row r="23">
          <cell r="C23">
            <v>88345262.726999998</v>
          </cell>
        </row>
        <row r="24">
          <cell r="C24">
            <v>22000245.756749999</v>
          </cell>
        </row>
        <row r="25">
          <cell r="C25">
            <v>26984013.77925</v>
          </cell>
        </row>
        <row r="26">
          <cell r="C26">
            <v>77861318.553000003</v>
          </cell>
        </row>
        <row r="27">
          <cell r="C27">
            <v>84461534.122500002</v>
          </cell>
        </row>
        <row r="29">
          <cell r="C29">
            <v>42300000</v>
          </cell>
        </row>
        <row r="31">
          <cell r="C31">
            <v>90759484.799999997</v>
          </cell>
        </row>
        <row r="32">
          <cell r="C32">
            <v>191945767.50000003</v>
          </cell>
        </row>
        <row r="33">
          <cell r="C33">
            <v>70455285</v>
          </cell>
        </row>
        <row r="34">
          <cell r="C34">
            <v>62364357.000000007</v>
          </cell>
        </row>
        <row r="35">
          <cell r="C35">
            <v>125816897.92500001</v>
          </cell>
        </row>
        <row r="36">
          <cell r="C36">
            <v>268750000</v>
          </cell>
        </row>
        <row r="38">
          <cell r="C38">
            <v>4874903842.3999996</v>
          </cell>
        </row>
        <row r="40">
          <cell r="C40">
            <v>60612651.397541255</v>
          </cell>
        </row>
        <row r="41">
          <cell r="C41">
            <v>50498151.602899507</v>
          </cell>
        </row>
        <row r="45">
          <cell r="C45">
            <v>178331040</v>
          </cell>
        </row>
        <row r="46">
          <cell r="C46">
            <v>82093132.799999997</v>
          </cell>
        </row>
        <row r="47">
          <cell r="C47">
            <v>33840000</v>
          </cell>
        </row>
        <row r="56">
          <cell r="C56">
            <v>41060504.25</v>
          </cell>
        </row>
        <row r="57">
          <cell r="C57">
            <v>84110400</v>
          </cell>
        </row>
        <row r="58">
          <cell r="C58">
            <v>85000000</v>
          </cell>
        </row>
        <row r="61">
          <cell r="C61">
            <v>165187957.09499997</v>
          </cell>
        </row>
        <row r="62">
          <cell r="C62">
            <v>550000000</v>
          </cell>
        </row>
        <row r="65">
          <cell r="C65">
            <v>66977781.93</v>
          </cell>
        </row>
        <row r="68">
          <cell r="C68">
            <v>606800000</v>
          </cell>
        </row>
        <row r="78">
          <cell r="C78">
            <v>130000000</v>
          </cell>
        </row>
        <row r="80">
          <cell r="C80">
            <v>110446942.248</v>
          </cell>
        </row>
        <row r="81">
          <cell r="C81">
            <v>164186265.59999999</v>
          </cell>
        </row>
        <row r="82">
          <cell r="C82">
            <v>60000000</v>
          </cell>
        </row>
        <row r="86">
          <cell r="C86">
            <v>126850000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CIÓN PPC 2016 - 2017"/>
      <sheetName val="CONSOLIDADO 2017"/>
      <sheetName val="JUSTIFICACIÓN PPC 2017"/>
      <sheetName val="INGRESOS 2017"/>
      <sheetName val="ADMON BD 2017"/>
      <sheetName val="CENSO 2017"/>
      <sheetName val="REUNIÓNES 2017"/>
      <sheetName val="VIGILANCIA 2017"/>
      <sheetName val="VENTAS PPC 2017"/>
      <sheetName val="AUX COMITES 2017"/>
      <sheetName val="RECOLECCIÓN DESECHOS 2017"/>
      <sheetName val="VACUN - CHAPETE 2017"/>
      <sheetName val="LUCHA CONTRABANDO 2017"/>
      <sheetName val="BRIGADAS 2017"/>
      <sheetName val="ANEXO DIVULGACION 2017"/>
      <sheetName val="MATERIALES Y DOTACIONES 2017"/>
      <sheetName val="ARRI, MUEB Y EQUIP 2017"/>
      <sheetName val="CORRREO 2017"/>
      <sheetName val="ANEXO IMP Y PUBLIC 2017"/>
      <sheetName val="AUX Y GASTOS VIAJE 2017"/>
      <sheetName val="AUX DISTRIBUIDORES 2017"/>
      <sheetName val="CHAPETAS TECNIFICADOS ZONA 5"/>
      <sheetName val="CHAPETAS ZONA 4 2017"/>
      <sheetName val="CHAPETAS ZL 2017"/>
      <sheetName val="Barridos Zona 5 2017"/>
      <sheetName val="NOMINA HONORARIOS 2015"/>
      <sheetName val="SIMULACROS"/>
    </sheetNames>
    <sheetDataSet>
      <sheetData sheetId="0">
        <row r="18">
          <cell r="O18">
            <v>3000000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D11">
            <v>11222095.059999999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NP 2016"/>
      <sheetName val="Presupuesto 2016"/>
    </sheetNames>
    <sheetDataSet>
      <sheetData sheetId="0">
        <row r="17">
          <cell r="I17">
            <v>13920000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CIÓN PPC 2016 - 2017"/>
      <sheetName val="CONSOLIDADO 2017"/>
      <sheetName val="JUSTIFICACIÓN PPC 2017"/>
      <sheetName val="INGRESOS 2017"/>
      <sheetName val="ADMON BD 2017"/>
      <sheetName val="CENSO 2017"/>
      <sheetName val="REUNIÓNES 2017"/>
      <sheetName val="VIGILANCIA 2017"/>
      <sheetName val="CHAPETAS ZL 2017"/>
      <sheetName val="VENTAS PPC 2017"/>
      <sheetName val="AUX COMITES 2017"/>
      <sheetName val="RECOLECCIÓN DESECHOS 2017"/>
      <sheetName val="VACUN - CHAPETE 2017"/>
      <sheetName val="TRABAJO CON AUTORIDADES"/>
      <sheetName val="BRIGADAS 2017"/>
      <sheetName val="ANEXO DIVULGACION 2017"/>
      <sheetName val="MATERIALES Y DOTACIONES 2017"/>
      <sheetName val="ARRI, MUEB Y EQUIP 2017"/>
      <sheetName val="CORRREO 2017"/>
      <sheetName val="ANEXO IMP Y PUBLIC 2017"/>
      <sheetName val="AUX Y GASTOS VIAJE 2017"/>
      <sheetName val="AUX DISTRIBUIDORES 2017"/>
      <sheetName val="CHAPETAS TECNIFICADOS ZONA 5"/>
      <sheetName val="CHAPETAS ZONA 4 2017"/>
      <sheetName val="Barridos Zona 5 2017"/>
      <sheetName val="NOMINA HONORARIOS 2015"/>
      <sheetName val="SIMULACROS"/>
      <sheetName val="LUCHA CONTRABANDO 2017"/>
    </sheetNames>
    <sheetDataSet>
      <sheetData sheetId="0">
        <row r="7">
          <cell r="O7">
            <v>2400000</v>
          </cell>
        </row>
        <row r="8">
          <cell r="O8">
            <v>349509396.77000004</v>
          </cell>
        </row>
        <row r="16">
          <cell r="O16">
            <v>15069375</v>
          </cell>
        </row>
        <row r="17">
          <cell r="O17">
            <v>241147381.20999998</v>
          </cell>
        </row>
        <row r="20">
          <cell r="O20">
            <v>70000000</v>
          </cell>
        </row>
        <row r="21">
          <cell r="O21">
            <v>40000000</v>
          </cell>
        </row>
        <row r="27">
          <cell r="O27">
            <v>1278360572.446125</v>
          </cell>
        </row>
        <row r="28">
          <cell r="O28">
            <v>400272293.51999998</v>
          </cell>
        </row>
        <row r="29">
          <cell r="O29">
            <v>98033016.420000002</v>
          </cell>
        </row>
        <row r="30">
          <cell r="O30">
            <v>1884598567.2024915</v>
          </cell>
        </row>
        <row r="34">
          <cell r="O34">
            <v>461966200</v>
          </cell>
        </row>
        <row r="38">
          <cell r="O38">
            <v>249131900</v>
          </cell>
        </row>
        <row r="51">
          <cell r="O51">
            <v>149675000</v>
          </cell>
        </row>
        <row r="52">
          <cell r="O52">
            <v>524070500.00000006</v>
          </cell>
        </row>
        <row r="53">
          <cell r="O53">
            <v>59650000</v>
          </cell>
        </row>
        <row r="54">
          <cell r="O54">
            <v>207912500</v>
          </cell>
        </row>
        <row r="55">
          <cell r="O55">
            <v>8100000</v>
          </cell>
        </row>
        <row r="57">
          <cell r="O57">
            <v>320941573.71249998</v>
          </cell>
        </row>
        <row r="62">
          <cell r="O62">
            <v>244391898.375</v>
          </cell>
        </row>
        <row r="64">
          <cell r="O64">
            <v>7511647162.2800026</v>
          </cell>
        </row>
        <row r="67">
          <cell r="O67">
            <v>122862549.60000001</v>
          </cell>
        </row>
        <row r="70">
          <cell r="O70">
            <v>79065228.420000002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</sheetNames>
    <sheetDataSet>
      <sheetData sheetId="0">
        <row r="14">
          <cell r="B14">
            <v>21077193380.429871</v>
          </cell>
        </row>
        <row r="15">
          <cell r="B15">
            <v>12646316028.257923</v>
          </cell>
        </row>
        <row r="18">
          <cell r="B18">
            <v>187500000</v>
          </cell>
        </row>
        <row r="19">
          <cell r="B19">
            <v>112500000</v>
          </cell>
        </row>
        <row r="32">
          <cell r="B32">
            <v>1698741377.9462502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78"/>
  <sheetViews>
    <sheetView tabSelected="1" view="pageBreakPreview" topLeftCell="A2" zoomScale="85" zoomScaleNormal="90" zoomScaleSheetLayoutView="85" workbookViewId="0">
      <pane xSplit="1" ySplit="5" topLeftCell="B168" activePane="bottomRight" state="frozen"/>
      <selection activeCell="A2" sqref="A2"/>
      <selection pane="topRight" activeCell="B2" sqref="B2"/>
      <selection pane="bottomLeft" activeCell="A7" sqref="A7"/>
      <selection pane="bottomRight" activeCell="J149" sqref="J149"/>
    </sheetView>
  </sheetViews>
  <sheetFormatPr baseColWidth="10" defaultRowHeight="12.75" outlineLevelRow="2" outlineLevelCol="1" x14ac:dyDescent="0.2"/>
  <cols>
    <col min="1" max="1" width="86.140625" style="1" bestFit="1" customWidth="1"/>
    <col min="2" max="3" width="18.28515625" style="1" hidden="1" customWidth="1"/>
    <col min="4" max="4" width="19.85546875" style="1" hidden="1" customWidth="1"/>
    <col min="5" max="5" width="16.28515625" style="1" hidden="1" customWidth="1"/>
    <col min="6" max="6" width="15.42578125" style="1" hidden="1" customWidth="1"/>
    <col min="7" max="7" width="17.5703125" style="1" hidden="1" customWidth="1"/>
    <col min="8" max="8" width="20" style="1" hidden="1" customWidth="1"/>
    <col min="9" max="9" width="21.42578125" style="1" hidden="1" customWidth="1"/>
    <col min="10" max="10" width="19.7109375" style="1" customWidth="1"/>
    <col min="11" max="13" width="19.7109375" style="1" hidden="1" customWidth="1" outlineLevel="1"/>
    <col min="14" max="14" width="19.7109375" style="1" customWidth="1" outlineLevel="1"/>
    <col min="15" max="15" width="18.7109375" style="123" bestFit="1" customWidth="1"/>
    <col min="16" max="16" width="16.42578125" style="127" customWidth="1"/>
    <col min="17" max="19" width="14.5703125" style="1" customWidth="1"/>
    <col min="20" max="16384" width="11.42578125" style="1"/>
  </cols>
  <sheetData>
    <row r="1" spans="1:18" ht="15" x14ac:dyDescent="0.25">
      <c r="A1" s="144" t="s">
        <v>12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26"/>
    </row>
    <row r="2" spans="1:18" ht="15" customHeight="1" x14ac:dyDescent="0.25">
      <c r="A2" s="145" t="s">
        <v>29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8" ht="15" customHeight="1" x14ac:dyDescent="0.25">
      <c r="A3" s="145" t="s">
        <v>218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8" ht="15" x14ac:dyDescent="0.25">
      <c r="A4" s="144" t="s">
        <v>89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</row>
    <row r="5" spans="1:18" ht="15.75" thickBot="1" x14ac:dyDescent="0.3">
      <c r="A5" s="31"/>
      <c r="B5" s="49"/>
      <c r="C5" s="33"/>
      <c r="D5" s="33"/>
      <c r="E5" s="32"/>
      <c r="F5" s="32"/>
      <c r="G5" s="32"/>
      <c r="H5" s="51"/>
      <c r="I5" s="32"/>
    </row>
    <row r="6" spans="1:18" ht="73.5" customHeight="1" thickTop="1" x14ac:dyDescent="0.2">
      <c r="A6" s="34" t="s">
        <v>19</v>
      </c>
      <c r="B6" s="35" t="s">
        <v>58</v>
      </c>
      <c r="C6" s="35" t="s">
        <v>59</v>
      </c>
      <c r="D6" s="35" t="s">
        <v>94</v>
      </c>
      <c r="E6" s="35" t="s">
        <v>126</v>
      </c>
      <c r="F6" s="35" t="s">
        <v>60</v>
      </c>
      <c r="G6" s="35" t="s">
        <v>127</v>
      </c>
      <c r="H6" s="35" t="s">
        <v>61</v>
      </c>
      <c r="I6" s="35" t="s">
        <v>10</v>
      </c>
      <c r="J6" s="35" t="s">
        <v>18</v>
      </c>
      <c r="K6" s="112" t="s">
        <v>233</v>
      </c>
      <c r="L6" s="112" t="s">
        <v>246</v>
      </c>
      <c r="M6" s="112" t="s">
        <v>253</v>
      </c>
      <c r="N6" s="112" t="s">
        <v>254</v>
      </c>
      <c r="O6" s="35" t="s">
        <v>234</v>
      </c>
      <c r="P6" s="128" t="s">
        <v>237</v>
      </c>
    </row>
    <row r="7" spans="1:18" ht="15" x14ac:dyDescent="0.25">
      <c r="A7" s="6" t="s">
        <v>62</v>
      </c>
      <c r="B7" s="8"/>
      <c r="C7" s="8"/>
      <c r="D7" s="8"/>
      <c r="E7" s="8"/>
      <c r="F7" s="8"/>
      <c r="G7" s="8"/>
      <c r="H7" s="8"/>
      <c r="I7" s="8"/>
      <c r="J7" s="8"/>
      <c r="K7" s="113"/>
      <c r="L7" s="113"/>
      <c r="M7" s="113"/>
      <c r="N7" s="113"/>
      <c r="O7" s="8"/>
      <c r="P7" s="129"/>
    </row>
    <row r="8" spans="1:18" ht="15" x14ac:dyDescent="0.25">
      <c r="A8" s="17" t="s">
        <v>54</v>
      </c>
      <c r="B8" s="14">
        <f>SUM(B9:B18)</f>
        <v>1300724656.697902</v>
      </c>
      <c r="C8" s="14">
        <f t="shared" ref="C8:J8" si="0">SUM(C9:C18)</f>
        <v>384869413.94160259</v>
      </c>
      <c r="D8" s="14">
        <f t="shared" si="0"/>
        <v>331348519.80878377</v>
      </c>
      <c r="E8" s="14">
        <f t="shared" si="0"/>
        <v>44901257.802718826</v>
      </c>
      <c r="F8" s="14">
        <f t="shared" si="0"/>
        <v>340692164.63487905</v>
      </c>
      <c r="G8" s="14">
        <f>SUM(G9:G18)</f>
        <v>1294170895.97593</v>
      </c>
      <c r="H8" s="14">
        <f>SUM(H9:H18)</f>
        <v>3696706908.8618159</v>
      </c>
      <c r="I8" s="14">
        <f>SUM(I9:I18)</f>
        <v>367180168.58221859</v>
      </c>
      <c r="J8" s="14">
        <f t="shared" si="0"/>
        <v>4063887077.4440351</v>
      </c>
      <c r="K8" s="114">
        <f>SUM(K9:K18)</f>
        <v>0</v>
      </c>
      <c r="L8" s="114">
        <f>SUM(L9:L18)</f>
        <v>58401486.195814267</v>
      </c>
      <c r="M8" s="114">
        <f>SUM(M9:M18)</f>
        <v>-20000000</v>
      </c>
      <c r="N8" s="114">
        <f>SUM(N9:N18)</f>
        <v>0</v>
      </c>
      <c r="O8" s="14">
        <f>+J8+K8+L8+M8+N8</f>
        <v>4102288563.6398492</v>
      </c>
      <c r="P8" s="130">
        <f>+O8/$O$204</f>
        <v>9.7811344258589464E-2</v>
      </c>
    </row>
    <row r="9" spans="1:18" ht="14.25" x14ac:dyDescent="0.2">
      <c r="A9" s="10" t="s">
        <v>64</v>
      </c>
      <c r="B9" s="11">
        <v>823975795.14833355</v>
      </c>
      <c r="C9" s="11">
        <v>270835936.16366673</v>
      </c>
      <c r="D9" s="11">
        <v>236070023.42666668</v>
      </c>
      <c r="E9" s="11">
        <v>29166799.917000007</v>
      </c>
      <c r="F9" s="11">
        <v>242139435.1196667</v>
      </c>
      <c r="G9" s="11">
        <v>858578402.20066702</v>
      </c>
      <c r="H9" s="20">
        <f t="shared" ref="H9:H19" si="1">+B9+C9+D9+G9+E9+F9</f>
        <v>2460766391.9760003</v>
      </c>
      <c r="I9" s="11">
        <v>160509360.04666668</v>
      </c>
      <c r="J9" s="11">
        <f t="shared" ref="J9:J18" si="2">+H9+I9</f>
        <v>2621275752.0226669</v>
      </c>
      <c r="K9" s="115"/>
      <c r="L9" s="115">
        <v>17330381.887999699</v>
      </c>
      <c r="M9" s="115"/>
      <c r="N9" s="115"/>
      <c r="O9" s="11">
        <f t="shared" ref="O9:O19" si="3">+J9+K9+L9+M9+N9</f>
        <v>2638606133.9106665</v>
      </c>
      <c r="P9" s="129">
        <f t="shared" ref="P9:P19" si="4">+O9/$O$204</f>
        <v>6.291259352505657E-2</v>
      </c>
      <c r="R9" s="36"/>
    </row>
    <row r="10" spans="1:18" ht="14.25" x14ac:dyDescent="0.2">
      <c r="A10" s="10" t="s">
        <v>1</v>
      </c>
      <c r="B10" s="11">
        <v>41661697.507500015</v>
      </c>
      <c r="C10" s="11">
        <v>13693951.828500003</v>
      </c>
      <c r="D10" s="11">
        <v>11936124.780000003</v>
      </c>
      <c r="E10" s="11">
        <v>1474725.8385000003</v>
      </c>
      <c r="F10" s="11">
        <v>12243005.146500003</v>
      </c>
      <c r="G10" s="11">
        <v>43411267.527000017</v>
      </c>
      <c r="H10" s="20">
        <f t="shared" si="1"/>
        <v>124420772.62800004</v>
      </c>
      <c r="I10" s="11">
        <v>6320254.5</v>
      </c>
      <c r="J10" s="11">
        <f t="shared" si="2"/>
        <v>130741027.12800004</v>
      </c>
      <c r="K10" s="115"/>
      <c r="L10" s="115">
        <v>876255.26399998367</v>
      </c>
      <c r="M10" s="115"/>
      <c r="N10" s="115"/>
      <c r="O10" s="11">
        <f t="shared" si="3"/>
        <v>131617282.39200002</v>
      </c>
      <c r="P10" s="129">
        <f t="shared" si="4"/>
        <v>3.1381662013072642E-3</v>
      </c>
    </row>
    <row r="11" spans="1:18" ht="14.25" x14ac:dyDescent="0.2">
      <c r="A11" s="10" t="s">
        <v>0</v>
      </c>
      <c r="B11" s="11">
        <v>59374335.537500009</v>
      </c>
      <c r="C11" s="11">
        <v>12761426.072500002</v>
      </c>
      <c r="D11" s="11">
        <v>9831714.3250000011</v>
      </c>
      <c r="E11" s="11">
        <v>2457876.3975000004</v>
      </c>
      <c r="F11" s="11">
        <v>10343181.602500001</v>
      </c>
      <c r="G11" s="11">
        <v>62290285.570000008</v>
      </c>
      <c r="H11" s="20">
        <f t="shared" si="1"/>
        <v>157058819.50500003</v>
      </c>
      <c r="I11" s="11">
        <v>10533757.5</v>
      </c>
      <c r="J11" s="11">
        <f t="shared" si="2"/>
        <v>167592577.00500003</v>
      </c>
      <c r="K11" s="115"/>
      <c r="L11" s="115">
        <v>984688.9399999762</v>
      </c>
      <c r="M11" s="115"/>
      <c r="N11" s="115"/>
      <c r="O11" s="11">
        <f t="shared" si="3"/>
        <v>168577265.94499999</v>
      </c>
      <c r="P11" s="129">
        <f t="shared" si="4"/>
        <v>4.0194073960726322E-3</v>
      </c>
    </row>
    <row r="12" spans="1:18" ht="14.25" x14ac:dyDescent="0.2">
      <c r="A12" s="10" t="s">
        <v>13</v>
      </c>
      <c r="B12" s="72">
        <v>61196261.287500001</v>
      </c>
      <c r="C12" s="72">
        <v>0</v>
      </c>
      <c r="D12" s="72">
        <v>0</v>
      </c>
      <c r="E12" s="11">
        <v>0</v>
      </c>
      <c r="F12" s="20">
        <v>0</v>
      </c>
      <c r="G12" s="20"/>
      <c r="H12" s="20">
        <f t="shared" si="1"/>
        <v>61196261.287500001</v>
      </c>
      <c r="I12" s="11">
        <v>134613455.75999999</v>
      </c>
      <c r="J12" s="11">
        <f>+H12+I12</f>
        <v>195809717.04749998</v>
      </c>
      <c r="K12" s="115"/>
      <c r="L12" s="115">
        <v>33238760.105159998</v>
      </c>
      <c r="M12" s="115">
        <v>-20000000</v>
      </c>
      <c r="N12" s="115"/>
      <c r="O12" s="11">
        <f t="shared" si="3"/>
        <v>209048477.15265998</v>
      </c>
      <c r="P12" s="129">
        <f t="shared" si="4"/>
        <v>4.984367200968026E-3</v>
      </c>
    </row>
    <row r="13" spans="1:18" ht="14.25" x14ac:dyDescent="0.2">
      <c r="A13" s="10" t="s">
        <v>63</v>
      </c>
      <c r="B13" s="11">
        <v>2709822.6</v>
      </c>
      <c r="C13" s="11">
        <v>677455.65</v>
      </c>
      <c r="D13" s="11">
        <v>677455.65</v>
      </c>
      <c r="E13" s="11">
        <v>0</v>
      </c>
      <c r="F13" s="11">
        <v>677455.65</v>
      </c>
      <c r="G13" s="11">
        <v>2032366.9500000002</v>
      </c>
      <c r="H13" s="20">
        <f t="shared" si="1"/>
        <v>6774556.5</v>
      </c>
      <c r="I13" s="11"/>
      <c r="J13" s="11">
        <f t="shared" si="2"/>
        <v>6774556.5</v>
      </c>
      <c r="K13" s="115"/>
      <c r="L13" s="115"/>
      <c r="M13" s="115"/>
      <c r="N13" s="115"/>
      <c r="O13" s="11">
        <f t="shared" si="3"/>
        <v>6774556.5</v>
      </c>
      <c r="P13" s="129">
        <f t="shared" si="4"/>
        <v>1.6152654006202643E-4</v>
      </c>
    </row>
    <row r="14" spans="1:18" ht="14.25" x14ac:dyDescent="0.2">
      <c r="A14" s="10" t="s">
        <v>4</v>
      </c>
      <c r="B14" s="11">
        <v>59374335.537500009</v>
      </c>
      <c r="C14" s="11">
        <v>12761426.072500002</v>
      </c>
      <c r="D14" s="11">
        <v>9831714.3250000011</v>
      </c>
      <c r="E14" s="11">
        <v>2457876.3975000004</v>
      </c>
      <c r="F14" s="11">
        <v>10343181.602500001</v>
      </c>
      <c r="G14" s="11">
        <v>62290285.570000008</v>
      </c>
      <c r="H14" s="20">
        <f t="shared" si="1"/>
        <v>157058819.50500003</v>
      </c>
      <c r="I14" s="11">
        <v>10533757.5</v>
      </c>
      <c r="J14" s="11">
        <f t="shared" si="2"/>
        <v>167592577.00500003</v>
      </c>
      <c r="K14" s="115"/>
      <c r="L14" s="115">
        <v>984688.9399999762</v>
      </c>
      <c r="M14" s="115"/>
      <c r="N14" s="115"/>
      <c r="O14" s="11">
        <f t="shared" si="3"/>
        <v>168577265.94499999</v>
      </c>
      <c r="P14" s="129">
        <f t="shared" si="4"/>
        <v>4.0194073960726322E-3</v>
      </c>
      <c r="Q14" s="37"/>
      <c r="R14" s="37"/>
    </row>
    <row r="15" spans="1:18" ht="14.25" x14ac:dyDescent="0.2">
      <c r="A15" s="10" t="s">
        <v>5</v>
      </c>
      <c r="B15" s="11">
        <v>7124920.2645000005</v>
      </c>
      <c r="C15" s="11">
        <v>1531371.1287000002</v>
      </c>
      <c r="D15" s="11">
        <v>1179805.719</v>
      </c>
      <c r="E15" s="11">
        <v>294945.16770000005</v>
      </c>
      <c r="F15" s="11">
        <v>1241181.7923000001</v>
      </c>
      <c r="G15" s="11">
        <v>7474834.2684000013</v>
      </c>
      <c r="H15" s="20">
        <f t="shared" si="1"/>
        <v>18847058.340600003</v>
      </c>
      <c r="I15" s="11">
        <v>1264050.8999999999</v>
      </c>
      <c r="J15" s="11">
        <f t="shared" si="2"/>
        <v>20111109.240600001</v>
      </c>
      <c r="K15" s="115"/>
      <c r="L15" s="115">
        <v>118162.67279999741</v>
      </c>
      <c r="M15" s="115"/>
      <c r="N15" s="115"/>
      <c r="O15" s="11">
        <f t="shared" si="3"/>
        <v>20229271.913399998</v>
      </c>
      <c r="P15" s="129">
        <f t="shared" si="4"/>
        <v>4.823288875287158E-4</v>
      </c>
      <c r="Q15" s="37"/>
      <c r="R15" s="37"/>
    </row>
    <row r="16" spans="1:18" ht="14.25" x14ac:dyDescent="0.2">
      <c r="A16" s="10" t="s">
        <v>2</v>
      </c>
      <c r="B16" s="11">
        <v>169177506.12322831</v>
      </c>
      <c r="C16" s="11">
        <v>49888604.197575875</v>
      </c>
      <c r="D16" s="11">
        <v>42477466.688077159</v>
      </c>
      <c r="E16" s="11">
        <v>6217560.4745988166</v>
      </c>
      <c r="F16" s="11">
        <v>43771298.522692293</v>
      </c>
      <c r="G16" s="11">
        <v>178508519.48058283</v>
      </c>
      <c r="H16" s="20">
        <f t="shared" si="1"/>
        <v>490040955.48675525</v>
      </c>
      <c r="I16" s="11">
        <v>31270643.735551931</v>
      </c>
      <c r="J16" s="11">
        <f t="shared" si="2"/>
        <v>521311599.22230721</v>
      </c>
      <c r="K16" s="115"/>
      <c r="L16" s="115">
        <v>3350552.8133746586</v>
      </c>
      <c r="M16" s="115"/>
      <c r="N16" s="115"/>
      <c r="O16" s="11">
        <f t="shared" si="3"/>
        <v>524662152.03568184</v>
      </c>
      <c r="P16" s="129">
        <f t="shared" si="4"/>
        <v>1.2509580829360647E-2</v>
      </c>
    </row>
    <row r="17" spans="1:16" ht="14.25" x14ac:dyDescent="0.2">
      <c r="A17" s="10" t="s">
        <v>6</v>
      </c>
      <c r="B17" s="11">
        <v>33835547.863040008</v>
      </c>
      <c r="C17" s="11">
        <v>10097441.256960001</v>
      </c>
      <c r="D17" s="11">
        <v>8597428.8422400001</v>
      </c>
      <c r="E17" s="11">
        <v>1258432.7155200003</v>
      </c>
      <c r="F17" s="11">
        <v>8859300.088320002</v>
      </c>
      <c r="G17" s="11">
        <v>35371081.959679998</v>
      </c>
      <c r="H17" s="20">
        <f t="shared" si="1"/>
        <v>98019232.725759998</v>
      </c>
      <c r="I17" s="11">
        <v>5393283.8400000008</v>
      </c>
      <c r="J17" s="11">
        <f t="shared" si="2"/>
        <v>103412516.56576</v>
      </c>
      <c r="K17" s="115"/>
      <c r="L17" s="115">
        <v>674664.69887998328</v>
      </c>
      <c r="M17" s="115"/>
      <c r="N17" s="115"/>
      <c r="O17" s="11">
        <f t="shared" si="3"/>
        <v>104087181.26463999</v>
      </c>
      <c r="P17" s="129">
        <f t="shared" si="4"/>
        <v>2.4817627920715219E-3</v>
      </c>
    </row>
    <row r="18" spans="1:16" ht="14.25" x14ac:dyDescent="0.2">
      <c r="A18" s="10" t="s">
        <v>3</v>
      </c>
      <c r="B18" s="11">
        <v>42294434.828800008</v>
      </c>
      <c r="C18" s="11">
        <v>12621801.571200002</v>
      </c>
      <c r="D18" s="11">
        <v>10746786.052800002</v>
      </c>
      <c r="E18" s="11">
        <v>1573040.8944000003</v>
      </c>
      <c r="F18" s="11">
        <v>11074125.110400002</v>
      </c>
      <c r="G18" s="11">
        <v>44213852.449600004</v>
      </c>
      <c r="H18" s="20">
        <f t="shared" si="1"/>
        <v>122524040.90720002</v>
      </c>
      <c r="I18" s="11">
        <v>6741604.8000000007</v>
      </c>
      <c r="J18" s="11">
        <f t="shared" si="2"/>
        <v>129265645.70720002</v>
      </c>
      <c r="K18" s="115"/>
      <c r="L18" s="115">
        <v>843330.87359998794</v>
      </c>
      <c r="M18" s="115"/>
      <c r="N18" s="115"/>
      <c r="O18" s="11">
        <f t="shared" si="3"/>
        <v>130108976.58080001</v>
      </c>
      <c r="P18" s="129">
        <f t="shared" si="4"/>
        <v>3.1022034900894031E-3</v>
      </c>
    </row>
    <row r="19" spans="1:16" ht="15" x14ac:dyDescent="0.25">
      <c r="A19" s="15" t="s">
        <v>55</v>
      </c>
      <c r="B19" s="9">
        <f t="shared" ref="B19:G19" si="5">SUM(B9:B18)</f>
        <v>1300724656.697902</v>
      </c>
      <c r="C19" s="9">
        <f t="shared" si="5"/>
        <v>384869413.94160259</v>
      </c>
      <c r="D19" s="9">
        <f t="shared" si="5"/>
        <v>331348519.80878377</v>
      </c>
      <c r="E19" s="9">
        <f t="shared" si="5"/>
        <v>44901257.802718826</v>
      </c>
      <c r="F19" s="9">
        <f t="shared" si="5"/>
        <v>340692164.63487905</v>
      </c>
      <c r="G19" s="9">
        <f t="shared" si="5"/>
        <v>1294170895.97593</v>
      </c>
      <c r="H19" s="9">
        <f t="shared" si="1"/>
        <v>3696706908.8618159</v>
      </c>
      <c r="I19" s="9">
        <f t="shared" ref="I19:N19" si="6">SUM(I9:I18)</f>
        <v>367180168.58221859</v>
      </c>
      <c r="J19" s="9">
        <f t="shared" si="6"/>
        <v>4063887077.4440351</v>
      </c>
      <c r="K19" s="116">
        <f t="shared" si="6"/>
        <v>0</v>
      </c>
      <c r="L19" s="116">
        <f t="shared" si="6"/>
        <v>58401486.195814267</v>
      </c>
      <c r="M19" s="116">
        <f t="shared" si="6"/>
        <v>-20000000</v>
      </c>
      <c r="N19" s="116">
        <f t="shared" si="6"/>
        <v>0</v>
      </c>
      <c r="O19" s="9">
        <f t="shared" si="3"/>
        <v>4102288563.6398492</v>
      </c>
      <c r="P19" s="131">
        <f t="shared" si="4"/>
        <v>9.7811344258589464E-2</v>
      </c>
    </row>
    <row r="20" spans="1:16" ht="15" x14ac:dyDescent="0.25">
      <c r="A20" s="6" t="s">
        <v>14</v>
      </c>
      <c r="B20" s="11"/>
      <c r="C20" s="11"/>
      <c r="D20" s="11"/>
      <c r="E20" s="11"/>
      <c r="F20" s="11"/>
      <c r="G20" s="11"/>
      <c r="H20" s="11"/>
      <c r="I20" s="9"/>
      <c r="J20" s="11"/>
      <c r="K20" s="115"/>
      <c r="L20" s="115"/>
      <c r="M20" s="115"/>
      <c r="N20" s="115"/>
      <c r="O20" s="11"/>
      <c r="P20" s="129"/>
    </row>
    <row r="21" spans="1:16" ht="14.25" x14ac:dyDescent="0.2">
      <c r="A21" s="12" t="s">
        <v>21</v>
      </c>
      <c r="B21" s="73">
        <v>142765236</v>
      </c>
      <c r="C21" s="73">
        <v>3000000</v>
      </c>
      <c r="D21" s="73">
        <v>0</v>
      </c>
      <c r="E21" s="73">
        <v>0</v>
      </c>
      <c r="F21" s="73">
        <v>5000000</v>
      </c>
      <c r="G21" s="73">
        <v>2400000</v>
      </c>
      <c r="H21" s="73">
        <f t="shared" ref="H21:H35" si="7">+B21+C21+D21+G21+E21+F21</f>
        <v>153165236</v>
      </c>
      <c r="I21" s="11">
        <v>107456358.38000003</v>
      </c>
      <c r="J21" s="11">
        <f>+I21+H21</f>
        <v>260621594.38000003</v>
      </c>
      <c r="K21" s="115"/>
      <c r="L21" s="115"/>
      <c r="M21" s="115"/>
      <c r="N21" s="115"/>
      <c r="O21" s="11">
        <f t="shared" ref="O21:O37" si="8">+J21+K21+L21+M21+N21</f>
        <v>260621594.38000003</v>
      </c>
      <c r="P21" s="129">
        <f t="shared" ref="P21:P37" si="9">+O21/$O$204</f>
        <v>6.2140310447850386E-3</v>
      </c>
    </row>
    <row r="22" spans="1:16" ht="14.25" x14ac:dyDescent="0.2">
      <c r="A22" s="12" t="s">
        <v>51</v>
      </c>
      <c r="B22" s="11">
        <v>33828230.850000001</v>
      </c>
      <c r="C22" s="73">
        <v>4516371</v>
      </c>
      <c r="D22" s="73">
        <v>0</v>
      </c>
      <c r="E22" s="11">
        <v>0</v>
      </c>
      <c r="F22" s="73">
        <v>0</v>
      </c>
      <c r="G22" s="11">
        <v>15069375</v>
      </c>
      <c r="H22" s="73">
        <f t="shared" si="7"/>
        <v>53413976.850000001</v>
      </c>
      <c r="I22" s="11">
        <v>12789822.712500002</v>
      </c>
      <c r="J22" s="11">
        <f t="shared" ref="J22:J35" si="10">+H22+I22</f>
        <v>66203799.5625</v>
      </c>
      <c r="K22" s="115"/>
      <c r="L22" s="115"/>
      <c r="M22" s="115"/>
      <c r="N22" s="115"/>
      <c r="O22" s="11">
        <f t="shared" si="8"/>
        <v>66203799.5625</v>
      </c>
      <c r="P22" s="129">
        <f t="shared" si="9"/>
        <v>1.5785049076335142E-3</v>
      </c>
    </row>
    <row r="23" spans="1:16" ht="14.25" x14ac:dyDescent="0.2">
      <c r="A23" s="12" t="s">
        <v>23</v>
      </c>
      <c r="B23" s="73">
        <v>0</v>
      </c>
      <c r="C23" s="73">
        <v>0</v>
      </c>
      <c r="D23" s="73">
        <v>0</v>
      </c>
      <c r="E23" s="73">
        <v>0</v>
      </c>
      <c r="F23" s="73"/>
      <c r="G23" s="73">
        <v>13549113.000000002</v>
      </c>
      <c r="H23" s="73">
        <f t="shared" si="7"/>
        <v>13549113.000000002</v>
      </c>
      <c r="I23" s="11">
        <v>21597401.812500004</v>
      </c>
      <c r="J23" s="11">
        <f t="shared" si="10"/>
        <v>35146514.812500007</v>
      </c>
      <c r="K23" s="115"/>
      <c r="L23" s="115"/>
      <c r="M23" s="115"/>
      <c r="N23" s="115"/>
      <c r="O23" s="11">
        <f t="shared" si="8"/>
        <v>35146514.812500007</v>
      </c>
      <c r="P23" s="129">
        <f t="shared" si="9"/>
        <v>8.3800244826386604E-4</v>
      </c>
    </row>
    <row r="24" spans="1:16" ht="14.25" x14ac:dyDescent="0.2">
      <c r="A24" s="12" t="s">
        <v>17</v>
      </c>
      <c r="B24" s="11">
        <v>23000000</v>
      </c>
      <c r="C24" s="73">
        <v>11937841.492500002</v>
      </c>
      <c r="D24" s="73">
        <v>7162964.6175000006</v>
      </c>
      <c r="E24" s="73">
        <v>3800000</v>
      </c>
      <c r="F24" s="73">
        <v>11289371.9175</v>
      </c>
      <c r="G24" s="73">
        <v>241147381.20999998</v>
      </c>
      <c r="H24" s="73">
        <f t="shared" si="7"/>
        <v>298337559.23750001</v>
      </c>
      <c r="I24" s="11">
        <v>54750997.597500011</v>
      </c>
      <c r="J24" s="11">
        <f t="shared" si="10"/>
        <v>353088556.83500004</v>
      </c>
      <c r="K24" s="115"/>
      <c r="L24" s="115"/>
      <c r="M24" s="115"/>
      <c r="N24" s="115"/>
      <c r="O24" s="11">
        <f t="shared" si="8"/>
        <v>353088556.83500004</v>
      </c>
      <c r="P24" s="129">
        <f t="shared" si="9"/>
        <v>8.418731605685438E-3</v>
      </c>
    </row>
    <row r="25" spans="1:16" ht="14.25" x14ac:dyDescent="0.2">
      <c r="A25" s="12" t="s">
        <v>20</v>
      </c>
      <c r="B25" s="73">
        <v>1000000</v>
      </c>
      <c r="C25" s="73">
        <v>2709297</v>
      </c>
      <c r="D25" s="73">
        <v>2115000</v>
      </c>
      <c r="E25" s="73">
        <v>0</v>
      </c>
      <c r="F25" s="73">
        <v>2300000</v>
      </c>
      <c r="G25" s="73">
        <v>3000000</v>
      </c>
      <c r="H25" s="73">
        <f t="shared" si="7"/>
        <v>11124297</v>
      </c>
      <c r="I25" s="11">
        <v>5121955.7774999999</v>
      </c>
      <c r="J25" s="11">
        <f t="shared" si="10"/>
        <v>16246252.7775</v>
      </c>
      <c r="K25" s="115"/>
      <c r="L25" s="115"/>
      <c r="M25" s="115"/>
      <c r="N25" s="115"/>
      <c r="O25" s="11">
        <f t="shared" si="8"/>
        <v>16246252.7775</v>
      </c>
      <c r="P25" s="129">
        <f t="shared" si="9"/>
        <v>3.8736129813407886E-4</v>
      </c>
    </row>
    <row r="26" spans="1:16" ht="14.25" x14ac:dyDescent="0.2">
      <c r="A26" s="10" t="s">
        <v>52</v>
      </c>
      <c r="B26" s="73">
        <v>0</v>
      </c>
      <c r="C26" s="73">
        <v>0</v>
      </c>
      <c r="D26" s="73">
        <v>0</v>
      </c>
      <c r="E26" s="73"/>
      <c r="F26" s="73"/>
      <c r="G26" s="73"/>
      <c r="H26" s="73">
        <f t="shared" si="7"/>
        <v>0</v>
      </c>
      <c r="I26" s="11">
        <v>25000000</v>
      </c>
      <c r="J26" s="11">
        <f t="shared" si="10"/>
        <v>25000000</v>
      </c>
      <c r="K26" s="115"/>
      <c r="L26" s="115"/>
      <c r="M26" s="115"/>
      <c r="N26" s="115"/>
      <c r="O26" s="11">
        <f t="shared" si="8"/>
        <v>25000000</v>
      </c>
      <c r="P26" s="129">
        <f t="shared" si="9"/>
        <v>5.9607791322585624E-4</v>
      </c>
    </row>
    <row r="27" spans="1:16" ht="14.25" x14ac:dyDescent="0.2">
      <c r="A27" s="12" t="s">
        <v>15</v>
      </c>
      <c r="B27" s="73">
        <v>8738889.9000000004</v>
      </c>
      <c r="C27" s="73">
        <v>8738889.9000000004</v>
      </c>
      <c r="D27" s="73">
        <v>8738889.9000000004</v>
      </c>
      <c r="E27" s="73">
        <v>8738889.9000000004</v>
      </c>
      <c r="F27" s="73">
        <v>8738889.9000000004</v>
      </c>
      <c r="G27" s="73">
        <v>8738888.9000000004</v>
      </c>
      <c r="H27" s="73">
        <f t="shared" si="7"/>
        <v>52433338.399999999</v>
      </c>
      <c r="I27" s="11">
        <v>23391811.8825</v>
      </c>
      <c r="J27" s="11">
        <f t="shared" si="10"/>
        <v>75825150.282499999</v>
      </c>
      <c r="K27" s="115"/>
      <c r="L27" s="115"/>
      <c r="M27" s="115"/>
      <c r="N27" s="115"/>
      <c r="O27" s="11">
        <f t="shared" si="8"/>
        <v>75825150.282499999</v>
      </c>
      <c r="P27" s="129">
        <f t="shared" si="9"/>
        <v>1.8079078940171818E-3</v>
      </c>
    </row>
    <row r="28" spans="1:16" ht="14.25" x14ac:dyDescent="0.2">
      <c r="A28" s="12" t="s">
        <v>25</v>
      </c>
      <c r="B28" s="73">
        <v>3000000</v>
      </c>
      <c r="C28" s="73">
        <v>564546.375</v>
      </c>
      <c r="D28" s="73">
        <v>5287500.0000000009</v>
      </c>
      <c r="E28" s="73">
        <v>1500000</v>
      </c>
      <c r="F28" s="73"/>
      <c r="G28" s="73">
        <v>40000000</v>
      </c>
      <c r="H28" s="73">
        <f t="shared" si="7"/>
        <v>50352046.375</v>
      </c>
      <c r="I28" s="11">
        <v>24840040.5</v>
      </c>
      <c r="J28" s="11">
        <f t="shared" si="10"/>
        <v>75192086.875</v>
      </c>
      <c r="K28" s="115"/>
      <c r="L28" s="115"/>
      <c r="M28" s="115"/>
      <c r="N28" s="115"/>
      <c r="O28" s="11">
        <f t="shared" si="8"/>
        <v>75192086.875</v>
      </c>
      <c r="P28" s="129">
        <f t="shared" si="9"/>
        <v>1.7928136894218918E-3</v>
      </c>
    </row>
    <row r="29" spans="1:16" ht="14.25" x14ac:dyDescent="0.2">
      <c r="A29" s="12" t="s">
        <v>27</v>
      </c>
      <c r="B29" s="73">
        <v>0</v>
      </c>
      <c r="C29" s="73">
        <v>0</v>
      </c>
      <c r="D29" s="73">
        <v>0</v>
      </c>
      <c r="E29" s="73"/>
      <c r="F29" s="73"/>
      <c r="G29" s="73">
        <v>70000000</v>
      </c>
      <c r="H29" s="73">
        <f t="shared" si="7"/>
        <v>70000000</v>
      </c>
      <c r="I29" s="11">
        <v>119352818.97250001</v>
      </c>
      <c r="J29" s="11">
        <f t="shared" si="10"/>
        <v>189352818.97250003</v>
      </c>
      <c r="K29" s="115"/>
      <c r="L29" s="115"/>
      <c r="M29" s="115"/>
      <c r="N29" s="115"/>
      <c r="O29" s="11">
        <f t="shared" si="8"/>
        <v>189352818.97250003</v>
      </c>
      <c r="P29" s="129">
        <f t="shared" si="9"/>
        <v>4.5147613278624455E-3</v>
      </c>
    </row>
    <row r="30" spans="1:16" ht="14.25" x14ac:dyDescent="0.2">
      <c r="A30" s="12" t="s">
        <v>66</v>
      </c>
      <c r="B30" s="11">
        <v>15000000</v>
      </c>
      <c r="C30" s="11">
        <v>18343686.870000001</v>
      </c>
      <c r="D30" s="11">
        <v>8714845.8675000016</v>
      </c>
      <c r="E30" s="11"/>
      <c r="F30" s="73">
        <v>23875681.927500002</v>
      </c>
      <c r="G30" s="11">
        <v>349509396.77000004</v>
      </c>
      <c r="H30" s="73">
        <f t="shared" si="7"/>
        <v>415443611.43500006</v>
      </c>
      <c r="I30" s="11">
        <v>26692500</v>
      </c>
      <c r="J30" s="11">
        <f t="shared" si="10"/>
        <v>442136111.43500006</v>
      </c>
      <c r="K30" s="115"/>
      <c r="L30" s="115"/>
      <c r="M30" s="115">
        <v>-30000000</v>
      </c>
      <c r="N30" s="115"/>
      <c r="O30" s="11">
        <f t="shared" si="8"/>
        <v>412136111.43500006</v>
      </c>
      <c r="P30" s="129">
        <f t="shared" si="9"/>
        <v>9.8266093307677518E-3</v>
      </c>
    </row>
    <row r="31" spans="1:16" ht="14.25" x14ac:dyDescent="0.2">
      <c r="A31" s="12" t="s">
        <v>22</v>
      </c>
      <c r="B31" s="73">
        <v>0</v>
      </c>
      <c r="C31" s="73">
        <v>0</v>
      </c>
      <c r="D31" s="73">
        <v>0</v>
      </c>
      <c r="E31" s="73"/>
      <c r="F31" s="73"/>
      <c r="G31" s="73"/>
      <c r="H31" s="73">
        <f t="shared" si="7"/>
        <v>0</v>
      </c>
      <c r="I31" s="11">
        <v>10757341</v>
      </c>
      <c r="J31" s="11">
        <f t="shared" si="10"/>
        <v>10757341</v>
      </c>
      <c r="K31" s="115"/>
      <c r="L31" s="115"/>
      <c r="M31" s="115"/>
      <c r="N31" s="115"/>
      <c r="O31" s="11">
        <f t="shared" si="8"/>
        <v>10757341</v>
      </c>
      <c r="P31" s="129">
        <f t="shared" si="9"/>
        <v>2.5648853500555784E-4</v>
      </c>
    </row>
    <row r="32" spans="1:16" ht="14.25" x14ac:dyDescent="0.2">
      <c r="A32" s="12" t="s">
        <v>24</v>
      </c>
      <c r="B32" s="11">
        <v>11000122.402500002</v>
      </c>
      <c r="C32" s="11">
        <v>4277825.4375</v>
      </c>
      <c r="D32" s="11">
        <v>1833353.9100000001</v>
      </c>
      <c r="E32" s="11"/>
      <c r="F32" s="11">
        <v>11000122.402500002</v>
      </c>
      <c r="G32" s="11">
        <v>9890852.4900000002</v>
      </c>
      <c r="H32" s="73">
        <f t="shared" si="7"/>
        <v>38002276.642500006</v>
      </c>
      <c r="I32" s="11">
        <v>31167014.355000004</v>
      </c>
      <c r="J32" s="11">
        <f t="shared" si="10"/>
        <v>69169290.997500002</v>
      </c>
      <c r="K32" s="115"/>
      <c r="L32" s="115"/>
      <c r="M32" s="115"/>
      <c r="N32" s="115"/>
      <c r="O32" s="11">
        <f t="shared" si="8"/>
        <v>69169290.997500002</v>
      </c>
      <c r="P32" s="129">
        <f t="shared" si="9"/>
        <v>1.6492114654840723E-3</v>
      </c>
    </row>
    <row r="33" spans="1:16" ht="14.25" x14ac:dyDescent="0.2">
      <c r="A33" s="12" t="s">
        <v>16</v>
      </c>
      <c r="B33" s="73">
        <v>17307278.25</v>
      </c>
      <c r="C33" s="73">
        <v>0</v>
      </c>
      <c r="D33" s="73">
        <v>0</v>
      </c>
      <c r="E33" s="73"/>
      <c r="F33" s="73">
        <v>23314717.305000003</v>
      </c>
      <c r="G33" s="73">
        <v>11222095.059999999</v>
      </c>
      <c r="H33" s="73">
        <f t="shared" si="7"/>
        <v>51844090.615000002</v>
      </c>
      <c r="I33" s="11">
        <v>56463503.890000008</v>
      </c>
      <c r="J33" s="11">
        <f>+H33+I33</f>
        <v>108307594.50500001</v>
      </c>
      <c r="K33" s="115"/>
      <c r="L33" s="115"/>
      <c r="M33" s="115"/>
      <c r="N33" s="115"/>
      <c r="O33" s="11">
        <f t="shared" si="8"/>
        <v>108307594.50500001</v>
      </c>
      <c r="P33" s="129">
        <f t="shared" si="9"/>
        <v>2.582390596762105E-3</v>
      </c>
    </row>
    <row r="34" spans="1:16" ht="14.25" x14ac:dyDescent="0.2">
      <c r="A34" s="12" t="s">
        <v>28</v>
      </c>
      <c r="B34" s="73">
        <v>0</v>
      </c>
      <c r="C34" s="73">
        <v>0</v>
      </c>
      <c r="D34" s="73">
        <v>0</v>
      </c>
      <c r="E34" s="73"/>
      <c r="F34" s="73"/>
      <c r="G34" s="73"/>
      <c r="H34" s="73">
        <f t="shared" si="7"/>
        <v>0</v>
      </c>
      <c r="I34" s="11">
        <v>54171821.502499998</v>
      </c>
      <c r="J34" s="11">
        <f t="shared" si="10"/>
        <v>54171821.502499998</v>
      </c>
      <c r="K34" s="115"/>
      <c r="L34" s="115"/>
      <c r="M34" s="115">
        <v>1288308</v>
      </c>
      <c r="N34" s="115"/>
      <c r="O34" s="11">
        <f t="shared" si="8"/>
        <v>55460129.502499998</v>
      </c>
      <c r="P34" s="129">
        <f t="shared" si="9"/>
        <v>1.3223423304434378E-3</v>
      </c>
    </row>
    <row r="35" spans="1:16" ht="14.25" x14ac:dyDescent="0.2">
      <c r="A35" s="12" t="s">
        <v>26</v>
      </c>
      <c r="B35" s="73">
        <v>0</v>
      </c>
      <c r="C35" s="73">
        <v>0</v>
      </c>
      <c r="D35" s="73">
        <v>0</v>
      </c>
      <c r="E35" s="73"/>
      <c r="F35" s="73"/>
      <c r="G35" s="73"/>
      <c r="H35" s="73">
        <f t="shared" si="7"/>
        <v>0</v>
      </c>
      <c r="I35" s="11">
        <v>23696586.900000006</v>
      </c>
      <c r="J35" s="11">
        <f t="shared" si="10"/>
        <v>23696586.900000006</v>
      </c>
      <c r="K35" s="115"/>
      <c r="L35" s="115"/>
      <c r="M35" s="115"/>
      <c r="N35" s="115"/>
      <c r="O35" s="11">
        <f t="shared" si="8"/>
        <v>23696586.900000006</v>
      </c>
      <c r="P35" s="129">
        <f t="shared" si="9"/>
        <v>5.6500048279708667E-4</v>
      </c>
    </row>
    <row r="36" spans="1:16" ht="15" x14ac:dyDescent="0.25">
      <c r="A36" s="15" t="s">
        <v>56</v>
      </c>
      <c r="B36" s="9">
        <f>SUM(B21:B35)</f>
        <v>255639757.4025</v>
      </c>
      <c r="C36" s="9">
        <f t="shared" ref="C36:I36" si="11">SUM(C21:C35)</f>
        <v>54088458.075000003</v>
      </c>
      <c r="D36" s="9">
        <f t="shared" si="11"/>
        <v>33852554.295000002</v>
      </c>
      <c r="E36" s="9">
        <f>SUM(E21:E35)</f>
        <v>14038889.9</v>
      </c>
      <c r="F36" s="9">
        <f t="shared" si="11"/>
        <v>85518783.452500015</v>
      </c>
      <c r="G36" s="9">
        <f>SUM(G21:G35)</f>
        <v>764527102.42999995</v>
      </c>
      <c r="H36" s="74">
        <f t="shared" si="11"/>
        <v>1207665545.5550001</v>
      </c>
      <c r="I36" s="9">
        <f t="shared" si="11"/>
        <v>597249975.28250003</v>
      </c>
      <c r="J36" s="9">
        <f>SUM(J21:J35)</f>
        <v>1804915520.8375006</v>
      </c>
      <c r="K36" s="116">
        <f>SUM(K21:K35)</f>
        <v>0</v>
      </c>
      <c r="L36" s="116">
        <f>SUM(L21:L35)</f>
        <v>0</v>
      </c>
      <c r="M36" s="116">
        <f>SUM(M21:M35)</f>
        <v>-28711692</v>
      </c>
      <c r="N36" s="116">
        <f>SUM(N21:N35)</f>
        <v>0</v>
      </c>
      <c r="O36" s="9">
        <f t="shared" si="8"/>
        <v>1776203828.8375006</v>
      </c>
      <c r="P36" s="131">
        <f t="shared" si="9"/>
        <v>4.2350234870289334E-2</v>
      </c>
    </row>
    <row r="37" spans="1:16" ht="15" x14ac:dyDescent="0.25">
      <c r="A37" s="60" t="s">
        <v>57</v>
      </c>
      <c r="B37" s="61">
        <f t="shared" ref="B37:G37" si="12">+B36+B19</f>
        <v>1556364414.1004019</v>
      </c>
      <c r="C37" s="61">
        <f t="shared" si="12"/>
        <v>438957872.01660258</v>
      </c>
      <c r="D37" s="61">
        <f t="shared" si="12"/>
        <v>365201074.10378379</v>
      </c>
      <c r="E37" s="61">
        <f t="shared" si="12"/>
        <v>58940147.702718824</v>
      </c>
      <c r="F37" s="61">
        <f t="shared" si="12"/>
        <v>426210948.0873791</v>
      </c>
      <c r="G37" s="61">
        <f t="shared" si="12"/>
        <v>2058697998.40593</v>
      </c>
      <c r="H37" s="75">
        <f>+B37+C37+D37+G37+E37+F37</f>
        <v>4904372454.4168167</v>
      </c>
      <c r="I37" s="61">
        <f t="shared" ref="I37:N37" si="13">+I36+I19</f>
        <v>964430143.86471868</v>
      </c>
      <c r="J37" s="61">
        <f t="shared" si="13"/>
        <v>5868802598.2815361</v>
      </c>
      <c r="K37" s="117">
        <f t="shared" si="13"/>
        <v>0</v>
      </c>
      <c r="L37" s="117">
        <f t="shared" si="13"/>
        <v>58401486.195814267</v>
      </c>
      <c r="M37" s="117">
        <f t="shared" si="13"/>
        <v>-48711692</v>
      </c>
      <c r="N37" s="117">
        <f t="shared" si="13"/>
        <v>0</v>
      </c>
      <c r="O37" s="61">
        <f t="shared" si="8"/>
        <v>5878492392.4773502</v>
      </c>
      <c r="P37" s="132">
        <f t="shared" si="9"/>
        <v>0.1401615791288788</v>
      </c>
    </row>
    <row r="38" spans="1:16" ht="14.25" x14ac:dyDescent="0.2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118"/>
      <c r="L38" s="118"/>
      <c r="M38" s="118"/>
      <c r="N38" s="118"/>
      <c r="O38" s="59"/>
      <c r="P38" s="133"/>
    </row>
    <row r="39" spans="1:16" ht="15" x14ac:dyDescent="0.25">
      <c r="A39" s="56" t="s">
        <v>11</v>
      </c>
      <c r="B39" s="57">
        <f>+B41</f>
        <v>3352963890.9023829</v>
      </c>
      <c r="C39" s="57">
        <f>+C135</f>
        <v>1580111549.895</v>
      </c>
      <c r="D39" s="57">
        <f>+D149</f>
        <v>1671953337.8875</v>
      </c>
      <c r="E39" s="57">
        <f>+E184</f>
        <v>248662237</v>
      </c>
      <c r="F39" s="57">
        <f>+F74</f>
        <v>8671135294.2726898</v>
      </c>
      <c r="G39" s="57">
        <f>+G112</f>
        <v>13600678961.97612</v>
      </c>
      <c r="H39" s="57">
        <f>+B39+C39+D39+G39+E39+F39</f>
        <v>29125505271.933693</v>
      </c>
      <c r="I39" s="57">
        <v>0</v>
      </c>
      <c r="J39" s="57">
        <f>+I39+H39</f>
        <v>29125505271.933693</v>
      </c>
      <c r="K39" s="119">
        <f>+K41+K74+K112+K135+K149+K184</f>
        <v>873103328.10500002</v>
      </c>
      <c r="L39" s="119">
        <f>+L41+L74+L112+L135+L149+L184</f>
        <v>169163007</v>
      </c>
      <c r="M39" s="119">
        <f>+M41+M74+M112+M135+M149+M184</f>
        <v>-193500000</v>
      </c>
      <c r="N39" s="119">
        <f>+N41+N74+N112+N135+N149+N184</f>
        <v>0</v>
      </c>
      <c r="O39" s="57">
        <f>+J39+K39+L39+M39+N39</f>
        <v>29974271607.038692</v>
      </c>
      <c r="P39" s="134">
        <f>+O39/$O$204</f>
        <v>0.71468005079954622</v>
      </c>
    </row>
    <row r="40" spans="1:16" ht="15" x14ac:dyDescent="0.25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119"/>
      <c r="L40" s="119"/>
      <c r="M40" s="119"/>
      <c r="N40" s="119"/>
      <c r="O40" s="57"/>
      <c r="P40" s="134"/>
    </row>
    <row r="41" spans="1:16" ht="15" x14ac:dyDescent="0.25">
      <c r="A41" s="56" t="s">
        <v>158</v>
      </c>
      <c r="B41" s="57">
        <f>+B42+B45+B58+B62+B66+B70</f>
        <v>3352963890.9023829</v>
      </c>
      <c r="C41" s="57"/>
      <c r="D41" s="57"/>
      <c r="E41" s="57"/>
      <c r="F41" s="57"/>
      <c r="G41" s="57"/>
      <c r="H41" s="57">
        <f>+H42+H45+H58+H62+H66+H70</f>
        <v>3352963890.9023829</v>
      </c>
      <c r="I41" s="57"/>
      <c r="J41" s="57">
        <f>+J42+J45+J58+J62+J66+J70</f>
        <v>3352963890.9023829</v>
      </c>
      <c r="K41" s="119">
        <f>+K42+K45+K58+K62+K66+K70</f>
        <v>0</v>
      </c>
      <c r="L41" s="119">
        <f>+L42+L45+L58+L62+L66+L70</f>
        <v>-110570668</v>
      </c>
      <c r="M41" s="119">
        <f>+M42+M45+M58+M62+M66+M70</f>
        <v>-133000000</v>
      </c>
      <c r="N41" s="119">
        <f>+N42+N45+N58+N62+N66+N70</f>
        <v>0</v>
      </c>
      <c r="O41" s="57">
        <f t="shared" ref="O41:O72" si="14">+J41+K41+L41+M41+N41</f>
        <v>3109393222.9023829</v>
      </c>
      <c r="P41" s="134">
        <f t="shared" ref="P41:P72" si="15">+O41/$O$204</f>
        <v>7.413762494825088E-2</v>
      </c>
    </row>
    <row r="42" spans="1:16" s="46" customFormat="1" ht="15" x14ac:dyDescent="0.25">
      <c r="A42" s="13" t="s">
        <v>8</v>
      </c>
      <c r="B42" s="9">
        <f>+SUM(B43:B44)</f>
        <v>403233579.51875001</v>
      </c>
      <c r="C42" s="9"/>
      <c r="D42" s="9"/>
      <c r="E42" s="9"/>
      <c r="F42" s="9"/>
      <c r="G42" s="9"/>
      <c r="H42" s="9">
        <f>+SUM(H43:H44)</f>
        <v>403233579.51875001</v>
      </c>
      <c r="I42" s="9"/>
      <c r="J42" s="9">
        <f>+SUM(J43:J44)</f>
        <v>403233579.51875001</v>
      </c>
      <c r="K42" s="116">
        <f>+SUM(K43:K44)</f>
        <v>0</v>
      </c>
      <c r="L42" s="116">
        <f>+SUM(L43:L44)</f>
        <v>0</v>
      </c>
      <c r="M42" s="116">
        <f>+SUM(M43:M44)</f>
        <v>-108000000</v>
      </c>
      <c r="N42" s="116">
        <f>+SUM(N43:N44)</f>
        <v>0</v>
      </c>
      <c r="O42" s="9">
        <f t="shared" si="14"/>
        <v>295233579.51875001</v>
      </c>
      <c r="P42" s="131">
        <f t="shared" si="15"/>
        <v>7.039288639749456E-3</v>
      </c>
    </row>
    <row r="43" spans="1:16" s="46" customFormat="1" ht="15" hidden="1" outlineLevel="1" x14ac:dyDescent="0.25">
      <c r="A43" s="53" t="s">
        <v>176</v>
      </c>
      <c r="B43" s="11">
        <f>+[14]Agregado!$D$23</f>
        <v>385887326.64875001</v>
      </c>
      <c r="C43" s="9"/>
      <c r="D43" s="9"/>
      <c r="E43" s="9"/>
      <c r="F43" s="9"/>
      <c r="G43" s="9"/>
      <c r="H43" s="11">
        <f>+B43+C43+D43+G43+E43+F43</f>
        <v>385887326.64875001</v>
      </c>
      <c r="I43" s="9"/>
      <c r="J43" s="20">
        <f>+H43+I43</f>
        <v>385887326.64875001</v>
      </c>
      <c r="K43" s="120"/>
      <c r="L43" s="120"/>
      <c r="M43" s="120">
        <f>-106051625-21013</f>
        <v>-106072638</v>
      </c>
      <c r="N43" s="120"/>
      <c r="O43" s="20">
        <f t="shared" si="14"/>
        <v>279814688.64875001</v>
      </c>
      <c r="P43" s="135">
        <f t="shared" si="15"/>
        <v>6.6716542279875836E-3</v>
      </c>
    </row>
    <row r="44" spans="1:16" s="46" customFormat="1" ht="15" hidden="1" outlineLevel="1" x14ac:dyDescent="0.25">
      <c r="A44" s="53" t="s">
        <v>159</v>
      </c>
      <c r="B44" s="11">
        <f>+[14]Agregado!$D$24</f>
        <v>17346252.870000005</v>
      </c>
      <c r="C44" s="9"/>
      <c r="D44" s="9"/>
      <c r="E44" s="9"/>
      <c r="F44" s="9"/>
      <c r="G44" s="9"/>
      <c r="H44" s="11">
        <f>+B44+C44+D44+G44+E44+F44</f>
        <v>17346252.870000005</v>
      </c>
      <c r="I44" s="9"/>
      <c r="J44" s="20">
        <f>+H44+I44</f>
        <v>17346252.870000005</v>
      </c>
      <c r="K44" s="120"/>
      <c r="L44" s="120"/>
      <c r="M44" s="120">
        <v>-1927362</v>
      </c>
      <c r="N44" s="120"/>
      <c r="O44" s="20">
        <f t="shared" si="14"/>
        <v>15418890.870000005</v>
      </c>
      <c r="P44" s="135">
        <f t="shared" si="15"/>
        <v>3.6763441176187241E-4</v>
      </c>
    </row>
    <row r="45" spans="1:16" s="46" customFormat="1" ht="15" collapsed="1" x14ac:dyDescent="0.25">
      <c r="A45" s="64" t="s">
        <v>76</v>
      </c>
      <c r="B45" s="14">
        <f>+B46+B47+B48+B57</f>
        <v>1643931801.0959663</v>
      </c>
      <c r="C45" s="9"/>
      <c r="D45" s="9"/>
      <c r="E45" s="9"/>
      <c r="F45" s="9"/>
      <c r="G45" s="9"/>
      <c r="H45" s="14">
        <f>+H46+H47+H48+H57</f>
        <v>1643931801.0959663</v>
      </c>
      <c r="I45" s="9"/>
      <c r="J45" s="14">
        <f>+J46+J48+J57+J47</f>
        <v>1643931801.0959663</v>
      </c>
      <c r="K45" s="119">
        <f>+K46+K48+K57+K47</f>
        <v>0</v>
      </c>
      <c r="L45" s="119">
        <f>+L46+L48+L57+L47</f>
        <v>-110570668</v>
      </c>
      <c r="M45" s="119">
        <f>+M46+M48+M57+M47</f>
        <v>-25000000</v>
      </c>
      <c r="N45" s="119">
        <f>+N46+N48+N57+N47</f>
        <v>0</v>
      </c>
      <c r="O45" s="14">
        <f t="shared" si="14"/>
        <v>1508361133.0959663</v>
      </c>
      <c r="P45" s="130">
        <f t="shared" si="15"/>
        <v>3.5964030264273264E-2</v>
      </c>
    </row>
    <row r="46" spans="1:16" s="46" customFormat="1" ht="15" hidden="1" outlineLevel="1" x14ac:dyDescent="0.25">
      <c r="A46" s="53" t="s">
        <v>114</v>
      </c>
      <c r="B46" s="11">
        <f>334624622.82125+19769079</f>
        <v>354393701.82125002</v>
      </c>
      <c r="C46" s="9"/>
      <c r="D46" s="9"/>
      <c r="E46" s="9"/>
      <c r="F46" s="9"/>
      <c r="G46" s="9"/>
      <c r="H46" s="11">
        <f t="shared" ref="H46:H57" si="16">+B46+C46+D46+G46+E46+F46</f>
        <v>354393701.82125002</v>
      </c>
      <c r="I46" s="9"/>
      <c r="J46" s="20">
        <f t="shared" ref="J46:J57" si="17">+H46+I46</f>
        <v>354393701.82125002</v>
      </c>
      <c r="K46" s="120"/>
      <c r="L46" s="120"/>
      <c r="M46" s="120"/>
      <c r="N46" s="120"/>
      <c r="O46" s="20">
        <f t="shared" si="14"/>
        <v>354393701.82125002</v>
      </c>
      <c r="P46" s="135">
        <f t="shared" si="15"/>
        <v>8.4498503296798824E-3</v>
      </c>
    </row>
    <row r="47" spans="1:16" s="46" customFormat="1" ht="15" hidden="1" outlineLevel="1" x14ac:dyDescent="0.25">
      <c r="A47" s="53" t="s">
        <v>177</v>
      </c>
      <c r="B47" s="11">
        <f>89147131.767839+20475493</f>
        <v>109622624.767839</v>
      </c>
      <c r="C47" s="9"/>
      <c r="D47" s="9"/>
      <c r="E47" s="9"/>
      <c r="F47" s="9"/>
      <c r="G47" s="9"/>
      <c r="H47" s="11">
        <f t="shared" si="16"/>
        <v>109622624.767839</v>
      </c>
      <c r="I47" s="9"/>
      <c r="J47" s="20">
        <f t="shared" si="17"/>
        <v>109622624.767839</v>
      </c>
      <c r="K47" s="120"/>
      <c r="L47" s="120"/>
      <c r="M47" s="120"/>
      <c r="N47" s="120"/>
      <c r="O47" s="20">
        <f t="shared" si="14"/>
        <v>109622624.767839</v>
      </c>
      <c r="P47" s="135">
        <f t="shared" si="15"/>
        <v>2.6137450165581813E-3</v>
      </c>
    </row>
    <row r="48" spans="1:16" s="46" customFormat="1" ht="15" hidden="1" outlineLevel="1" x14ac:dyDescent="0.25">
      <c r="A48" s="53" t="s">
        <v>115</v>
      </c>
      <c r="B48" s="14">
        <f>+B49+B53</f>
        <v>709755428</v>
      </c>
      <c r="C48" s="9"/>
      <c r="D48" s="9"/>
      <c r="E48" s="9"/>
      <c r="F48" s="9"/>
      <c r="G48" s="9"/>
      <c r="H48" s="14">
        <f t="shared" si="16"/>
        <v>709755428</v>
      </c>
      <c r="I48" s="14"/>
      <c r="J48" s="14">
        <f t="shared" si="17"/>
        <v>709755428</v>
      </c>
      <c r="K48" s="14">
        <f>+K49+K53</f>
        <v>0</v>
      </c>
      <c r="L48" s="14">
        <f>+L49+L53</f>
        <v>-110570668</v>
      </c>
      <c r="M48" s="14">
        <f>+M49+M53</f>
        <v>-25000000</v>
      </c>
      <c r="N48" s="14">
        <f>+N49+N53</f>
        <v>0</v>
      </c>
      <c r="O48" s="14">
        <f t="shared" si="14"/>
        <v>574184760</v>
      </c>
      <c r="P48" s="136">
        <f t="shared" si="15"/>
        <v>1.3690354141875563E-2</v>
      </c>
    </row>
    <row r="49" spans="1:16" s="46" customFormat="1" ht="15" hidden="1" outlineLevel="2" x14ac:dyDescent="0.25">
      <c r="A49" s="53" t="s">
        <v>160</v>
      </c>
      <c r="B49" s="14">
        <f>SUM(B50:B52)</f>
        <v>500000000</v>
      </c>
      <c r="C49" s="9"/>
      <c r="D49" s="9"/>
      <c r="E49" s="9"/>
      <c r="F49" s="9"/>
      <c r="G49" s="9"/>
      <c r="H49" s="14">
        <f>+B49+C49+D49+G49+E49+F49</f>
        <v>500000000</v>
      </c>
      <c r="I49" s="14"/>
      <c r="J49" s="14">
        <f t="shared" si="17"/>
        <v>500000000</v>
      </c>
      <c r="K49" s="14">
        <f>+K50</f>
        <v>0</v>
      </c>
      <c r="L49" s="14">
        <f>+L50</f>
        <v>-110570668</v>
      </c>
      <c r="M49" s="14">
        <f>SUM(M50:M52)</f>
        <v>-25000000</v>
      </c>
      <c r="N49" s="14">
        <f>SUM(N50:N52)</f>
        <v>0</v>
      </c>
      <c r="O49" s="14">
        <f t="shared" si="14"/>
        <v>364429332</v>
      </c>
      <c r="P49" s="136">
        <f t="shared" si="15"/>
        <v>8.6891310294741099E-3</v>
      </c>
    </row>
    <row r="50" spans="1:16" s="46" customFormat="1" ht="15" hidden="1" outlineLevel="2" x14ac:dyDescent="0.25">
      <c r="A50" s="53" t="s">
        <v>247</v>
      </c>
      <c r="B50" s="11">
        <f>50000000+110570668</f>
        <v>160570668</v>
      </c>
      <c r="C50" s="9"/>
      <c r="D50" s="9"/>
      <c r="E50" s="9"/>
      <c r="F50" s="9"/>
      <c r="G50" s="9"/>
      <c r="H50" s="11">
        <f>+B50+C50+D50+G50+E50+F50</f>
        <v>160570668</v>
      </c>
      <c r="I50" s="9"/>
      <c r="J50" s="20">
        <f t="shared" si="17"/>
        <v>160570668</v>
      </c>
      <c r="K50" s="120"/>
      <c r="L50" s="120">
        <v>-110570668</v>
      </c>
      <c r="M50" s="120"/>
      <c r="N50" s="120"/>
      <c r="O50" s="20">
        <f t="shared" si="14"/>
        <v>50000000</v>
      </c>
      <c r="P50" s="135">
        <f t="shared" si="15"/>
        <v>1.1921558264517125E-3</v>
      </c>
    </row>
    <row r="51" spans="1:16" s="46" customFormat="1" ht="15" hidden="1" outlineLevel="2" x14ac:dyDescent="0.25">
      <c r="A51" s="53" t="s">
        <v>248</v>
      </c>
      <c r="B51" s="11">
        <v>314429332</v>
      </c>
      <c r="C51" s="9"/>
      <c r="D51" s="9"/>
      <c r="E51" s="9"/>
      <c r="F51" s="9"/>
      <c r="G51" s="9"/>
      <c r="H51" s="11">
        <f t="shared" si="16"/>
        <v>314429332</v>
      </c>
      <c r="I51" s="9"/>
      <c r="J51" s="20">
        <f t="shared" si="17"/>
        <v>314429332</v>
      </c>
      <c r="K51" s="120"/>
      <c r="L51" s="120"/>
      <c r="M51" s="120"/>
      <c r="N51" s="120"/>
      <c r="O51" s="20">
        <f t="shared" si="14"/>
        <v>314429332</v>
      </c>
      <c r="P51" s="135">
        <f t="shared" si="15"/>
        <v>7.4969752030223978E-3</v>
      </c>
    </row>
    <row r="52" spans="1:16" s="46" customFormat="1" ht="15" hidden="1" outlineLevel="2" x14ac:dyDescent="0.25">
      <c r="A52" s="53" t="s">
        <v>249</v>
      </c>
      <c r="B52" s="11">
        <v>25000000</v>
      </c>
      <c r="C52" s="9"/>
      <c r="D52" s="9"/>
      <c r="E52" s="9"/>
      <c r="F52" s="9"/>
      <c r="G52" s="9"/>
      <c r="H52" s="11">
        <f>+B52+C52+D52+G52+E52+F52</f>
        <v>25000000</v>
      </c>
      <c r="I52" s="9"/>
      <c r="J52" s="20">
        <f>+H52+I52</f>
        <v>25000000</v>
      </c>
      <c r="K52" s="120"/>
      <c r="L52" s="120"/>
      <c r="M52" s="120">
        <v>-25000000</v>
      </c>
      <c r="N52" s="120"/>
      <c r="O52" s="20">
        <f t="shared" si="14"/>
        <v>0</v>
      </c>
      <c r="P52" s="135">
        <f t="shared" si="15"/>
        <v>0</v>
      </c>
    </row>
    <row r="53" spans="1:16" s="46" customFormat="1" ht="15" hidden="1" outlineLevel="2" x14ac:dyDescent="0.25">
      <c r="A53" s="53" t="s">
        <v>161</v>
      </c>
      <c r="B53" s="14">
        <f>SUM(B54:B56)</f>
        <v>209755428</v>
      </c>
      <c r="C53" s="9"/>
      <c r="D53" s="9"/>
      <c r="E53" s="9"/>
      <c r="F53" s="9"/>
      <c r="G53" s="9"/>
      <c r="H53" s="14">
        <f>+B53+C53+D53+G53+E53+F53</f>
        <v>209755428</v>
      </c>
      <c r="I53" s="14"/>
      <c r="J53" s="14">
        <f t="shared" si="17"/>
        <v>209755428</v>
      </c>
      <c r="K53" s="14">
        <f>+K56</f>
        <v>0</v>
      </c>
      <c r="L53" s="14">
        <f>+L56</f>
        <v>0</v>
      </c>
      <c r="M53" s="14">
        <f>SUM(M54:M56)</f>
        <v>0</v>
      </c>
      <c r="N53" s="14">
        <f>SUM(N54:N56)</f>
        <v>0</v>
      </c>
      <c r="O53" s="14">
        <f t="shared" si="14"/>
        <v>209755428</v>
      </c>
      <c r="P53" s="136">
        <f t="shared" si="15"/>
        <v>5.0012231124014535E-3</v>
      </c>
    </row>
    <row r="54" spans="1:16" s="46" customFormat="1" ht="15" hidden="1" outlineLevel="2" x14ac:dyDescent="0.25">
      <c r="A54" s="53" t="s">
        <v>250</v>
      </c>
      <c r="B54" s="11">
        <v>50000000</v>
      </c>
      <c r="C54" s="9"/>
      <c r="D54" s="9"/>
      <c r="E54" s="9"/>
      <c r="F54" s="9"/>
      <c r="G54" s="9"/>
      <c r="H54" s="11">
        <f t="shared" si="16"/>
        <v>50000000</v>
      </c>
      <c r="I54" s="9"/>
      <c r="J54" s="20">
        <f t="shared" si="17"/>
        <v>50000000</v>
      </c>
      <c r="K54" s="120"/>
      <c r="L54" s="120"/>
      <c r="M54" s="120"/>
      <c r="N54" s="120"/>
      <c r="O54" s="20">
        <f t="shared" si="14"/>
        <v>50000000</v>
      </c>
      <c r="P54" s="135">
        <f t="shared" si="15"/>
        <v>1.1921558264517125E-3</v>
      </c>
    </row>
    <row r="55" spans="1:16" s="46" customFormat="1" ht="15" hidden="1" outlineLevel="2" x14ac:dyDescent="0.25">
      <c r="A55" s="53" t="s">
        <v>251</v>
      </c>
      <c r="B55" s="11">
        <v>134755428</v>
      </c>
      <c r="C55" s="9"/>
      <c r="D55" s="9"/>
      <c r="E55" s="9"/>
      <c r="F55" s="9"/>
      <c r="G55" s="9"/>
      <c r="H55" s="11">
        <f>+B55+C55+D55+G55+E55+F55</f>
        <v>134755428</v>
      </c>
      <c r="I55" s="9"/>
      <c r="J55" s="20">
        <f>+H55+I55</f>
        <v>134755428</v>
      </c>
      <c r="K55" s="120"/>
      <c r="L55" s="120"/>
      <c r="M55" s="120"/>
      <c r="N55" s="120"/>
      <c r="O55" s="20">
        <f t="shared" si="14"/>
        <v>134755428</v>
      </c>
      <c r="P55" s="135">
        <f t="shared" si="15"/>
        <v>3.2129893727238846E-3</v>
      </c>
    </row>
    <row r="56" spans="1:16" s="46" customFormat="1" ht="15" hidden="1" outlineLevel="2" x14ac:dyDescent="0.25">
      <c r="A56" s="53" t="s">
        <v>252</v>
      </c>
      <c r="B56" s="11">
        <v>25000000</v>
      </c>
      <c r="C56" s="9"/>
      <c r="D56" s="9"/>
      <c r="E56" s="9"/>
      <c r="F56" s="9"/>
      <c r="G56" s="9"/>
      <c r="H56" s="11">
        <f t="shared" si="16"/>
        <v>25000000</v>
      </c>
      <c r="I56" s="9"/>
      <c r="J56" s="20">
        <f t="shared" si="17"/>
        <v>25000000</v>
      </c>
      <c r="K56" s="120"/>
      <c r="L56" s="120"/>
      <c r="M56" s="120"/>
      <c r="N56" s="120"/>
      <c r="O56" s="20">
        <f t="shared" si="14"/>
        <v>25000000</v>
      </c>
      <c r="P56" s="135">
        <f t="shared" si="15"/>
        <v>5.9607791322585624E-4</v>
      </c>
    </row>
    <row r="57" spans="1:16" s="46" customFormat="1" ht="15" hidden="1" outlineLevel="1" x14ac:dyDescent="0.25">
      <c r="A57" s="53" t="s">
        <v>219</v>
      </c>
      <c r="B57" s="14">
        <f>+[14]Agregado!$D$32</f>
        <v>470160046.50687748</v>
      </c>
      <c r="C57" s="9"/>
      <c r="D57" s="9"/>
      <c r="E57" s="9"/>
      <c r="F57" s="9"/>
      <c r="G57" s="9"/>
      <c r="H57" s="11">
        <f t="shared" si="16"/>
        <v>470160046.50687748</v>
      </c>
      <c r="I57" s="9"/>
      <c r="J57" s="20">
        <f t="shared" si="17"/>
        <v>470160046.50687748</v>
      </c>
      <c r="K57" s="120"/>
      <c r="L57" s="120"/>
      <c r="M57" s="120"/>
      <c r="N57" s="120"/>
      <c r="O57" s="20">
        <f t="shared" si="14"/>
        <v>470160046.50687748</v>
      </c>
      <c r="P57" s="135">
        <f t="shared" si="15"/>
        <v>1.1210080776159643E-2</v>
      </c>
    </row>
    <row r="58" spans="1:16" s="46" customFormat="1" ht="15" collapsed="1" x14ac:dyDescent="0.25">
      <c r="A58" s="64" t="s">
        <v>48</v>
      </c>
      <c r="B58" s="14">
        <f>SUM(B59:B61)</f>
        <v>274359820.03519326</v>
      </c>
      <c r="C58" s="9"/>
      <c r="D58" s="9"/>
      <c r="E58" s="9"/>
      <c r="F58" s="9"/>
      <c r="G58" s="9"/>
      <c r="H58" s="14">
        <f>SUM(H59:H61)</f>
        <v>274359820.03519326</v>
      </c>
      <c r="I58" s="9"/>
      <c r="J58" s="14">
        <f>SUM(J59:J61)</f>
        <v>274359820.03519326</v>
      </c>
      <c r="K58" s="114">
        <f>SUM(K59:K61)</f>
        <v>0</v>
      </c>
      <c r="L58" s="114">
        <f>SUM(L59:L61)</f>
        <v>0</v>
      </c>
      <c r="M58" s="114">
        <f>SUM(M59:M61)</f>
        <v>0</v>
      </c>
      <c r="N58" s="114">
        <f>SUM(N59:N61)</f>
        <v>0</v>
      </c>
      <c r="O58" s="14">
        <f t="shared" si="14"/>
        <v>274359820.03519326</v>
      </c>
      <c r="P58" s="130">
        <f t="shared" si="15"/>
        <v>6.5415931599839784E-3</v>
      </c>
    </row>
    <row r="59" spans="1:16" s="46" customFormat="1" ht="15" hidden="1" outlineLevel="1" x14ac:dyDescent="0.25">
      <c r="A59" s="53" t="s">
        <v>116</v>
      </c>
      <c r="B59" s="11">
        <f>+[14]Agregado!$D$35</f>
        <v>150847192.98513001</v>
      </c>
      <c r="C59" s="9"/>
      <c r="D59" s="9"/>
      <c r="E59" s="9"/>
      <c r="F59" s="9"/>
      <c r="G59" s="9"/>
      <c r="H59" s="11">
        <f>+B59+C59+D59+G59+E59+F59</f>
        <v>150847192.98513001</v>
      </c>
      <c r="I59" s="9"/>
      <c r="J59" s="20">
        <f>+H59+I59</f>
        <v>150847192.98513001</v>
      </c>
      <c r="K59" s="120"/>
      <c r="L59" s="120"/>
      <c r="M59" s="120"/>
      <c r="N59" s="120"/>
      <c r="O59" s="20">
        <f t="shared" si="14"/>
        <v>150847192.98513001</v>
      </c>
      <c r="P59" s="135">
        <f t="shared" si="15"/>
        <v>3.5966672004221728E-3</v>
      </c>
    </row>
    <row r="60" spans="1:16" s="46" customFormat="1" ht="15" hidden="1" outlineLevel="1" x14ac:dyDescent="0.25">
      <c r="A60" s="53" t="s">
        <v>117</v>
      </c>
      <c r="B60" s="11">
        <f>+[14]Agregado!$D$36</f>
        <v>65369157.05006326</v>
      </c>
      <c r="C60" s="9"/>
      <c r="D60" s="9"/>
      <c r="E60" s="9"/>
      <c r="F60" s="9"/>
      <c r="G60" s="9"/>
      <c r="H60" s="11">
        <f>+B60+C60+D60+G60+E60+F60</f>
        <v>65369157.05006326</v>
      </c>
      <c r="I60" s="9"/>
      <c r="J60" s="20">
        <f>+H60+I60</f>
        <v>65369157.05006326</v>
      </c>
      <c r="K60" s="120"/>
      <c r="L60" s="120"/>
      <c r="M60" s="120"/>
      <c r="N60" s="120"/>
      <c r="O60" s="20">
        <f t="shared" si="14"/>
        <v>65369157.05006326</v>
      </c>
      <c r="P60" s="135">
        <f t="shared" si="15"/>
        <v>1.5586044289493991E-3</v>
      </c>
    </row>
    <row r="61" spans="1:16" s="46" customFormat="1" ht="15" hidden="1" outlineLevel="1" x14ac:dyDescent="0.25">
      <c r="A61" s="53" t="s">
        <v>118</v>
      </c>
      <c r="B61" s="11">
        <f>+[14]Agregado!$D$37</f>
        <v>58143470</v>
      </c>
      <c r="C61" s="9"/>
      <c r="D61" s="9"/>
      <c r="E61" s="9"/>
      <c r="F61" s="9"/>
      <c r="G61" s="9"/>
      <c r="H61" s="11">
        <f>+B61+C61+D61+G61+E61+F61</f>
        <v>58143470</v>
      </c>
      <c r="I61" s="9"/>
      <c r="J61" s="20">
        <f>+H61+I61</f>
        <v>58143470</v>
      </c>
      <c r="K61" s="120"/>
      <c r="L61" s="120"/>
      <c r="M61" s="120"/>
      <c r="N61" s="120"/>
      <c r="O61" s="20">
        <f t="shared" si="14"/>
        <v>58143470</v>
      </c>
      <c r="P61" s="135">
        <f t="shared" si="15"/>
        <v>1.3863215306124071E-3</v>
      </c>
    </row>
    <row r="62" spans="1:16" s="46" customFormat="1" ht="15" collapsed="1" x14ac:dyDescent="0.25">
      <c r="A62" s="64" t="s">
        <v>119</v>
      </c>
      <c r="B62" s="14">
        <f>SUM(B63:B65)</f>
        <v>351807742.72673154</v>
      </c>
      <c r="C62" s="9"/>
      <c r="D62" s="9"/>
      <c r="E62" s="9"/>
      <c r="F62" s="9"/>
      <c r="G62" s="9"/>
      <c r="H62" s="14">
        <f>SUM(H63:H65)</f>
        <v>351807742.72673154</v>
      </c>
      <c r="I62" s="9"/>
      <c r="J62" s="14">
        <f>SUM(J63:J65)</f>
        <v>351807742.72673154</v>
      </c>
      <c r="K62" s="114">
        <f>SUM(K63:K65)</f>
        <v>0</v>
      </c>
      <c r="L62" s="114">
        <f>SUM(L63:L65)</f>
        <v>0</v>
      </c>
      <c r="M62" s="114">
        <f>SUM(M63:M65)</f>
        <v>0</v>
      </c>
      <c r="N62" s="114">
        <f>SUM(N63:N65)</f>
        <v>0</v>
      </c>
      <c r="O62" s="14">
        <f t="shared" si="14"/>
        <v>351807742.72673154</v>
      </c>
      <c r="P62" s="130">
        <f t="shared" si="15"/>
        <v>8.3881930056499618E-3</v>
      </c>
    </row>
    <row r="63" spans="1:16" s="46" customFormat="1" ht="15" hidden="1" outlineLevel="1" x14ac:dyDescent="0.25">
      <c r="A63" s="53" t="s">
        <v>120</v>
      </c>
      <c r="B63" s="11">
        <f>+[14]Agregado!$D$40</f>
        <v>143249743.42539349</v>
      </c>
      <c r="C63" s="9"/>
      <c r="D63" s="9"/>
      <c r="E63" s="9"/>
      <c r="F63" s="9"/>
      <c r="G63" s="9"/>
      <c r="H63" s="11">
        <f>+B63+C63+D63+G63+E63+F63</f>
        <v>143249743.42539349</v>
      </c>
      <c r="I63" s="9"/>
      <c r="J63" s="20">
        <f>+H63+I63</f>
        <v>143249743.42539349</v>
      </c>
      <c r="K63" s="120"/>
      <c r="L63" s="120"/>
      <c r="M63" s="120"/>
      <c r="N63" s="120"/>
      <c r="O63" s="20">
        <f t="shared" si="14"/>
        <v>143249743.42539349</v>
      </c>
      <c r="P63" s="135">
        <f t="shared" si="15"/>
        <v>3.4155203252459149E-3</v>
      </c>
    </row>
    <row r="64" spans="1:16" s="46" customFormat="1" ht="15" hidden="1" outlineLevel="1" x14ac:dyDescent="0.25">
      <c r="A64" s="53" t="s">
        <v>121</v>
      </c>
      <c r="B64" s="11">
        <f>+[14]Agregado!$D$41</f>
        <v>187442610.21883804</v>
      </c>
      <c r="C64" s="9"/>
      <c r="D64" s="9"/>
      <c r="E64" s="9"/>
      <c r="F64" s="9"/>
      <c r="G64" s="9"/>
      <c r="H64" s="11">
        <f>+B64+C64+D64+G64+E64+F64</f>
        <v>187442610.21883804</v>
      </c>
      <c r="I64" s="9"/>
      <c r="J64" s="20">
        <f>+H64+I64</f>
        <v>187442610.21883804</v>
      </c>
      <c r="K64" s="120"/>
      <c r="L64" s="120"/>
      <c r="M64" s="120"/>
      <c r="N64" s="120"/>
      <c r="O64" s="20">
        <f t="shared" si="14"/>
        <v>187442610.21883804</v>
      </c>
      <c r="P64" s="135">
        <f t="shared" si="15"/>
        <v>4.4692159979541016E-3</v>
      </c>
    </row>
    <row r="65" spans="1:16" s="46" customFormat="1" ht="15" hidden="1" outlineLevel="1" x14ac:dyDescent="0.25">
      <c r="A65" s="53" t="s">
        <v>153</v>
      </c>
      <c r="B65" s="11">
        <f>+[14]Agregado!$D$42</f>
        <v>21115389.0825</v>
      </c>
      <c r="C65" s="9"/>
      <c r="D65" s="9"/>
      <c r="E65" s="9"/>
      <c r="F65" s="9"/>
      <c r="G65" s="9"/>
      <c r="H65" s="11">
        <f>+B65+C65+D65+G65+E65+F65</f>
        <v>21115389.0825</v>
      </c>
      <c r="I65" s="9"/>
      <c r="J65" s="20">
        <f>+H65+I65</f>
        <v>21115389.0825</v>
      </c>
      <c r="K65" s="120"/>
      <c r="L65" s="120"/>
      <c r="M65" s="120"/>
      <c r="N65" s="120"/>
      <c r="O65" s="20">
        <f t="shared" si="14"/>
        <v>21115389.0825</v>
      </c>
      <c r="P65" s="135">
        <f t="shared" si="15"/>
        <v>5.0345668244994508E-4</v>
      </c>
    </row>
    <row r="66" spans="1:16" s="46" customFormat="1" ht="15" collapsed="1" x14ac:dyDescent="0.25">
      <c r="A66" s="64" t="s">
        <v>162</v>
      </c>
      <c r="B66" s="14">
        <f>SUM(B67:B69)</f>
        <v>195696963.68250003</v>
      </c>
      <c r="C66" s="9"/>
      <c r="D66" s="9"/>
      <c r="E66" s="9"/>
      <c r="F66" s="9"/>
      <c r="G66" s="9"/>
      <c r="H66" s="14">
        <f>SUM(H67:H69)</f>
        <v>195696963.68250003</v>
      </c>
      <c r="I66" s="9"/>
      <c r="J66" s="14">
        <f>SUM(J67:J69)</f>
        <v>195696963.68250003</v>
      </c>
      <c r="K66" s="114">
        <f>SUM(K67:K69)</f>
        <v>0</v>
      </c>
      <c r="L66" s="114">
        <f>SUM(L67:L69)</f>
        <v>0</v>
      </c>
      <c r="M66" s="114">
        <f>SUM(M67:M69)</f>
        <v>0</v>
      </c>
      <c r="N66" s="114">
        <f>SUM(N67:N69)</f>
        <v>0</v>
      </c>
      <c r="O66" s="14">
        <f t="shared" si="14"/>
        <v>195696963.68250003</v>
      </c>
      <c r="P66" s="130">
        <f t="shared" si="15"/>
        <v>4.6660255094600322E-3</v>
      </c>
    </row>
    <row r="67" spans="1:16" s="46" customFormat="1" ht="15" hidden="1" outlineLevel="1" x14ac:dyDescent="0.25">
      <c r="A67" s="53" t="s">
        <v>122</v>
      </c>
      <c r="B67" s="11">
        <f>+[14]Agregado!$D$45</f>
        <v>25703462.8125</v>
      </c>
      <c r="C67" s="9"/>
      <c r="D67" s="9"/>
      <c r="E67" s="9"/>
      <c r="F67" s="9"/>
      <c r="G67" s="9"/>
      <c r="H67" s="11">
        <f>+B67+C67+D67+G67+E67+F67</f>
        <v>25703462.8125</v>
      </c>
      <c r="I67" s="9"/>
      <c r="J67" s="20">
        <f>+H67+I67</f>
        <v>25703462.8125</v>
      </c>
      <c r="K67" s="120"/>
      <c r="L67" s="120"/>
      <c r="M67" s="120"/>
      <c r="N67" s="120"/>
      <c r="O67" s="20">
        <f t="shared" si="14"/>
        <v>25703462.8125</v>
      </c>
      <c r="P67" s="135">
        <f t="shared" si="15"/>
        <v>6.1285065903813587E-4</v>
      </c>
    </row>
    <row r="68" spans="1:16" s="46" customFormat="1" ht="15" hidden="1" outlineLevel="1" x14ac:dyDescent="0.25">
      <c r="A68" s="53" t="s">
        <v>111</v>
      </c>
      <c r="B68" s="11">
        <f>+[14]Agregado!$D$46</f>
        <v>153443250.00000003</v>
      </c>
      <c r="C68" s="9"/>
      <c r="D68" s="9"/>
      <c r="E68" s="9"/>
      <c r="F68" s="9"/>
      <c r="G68" s="9"/>
      <c r="H68" s="11">
        <f>+B68+C68+D68+G68+E68+F68</f>
        <v>153443250.00000003</v>
      </c>
      <c r="I68" s="9"/>
      <c r="J68" s="20">
        <f>+H68+I68</f>
        <v>153443250.00000003</v>
      </c>
      <c r="K68" s="120"/>
      <c r="L68" s="120"/>
      <c r="M68" s="120"/>
      <c r="N68" s="120"/>
      <c r="O68" s="20">
        <f t="shared" si="14"/>
        <v>153443250.00000003</v>
      </c>
      <c r="P68" s="135">
        <f t="shared" si="15"/>
        <v>3.6585652903437355E-3</v>
      </c>
    </row>
    <row r="69" spans="1:16" s="46" customFormat="1" ht="15" hidden="1" outlineLevel="1" x14ac:dyDescent="0.25">
      <c r="A69" s="53" t="s">
        <v>154</v>
      </c>
      <c r="B69" s="11">
        <f>+[14]Agregado!$D$47</f>
        <v>16550250.870000001</v>
      </c>
      <c r="C69" s="9"/>
      <c r="D69" s="9"/>
      <c r="E69" s="9"/>
      <c r="F69" s="9"/>
      <c r="G69" s="9"/>
      <c r="H69" s="11">
        <f>+B69+C69+D69+G69+E69+F69</f>
        <v>16550250.870000001</v>
      </c>
      <c r="I69" s="9"/>
      <c r="J69" s="20">
        <f>+H69+I69</f>
        <v>16550250.870000001</v>
      </c>
      <c r="K69" s="120"/>
      <c r="L69" s="120"/>
      <c r="M69" s="120"/>
      <c r="N69" s="120"/>
      <c r="O69" s="20">
        <f t="shared" si="14"/>
        <v>16550250.870000001</v>
      </c>
      <c r="P69" s="135">
        <f t="shared" si="15"/>
        <v>3.9460956007816053E-4</v>
      </c>
    </row>
    <row r="70" spans="1:16" s="46" customFormat="1" ht="15" collapsed="1" x14ac:dyDescent="0.25">
      <c r="A70" s="64" t="s">
        <v>146</v>
      </c>
      <c r="B70" s="14">
        <f>SUM(B71:B72)</f>
        <v>483933983.84324157</v>
      </c>
      <c r="C70" s="9"/>
      <c r="D70" s="9"/>
      <c r="E70" s="9"/>
      <c r="F70" s="9"/>
      <c r="G70" s="9"/>
      <c r="H70" s="14">
        <f>SUM(H71:H72)</f>
        <v>483933983.84324157</v>
      </c>
      <c r="I70" s="9"/>
      <c r="J70" s="14">
        <f>SUM(J71:J72)</f>
        <v>483933983.84324157</v>
      </c>
      <c r="K70" s="114">
        <f>SUM(K71:K72)</f>
        <v>0</v>
      </c>
      <c r="L70" s="114">
        <f>SUM(L71:L72)</f>
        <v>0</v>
      </c>
      <c r="M70" s="114">
        <f>SUM(M71:M72)</f>
        <v>0</v>
      </c>
      <c r="N70" s="114">
        <f>SUM(N71:N72)</f>
        <v>0</v>
      </c>
      <c r="O70" s="14">
        <f t="shared" si="14"/>
        <v>483933983.84324157</v>
      </c>
      <c r="P70" s="130">
        <f t="shared" si="15"/>
        <v>1.1538494369134187E-2</v>
      </c>
    </row>
    <row r="71" spans="1:16" s="46" customFormat="1" ht="15" hidden="1" outlineLevel="1" x14ac:dyDescent="0.25">
      <c r="A71" s="53" t="s">
        <v>147</v>
      </c>
      <c r="B71" s="11">
        <f>+[14]Agregado!$D$50</f>
        <v>374177107.00949156</v>
      </c>
      <c r="C71" s="9"/>
      <c r="D71" s="9"/>
      <c r="E71" s="9"/>
      <c r="F71" s="9"/>
      <c r="G71" s="9"/>
      <c r="H71" s="11">
        <f>+B71+C71+D71+G71+E71+F71</f>
        <v>374177107.00949156</v>
      </c>
      <c r="I71" s="9"/>
      <c r="J71" s="20">
        <f>+H71+I71</f>
        <v>374177107.00949156</v>
      </c>
      <c r="K71" s="120"/>
      <c r="L71" s="120"/>
      <c r="M71" s="120"/>
      <c r="N71" s="120"/>
      <c r="O71" s="20">
        <f t="shared" si="14"/>
        <v>374177107.00949156</v>
      </c>
      <c r="P71" s="135">
        <f t="shared" si="15"/>
        <v>8.9215483649242259E-3</v>
      </c>
    </row>
    <row r="72" spans="1:16" s="46" customFormat="1" ht="15" hidden="1" outlineLevel="1" x14ac:dyDescent="0.25">
      <c r="A72" s="53" t="s">
        <v>148</v>
      </c>
      <c r="B72" s="11">
        <f>+[14]Agregado!$D$51</f>
        <v>109756876.83375001</v>
      </c>
      <c r="C72" s="9"/>
      <c r="D72" s="9"/>
      <c r="E72" s="9"/>
      <c r="F72" s="9"/>
      <c r="G72" s="9"/>
      <c r="H72" s="11">
        <f>+B72+C72+D72+G72+E72+F72</f>
        <v>109756876.83375001</v>
      </c>
      <c r="I72" s="9"/>
      <c r="J72" s="20">
        <f>+H72+I72</f>
        <v>109756876.83375001</v>
      </c>
      <c r="K72" s="120"/>
      <c r="L72" s="120"/>
      <c r="M72" s="120"/>
      <c r="N72" s="120"/>
      <c r="O72" s="20">
        <f t="shared" si="14"/>
        <v>109756876.83375001</v>
      </c>
      <c r="P72" s="135">
        <f t="shared" si="15"/>
        <v>2.6169460042099611E-3</v>
      </c>
    </row>
    <row r="73" spans="1:16" s="46" customFormat="1" ht="15" collapsed="1" x14ac:dyDescent="0.25">
      <c r="A73" s="53"/>
      <c r="B73" s="11"/>
      <c r="C73" s="9"/>
      <c r="D73" s="9"/>
      <c r="E73" s="9"/>
      <c r="F73" s="9"/>
      <c r="G73" s="9"/>
      <c r="H73" s="11"/>
      <c r="I73" s="9"/>
      <c r="J73" s="20"/>
      <c r="K73" s="120"/>
      <c r="L73" s="120"/>
      <c r="M73" s="120"/>
      <c r="N73" s="120"/>
      <c r="O73" s="20"/>
      <c r="P73" s="135"/>
    </row>
    <row r="74" spans="1:16" s="46" customFormat="1" ht="15" x14ac:dyDescent="0.25">
      <c r="A74" s="64" t="s">
        <v>163</v>
      </c>
      <c r="B74" s="11"/>
      <c r="C74" s="9"/>
      <c r="D74" s="9"/>
      <c r="E74" s="9"/>
      <c r="F74" s="9">
        <f>+F75+F83+F90+F94+F106</f>
        <v>8671135294.2726898</v>
      </c>
      <c r="G74" s="9"/>
      <c r="H74" s="9">
        <f>+H75+H83+H90+H94+H106</f>
        <v>8671135294.2726898</v>
      </c>
      <c r="I74" s="9"/>
      <c r="J74" s="14">
        <f>+H74+I74</f>
        <v>8671135294.2726898</v>
      </c>
      <c r="K74" s="9">
        <f>+K75+K83+K90+K94+K106</f>
        <v>0</v>
      </c>
      <c r="L74" s="9">
        <f>+L75+L83+L90+L94+L106</f>
        <v>70000000</v>
      </c>
      <c r="M74" s="9">
        <f>+M75+M83+M90+M94+M106</f>
        <v>-204000000</v>
      </c>
      <c r="N74" s="9">
        <f>+N75+N83+N90+N94+N106</f>
        <v>0</v>
      </c>
      <c r="O74" s="14">
        <f t="shared" ref="O74:O110" si="18">+J74+K74+L74+M74+N74</f>
        <v>8537135294.2726898</v>
      </c>
      <c r="P74" s="130">
        <f t="shared" ref="P74:P110" si="19">+O74/$O$204</f>
        <v>0.20355191164547484</v>
      </c>
    </row>
    <row r="75" spans="1:16" s="46" customFormat="1" ht="15" x14ac:dyDescent="0.25">
      <c r="A75" s="64" t="s">
        <v>93</v>
      </c>
      <c r="B75" s="11"/>
      <c r="C75" s="9"/>
      <c r="D75" s="9"/>
      <c r="E75" s="9"/>
      <c r="F75" s="9">
        <f>SUM(F76:F82)</f>
        <v>390144832.72424996</v>
      </c>
      <c r="G75" s="9"/>
      <c r="H75" s="9">
        <f>SUM(H76:H82)</f>
        <v>390144832.72424996</v>
      </c>
      <c r="I75" s="9"/>
      <c r="J75" s="9">
        <f>SUM(J76:J82)</f>
        <v>390144832.72424996</v>
      </c>
      <c r="K75" s="9">
        <f>SUM(K76:K82)</f>
        <v>0</v>
      </c>
      <c r="L75" s="9">
        <f>SUM(L76:L82)</f>
        <v>0</v>
      </c>
      <c r="M75" s="9">
        <f>SUM(M76:M82)</f>
        <v>0</v>
      </c>
      <c r="N75" s="9">
        <f>SUM(N76:N82)</f>
        <v>0</v>
      </c>
      <c r="O75" s="9">
        <f t="shared" si="18"/>
        <v>390144832.72424996</v>
      </c>
      <c r="P75" s="131">
        <f t="shared" si="19"/>
        <v>9.3022687098448676E-3</v>
      </c>
    </row>
    <row r="76" spans="1:16" s="46" customFormat="1" ht="15" hidden="1" outlineLevel="1" x14ac:dyDescent="0.25">
      <c r="A76" s="53" t="s">
        <v>232</v>
      </c>
      <c r="B76" s="11"/>
      <c r="C76" s="9"/>
      <c r="D76" s="9"/>
      <c r="E76" s="9"/>
      <c r="F76" s="20">
        <f>+'[18]PROPUESTA 2017 Compacto '!$C$22</f>
        <v>48192457.785750002</v>
      </c>
      <c r="G76" s="9"/>
      <c r="H76" s="11">
        <f t="shared" ref="H76:H81" si="20">+B76+C76+D76+G76+E76+F76</f>
        <v>48192457.785750002</v>
      </c>
      <c r="I76" s="9"/>
      <c r="J76" s="20">
        <f t="shared" ref="J76:J81" si="21">+H76+I76</f>
        <v>48192457.785750002</v>
      </c>
      <c r="K76" s="120"/>
      <c r="L76" s="120"/>
      <c r="M76" s="120"/>
      <c r="N76" s="120"/>
      <c r="O76" s="20">
        <f t="shared" si="18"/>
        <v>48192457.785750002</v>
      </c>
      <c r="P76" s="135">
        <f t="shared" si="19"/>
        <v>1.1490583868062011E-3</v>
      </c>
    </row>
    <row r="77" spans="1:16" s="46" customFormat="1" ht="15" hidden="1" outlineLevel="1" x14ac:dyDescent="0.25">
      <c r="A77" s="53" t="s">
        <v>149</v>
      </c>
      <c r="B77" s="11"/>
      <c r="C77" s="9"/>
      <c r="D77" s="9"/>
      <c r="E77" s="9"/>
      <c r="F77" s="20">
        <f>+'[18]PROPUESTA 2017 Compacto '!$C$23</f>
        <v>88345262.726999998</v>
      </c>
      <c r="G77" s="9"/>
      <c r="H77" s="11">
        <f t="shared" si="20"/>
        <v>88345262.726999998</v>
      </c>
      <c r="I77" s="9"/>
      <c r="J77" s="20">
        <f t="shared" si="21"/>
        <v>88345262.726999998</v>
      </c>
      <c r="K77" s="120"/>
      <c r="L77" s="120"/>
      <c r="M77" s="120"/>
      <c r="N77" s="120"/>
      <c r="O77" s="20">
        <f t="shared" si="18"/>
        <v>88345262.726999998</v>
      </c>
      <c r="P77" s="135">
        <f t="shared" si="19"/>
        <v>2.1064263939880069E-3</v>
      </c>
    </row>
    <row r="78" spans="1:16" s="46" customFormat="1" ht="15" hidden="1" outlineLevel="1" x14ac:dyDescent="0.25">
      <c r="A78" s="53" t="s">
        <v>150</v>
      </c>
      <c r="B78" s="11"/>
      <c r="C78" s="9"/>
      <c r="D78" s="9"/>
      <c r="E78" s="9"/>
      <c r="F78" s="20">
        <f>+'[18]PROPUESTA 2017 Compacto '!$C$24</f>
        <v>22000245.756749999</v>
      </c>
      <c r="G78" s="9"/>
      <c r="H78" s="11">
        <f t="shared" si="20"/>
        <v>22000245.756749999</v>
      </c>
      <c r="I78" s="9"/>
      <c r="J78" s="20">
        <f t="shared" si="21"/>
        <v>22000245.756749999</v>
      </c>
      <c r="K78" s="120"/>
      <c r="L78" s="120"/>
      <c r="M78" s="120"/>
      <c r="N78" s="120"/>
      <c r="O78" s="20">
        <f t="shared" si="18"/>
        <v>22000245.756749999</v>
      </c>
      <c r="P78" s="135">
        <f t="shared" si="19"/>
        <v>5.2455442324558148E-4</v>
      </c>
    </row>
    <row r="79" spans="1:16" s="46" customFormat="1" ht="15" hidden="1" outlineLevel="1" x14ac:dyDescent="0.25">
      <c r="A79" s="53" t="s">
        <v>95</v>
      </c>
      <c r="B79" s="11"/>
      <c r="C79" s="9"/>
      <c r="D79" s="9"/>
      <c r="E79" s="9"/>
      <c r="F79" s="20">
        <f>+'[18]PROPUESTA 2017 Compacto '!$C$25</f>
        <v>26984013.77925</v>
      </c>
      <c r="G79" s="9"/>
      <c r="H79" s="11">
        <f t="shared" si="20"/>
        <v>26984013.77925</v>
      </c>
      <c r="I79" s="9"/>
      <c r="J79" s="20">
        <f t="shared" si="21"/>
        <v>26984013.77925</v>
      </c>
      <c r="K79" s="120"/>
      <c r="L79" s="120"/>
      <c r="M79" s="120"/>
      <c r="N79" s="120"/>
      <c r="O79" s="20">
        <f t="shared" si="18"/>
        <v>26984013.77925</v>
      </c>
      <c r="P79" s="135">
        <f t="shared" si="19"/>
        <v>6.4338298495972366E-4</v>
      </c>
    </row>
    <row r="80" spans="1:16" s="46" customFormat="1" ht="15" hidden="1" outlineLevel="1" x14ac:dyDescent="0.25">
      <c r="A80" s="53" t="s">
        <v>203</v>
      </c>
      <c r="B80" s="11"/>
      <c r="C80" s="9"/>
      <c r="D80" s="9"/>
      <c r="E80" s="9"/>
      <c r="F80" s="20">
        <f>+'[18]PROPUESTA 2017 Compacto '!$C$26</f>
        <v>77861318.553000003</v>
      </c>
      <c r="G80" s="9"/>
      <c r="H80" s="11">
        <f t="shared" si="20"/>
        <v>77861318.553000003</v>
      </c>
      <c r="I80" s="9"/>
      <c r="J80" s="20">
        <f t="shared" si="21"/>
        <v>77861318.553000003</v>
      </c>
      <c r="K80" s="120"/>
      <c r="L80" s="120"/>
      <c r="M80" s="120"/>
      <c r="N80" s="120"/>
      <c r="O80" s="20">
        <f t="shared" si="18"/>
        <v>77861318.553000003</v>
      </c>
      <c r="P80" s="135">
        <f t="shared" si="19"/>
        <v>1.8564564913634354E-3</v>
      </c>
    </row>
    <row r="81" spans="1:16" s="46" customFormat="1" ht="15" hidden="1" outlineLevel="1" x14ac:dyDescent="0.25">
      <c r="A81" s="53" t="s">
        <v>204</v>
      </c>
      <c r="B81" s="11"/>
      <c r="C81" s="9"/>
      <c r="D81" s="9"/>
      <c r="E81" s="9"/>
      <c r="F81" s="20">
        <f>+'[18]PROPUESTA 2017 Compacto '!$C$27</f>
        <v>84461534.122500002</v>
      </c>
      <c r="G81" s="9"/>
      <c r="H81" s="11">
        <f t="shared" si="20"/>
        <v>84461534.122500002</v>
      </c>
      <c r="I81" s="9"/>
      <c r="J81" s="20">
        <f t="shared" si="21"/>
        <v>84461534.122500002</v>
      </c>
      <c r="K81" s="120"/>
      <c r="L81" s="120"/>
      <c r="M81" s="120"/>
      <c r="N81" s="120"/>
      <c r="O81" s="20">
        <f t="shared" si="18"/>
        <v>84461534.122500002</v>
      </c>
      <c r="P81" s="135">
        <f t="shared" si="19"/>
        <v>2.0138262003037703E-3</v>
      </c>
    </row>
    <row r="82" spans="1:16" s="46" customFormat="1" ht="15" hidden="1" outlineLevel="1" x14ac:dyDescent="0.25">
      <c r="A82" s="53" t="s">
        <v>205</v>
      </c>
      <c r="B82" s="11"/>
      <c r="C82" s="9"/>
      <c r="D82" s="9"/>
      <c r="E82" s="9"/>
      <c r="F82" s="20">
        <f>+'[18]PROPUESTA 2017 Compacto '!$C$29</f>
        <v>42300000</v>
      </c>
      <c r="G82" s="9"/>
      <c r="H82" s="11">
        <f>+B82+C82+D82+G82+E82+F82</f>
        <v>42300000</v>
      </c>
      <c r="I82" s="9"/>
      <c r="J82" s="20">
        <f>+H82+I82</f>
        <v>42300000</v>
      </c>
      <c r="K82" s="120"/>
      <c r="L82" s="120"/>
      <c r="M82" s="120"/>
      <c r="N82" s="120"/>
      <c r="O82" s="20">
        <f t="shared" si="18"/>
        <v>42300000</v>
      </c>
      <c r="P82" s="135">
        <f t="shared" si="19"/>
        <v>1.0085638291781487E-3</v>
      </c>
    </row>
    <row r="83" spans="1:16" s="46" customFormat="1" ht="15" collapsed="1" x14ac:dyDescent="0.25">
      <c r="A83" s="64" t="s">
        <v>206</v>
      </c>
      <c r="B83" s="11"/>
      <c r="C83" s="9"/>
      <c r="D83" s="9"/>
      <c r="E83" s="9"/>
      <c r="F83" s="9">
        <f>SUM(F84:F89)</f>
        <v>810091792.22500002</v>
      </c>
      <c r="G83" s="9"/>
      <c r="H83" s="9">
        <f>SUM(H84:H89)</f>
        <v>810091792.22500002</v>
      </c>
      <c r="I83" s="9"/>
      <c r="J83" s="9">
        <f>SUM(J84:J89)</f>
        <v>810091792.22500002</v>
      </c>
      <c r="K83" s="116">
        <f>SUM(K84:K89)</f>
        <v>0</v>
      </c>
      <c r="L83" s="116">
        <f>SUM(L84:L89)</f>
        <v>0</v>
      </c>
      <c r="M83" s="116">
        <f>SUM(M84:M89)</f>
        <v>-119000000</v>
      </c>
      <c r="N83" s="116">
        <f>SUM(N84:N89)</f>
        <v>0</v>
      </c>
      <c r="O83" s="9">
        <f t="shared" si="18"/>
        <v>691091792.22500002</v>
      </c>
      <c r="P83" s="131">
        <f t="shared" si="19"/>
        <v>1.6477782134279802E-2</v>
      </c>
    </row>
    <row r="84" spans="1:16" s="46" customFormat="1" ht="15" hidden="1" outlineLevel="1" x14ac:dyDescent="0.25">
      <c r="A84" s="53" t="s">
        <v>222</v>
      </c>
      <c r="B84" s="11"/>
      <c r="C84" s="9"/>
      <c r="D84" s="9"/>
      <c r="E84" s="9"/>
      <c r="F84" s="20">
        <f>+'[18]PROPUESTA 2017 Compacto '!$C$31</f>
        <v>90759484.799999997</v>
      </c>
      <c r="G84" s="9"/>
      <c r="H84" s="11">
        <f t="shared" ref="H84:H89" si="22">+B84+C84+D84+G84+E84+F84</f>
        <v>90759484.799999997</v>
      </c>
      <c r="I84" s="9"/>
      <c r="J84" s="20">
        <f t="shared" ref="J84:J89" si="23">+H84+I84</f>
        <v>90759484.799999997</v>
      </c>
      <c r="K84" s="120"/>
      <c r="L84" s="120"/>
      <c r="M84" s="120">
        <f>-49251305+68203</f>
        <v>-49183102</v>
      </c>
      <c r="N84" s="120"/>
      <c r="O84" s="20">
        <f t="shared" si="18"/>
        <v>41576382.799999997</v>
      </c>
      <c r="P84" s="135">
        <f t="shared" si="19"/>
        <v>9.9131053995613516E-4</v>
      </c>
    </row>
    <row r="85" spans="1:16" s="46" customFormat="1" ht="15" hidden="1" outlineLevel="1" x14ac:dyDescent="0.25">
      <c r="A85" s="53" t="s">
        <v>207</v>
      </c>
      <c r="B85" s="11"/>
      <c r="C85" s="9"/>
      <c r="D85" s="9"/>
      <c r="E85" s="9"/>
      <c r="F85" s="20">
        <f>+'[18]PROPUESTA 2017 Compacto '!$C$32</f>
        <v>191945767.50000003</v>
      </c>
      <c r="G85" s="9"/>
      <c r="H85" s="11">
        <f t="shared" si="22"/>
        <v>191945767.50000003</v>
      </c>
      <c r="I85" s="9"/>
      <c r="J85" s="20">
        <f t="shared" si="23"/>
        <v>191945767.50000003</v>
      </c>
      <c r="K85" s="120"/>
      <c r="L85" s="120"/>
      <c r="M85" s="120">
        <v>-34000000</v>
      </c>
      <c r="N85" s="120"/>
      <c r="O85" s="20">
        <f t="shared" si="18"/>
        <v>157945767.50000003</v>
      </c>
      <c r="P85" s="135">
        <f t="shared" si="19"/>
        <v>3.7659193397702514E-3</v>
      </c>
    </row>
    <row r="86" spans="1:16" s="46" customFormat="1" ht="15" hidden="1" outlineLevel="1" x14ac:dyDescent="0.25">
      <c r="A86" s="53" t="s">
        <v>170</v>
      </c>
      <c r="B86" s="11"/>
      <c r="C86" s="9"/>
      <c r="D86" s="9"/>
      <c r="E86" s="9"/>
      <c r="F86" s="20">
        <f>+'[18]PROPUESTA 2017 Compacto '!$C$33</f>
        <v>70455285</v>
      </c>
      <c r="G86" s="9"/>
      <c r="H86" s="11">
        <f t="shared" si="22"/>
        <v>70455285</v>
      </c>
      <c r="I86" s="9"/>
      <c r="J86" s="20">
        <f t="shared" si="23"/>
        <v>70455285</v>
      </c>
      <c r="K86" s="120"/>
      <c r="L86" s="120"/>
      <c r="M86" s="120"/>
      <c r="N86" s="120"/>
      <c r="O86" s="20">
        <f t="shared" si="18"/>
        <v>70455285</v>
      </c>
      <c r="P86" s="135">
        <f t="shared" si="19"/>
        <v>1.6798735703413188E-3</v>
      </c>
    </row>
    <row r="87" spans="1:16" s="46" customFormat="1" ht="15" hidden="1" outlineLevel="1" x14ac:dyDescent="0.25">
      <c r="A87" s="53" t="s">
        <v>152</v>
      </c>
      <c r="B87" s="11"/>
      <c r="C87" s="9"/>
      <c r="D87" s="9"/>
      <c r="E87" s="9"/>
      <c r="F87" s="20">
        <f>+'[18]PROPUESTA 2017 Compacto '!$C$34</f>
        <v>62364357.000000007</v>
      </c>
      <c r="G87" s="9"/>
      <c r="H87" s="11">
        <f t="shared" si="22"/>
        <v>62364357.000000007</v>
      </c>
      <c r="I87" s="9"/>
      <c r="J87" s="20">
        <f t="shared" si="23"/>
        <v>62364357.000000007</v>
      </c>
      <c r="K87" s="120"/>
      <c r="L87" s="120"/>
      <c r="M87" s="120"/>
      <c r="N87" s="120"/>
      <c r="O87" s="20">
        <f t="shared" si="18"/>
        <v>62364357.000000007</v>
      </c>
      <c r="P87" s="135">
        <f t="shared" si="19"/>
        <v>1.486960631209293E-3</v>
      </c>
    </row>
    <row r="88" spans="1:16" s="46" customFormat="1" ht="15" hidden="1" outlineLevel="1" x14ac:dyDescent="0.25">
      <c r="A88" s="53" t="s">
        <v>223</v>
      </c>
      <c r="B88" s="11"/>
      <c r="C88" s="9"/>
      <c r="D88" s="9"/>
      <c r="E88" s="9"/>
      <c r="F88" s="20">
        <f>+'[18]PROPUESTA 2017 Compacto '!$C$35</f>
        <v>125816897.92500001</v>
      </c>
      <c r="G88" s="9"/>
      <c r="H88" s="11">
        <f t="shared" si="22"/>
        <v>125816897.92500001</v>
      </c>
      <c r="I88" s="9"/>
      <c r="J88" s="20">
        <f t="shared" si="23"/>
        <v>125816897.92500001</v>
      </c>
      <c r="K88" s="120"/>
      <c r="L88" s="120"/>
      <c r="M88" s="120">
        <v>-35816898</v>
      </c>
      <c r="N88" s="120"/>
      <c r="O88" s="20">
        <f t="shared" si="18"/>
        <v>89999999.925000012</v>
      </c>
      <c r="P88" s="135">
        <f t="shared" si="19"/>
        <v>2.1458804858248493E-3</v>
      </c>
    </row>
    <row r="89" spans="1:16" s="46" customFormat="1" ht="15" hidden="1" outlineLevel="1" x14ac:dyDescent="0.25">
      <c r="A89" s="53" t="s">
        <v>208</v>
      </c>
      <c r="B89" s="11"/>
      <c r="C89" s="9"/>
      <c r="D89" s="9"/>
      <c r="E89" s="9"/>
      <c r="F89" s="20">
        <f>+'[18]PROPUESTA 2017 Compacto '!$C$36</f>
        <v>268750000</v>
      </c>
      <c r="G89" s="9"/>
      <c r="H89" s="11">
        <f t="shared" si="22"/>
        <v>268750000</v>
      </c>
      <c r="I89" s="9"/>
      <c r="J89" s="20">
        <f t="shared" si="23"/>
        <v>268750000</v>
      </c>
      <c r="K89" s="120"/>
      <c r="L89" s="120"/>
      <c r="M89" s="120"/>
      <c r="N89" s="120"/>
      <c r="O89" s="20">
        <f t="shared" si="18"/>
        <v>268750000</v>
      </c>
      <c r="P89" s="135">
        <f t="shared" si="19"/>
        <v>6.4078375671779543E-3</v>
      </c>
    </row>
    <row r="90" spans="1:16" s="46" customFormat="1" ht="15" collapsed="1" x14ac:dyDescent="0.25">
      <c r="A90" s="64" t="s">
        <v>88</v>
      </c>
      <c r="B90" s="11"/>
      <c r="C90" s="9"/>
      <c r="D90" s="9"/>
      <c r="E90" s="9"/>
      <c r="F90" s="9">
        <f>+SUM(F91:F93)</f>
        <v>4986014645.4004402</v>
      </c>
      <c r="G90" s="9"/>
      <c r="H90" s="9">
        <f>SUM(H91:H93)</f>
        <v>4986014645.4004402</v>
      </c>
      <c r="I90" s="9"/>
      <c r="J90" s="9">
        <f>SUM(J91:J93)</f>
        <v>4986014645.4004402</v>
      </c>
      <c r="K90" s="116">
        <f>SUM(K91:K93)</f>
        <v>0</v>
      </c>
      <c r="L90" s="116">
        <f>SUM(L91:L93)</f>
        <v>0</v>
      </c>
      <c r="M90" s="116">
        <f>SUM(M91:M93)</f>
        <v>-31000000</v>
      </c>
      <c r="N90" s="116">
        <f>SUM(N91:N93)</f>
        <v>0</v>
      </c>
      <c r="O90" s="9">
        <f t="shared" si="18"/>
        <v>4955014645.4004402</v>
      </c>
      <c r="P90" s="131">
        <f t="shared" si="19"/>
        <v>0.11814299159335402</v>
      </c>
    </row>
    <row r="91" spans="1:16" s="46" customFormat="1" ht="15" hidden="1" outlineLevel="1" x14ac:dyDescent="0.25">
      <c r="A91" s="53" t="s">
        <v>97</v>
      </c>
      <c r="B91" s="11"/>
      <c r="C91" s="9"/>
      <c r="D91" s="9"/>
      <c r="E91" s="9"/>
      <c r="F91" s="20">
        <f>+'[18]PROPUESTA 2017 Compacto '!$C$38</f>
        <v>4874903842.3999996</v>
      </c>
      <c r="G91" s="9"/>
      <c r="H91" s="11">
        <f>+B91+C91+D91+G91+E91+F91</f>
        <v>4874903842.3999996</v>
      </c>
      <c r="I91" s="9"/>
      <c r="J91" s="20">
        <f>+H91+I91</f>
        <v>4874903842.3999996</v>
      </c>
      <c r="K91" s="120"/>
      <c r="L91" s="120"/>
      <c r="M91" s="120"/>
      <c r="N91" s="120"/>
      <c r="O91" s="20">
        <f t="shared" si="18"/>
        <v>4874903842.3999996</v>
      </c>
      <c r="P91" s="135">
        <f t="shared" si="19"/>
        <v>0.11623290038218001</v>
      </c>
    </row>
    <row r="92" spans="1:16" s="46" customFormat="1" ht="15" hidden="1" outlineLevel="1" x14ac:dyDescent="0.25">
      <c r="A92" s="53" t="s">
        <v>107</v>
      </c>
      <c r="B92" s="11"/>
      <c r="C92" s="9"/>
      <c r="D92" s="9"/>
      <c r="E92" s="9"/>
      <c r="F92" s="20">
        <f>+'[18]PROPUESTA 2017 Compacto '!$C$40</f>
        <v>60612651.397541255</v>
      </c>
      <c r="G92" s="9"/>
      <c r="H92" s="11">
        <f>+B92+C92+D92+G92+E92+F92</f>
        <v>60612651.397541255</v>
      </c>
      <c r="I92" s="9"/>
      <c r="J92" s="20">
        <f>+H92+I92</f>
        <v>60612651.397541255</v>
      </c>
      <c r="K92" s="120"/>
      <c r="L92" s="120"/>
      <c r="M92" s="120">
        <f>-14722025+55159</f>
        <v>-14666866</v>
      </c>
      <c r="N92" s="120"/>
      <c r="O92" s="20">
        <f t="shared" si="18"/>
        <v>45945785.397541255</v>
      </c>
      <c r="P92" s="135">
        <f t="shared" si="19"/>
        <v>1.0954907152515765E-3</v>
      </c>
    </row>
    <row r="93" spans="1:16" s="46" customFormat="1" ht="15" hidden="1" outlineLevel="1" x14ac:dyDescent="0.25">
      <c r="A93" s="53" t="s">
        <v>98</v>
      </c>
      <c r="B93" s="11"/>
      <c r="C93" s="9"/>
      <c r="D93" s="9"/>
      <c r="E93" s="9"/>
      <c r="F93" s="20">
        <f>+'[18]PROPUESTA 2017 Compacto '!$C$41</f>
        <v>50498151.602899507</v>
      </c>
      <c r="G93" s="9"/>
      <c r="H93" s="11">
        <f>+B93+C93+D93+G93+E93+F93</f>
        <v>50498151.602899507</v>
      </c>
      <c r="I93" s="9"/>
      <c r="J93" s="20">
        <f>+H93+I93</f>
        <v>50498151.602899507</v>
      </c>
      <c r="K93" s="120"/>
      <c r="L93" s="120"/>
      <c r="M93" s="120">
        <v>-16333134</v>
      </c>
      <c r="N93" s="120"/>
      <c r="O93" s="20">
        <f t="shared" si="18"/>
        <v>34165017.602899507</v>
      </c>
      <c r="P93" s="135">
        <f t="shared" si="19"/>
        <v>8.1460049592243936E-4</v>
      </c>
    </row>
    <row r="94" spans="1:16" s="46" customFormat="1" ht="15" collapsed="1" x14ac:dyDescent="0.25">
      <c r="A94" s="64" t="s">
        <v>209</v>
      </c>
      <c r="B94" s="11"/>
      <c r="C94" s="9"/>
      <c r="D94" s="9"/>
      <c r="E94" s="9"/>
      <c r="F94" s="9">
        <f>SUM(F95:F105)</f>
        <v>2023400816.075</v>
      </c>
      <c r="G94" s="9"/>
      <c r="H94" s="9">
        <f>SUM(H95:H105)</f>
        <v>2023400816.075</v>
      </c>
      <c r="I94" s="9"/>
      <c r="J94" s="9">
        <f>SUM(J95:J105)</f>
        <v>2023400816.075</v>
      </c>
      <c r="K94" s="116">
        <f>SUM(K95:K105)</f>
        <v>0</v>
      </c>
      <c r="L94" s="116">
        <f>SUM(L95:L105)</f>
        <v>70000000</v>
      </c>
      <c r="M94" s="116">
        <f>SUM(M95:M105)</f>
        <v>-54000000</v>
      </c>
      <c r="N94" s="116">
        <f>SUM(N95:N105)</f>
        <v>0</v>
      </c>
      <c r="O94" s="9">
        <f t="shared" si="18"/>
        <v>2039400816.075</v>
      </c>
      <c r="P94" s="131">
        <f t="shared" si="19"/>
        <v>4.862567130708377E-2</v>
      </c>
    </row>
    <row r="95" spans="1:16" s="46" customFormat="1" ht="15" hidden="1" outlineLevel="1" x14ac:dyDescent="0.25">
      <c r="A95" s="53" t="s">
        <v>217</v>
      </c>
      <c r="B95" s="11"/>
      <c r="C95" s="9"/>
      <c r="D95" s="9"/>
      <c r="E95" s="9"/>
      <c r="F95" s="20">
        <f>+'[18]PROPUESTA 2017 Compacto '!$C$45</f>
        <v>178331040</v>
      </c>
      <c r="G95" s="9"/>
      <c r="H95" s="11">
        <f t="shared" ref="H95:H101" si="24">+B95+C95+D95+G95+E95+F95</f>
        <v>178331040</v>
      </c>
      <c r="I95" s="9"/>
      <c r="J95" s="20">
        <f t="shared" ref="J95:J101" si="25">+H95+I95</f>
        <v>178331040</v>
      </c>
      <c r="K95" s="120"/>
      <c r="L95" s="120"/>
      <c r="M95" s="120"/>
      <c r="N95" s="120"/>
      <c r="O95" s="20">
        <f t="shared" si="18"/>
        <v>178331040</v>
      </c>
      <c r="P95" s="135">
        <f t="shared" si="19"/>
        <v>4.2519677674638682E-3</v>
      </c>
    </row>
    <row r="96" spans="1:16" s="46" customFormat="1" ht="15" hidden="1" outlineLevel="1" x14ac:dyDescent="0.25">
      <c r="A96" s="53" t="s">
        <v>171</v>
      </c>
      <c r="B96" s="11"/>
      <c r="C96" s="9"/>
      <c r="D96" s="9"/>
      <c r="E96" s="9"/>
      <c r="F96" s="20">
        <f>+'[18]PROPUESTA 2017 Compacto '!$C$46</f>
        <v>82093132.799999997</v>
      </c>
      <c r="G96" s="9"/>
      <c r="H96" s="11">
        <f t="shared" si="24"/>
        <v>82093132.799999997</v>
      </c>
      <c r="I96" s="9"/>
      <c r="J96" s="20">
        <f t="shared" si="25"/>
        <v>82093132.799999997</v>
      </c>
      <c r="K96" s="120"/>
      <c r="L96" s="120"/>
      <c r="M96" s="120"/>
      <c r="N96" s="120"/>
      <c r="O96" s="20">
        <f t="shared" si="18"/>
        <v>82093132.799999997</v>
      </c>
      <c r="P96" s="135">
        <f t="shared" si="19"/>
        <v>1.9573561315838835E-3</v>
      </c>
    </row>
    <row r="97" spans="1:16" s="46" customFormat="1" ht="15" hidden="1" outlineLevel="1" x14ac:dyDescent="0.25">
      <c r="A97" s="53" t="s">
        <v>151</v>
      </c>
      <c r="B97" s="11"/>
      <c r="C97" s="9"/>
      <c r="D97" s="9"/>
      <c r="E97" s="9"/>
      <c r="F97" s="20">
        <f>+'[18]PROPUESTA 2017 Compacto '!$C$47</f>
        <v>33840000</v>
      </c>
      <c r="G97" s="9"/>
      <c r="H97" s="11">
        <f t="shared" si="24"/>
        <v>33840000</v>
      </c>
      <c r="I97" s="9"/>
      <c r="J97" s="20">
        <f t="shared" si="25"/>
        <v>33840000</v>
      </c>
      <c r="K97" s="120"/>
      <c r="L97" s="120"/>
      <c r="M97" s="120"/>
      <c r="N97" s="120"/>
      <c r="O97" s="20">
        <f t="shared" si="18"/>
        <v>33840000</v>
      </c>
      <c r="P97" s="135">
        <f t="shared" si="19"/>
        <v>8.0685106334251898E-4</v>
      </c>
    </row>
    <row r="98" spans="1:16" s="46" customFormat="1" ht="15" hidden="1" outlineLevel="1" x14ac:dyDescent="0.25">
      <c r="A98" s="53" t="s">
        <v>96</v>
      </c>
      <c r="B98" s="11"/>
      <c r="C98" s="9"/>
      <c r="D98" s="9"/>
      <c r="E98" s="9"/>
      <c r="F98" s="20">
        <f>+'[18]PROPUESTA 2017 Compacto '!$C$56</f>
        <v>41060504.25</v>
      </c>
      <c r="G98" s="9"/>
      <c r="H98" s="11">
        <f t="shared" si="24"/>
        <v>41060504.25</v>
      </c>
      <c r="I98" s="9"/>
      <c r="J98" s="20">
        <f t="shared" si="25"/>
        <v>41060504.25</v>
      </c>
      <c r="K98" s="120"/>
      <c r="L98" s="120"/>
      <c r="M98" s="120">
        <f>-4269221+269221</f>
        <v>-4000000</v>
      </c>
      <c r="N98" s="120"/>
      <c r="O98" s="20">
        <f t="shared" si="18"/>
        <v>37060504.25</v>
      </c>
      <c r="P98" s="135">
        <f t="shared" si="19"/>
        <v>8.8363792145751906E-4</v>
      </c>
    </row>
    <row r="99" spans="1:16" s="46" customFormat="1" ht="15" hidden="1" outlineLevel="1" x14ac:dyDescent="0.25">
      <c r="A99" s="53" t="s">
        <v>224</v>
      </c>
      <c r="B99" s="11"/>
      <c r="C99" s="9"/>
      <c r="D99" s="9"/>
      <c r="E99" s="9"/>
      <c r="F99" s="20">
        <f>+'[18]PROPUESTA 2017 Compacto '!$C$57</f>
        <v>84110400</v>
      </c>
      <c r="G99" s="9"/>
      <c r="H99" s="11">
        <f t="shared" si="24"/>
        <v>84110400</v>
      </c>
      <c r="I99" s="9"/>
      <c r="J99" s="20">
        <f t="shared" si="25"/>
        <v>84110400</v>
      </c>
      <c r="K99" s="120"/>
      <c r="L99" s="120"/>
      <c r="M99" s="120"/>
      <c r="N99" s="120"/>
      <c r="O99" s="20">
        <f t="shared" si="18"/>
        <v>84110400</v>
      </c>
      <c r="P99" s="135">
        <f t="shared" si="19"/>
        <v>2.0054540685036826E-3</v>
      </c>
    </row>
    <row r="100" spans="1:16" s="46" customFormat="1" ht="15" hidden="1" outlineLevel="1" x14ac:dyDescent="0.25">
      <c r="A100" s="53" t="s">
        <v>210</v>
      </c>
      <c r="B100" s="11"/>
      <c r="C100" s="9"/>
      <c r="D100" s="9"/>
      <c r="E100" s="9"/>
      <c r="F100" s="20">
        <f>+'[18]PROPUESTA 2017 Compacto '!$C$58</f>
        <v>85000000</v>
      </c>
      <c r="G100" s="9"/>
      <c r="H100" s="11">
        <f t="shared" si="24"/>
        <v>85000000</v>
      </c>
      <c r="I100" s="9"/>
      <c r="J100" s="20">
        <f t="shared" si="25"/>
        <v>85000000</v>
      </c>
      <c r="K100" s="120"/>
      <c r="L100" s="120"/>
      <c r="M100" s="120"/>
      <c r="N100" s="120"/>
      <c r="O100" s="20">
        <f t="shared" si="18"/>
        <v>85000000</v>
      </c>
      <c r="P100" s="135">
        <f t="shared" si="19"/>
        <v>2.0266649049679114E-3</v>
      </c>
    </row>
    <row r="101" spans="1:16" s="46" customFormat="1" ht="15" hidden="1" outlineLevel="1" x14ac:dyDescent="0.25">
      <c r="A101" s="53" t="s">
        <v>225</v>
      </c>
      <c r="B101" s="11"/>
      <c r="C101" s="9"/>
      <c r="D101" s="9"/>
      <c r="E101" s="9"/>
      <c r="F101" s="20">
        <f>+'[18]PROPUESTA 2017 Compacto '!$C$61</f>
        <v>165187957.09499997</v>
      </c>
      <c r="G101" s="9"/>
      <c r="H101" s="11">
        <f t="shared" si="24"/>
        <v>165187957.09499997</v>
      </c>
      <c r="I101" s="9"/>
      <c r="J101" s="20">
        <f t="shared" si="25"/>
        <v>165187957.09499997</v>
      </c>
      <c r="K101" s="120"/>
      <c r="L101" s="120"/>
      <c r="M101" s="120"/>
      <c r="N101" s="120"/>
      <c r="O101" s="20">
        <f t="shared" si="18"/>
        <v>165187957.09499997</v>
      </c>
      <c r="P101" s="135">
        <f t="shared" si="19"/>
        <v>3.938595710209194E-3</v>
      </c>
    </row>
    <row r="102" spans="1:16" s="46" customFormat="1" ht="15" hidden="1" outlineLevel="1" x14ac:dyDescent="0.25">
      <c r="A102" s="53" t="s">
        <v>211</v>
      </c>
      <c r="B102" s="11"/>
      <c r="C102" s="9"/>
      <c r="D102" s="9"/>
      <c r="E102" s="9"/>
      <c r="F102" s="20">
        <f>+'[18]PROPUESTA 2017 Compacto '!$C$62</f>
        <v>550000000</v>
      </c>
      <c r="G102" s="9"/>
      <c r="H102" s="11">
        <f t="shared" ref="H102:H110" si="26">+B102+C102+D102+G102+E102+F102</f>
        <v>550000000</v>
      </c>
      <c r="I102" s="9"/>
      <c r="J102" s="20">
        <f t="shared" ref="J102:J110" si="27">+H102+I102</f>
        <v>550000000</v>
      </c>
      <c r="K102" s="120"/>
      <c r="L102" s="120"/>
      <c r="M102" s="120">
        <v>-50000000</v>
      </c>
      <c r="N102" s="120"/>
      <c r="O102" s="20">
        <f t="shared" si="18"/>
        <v>500000000</v>
      </c>
      <c r="P102" s="135">
        <f t="shared" si="19"/>
        <v>1.1921558264517126E-2</v>
      </c>
    </row>
    <row r="103" spans="1:16" s="46" customFormat="1" ht="15" hidden="1" outlineLevel="1" x14ac:dyDescent="0.25">
      <c r="A103" s="53" t="s">
        <v>172</v>
      </c>
      <c r="B103" s="11"/>
      <c r="C103" s="9"/>
      <c r="D103" s="9"/>
      <c r="E103" s="9"/>
      <c r="F103" s="20">
        <f>+'[18]PROPUESTA 2017 Compacto '!$C$65</f>
        <v>66977781.93</v>
      </c>
      <c r="G103" s="9"/>
      <c r="H103" s="11">
        <f>+B103+C103+D103+G103+E103+F103</f>
        <v>66977781.93</v>
      </c>
      <c r="I103" s="9"/>
      <c r="J103" s="20">
        <f t="shared" si="27"/>
        <v>66977781.93</v>
      </c>
      <c r="K103" s="120"/>
      <c r="L103" s="120"/>
      <c r="M103" s="120"/>
      <c r="N103" s="120"/>
      <c r="O103" s="20">
        <f t="shared" si="18"/>
        <v>66977781.93</v>
      </c>
      <c r="P103" s="135">
        <f t="shared" si="19"/>
        <v>1.5969590594132345E-3</v>
      </c>
    </row>
    <row r="104" spans="1:16" s="46" customFormat="1" ht="15" hidden="1" outlineLevel="1" x14ac:dyDescent="0.25">
      <c r="A104" s="53" t="s">
        <v>212</v>
      </c>
      <c r="B104" s="11"/>
      <c r="C104" s="9"/>
      <c r="D104" s="9"/>
      <c r="E104" s="9"/>
      <c r="F104" s="20">
        <f>+'[18]PROPUESTA 2017 Compacto '!$C$68</f>
        <v>606800000</v>
      </c>
      <c r="G104" s="9"/>
      <c r="H104" s="11">
        <f>+B104+C104+D104+G104+E104+F104</f>
        <v>606800000</v>
      </c>
      <c r="I104" s="9"/>
      <c r="J104" s="20">
        <f t="shared" si="27"/>
        <v>606800000</v>
      </c>
      <c r="K104" s="120"/>
      <c r="L104" s="120">
        <v>70000000</v>
      </c>
      <c r="M104" s="120"/>
      <c r="N104" s="120"/>
      <c r="O104" s="20">
        <f t="shared" si="18"/>
        <v>676800000</v>
      </c>
      <c r="P104" s="135">
        <f t="shared" si="19"/>
        <v>1.613702126685038E-2</v>
      </c>
    </row>
    <row r="105" spans="1:16" s="46" customFormat="1" ht="15" hidden="1" outlineLevel="1" x14ac:dyDescent="0.25">
      <c r="A105" s="53" t="s">
        <v>173</v>
      </c>
      <c r="B105" s="11"/>
      <c r="C105" s="9"/>
      <c r="D105" s="9"/>
      <c r="E105" s="9"/>
      <c r="F105" s="20">
        <f>+'[18]PROPUESTA 2017 Compacto '!$C$78</f>
        <v>130000000</v>
      </c>
      <c r="G105" s="9"/>
      <c r="H105" s="11">
        <f>+B105+C105+D105+G105+E105+F105</f>
        <v>130000000</v>
      </c>
      <c r="I105" s="9"/>
      <c r="J105" s="20">
        <f t="shared" si="27"/>
        <v>130000000</v>
      </c>
      <c r="K105" s="120"/>
      <c r="L105" s="120"/>
      <c r="M105" s="120"/>
      <c r="N105" s="120"/>
      <c r="O105" s="20">
        <f t="shared" si="18"/>
        <v>130000000</v>
      </c>
      <c r="P105" s="135">
        <f t="shared" si="19"/>
        <v>3.0996051487744525E-3</v>
      </c>
    </row>
    <row r="106" spans="1:16" s="46" customFormat="1" ht="15" collapsed="1" x14ac:dyDescent="0.25">
      <c r="A106" s="64" t="s">
        <v>174</v>
      </c>
      <c r="B106" s="14"/>
      <c r="C106" s="14"/>
      <c r="D106" s="14"/>
      <c r="E106" s="14"/>
      <c r="F106" s="14">
        <f>SUM(F107:F110)</f>
        <v>461483207.84799999</v>
      </c>
      <c r="G106" s="14"/>
      <c r="H106" s="14">
        <f t="shared" si="26"/>
        <v>461483207.84799999</v>
      </c>
      <c r="I106" s="14"/>
      <c r="J106" s="14">
        <f t="shared" si="27"/>
        <v>461483207.84799999</v>
      </c>
      <c r="K106" s="14">
        <f>SUM(K107:K110)</f>
        <v>0</v>
      </c>
      <c r="L106" s="14">
        <f>SUM(L107:L110)</f>
        <v>0</v>
      </c>
      <c r="M106" s="14">
        <f>SUM(M107:M110)</f>
        <v>0</v>
      </c>
      <c r="N106" s="14">
        <f>SUM(N107:N110)</f>
        <v>0</v>
      </c>
      <c r="O106" s="14">
        <f t="shared" si="18"/>
        <v>461483207.84799999</v>
      </c>
      <c r="P106" s="130">
        <f t="shared" si="19"/>
        <v>1.1003197900912398E-2</v>
      </c>
    </row>
    <row r="107" spans="1:16" s="46" customFormat="1" ht="15" hidden="1" outlineLevel="1" x14ac:dyDescent="0.25">
      <c r="A107" s="53" t="s">
        <v>226</v>
      </c>
      <c r="B107" s="11"/>
      <c r="C107" s="9"/>
      <c r="D107" s="9"/>
      <c r="E107" s="9"/>
      <c r="F107" s="20">
        <f>+'[18]PROPUESTA 2017 Compacto '!$C$80</f>
        <v>110446942.248</v>
      </c>
      <c r="G107" s="9"/>
      <c r="H107" s="11">
        <f t="shared" si="26"/>
        <v>110446942.248</v>
      </c>
      <c r="I107" s="9"/>
      <c r="J107" s="20">
        <f t="shared" si="27"/>
        <v>110446942.248</v>
      </c>
      <c r="K107" s="120"/>
      <c r="L107" s="120"/>
      <c r="M107" s="120"/>
      <c r="N107" s="120"/>
      <c r="O107" s="20">
        <f t="shared" si="18"/>
        <v>110446942.248</v>
      </c>
      <c r="P107" s="135">
        <f t="shared" si="19"/>
        <v>2.6333993142945798E-3</v>
      </c>
    </row>
    <row r="108" spans="1:16" s="46" customFormat="1" ht="15" hidden="1" outlineLevel="1" x14ac:dyDescent="0.25">
      <c r="A108" s="53" t="s">
        <v>227</v>
      </c>
      <c r="B108" s="11"/>
      <c r="C108" s="9"/>
      <c r="D108" s="9"/>
      <c r="E108" s="9"/>
      <c r="F108" s="20">
        <f>+'[18]PROPUESTA 2017 Compacto '!$C$81</f>
        <v>164186265.59999999</v>
      </c>
      <c r="G108" s="9"/>
      <c r="H108" s="11">
        <f t="shared" si="26"/>
        <v>164186265.59999999</v>
      </c>
      <c r="I108" s="9"/>
      <c r="J108" s="20">
        <f t="shared" si="27"/>
        <v>164186265.59999999</v>
      </c>
      <c r="K108" s="120"/>
      <c r="L108" s="120"/>
      <c r="M108" s="120"/>
      <c r="N108" s="120"/>
      <c r="O108" s="20">
        <f t="shared" si="18"/>
        <v>164186265.59999999</v>
      </c>
      <c r="P108" s="135">
        <f t="shared" si="19"/>
        <v>3.914712263167767E-3</v>
      </c>
    </row>
    <row r="109" spans="1:16" s="46" customFormat="1" ht="15" hidden="1" outlineLevel="1" x14ac:dyDescent="0.25">
      <c r="A109" s="53" t="s">
        <v>175</v>
      </c>
      <c r="B109" s="11"/>
      <c r="C109" s="9"/>
      <c r="D109" s="9"/>
      <c r="E109" s="9"/>
      <c r="F109" s="20">
        <f>+'[18]PROPUESTA 2017 Compacto '!$C$82</f>
        <v>60000000</v>
      </c>
      <c r="G109" s="9"/>
      <c r="H109" s="11">
        <f t="shared" si="26"/>
        <v>60000000</v>
      </c>
      <c r="I109" s="9"/>
      <c r="J109" s="20">
        <f t="shared" si="27"/>
        <v>60000000</v>
      </c>
      <c r="K109" s="120"/>
      <c r="L109" s="120"/>
      <c r="M109" s="120"/>
      <c r="N109" s="120"/>
      <c r="O109" s="20">
        <f t="shared" si="18"/>
        <v>60000000</v>
      </c>
      <c r="P109" s="135">
        <f t="shared" si="19"/>
        <v>1.430586991742055E-3</v>
      </c>
    </row>
    <row r="110" spans="1:16" s="46" customFormat="1" ht="15" hidden="1" outlineLevel="1" x14ac:dyDescent="0.25">
      <c r="A110" s="53" t="s">
        <v>213</v>
      </c>
      <c r="B110" s="11"/>
      <c r="C110" s="9"/>
      <c r="D110" s="9"/>
      <c r="E110" s="9"/>
      <c r="F110" s="20">
        <f>+'[18]PROPUESTA 2017 Compacto '!$C$86</f>
        <v>126850000</v>
      </c>
      <c r="G110" s="9"/>
      <c r="H110" s="11">
        <f t="shared" si="26"/>
        <v>126850000</v>
      </c>
      <c r="I110" s="9"/>
      <c r="J110" s="20">
        <f t="shared" si="27"/>
        <v>126850000</v>
      </c>
      <c r="K110" s="120"/>
      <c r="L110" s="120"/>
      <c r="M110" s="120"/>
      <c r="N110" s="120"/>
      <c r="O110" s="20">
        <f t="shared" si="18"/>
        <v>126850000</v>
      </c>
      <c r="P110" s="135">
        <f t="shared" si="19"/>
        <v>3.0244993317079948E-3</v>
      </c>
    </row>
    <row r="111" spans="1:16" s="46" customFormat="1" ht="15" collapsed="1" x14ac:dyDescent="0.25">
      <c r="A111" s="53"/>
      <c r="B111" s="11"/>
      <c r="C111" s="9"/>
      <c r="D111" s="9"/>
      <c r="E111" s="9"/>
      <c r="F111" s="20"/>
      <c r="G111" s="9"/>
      <c r="H111" s="11"/>
      <c r="I111" s="9"/>
      <c r="J111" s="20"/>
      <c r="K111" s="120"/>
      <c r="L111" s="120"/>
      <c r="M111" s="120"/>
      <c r="N111" s="120"/>
      <c r="O111" s="20"/>
      <c r="P111" s="135"/>
    </row>
    <row r="112" spans="1:16" s="46" customFormat="1" ht="15" x14ac:dyDescent="0.25">
      <c r="A112" s="64" t="s">
        <v>164</v>
      </c>
      <c r="B112" s="9"/>
      <c r="C112" s="9"/>
      <c r="D112" s="9"/>
      <c r="E112" s="9"/>
      <c r="F112" s="9"/>
      <c r="G112" s="9">
        <f>+G113+G118+G121+G127+G130</f>
        <v>13600678961.97612</v>
      </c>
      <c r="H112" s="9">
        <f>+H113+H118+H121+H127+H130</f>
        <v>13600678961.97612</v>
      </c>
      <c r="I112" s="9"/>
      <c r="J112" s="9">
        <f>+J113+J118+J121+J127+J130</f>
        <v>13600678961.97612</v>
      </c>
      <c r="K112" s="116">
        <f>+K113+K118+K121+K127+K130</f>
        <v>240000000</v>
      </c>
      <c r="L112" s="116">
        <f>+L113+L118+L121+L127+L130</f>
        <v>0</v>
      </c>
      <c r="M112" s="116">
        <f>+M113+M118+M121+M127+M130</f>
        <v>195000000</v>
      </c>
      <c r="N112" s="116">
        <f>+N113+N118+N121+N127+N130</f>
        <v>0</v>
      </c>
      <c r="O112" s="9">
        <f t="shared" ref="O112:O133" si="28">+J112+K112+L112+M112+N112</f>
        <v>14035678961.97612</v>
      </c>
      <c r="P112" s="131">
        <f t="shared" ref="P112:P133" si="29">+O112/$O$204</f>
        <v>0.33465432905451109</v>
      </c>
    </row>
    <row r="113" spans="1:16" s="46" customFormat="1" ht="15" x14ac:dyDescent="0.25">
      <c r="A113" s="64" t="s">
        <v>239</v>
      </c>
      <c r="B113" s="9"/>
      <c r="C113" s="9"/>
      <c r="D113" s="9"/>
      <c r="E113" s="14"/>
      <c r="F113" s="9"/>
      <c r="G113" s="14">
        <f>SUM(G114:G117)</f>
        <v>3661264449.5886164</v>
      </c>
      <c r="H113" s="14">
        <f>SUM(H114:H117)</f>
        <v>3661264449.5886164</v>
      </c>
      <c r="I113" s="9"/>
      <c r="J113" s="14">
        <f>SUM(J114:J117)</f>
        <v>3661264449.5886164</v>
      </c>
      <c r="K113" s="114">
        <f>SUM(K114:K117)</f>
        <v>240000000</v>
      </c>
      <c r="L113" s="114">
        <f>SUM(L114:L117)</f>
        <v>0</v>
      </c>
      <c r="M113" s="114">
        <f>SUM(M114:M117)</f>
        <v>300000000</v>
      </c>
      <c r="N113" s="114">
        <f>SUM(N114:N117)</f>
        <v>0</v>
      </c>
      <c r="O113" s="14">
        <f t="shared" si="28"/>
        <v>4201264449.5886164</v>
      </c>
      <c r="P113" s="130">
        <f t="shared" si="29"/>
        <v>0.10017123784083032</v>
      </c>
    </row>
    <row r="114" spans="1:16" s="46" customFormat="1" ht="15" hidden="1" outlineLevel="1" x14ac:dyDescent="0.25">
      <c r="A114" s="53" t="s">
        <v>238</v>
      </c>
      <c r="B114" s="9"/>
      <c r="C114" s="9"/>
      <c r="D114" s="9"/>
      <c r="E114" s="11"/>
      <c r="F114" s="9"/>
      <c r="G114" s="11">
        <f>+'[21]COMPARACIÓN PPC 2016 - 2017'!$O$27</f>
        <v>1278360572.446125</v>
      </c>
      <c r="H114" s="11">
        <f>+B114+C114+D114+G114+E114+F114</f>
        <v>1278360572.446125</v>
      </c>
      <c r="I114" s="9"/>
      <c r="J114" s="20">
        <f>+H114+I114</f>
        <v>1278360572.446125</v>
      </c>
      <c r="K114" s="120"/>
      <c r="L114" s="120"/>
      <c r="M114" s="120"/>
      <c r="N114" s="120"/>
      <c r="O114" s="20">
        <f t="shared" si="28"/>
        <v>1278360572.446125</v>
      </c>
      <c r="P114" s="135">
        <f t="shared" si="29"/>
        <v>3.048010009495589E-2</v>
      </c>
    </row>
    <row r="115" spans="1:16" s="46" customFormat="1" ht="15" hidden="1" outlineLevel="1" x14ac:dyDescent="0.25">
      <c r="A115" s="53" t="s">
        <v>240</v>
      </c>
      <c r="B115" s="9"/>
      <c r="C115" s="9"/>
      <c r="D115" s="9"/>
      <c r="E115" s="11"/>
      <c r="F115" s="9"/>
      <c r="G115" s="11">
        <f>+'[21]COMPARACIÓN PPC 2016 - 2017'!$O$28</f>
        <v>400272293.51999998</v>
      </c>
      <c r="H115" s="11">
        <f>+B115+C115+D115+G115+E115+F115</f>
        <v>400272293.51999998</v>
      </c>
      <c r="I115" s="9"/>
      <c r="J115" s="20">
        <f>+H115+I115</f>
        <v>400272293.51999998</v>
      </c>
      <c r="K115" s="120"/>
      <c r="L115" s="120"/>
      <c r="M115" s="120"/>
      <c r="N115" s="120"/>
      <c r="O115" s="20">
        <f t="shared" si="28"/>
        <v>400272293.51999998</v>
      </c>
      <c r="P115" s="135">
        <f t="shared" si="29"/>
        <v>9.5437389377411603E-3</v>
      </c>
    </row>
    <row r="116" spans="1:16" s="46" customFormat="1" ht="15" hidden="1" outlineLevel="1" x14ac:dyDescent="0.25">
      <c r="A116" s="53" t="s">
        <v>123</v>
      </c>
      <c r="B116" s="9"/>
      <c r="C116" s="9"/>
      <c r="D116" s="9"/>
      <c r="E116" s="11"/>
      <c r="F116" s="9"/>
      <c r="G116" s="11">
        <f>+'[21]COMPARACIÓN PPC 2016 - 2017'!$O$29</f>
        <v>98033016.420000002</v>
      </c>
      <c r="H116" s="11">
        <f>+B116+C116+D116+G116+E116+F116</f>
        <v>98033016.420000002</v>
      </c>
      <c r="I116" s="9"/>
      <c r="J116" s="20">
        <f>+H116+I116</f>
        <v>98033016.420000002</v>
      </c>
      <c r="K116" s="120"/>
      <c r="L116" s="120"/>
      <c r="M116" s="120"/>
      <c r="N116" s="120"/>
      <c r="O116" s="20">
        <f t="shared" si="28"/>
        <v>98033016.420000002</v>
      </c>
      <c r="P116" s="135">
        <f t="shared" si="29"/>
        <v>2.3374126341947879E-3</v>
      </c>
    </row>
    <row r="117" spans="1:16" s="46" customFormat="1" ht="15" hidden="1" outlineLevel="1" x14ac:dyDescent="0.25">
      <c r="A117" s="53" t="s">
        <v>241</v>
      </c>
      <c r="B117" s="9"/>
      <c r="C117" s="9"/>
      <c r="D117" s="9"/>
      <c r="E117" s="11"/>
      <c r="F117" s="9"/>
      <c r="G117" s="11">
        <f>+'[21]COMPARACIÓN PPC 2016 - 2017'!$O$30</f>
        <v>1884598567.2024915</v>
      </c>
      <c r="H117" s="11">
        <f>+B117+C117+D117+G117+E117+F117</f>
        <v>1884598567.2024915</v>
      </c>
      <c r="I117" s="9"/>
      <c r="J117" s="20">
        <f>+H117+I117</f>
        <v>1884598567.2024915</v>
      </c>
      <c r="K117" s="120">
        <v>240000000</v>
      </c>
      <c r="L117" s="120"/>
      <c r="M117" s="120">
        <v>300000000</v>
      </c>
      <c r="N117" s="120"/>
      <c r="O117" s="20">
        <f t="shared" si="28"/>
        <v>2424598567.2024918</v>
      </c>
      <c r="P117" s="135">
        <f t="shared" si="29"/>
        <v>5.7809986173938489E-2</v>
      </c>
    </row>
    <row r="118" spans="1:16" s="46" customFormat="1" ht="15" collapsed="1" x14ac:dyDescent="0.25">
      <c r="A118" s="64" t="s">
        <v>9</v>
      </c>
      <c r="B118" s="9"/>
      <c r="C118" s="9"/>
      <c r="D118" s="9"/>
      <c r="E118" s="14"/>
      <c r="F118" s="9"/>
      <c r="G118" s="14">
        <f>SUM(G119:G120)</f>
        <v>711098100</v>
      </c>
      <c r="H118" s="14">
        <f>SUM(H119:H120)</f>
        <v>711098100</v>
      </c>
      <c r="I118" s="9"/>
      <c r="J118" s="14">
        <f>SUM(J119:J120)</f>
        <v>711098100</v>
      </c>
      <c r="K118" s="114">
        <f>SUM(K119:K120)</f>
        <v>0</v>
      </c>
      <c r="L118" s="114">
        <f>SUM(L119:L120)</f>
        <v>0</v>
      </c>
      <c r="M118" s="114">
        <f>SUM(M119:M120)</f>
        <v>-105000000</v>
      </c>
      <c r="N118" s="114">
        <f>SUM(N119:N120)</f>
        <v>0</v>
      </c>
      <c r="O118" s="14">
        <f t="shared" si="28"/>
        <v>606098100</v>
      </c>
      <c r="P118" s="130">
        <f t="shared" si="29"/>
        <v>1.4451267626326253E-2</v>
      </c>
    </row>
    <row r="119" spans="1:16" s="46" customFormat="1" ht="15" hidden="1" outlineLevel="1" x14ac:dyDescent="0.25">
      <c r="A119" s="53" t="s">
        <v>30</v>
      </c>
      <c r="B119" s="9"/>
      <c r="C119" s="9"/>
      <c r="D119" s="9"/>
      <c r="E119" s="11"/>
      <c r="F119" s="9"/>
      <c r="G119" s="11">
        <f>+'[21]COMPARACIÓN PPC 2016 - 2017'!$O$34</f>
        <v>461966200</v>
      </c>
      <c r="H119" s="11">
        <f>+B119+C119+D119+G119+E119+F119</f>
        <v>461966200</v>
      </c>
      <c r="I119" s="9"/>
      <c r="J119" s="20">
        <f>+H119+I119</f>
        <v>461966200</v>
      </c>
      <c r="K119" s="120"/>
      <c r="L119" s="120"/>
      <c r="M119" s="120">
        <v>-55000000</v>
      </c>
      <c r="N119" s="120"/>
      <c r="O119" s="20">
        <f t="shared" si="28"/>
        <v>406966200</v>
      </c>
      <c r="P119" s="135">
        <f t="shared" si="29"/>
        <v>9.7033425299782577E-3</v>
      </c>
    </row>
    <row r="120" spans="1:16" s="46" customFormat="1" ht="15" hidden="1" outlineLevel="1" x14ac:dyDescent="0.25">
      <c r="A120" s="53" t="s">
        <v>99</v>
      </c>
      <c r="B120" s="9"/>
      <c r="C120" s="9"/>
      <c r="D120" s="9"/>
      <c r="E120" s="11"/>
      <c r="F120" s="9"/>
      <c r="G120" s="11">
        <f>+'[21]COMPARACIÓN PPC 2016 - 2017'!$O$38</f>
        <v>249131900</v>
      </c>
      <c r="H120" s="11">
        <f>+B120+C120+D120+G120+E120+F120</f>
        <v>249131900</v>
      </c>
      <c r="I120" s="9"/>
      <c r="J120" s="20">
        <f>+H120+I120</f>
        <v>249131900</v>
      </c>
      <c r="K120" s="120"/>
      <c r="L120" s="120"/>
      <c r="M120" s="120">
        <v>-50000000</v>
      </c>
      <c r="N120" s="120"/>
      <c r="O120" s="20">
        <f t="shared" si="28"/>
        <v>199131900</v>
      </c>
      <c r="P120" s="135">
        <f t="shared" si="29"/>
        <v>4.7479250963479956E-3</v>
      </c>
    </row>
    <row r="121" spans="1:16" s="46" customFormat="1" ht="15" collapsed="1" x14ac:dyDescent="0.25">
      <c r="A121" s="64" t="s">
        <v>124</v>
      </c>
      <c r="B121" s="9"/>
      <c r="C121" s="9"/>
      <c r="D121" s="9"/>
      <c r="E121" s="14"/>
      <c r="F121" s="9"/>
      <c r="G121" s="14">
        <f>SUM(G122:G126)</f>
        <v>949408000</v>
      </c>
      <c r="H121" s="14">
        <f>SUM(H122:H126)</f>
        <v>949408000</v>
      </c>
      <c r="I121" s="9"/>
      <c r="J121" s="14">
        <f>SUM(J122:J126)</f>
        <v>949408000</v>
      </c>
      <c r="K121" s="114">
        <f>SUM(K122:K126)</f>
        <v>0</v>
      </c>
      <c r="L121" s="114">
        <f>SUM(L122:L126)</f>
        <v>0</v>
      </c>
      <c r="M121" s="114">
        <f>SUM(M122:M126)</f>
        <v>0</v>
      </c>
      <c r="N121" s="114">
        <f>SUM(N122:N126)</f>
        <v>0</v>
      </c>
      <c r="O121" s="14">
        <f t="shared" si="28"/>
        <v>949408000</v>
      </c>
      <c r="P121" s="130">
        <f t="shared" si="29"/>
        <v>2.2636845577597351E-2</v>
      </c>
    </row>
    <row r="122" spans="1:16" s="46" customFormat="1" ht="15" hidden="1" outlineLevel="1" x14ac:dyDescent="0.25">
      <c r="A122" s="53" t="s">
        <v>92</v>
      </c>
      <c r="B122" s="9"/>
      <c r="C122" s="9"/>
      <c r="D122" s="9"/>
      <c r="E122" s="11"/>
      <c r="F122" s="9"/>
      <c r="G122" s="11">
        <f>+'[21]COMPARACIÓN PPC 2016 - 2017'!$O$51</f>
        <v>149675000</v>
      </c>
      <c r="H122" s="11">
        <f>+B122+C122+D122+G122+E122+F122</f>
        <v>149675000</v>
      </c>
      <c r="I122" s="9"/>
      <c r="J122" s="20">
        <f>+H122+I122</f>
        <v>149675000</v>
      </c>
      <c r="K122" s="120"/>
      <c r="L122" s="120"/>
      <c r="M122" s="120"/>
      <c r="N122" s="120"/>
      <c r="O122" s="20">
        <f t="shared" si="28"/>
        <v>149675000</v>
      </c>
      <c r="P122" s="135">
        <f t="shared" si="29"/>
        <v>3.5687184664832013E-3</v>
      </c>
    </row>
    <row r="123" spans="1:16" s="46" customFormat="1" ht="15" hidden="1" outlineLevel="1" x14ac:dyDescent="0.25">
      <c r="A123" s="53" t="s">
        <v>221</v>
      </c>
      <c r="B123" s="9"/>
      <c r="C123" s="9"/>
      <c r="D123" s="9"/>
      <c r="E123" s="11"/>
      <c r="F123" s="9"/>
      <c r="G123" s="11">
        <f>+'[21]COMPARACIÓN PPC 2016 - 2017'!$O$52</f>
        <v>524070500.00000006</v>
      </c>
      <c r="H123" s="11">
        <f>+B123+C123+D123+G123+E123+F123</f>
        <v>524070500.00000006</v>
      </c>
      <c r="I123" s="9"/>
      <c r="J123" s="20">
        <f>+H123+I123</f>
        <v>524070500.00000006</v>
      </c>
      <c r="K123" s="120"/>
      <c r="L123" s="120"/>
      <c r="M123" s="120"/>
      <c r="N123" s="120"/>
      <c r="O123" s="20">
        <f t="shared" si="28"/>
        <v>524070500.00000006</v>
      </c>
      <c r="P123" s="135">
        <f t="shared" si="29"/>
        <v>1.2495474000929246E-2</v>
      </c>
    </row>
    <row r="124" spans="1:16" s="46" customFormat="1" ht="15" hidden="1" outlineLevel="1" x14ac:dyDescent="0.25">
      <c r="A124" s="53" t="s">
        <v>190</v>
      </c>
      <c r="B124" s="9"/>
      <c r="C124" s="9"/>
      <c r="D124" s="9"/>
      <c r="E124" s="11"/>
      <c r="F124" s="9"/>
      <c r="G124" s="11">
        <f>+'[21]COMPARACIÓN PPC 2016 - 2017'!$O$53</f>
        <v>59650000</v>
      </c>
      <c r="H124" s="11">
        <f>+B124+C124+D124+G124+E124+F124</f>
        <v>59650000</v>
      </c>
      <c r="I124" s="9"/>
      <c r="J124" s="20">
        <f>+H124+I124</f>
        <v>59650000</v>
      </c>
      <c r="K124" s="120"/>
      <c r="L124" s="120"/>
      <c r="M124" s="120"/>
      <c r="N124" s="120"/>
      <c r="O124" s="20">
        <f t="shared" si="28"/>
        <v>59650000</v>
      </c>
      <c r="P124" s="135">
        <f t="shared" si="29"/>
        <v>1.4222419009568929E-3</v>
      </c>
    </row>
    <row r="125" spans="1:16" s="46" customFormat="1" ht="15" hidden="1" outlineLevel="1" x14ac:dyDescent="0.25">
      <c r="A125" s="53" t="s">
        <v>220</v>
      </c>
      <c r="B125" s="9"/>
      <c r="C125" s="9"/>
      <c r="D125" s="9"/>
      <c r="E125" s="11"/>
      <c r="F125" s="9"/>
      <c r="G125" s="11">
        <f>+'[21]COMPARACIÓN PPC 2016 - 2017'!$O$54</f>
        <v>207912500</v>
      </c>
      <c r="H125" s="11">
        <f>+B125+C125+D125+G125+E125+F125</f>
        <v>207912500</v>
      </c>
      <c r="I125" s="9"/>
      <c r="J125" s="20">
        <f>+H125+I125</f>
        <v>207912500</v>
      </c>
      <c r="K125" s="120"/>
      <c r="L125" s="120"/>
      <c r="M125" s="120"/>
      <c r="N125" s="120"/>
      <c r="O125" s="20">
        <f t="shared" si="28"/>
        <v>207912500</v>
      </c>
      <c r="P125" s="135">
        <f t="shared" si="29"/>
        <v>4.9572819653428335E-3</v>
      </c>
    </row>
    <row r="126" spans="1:16" s="46" customFormat="1" ht="15" hidden="1" outlineLevel="1" x14ac:dyDescent="0.25">
      <c r="A126" s="53" t="s">
        <v>229</v>
      </c>
      <c r="B126" s="9"/>
      <c r="C126" s="9"/>
      <c r="D126" s="9"/>
      <c r="E126" s="11"/>
      <c r="F126" s="9"/>
      <c r="G126" s="11">
        <f>+'[21]COMPARACIÓN PPC 2016 - 2017'!$O$55</f>
        <v>8100000</v>
      </c>
      <c r="H126" s="11">
        <f>+B126+C126+D126+G126+E126+F126</f>
        <v>8100000</v>
      </c>
      <c r="I126" s="9"/>
      <c r="J126" s="20">
        <f>+H126+I126</f>
        <v>8100000</v>
      </c>
      <c r="K126" s="120"/>
      <c r="L126" s="120"/>
      <c r="M126" s="120"/>
      <c r="N126" s="120"/>
      <c r="O126" s="20">
        <f t="shared" si="28"/>
        <v>8100000</v>
      </c>
      <c r="P126" s="135">
        <f t="shared" si="29"/>
        <v>1.9312924388517743E-4</v>
      </c>
    </row>
    <row r="127" spans="1:16" s="46" customFormat="1" ht="15" collapsed="1" x14ac:dyDescent="0.25">
      <c r="A127" s="64" t="s">
        <v>7</v>
      </c>
      <c r="B127" s="9"/>
      <c r="C127" s="9"/>
      <c r="D127" s="9"/>
      <c r="E127" s="14"/>
      <c r="F127" s="9"/>
      <c r="G127" s="14">
        <f>SUM(G128:G129)</f>
        <v>565333472.08749998</v>
      </c>
      <c r="H127" s="14">
        <f>SUM(H128:H129)</f>
        <v>565333472.08749998</v>
      </c>
      <c r="I127" s="9"/>
      <c r="J127" s="14">
        <f>SUM(J128:J129)</f>
        <v>565333472.08749998</v>
      </c>
      <c r="K127" s="114">
        <f>SUM(K128:K129)</f>
        <v>0</v>
      </c>
      <c r="L127" s="114">
        <f>SUM(L128:L129)</f>
        <v>0</v>
      </c>
      <c r="M127" s="114">
        <f>SUM(M128:M129)</f>
        <v>0</v>
      </c>
      <c r="N127" s="114">
        <f>SUM(N128:N129)</f>
        <v>0</v>
      </c>
      <c r="O127" s="14">
        <f t="shared" si="28"/>
        <v>565333472.08749998</v>
      </c>
      <c r="P127" s="130">
        <f t="shared" si="29"/>
        <v>1.3479311852745793E-2</v>
      </c>
    </row>
    <row r="128" spans="1:16" s="46" customFormat="1" ht="15" hidden="1" outlineLevel="1" x14ac:dyDescent="0.25">
      <c r="A128" s="53" t="s">
        <v>47</v>
      </c>
      <c r="B128" s="9"/>
      <c r="C128" s="9"/>
      <c r="D128" s="9"/>
      <c r="E128" s="11"/>
      <c r="F128" s="9"/>
      <c r="G128" s="11">
        <f>+'[21]COMPARACIÓN PPC 2016 - 2017'!$O$57</f>
        <v>320941573.71249998</v>
      </c>
      <c r="H128" s="11">
        <f>+B128+C128+D128+G128+E128+F128</f>
        <v>320941573.71249998</v>
      </c>
      <c r="I128" s="9"/>
      <c r="J128" s="20">
        <f>+H128+I128</f>
        <v>320941573.71249998</v>
      </c>
      <c r="K128" s="120"/>
      <c r="L128" s="120"/>
      <c r="M128" s="120"/>
      <c r="N128" s="120"/>
      <c r="O128" s="20">
        <f t="shared" si="28"/>
        <v>320941573.71249998</v>
      </c>
      <c r="P128" s="135">
        <f t="shared" si="29"/>
        <v>7.6522473410387728E-3</v>
      </c>
    </row>
    <row r="129" spans="1:16" s="46" customFormat="1" ht="15" hidden="1" outlineLevel="1" x14ac:dyDescent="0.25">
      <c r="A129" s="53" t="s">
        <v>112</v>
      </c>
      <c r="B129" s="9"/>
      <c r="C129" s="9"/>
      <c r="D129" s="9"/>
      <c r="E129" s="11"/>
      <c r="F129" s="9"/>
      <c r="G129" s="11">
        <f>+'[21]COMPARACIÓN PPC 2016 - 2017'!$O$62</f>
        <v>244391898.375</v>
      </c>
      <c r="H129" s="11">
        <f>+B129+C129+D129+G129+E129+F129</f>
        <v>244391898.375</v>
      </c>
      <c r="I129" s="9"/>
      <c r="J129" s="20">
        <f>+H129+I129</f>
        <v>244391898.375</v>
      </c>
      <c r="K129" s="120"/>
      <c r="L129" s="120"/>
      <c r="M129" s="120"/>
      <c r="N129" s="120"/>
      <c r="O129" s="20">
        <f t="shared" si="28"/>
        <v>244391898.375</v>
      </c>
      <c r="P129" s="135">
        <f t="shared" si="29"/>
        <v>5.8270645117070212E-3</v>
      </c>
    </row>
    <row r="130" spans="1:16" s="46" customFormat="1" ht="15" collapsed="1" x14ac:dyDescent="0.25">
      <c r="A130" s="64" t="s">
        <v>75</v>
      </c>
      <c r="B130" s="9"/>
      <c r="C130" s="9"/>
      <c r="D130" s="9"/>
      <c r="E130" s="9"/>
      <c r="F130" s="9"/>
      <c r="G130" s="9">
        <f>SUM(G131:G133)</f>
        <v>7713574940.3000031</v>
      </c>
      <c r="H130" s="9">
        <f>SUM(H131:H133)</f>
        <v>7713574940.3000031</v>
      </c>
      <c r="I130" s="9"/>
      <c r="J130" s="9">
        <f>SUM(J131:J133)</f>
        <v>7713574940.3000031</v>
      </c>
      <c r="K130" s="116">
        <f>SUM(K131:K133)</f>
        <v>0</v>
      </c>
      <c r="L130" s="116">
        <f>SUM(L131:L133)</f>
        <v>0</v>
      </c>
      <c r="M130" s="116">
        <f>SUM(M131:M133)</f>
        <v>0</v>
      </c>
      <c r="N130" s="116">
        <f>SUM(N131:N133)</f>
        <v>0</v>
      </c>
      <c r="O130" s="9">
        <f t="shared" si="28"/>
        <v>7713574940.3000031</v>
      </c>
      <c r="P130" s="131">
        <f t="shared" si="29"/>
        <v>0.18391566615701138</v>
      </c>
    </row>
    <row r="131" spans="1:16" s="46" customFormat="1" ht="15" hidden="1" outlineLevel="1" x14ac:dyDescent="0.25">
      <c r="A131" s="53" t="s">
        <v>87</v>
      </c>
      <c r="B131" s="9"/>
      <c r="C131" s="9"/>
      <c r="D131" s="9"/>
      <c r="E131" s="20"/>
      <c r="F131" s="9"/>
      <c r="G131" s="20">
        <f>+'[21]COMPARACIÓN PPC 2016 - 2017'!$O$64</f>
        <v>7511647162.2800026</v>
      </c>
      <c r="H131" s="11">
        <f>+B131+C131+D131+G131+E131+F131</f>
        <v>7511647162.2800026</v>
      </c>
      <c r="I131" s="9"/>
      <c r="J131" s="20">
        <f>+H131+I131</f>
        <v>7511647162.2800026</v>
      </c>
      <c r="K131" s="120"/>
      <c r="L131" s="120"/>
      <c r="M131" s="120"/>
      <c r="N131" s="120"/>
      <c r="O131" s="20">
        <f t="shared" si="28"/>
        <v>7511647162.2800026</v>
      </c>
      <c r="P131" s="135">
        <f t="shared" si="29"/>
        <v>0.17910107861523156</v>
      </c>
    </row>
    <row r="132" spans="1:16" s="46" customFormat="1" ht="15" hidden="1" outlineLevel="1" x14ac:dyDescent="0.25">
      <c r="A132" s="53" t="s">
        <v>125</v>
      </c>
      <c r="B132" s="9"/>
      <c r="C132" s="9"/>
      <c r="D132" s="9"/>
      <c r="E132" s="20"/>
      <c r="F132" s="9"/>
      <c r="G132" s="20">
        <f>+'[21]COMPARACIÓN PPC 2016 - 2017'!$O$67</f>
        <v>122862549.60000001</v>
      </c>
      <c r="H132" s="11">
        <f>+B132+C132+D132+G132+E132+F132</f>
        <v>122862549.60000001</v>
      </c>
      <c r="I132" s="9"/>
      <c r="J132" s="20">
        <f>+H132+I132</f>
        <v>122862549.60000001</v>
      </c>
      <c r="K132" s="120"/>
      <c r="L132" s="120"/>
      <c r="M132" s="120"/>
      <c r="N132" s="120"/>
      <c r="O132" s="20">
        <f t="shared" si="28"/>
        <v>122862549.60000001</v>
      </c>
      <c r="P132" s="135">
        <f t="shared" si="29"/>
        <v>2.9294260871670507E-3</v>
      </c>
    </row>
    <row r="133" spans="1:16" s="46" customFormat="1" ht="15" hidden="1" outlineLevel="1" x14ac:dyDescent="0.25">
      <c r="A133" s="53" t="s">
        <v>77</v>
      </c>
      <c r="B133" s="9"/>
      <c r="C133" s="9"/>
      <c r="D133" s="9"/>
      <c r="E133" s="20"/>
      <c r="F133" s="9"/>
      <c r="G133" s="20">
        <f>+'[21]COMPARACIÓN PPC 2016 - 2017'!$O$70</f>
        <v>79065228.420000002</v>
      </c>
      <c r="H133" s="11">
        <f>+B133+C133+D133+G133+E133+F133</f>
        <v>79065228.420000002</v>
      </c>
      <c r="I133" s="9"/>
      <c r="J133" s="20">
        <f>+H133+I133</f>
        <v>79065228.420000002</v>
      </c>
      <c r="K133" s="120"/>
      <c r="L133" s="120"/>
      <c r="M133" s="120"/>
      <c r="N133" s="120"/>
      <c r="O133" s="20">
        <f t="shared" si="28"/>
        <v>79065228.420000002</v>
      </c>
      <c r="P133" s="135">
        <f t="shared" si="29"/>
        <v>1.8851614546127706E-3</v>
      </c>
    </row>
    <row r="134" spans="1:16" s="46" customFormat="1" ht="15" collapsed="1" x14ac:dyDescent="0.25">
      <c r="A134" s="53"/>
      <c r="B134" s="9"/>
      <c r="C134" s="9"/>
      <c r="D134" s="9"/>
      <c r="E134" s="20"/>
      <c r="F134" s="9"/>
      <c r="G134" s="20"/>
      <c r="H134" s="11"/>
      <c r="I134" s="9"/>
      <c r="J134" s="20"/>
      <c r="K134" s="120"/>
      <c r="L134" s="120"/>
      <c r="M134" s="120"/>
      <c r="N134" s="120"/>
      <c r="O134" s="20"/>
      <c r="P134" s="135"/>
    </row>
    <row r="135" spans="1:16" s="78" customFormat="1" ht="15" x14ac:dyDescent="0.25">
      <c r="A135" s="64" t="s">
        <v>165</v>
      </c>
      <c r="B135" s="76"/>
      <c r="C135" s="14">
        <f>+C136+C140+C143+C146</f>
        <v>1580111549.895</v>
      </c>
      <c r="D135" s="76"/>
      <c r="E135" s="77"/>
      <c r="F135" s="76"/>
      <c r="G135" s="77"/>
      <c r="H135" s="14">
        <f>+H136+H140+H143+H146</f>
        <v>1580111549.895</v>
      </c>
      <c r="I135" s="76"/>
      <c r="J135" s="14">
        <f>+H135+I135</f>
        <v>1580111549.895</v>
      </c>
      <c r="K135" s="14">
        <f>+K136+K140+K143+K146</f>
        <v>83103328.105000004</v>
      </c>
      <c r="L135" s="14">
        <f>+L136+L140+L143+L146</f>
        <v>16000000</v>
      </c>
      <c r="M135" s="14">
        <f>+M136+M140+M143+M146</f>
        <v>3000000</v>
      </c>
      <c r="N135" s="14">
        <f>+N136+N140+N143+N146</f>
        <v>0</v>
      </c>
      <c r="O135" s="14">
        <f t="shared" ref="O135:O147" si="30">+J135+K135+L135+M135+N135</f>
        <v>1682214878</v>
      </c>
      <c r="P135" s="136">
        <f t="shared" ref="P135:P147" si="31">+O135/$O$204</f>
        <v>4.0109245363029136E-2</v>
      </c>
    </row>
    <row r="136" spans="1:16" s="46" customFormat="1" ht="15" x14ac:dyDescent="0.25">
      <c r="A136" s="64" t="s">
        <v>132</v>
      </c>
      <c r="B136" s="76"/>
      <c r="C136" s="9">
        <f>SUM(C137:C139)</f>
        <v>416703112.57500005</v>
      </c>
      <c r="D136" s="9"/>
      <c r="E136" s="9"/>
      <c r="F136" s="9"/>
      <c r="G136" s="9"/>
      <c r="H136" s="14">
        <f>+B136+C136+D136+G136+E136+F136</f>
        <v>416703112.57500005</v>
      </c>
      <c r="I136" s="14"/>
      <c r="J136" s="9">
        <f>SUM(J137:J139)</f>
        <v>416703112.57500005</v>
      </c>
      <c r="K136" s="9">
        <f>SUM(K137:K139)</f>
        <v>0</v>
      </c>
      <c r="L136" s="9">
        <f>SUM(L137:L139)</f>
        <v>0</v>
      </c>
      <c r="M136" s="9">
        <f>SUM(M137:M139)</f>
        <v>0</v>
      </c>
      <c r="N136" s="9">
        <f>SUM(N137:N139)</f>
        <v>0</v>
      </c>
      <c r="O136" s="9">
        <f t="shared" si="30"/>
        <v>416703112.57500005</v>
      </c>
      <c r="P136" s="137">
        <f t="shared" si="31"/>
        <v>9.9355008711370044E-3</v>
      </c>
    </row>
    <row r="137" spans="1:16" s="46" customFormat="1" ht="15" hidden="1" outlineLevel="1" x14ac:dyDescent="0.25">
      <c r="A137" s="53" t="s">
        <v>191</v>
      </c>
      <c r="B137" s="76"/>
      <c r="C137" s="20">
        <v>292453112.57500005</v>
      </c>
      <c r="D137" s="9"/>
      <c r="E137" s="9"/>
      <c r="F137" s="9"/>
      <c r="G137" s="9"/>
      <c r="H137" s="20">
        <f>+B137+C137+D137+G137+E137+F137</f>
        <v>292453112.57500005</v>
      </c>
      <c r="I137" s="14"/>
      <c r="J137" s="20">
        <f t="shared" ref="J137:J145" si="32">+H137+I137</f>
        <v>292453112.57500005</v>
      </c>
      <c r="K137" s="120"/>
      <c r="L137" s="120"/>
      <c r="M137" s="120"/>
      <c r="N137" s="120"/>
      <c r="O137" s="20">
        <f t="shared" si="30"/>
        <v>292453112.57500005</v>
      </c>
      <c r="P137" s="135">
        <f t="shared" si="31"/>
        <v>6.9729936424044979E-3</v>
      </c>
    </row>
    <row r="138" spans="1:16" s="46" customFormat="1" ht="15" hidden="1" outlineLevel="1" x14ac:dyDescent="0.25">
      <c r="A138" s="53" t="s">
        <v>166</v>
      </c>
      <c r="B138" s="76"/>
      <c r="C138" s="20">
        <v>45250000</v>
      </c>
      <c r="D138" s="9"/>
      <c r="E138" s="9"/>
      <c r="F138" s="9"/>
      <c r="G138" s="9"/>
      <c r="H138" s="20">
        <f t="shared" ref="H138:H145" si="33">+B138+C138+D138+G138+E138+F138</f>
        <v>45250000</v>
      </c>
      <c r="I138" s="14"/>
      <c r="J138" s="20">
        <f t="shared" si="32"/>
        <v>45250000</v>
      </c>
      <c r="K138" s="120"/>
      <c r="L138" s="120"/>
      <c r="M138" s="120"/>
      <c r="N138" s="120"/>
      <c r="O138" s="20">
        <f t="shared" si="30"/>
        <v>45250000</v>
      </c>
      <c r="P138" s="135">
        <f t="shared" si="31"/>
        <v>1.0789010229387999E-3</v>
      </c>
    </row>
    <row r="139" spans="1:16" s="46" customFormat="1" ht="15" hidden="1" outlineLevel="1" x14ac:dyDescent="0.25">
      <c r="A139" s="53" t="s">
        <v>192</v>
      </c>
      <c r="B139" s="76"/>
      <c r="C139" s="20">
        <v>79000000</v>
      </c>
      <c r="D139" s="9"/>
      <c r="E139" s="9"/>
      <c r="F139" s="9"/>
      <c r="G139" s="9"/>
      <c r="H139" s="20">
        <f t="shared" si="33"/>
        <v>79000000</v>
      </c>
      <c r="I139" s="14"/>
      <c r="J139" s="20">
        <f t="shared" si="32"/>
        <v>79000000</v>
      </c>
      <c r="K139" s="120"/>
      <c r="L139" s="120"/>
      <c r="M139" s="120"/>
      <c r="N139" s="120"/>
      <c r="O139" s="20">
        <f t="shared" si="30"/>
        <v>79000000</v>
      </c>
      <c r="P139" s="135">
        <f t="shared" si="31"/>
        <v>1.8836062057937058E-3</v>
      </c>
    </row>
    <row r="140" spans="1:16" s="46" customFormat="1" ht="15" collapsed="1" x14ac:dyDescent="0.25">
      <c r="A140" s="64" t="s">
        <v>133</v>
      </c>
      <c r="B140" s="76"/>
      <c r="C140" s="9">
        <f>SUM(C141:C142)</f>
        <v>968567958.02499998</v>
      </c>
      <c r="D140" s="9"/>
      <c r="E140" s="9"/>
      <c r="F140" s="9"/>
      <c r="G140" s="9"/>
      <c r="H140" s="14">
        <f>+B140+C140+D140+G140+E140+F140</f>
        <v>968567958.02499998</v>
      </c>
      <c r="I140" s="14"/>
      <c r="J140" s="9">
        <f>SUM(J141:J142)</f>
        <v>968567958.02499998</v>
      </c>
      <c r="K140" s="116">
        <f>SUM(K141:K142)</f>
        <v>0</v>
      </c>
      <c r="L140" s="116">
        <f>SUM(L141:L142)</f>
        <v>16000000</v>
      </c>
      <c r="M140" s="116">
        <f>SUM(M141:M142)</f>
        <v>16000000</v>
      </c>
      <c r="N140" s="116">
        <f>SUM(N141:N142)</f>
        <v>0</v>
      </c>
      <c r="O140" s="9">
        <f t="shared" si="30"/>
        <v>1000567958.025</v>
      </c>
      <c r="P140" s="131">
        <f t="shared" si="31"/>
        <v>2.3856658418407926E-2</v>
      </c>
    </row>
    <row r="141" spans="1:16" s="46" customFormat="1" ht="15" hidden="1" outlineLevel="1" x14ac:dyDescent="0.25">
      <c r="A141" s="53" t="s">
        <v>193</v>
      </c>
      <c r="B141" s="76"/>
      <c r="C141" s="20">
        <v>718137458.02499998</v>
      </c>
      <c r="D141" s="9"/>
      <c r="E141" s="9"/>
      <c r="F141" s="9"/>
      <c r="G141" s="9"/>
      <c r="H141" s="20">
        <f t="shared" si="33"/>
        <v>718137458.02499998</v>
      </c>
      <c r="I141" s="14"/>
      <c r="J141" s="20">
        <f t="shared" si="32"/>
        <v>718137458.02499998</v>
      </c>
      <c r="K141" s="120"/>
      <c r="L141" s="120"/>
      <c r="M141" s="120"/>
      <c r="N141" s="120"/>
      <c r="O141" s="20">
        <f t="shared" si="30"/>
        <v>718137458.02499998</v>
      </c>
      <c r="P141" s="135">
        <f t="shared" si="31"/>
        <v>1.7122635095554516E-2</v>
      </c>
    </row>
    <row r="142" spans="1:16" s="46" customFormat="1" ht="15" hidden="1" outlineLevel="1" x14ac:dyDescent="0.25">
      <c r="A142" s="53" t="s">
        <v>194</v>
      </c>
      <c r="B142" s="76"/>
      <c r="C142" s="20">
        <v>250430500</v>
      </c>
      <c r="D142" s="9"/>
      <c r="E142" s="9"/>
      <c r="F142" s="9"/>
      <c r="G142" s="9"/>
      <c r="H142" s="20">
        <f>+B142+C142+D142+G142+E142+F142</f>
        <v>250430500</v>
      </c>
      <c r="I142" s="14"/>
      <c r="J142" s="20">
        <f t="shared" si="32"/>
        <v>250430500</v>
      </c>
      <c r="K142" s="120"/>
      <c r="L142" s="120">
        <v>16000000</v>
      </c>
      <c r="M142" s="120">
        <v>16000000</v>
      </c>
      <c r="N142" s="120"/>
      <c r="O142" s="20">
        <f t="shared" si="30"/>
        <v>282430500</v>
      </c>
      <c r="P142" s="135">
        <f t="shared" si="31"/>
        <v>6.7340233228534076E-3</v>
      </c>
    </row>
    <row r="143" spans="1:16" s="46" customFormat="1" ht="15" collapsed="1" x14ac:dyDescent="0.25">
      <c r="A143" s="64" t="s">
        <v>134</v>
      </c>
      <c r="B143" s="76"/>
      <c r="C143" s="9">
        <f>SUM(C144:C145)</f>
        <v>194840479.29500002</v>
      </c>
      <c r="D143" s="9"/>
      <c r="E143" s="9"/>
      <c r="F143" s="9"/>
      <c r="G143" s="9"/>
      <c r="H143" s="14">
        <f>+B143+C143+D143+G143+E143+F143</f>
        <v>194840479.29500002</v>
      </c>
      <c r="I143" s="14"/>
      <c r="J143" s="9">
        <f>SUM(J144:J145)</f>
        <v>194840479.29500002</v>
      </c>
      <c r="K143" s="116">
        <f>SUM(K144:K145)</f>
        <v>0</v>
      </c>
      <c r="L143" s="116">
        <f>SUM(L144:L145)</f>
        <v>0</v>
      </c>
      <c r="M143" s="116">
        <f>SUM(M144:M145)</f>
        <v>0</v>
      </c>
      <c r="N143" s="116">
        <f>SUM(N144:N145)</f>
        <v>0</v>
      </c>
      <c r="O143" s="9">
        <f t="shared" si="30"/>
        <v>194840479.29500002</v>
      </c>
      <c r="P143" s="131">
        <f t="shared" si="31"/>
        <v>4.6456042524035705E-3</v>
      </c>
    </row>
    <row r="144" spans="1:16" s="46" customFormat="1" ht="15" hidden="1" outlineLevel="1" x14ac:dyDescent="0.25">
      <c r="A144" s="53" t="s">
        <v>195</v>
      </c>
      <c r="B144" s="76"/>
      <c r="C144" s="20">
        <v>82496414.495000005</v>
      </c>
      <c r="D144" s="9"/>
      <c r="E144" s="9"/>
      <c r="F144" s="9"/>
      <c r="G144" s="9"/>
      <c r="H144" s="20">
        <f t="shared" si="33"/>
        <v>82496414.495000005</v>
      </c>
      <c r="I144" s="14"/>
      <c r="J144" s="20">
        <f t="shared" si="32"/>
        <v>82496414.495000005</v>
      </c>
      <c r="K144" s="120"/>
      <c r="L144" s="120"/>
      <c r="M144" s="120"/>
      <c r="N144" s="120"/>
      <c r="O144" s="20">
        <f t="shared" si="30"/>
        <v>82496414.495000005</v>
      </c>
      <c r="P144" s="135">
        <f t="shared" si="31"/>
        <v>1.9669716240317955E-3</v>
      </c>
    </row>
    <row r="145" spans="1:16" s="46" customFormat="1" ht="15" hidden="1" outlineLevel="1" x14ac:dyDescent="0.25">
      <c r="A145" s="53" t="s">
        <v>169</v>
      </c>
      <c r="B145" s="76"/>
      <c r="C145" s="20">
        <v>112344064.80000001</v>
      </c>
      <c r="D145" s="9"/>
      <c r="E145" s="9"/>
      <c r="F145" s="9"/>
      <c r="G145" s="9"/>
      <c r="H145" s="20">
        <f t="shared" si="33"/>
        <v>112344064.80000001</v>
      </c>
      <c r="I145" s="14"/>
      <c r="J145" s="20">
        <f t="shared" si="32"/>
        <v>112344064.80000001</v>
      </c>
      <c r="K145" s="120"/>
      <c r="L145" s="120"/>
      <c r="M145" s="120"/>
      <c r="N145" s="120"/>
      <c r="O145" s="20">
        <f t="shared" si="30"/>
        <v>112344064.80000001</v>
      </c>
      <c r="P145" s="135">
        <f t="shared" si="31"/>
        <v>2.678632628371775E-3</v>
      </c>
    </row>
    <row r="146" spans="1:16" s="46" customFormat="1" ht="15" collapsed="1" x14ac:dyDescent="0.25">
      <c r="A146" s="64" t="s">
        <v>235</v>
      </c>
      <c r="B146" s="76"/>
      <c r="C146" s="9">
        <f>SUM(C147:C148)</f>
        <v>0</v>
      </c>
      <c r="D146" s="9"/>
      <c r="E146" s="9"/>
      <c r="F146" s="9"/>
      <c r="G146" s="9"/>
      <c r="H146" s="14">
        <f>+B146+C146+D146+G146+E146+F146</f>
        <v>0</v>
      </c>
      <c r="I146" s="14"/>
      <c r="J146" s="9">
        <f>SUM(J147:J148)</f>
        <v>0</v>
      </c>
      <c r="K146" s="116">
        <f>SUM(K147:K148)</f>
        <v>83103328.105000004</v>
      </c>
      <c r="L146" s="116">
        <f>SUM(L147:L148)</f>
        <v>0</v>
      </c>
      <c r="M146" s="116">
        <f>SUM(M147:M148)</f>
        <v>-13000000</v>
      </c>
      <c r="N146" s="116">
        <f>SUM(N147:N148)</f>
        <v>0</v>
      </c>
      <c r="O146" s="9">
        <f t="shared" si="30"/>
        <v>70103328.105000004</v>
      </c>
      <c r="P146" s="131">
        <f t="shared" si="31"/>
        <v>1.6714818210806369E-3</v>
      </c>
    </row>
    <row r="147" spans="1:16" s="46" customFormat="1" ht="15" hidden="1" outlineLevel="1" x14ac:dyDescent="0.25">
      <c r="A147" s="53" t="s">
        <v>236</v>
      </c>
      <c r="B147" s="76"/>
      <c r="C147" s="20"/>
      <c r="D147" s="9"/>
      <c r="E147" s="9"/>
      <c r="F147" s="9"/>
      <c r="G147" s="9"/>
      <c r="H147" s="20">
        <f>+B147+C147+D147+G147+E147+F147</f>
        <v>0</v>
      </c>
      <c r="I147" s="14"/>
      <c r="J147" s="20">
        <f>+H147+I147</f>
        <v>0</v>
      </c>
      <c r="K147" s="120">
        <v>83103328.105000004</v>
      </c>
      <c r="L147" s="120"/>
      <c r="M147" s="120">
        <v>-13000000</v>
      </c>
      <c r="N147" s="120"/>
      <c r="O147" s="20">
        <f t="shared" si="30"/>
        <v>70103328.105000004</v>
      </c>
      <c r="P147" s="135">
        <f t="shared" si="31"/>
        <v>1.6714818210806369E-3</v>
      </c>
    </row>
    <row r="148" spans="1:16" s="46" customFormat="1" ht="15" collapsed="1" x14ac:dyDescent="0.25">
      <c r="A148" s="53"/>
      <c r="B148" s="76"/>
      <c r="C148" s="9"/>
      <c r="D148" s="9"/>
      <c r="E148" s="9"/>
      <c r="F148" s="9"/>
      <c r="G148" s="9"/>
      <c r="H148" s="20"/>
      <c r="I148" s="9"/>
      <c r="J148" s="20"/>
      <c r="K148" s="120"/>
      <c r="L148" s="120"/>
      <c r="M148" s="120"/>
      <c r="N148" s="120"/>
      <c r="O148" s="20"/>
      <c r="P148" s="135"/>
    </row>
    <row r="149" spans="1:16" s="46" customFormat="1" ht="15" x14ac:dyDescent="0.25">
      <c r="A149" s="64" t="s">
        <v>167</v>
      </c>
      <c r="B149" s="76"/>
      <c r="C149" s="9"/>
      <c r="D149" s="9">
        <f>+D150+D154+D168</f>
        <v>1671953337.8875</v>
      </c>
      <c r="E149" s="9"/>
      <c r="F149" s="9"/>
      <c r="G149" s="9"/>
      <c r="H149" s="9">
        <f>+H150+H154+H168</f>
        <v>1671953337.8875</v>
      </c>
      <c r="I149" s="9"/>
      <c r="J149" s="14">
        <f>+H149+I149</f>
        <v>1671953337.8875</v>
      </c>
      <c r="K149" s="9">
        <f>+K150+K154+K168</f>
        <v>0</v>
      </c>
      <c r="L149" s="9">
        <f>+L150+L154+L168</f>
        <v>193733675</v>
      </c>
      <c r="M149" s="9">
        <f>+M150+M154+M168</f>
        <v>-22500000</v>
      </c>
      <c r="N149" s="9">
        <f>+N150+N154+N168</f>
        <v>0</v>
      </c>
      <c r="O149" s="14">
        <f t="shared" ref="O149:O182" si="34">+J149+K149+L149+M149+N149</f>
        <v>1843187012.8875</v>
      </c>
      <c r="P149" s="137">
        <f t="shared" ref="P149:P182" si="35">+O149/$O$204</f>
        <v>4.3947322733079219E-2</v>
      </c>
    </row>
    <row r="150" spans="1:16" s="46" customFormat="1" ht="15" x14ac:dyDescent="0.25">
      <c r="A150" s="64" t="s">
        <v>135</v>
      </c>
      <c r="B150" s="9"/>
      <c r="C150" s="9"/>
      <c r="D150" s="9">
        <f>SUM(D151:D153)</f>
        <v>404996040</v>
      </c>
      <c r="E150" s="9"/>
      <c r="F150" s="9"/>
      <c r="G150" s="9"/>
      <c r="H150" s="9">
        <f>SUM(H151:H153)</f>
        <v>404996040</v>
      </c>
      <c r="I150" s="9"/>
      <c r="J150" s="9">
        <f>SUM(J151:J153)</f>
        <v>404996040</v>
      </c>
      <c r="K150" s="9">
        <f>SUM(K151:K153)</f>
        <v>0</v>
      </c>
      <c r="L150" s="9">
        <f>SUM(L151:L153)</f>
        <v>0</v>
      </c>
      <c r="M150" s="9">
        <f>SUM(M151:M153)</f>
        <v>0</v>
      </c>
      <c r="N150" s="9">
        <f>SUM(N151:N153)</f>
        <v>0</v>
      </c>
      <c r="O150" s="9">
        <f t="shared" si="34"/>
        <v>404996040</v>
      </c>
      <c r="P150" s="137">
        <f t="shared" si="35"/>
        <v>9.6563677755174167E-3</v>
      </c>
    </row>
    <row r="151" spans="1:16" s="46" customFormat="1" ht="15" hidden="1" outlineLevel="1" x14ac:dyDescent="0.25">
      <c r="A151" s="53" t="s">
        <v>100</v>
      </c>
      <c r="B151" s="9"/>
      <c r="C151" s="9"/>
      <c r="D151" s="20">
        <f>+'[16]Consolidado Investigación'!$C$12</f>
        <v>378000000</v>
      </c>
      <c r="E151" s="9"/>
      <c r="F151" s="9"/>
      <c r="G151" s="9"/>
      <c r="H151" s="11">
        <f>+B151+C151+D151+G151+E151+F151</f>
        <v>378000000</v>
      </c>
      <c r="I151" s="9"/>
      <c r="J151" s="20">
        <f>+H151+I151</f>
        <v>378000000</v>
      </c>
      <c r="K151" s="120"/>
      <c r="L151" s="120"/>
      <c r="M151" s="120"/>
      <c r="N151" s="120"/>
      <c r="O151" s="20">
        <f t="shared" si="34"/>
        <v>378000000</v>
      </c>
      <c r="P151" s="135">
        <f t="shared" si="35"/>
        <v>9.0126980479749465E-3</v>
      </c>
    </row>
    <row r="152" spans="1:16" s="46" customFormat="1" ht="15" hidden="1" outlineLevel="1" x14ac:dyDescent="0.25">
      <c r="A152" s="53" t="s">
        <v>101</v>
      </c>
      <c r="B152" s="9"/>
      <c r="C152" s="9"/>
      <c r="D152" s="20">
        <f>+'[16]Consolidado Investigación'!$C$20</f>
        <v>11066040</v>
      </c>
      <c r="E152" s="9"/>
      <c r="F152" s="9"/>
      <c r="G152" s="9"/>
      <c r="H152" s="11">
        <f>+B152+C152+D152+G152+E152+F152</f>
        <v>11066040</v>
      </c>
      <c r="I152" s="9"/>
      <c r="J152" s="20">
        <f>+H152+I152</f>
        <v>11066040</v>
      </c>
      <c r="K152" s="120"/>
      <c r="L152" s="120"/>
      <c r="M152" s="120"/>
      <c r="N152" s="120"/>
      <c r="O152" s="20">
        <f t="shared" si="34"/>
        <v>11066040</v>
      </c>
      <c r="P152" s="135">
        <f t="shared" si="35"/>
        <v>2.6384888123495416E-4</v>
      </c>
    </row>
    <row r="153" spans="1:16" s="46" customFormat="1" ht="15" hidden="1" outlineLevel="1" x14ac:dyDescent="0.25">
      <c r="A153" s="53" t="s">
        <v>102</v>
      </c>
      <c r="B153" s="9"/>
      <c r="C153" s="9"/>
      <c r="D153" s="20">
        <f>+'[16]Consolidado Investigación'!$C$21</f>
        <v>15930000</v>
      </c>
      <c r="E153" s="9"/>
      <c r="F153" s="9"/>
      <c r="G153" s="9"/>
      <c r="H153" s="11">
        <f>+B153+C153+D153+G153+E153+F153</f>
        <v>15930000</v>
      </c>
      <c r="I153" s="9"/>
      <c r="J153" s="20">
        <f>+H153+I153</f>
        <v>15930000</v>
      </c>
      <c r="K153" s="120"/>
      <c r="L153" s="120"/>
      <c r="M153" s="120"/>
      <c r="N153" s="120"/>
      <c r="O153" s="20">
        <f t="shared" si="34"/>
        <v>15930000</v>
      </c>
      <c r="P153" s="135">
        <f t="shared" si="35"/>
        <v>3.7982084630751561E-4</v>
      </c>
    </row>
    <row r="154" spans="1:16" s="46" customFormat="1" ht="15" collapsed="1" x14ac:dyDescent="0.25">
      <c r="A154" s="64" t="s">
        <v>136</v>
      </c>
      <c r="B154" s="9"/>
      <c r="C154" s="9"/>
      <c r="D154" s="9">
        <f>+D155+D163</f>
        <v>814906000</v>
      </c>
      <c r="E154" s="9"/>
      <c r="F154" s="9"/>
      <c r="G154" s="9"/>
      <c r="H154" s="9">
        <f>+H155+H163</f>
        <v>814906000</v>
      </c>
      <c r="I154" s="9"/>
      <c r="J154" s="9">
        <f>+J155+J163</f>
        <v>814906000</v>
      </c>
      <c r="K154" s="116">
        <f>+K155+K163</f>
        <v>0</v>
      </c>
      <c r="L154" s="116">
        <f>+L155+L163</f>
        <v>150000000</v>
      </c>
      <c r="M154" s="116">
        <f>+M155+M163</f>
        <v>-22500000</v>
      </c>
      <c r="N154" s="116">
        <f>+N155+N163</f>
        <v>0</v>
      </c>
      <c r="O154" s="9">
        <f t="shared" si="34"/>
        <v>942406000</v>
      </c>
      <c r="P154" s="131">
        <f t="shared" si="35"/>
        <v>2.246989607566105E-2</v>
      </c>
    </row>
    <row r="155" spans="1:16" s="46" customFormat="1" ht="15" hidden="1" outlineLevel="1" x14ac:dyDescent="0.25">
      <c r="A155" s="64" t="s">
        <v>156</v>
      </c>
      <c r="B155" s="9"/>
      <c r="C155" s="9"/>
      <c r="D155" s="9">
        <f>SUM(D156:D162)</f>
        <v>525156000</v>
      </c>
      <c r="E155" s="9"/>
      <c r="F155" s="9"/>
      <c r="G155" s="9"/>
      <c r="H155" s="9">
        <f>SUM(H156:H162)</f>
        <v>525156000</v>
      </c>
      <c r="I155" s="9"/>
      <c r="J155" s="9">
        <f>SUM(J156:J162)</f>
        <v>525156000</v>
      </c>
      <c r="K155" s="116">
        <f>SUM(K156:K162)</f>
        <v>0</v>
      </c>
      <c r="L155" s="116">
        <f>SUM(L156:L162)</f>
        <v>150000000</v>
      </c>
      <c r="M155" s="116">
        <f>SUM(M156:M162)</f>
        <v>-22500000</v>
      </c>
      <c r="N155" s="116">
        <f>SUM(N156:N162)</f>
        <v>0</v>
      </c>
      <c r="O155" s="9">
        <f t="shared" si="34"/>
        <v>652656000</v>
      </c>
      <c r="P155" s="131">
        <f t="shared" si="35"/>
        <v>1.5561353061373377E-2</v>
      </c>
    </row>
    <row r="156" spans="1:16" s="46" customFormat="1" ht="15" hidden="1" outlineLevel="2" x14ac:dyDescent="0.25">
      <c r="A156" s="53" t="s">
        <v>105</v>
      </c>
      <c r="B156" s="9"/>
      <c r="C156" s="9"/>
      <c r="D156" s="20">
        <f>+'[16]Consolidado Investigación'!$C$26</f>
        <v>34150000</v>
      </c>
      <c r="E156" s="9"/>
      <c r="F156" s="9"/>
      <c r="G156" s="9"/>
      <c r="H156" s="11">
        <f t="shared" ref="H156:H161" si="36">+B156+C156+D156+G156+E156+F156</f>
        <v>34150000</v>
      </c>
      <c r="I156" s="9"/>
      <c r="J156" s="20">
        <f t="shared" ref="J156:J161" si="37">+H156+I156</f>
        <v>34150000</v>
      </c>
      <c r="K156" s="120"/>
      <c r="L156" s="120">
        <v>150000000</v>
      </c>
      <c r="M156" s="120">
        <v>-22500000</v>
      </c>
      <c r="N156" s="120"/>
      <c r="O156" s="20">
        <f t="shared" si="34"/>
        <v>161650000</v>
      </c>
      <c r="P156" s="135">
        <f t="shared" si="35"/>
        <v>3.8542397869183865E-3</v>
      </c>
    </row>
    <row r="157" spans="1:16" s="46" customFormat="1" ht="15" hidden="1" outlineLevel="2" x14ac:dyDescent="0.25">
      <c r="A157" s="53" t="s">
        <v>196</v>
      </c>
      <c r="B157" s="9"/>
      <c r="C157" s="9"/>
      <c r="D157" s="20">
        <f>+'[16]Consolidado Investigación'!$C$27</f>
        <v>36278000</v>
      </c>
      <c r="E157" s="9"/>
      <c r="F157" s="9"/>
      <c r="G157" s="9"/>
      <c r="H157" s="11">
        <f t="shared" si="36"/>
        <v>36278000</v>
      </c>
      <c r="I157" s="9"/>
      <c r="J157" s="20">
        <f t="shared" si="37"/>
        <v>36278000</v>
      </c>
      <c r="K157" s="120"/>
      <c r="L157" s="120"/>
      <c r="M157" s="120"/>
      <c r="N157" s="120"/>
      <c r="O157" s="20">
        <f t="shared" si="34"/>
        <v>36278000</v>
      </c>
      <c r="P157" s="135">
        <f t="shared" si="35"/>
        <v>8.6498058144030454E-4</v>
      </c>
    </row>
    <row r="158" spans="1:16" s="46" customFormat="1" ht="15" hidden="1" outlineLevel="2" x14ac:dyDescent="0.25">
      <c r="A158" s="53" t="s">
        <v>137</v>
      </c>
      <c r="B158" s="9"/>
      <c r="C158" s="9"/>
      <c r="D158" s="20">
        <f>+'[16]Consolidado Investigación'!$C$28</f>
        <v>46728000</v>
      </c>
      <c r="E158" s="9"/>
      <c r="F158" s="9"/>
      <c r="G158" s="9"/>
      <c r="H158" s="11">
        <f t="shared" si="36"/>
        <v>46728000</v>
      </c>
      <c r="I158" s="9"/>
      <c r="J158" s="20">
        <f t="shared" si="37"/>
        <v>46728000</v>
      </c>
      <c r="K158" s="120"/>
      <c r="L158" s="120"/>
      <c r="M158" s="120"/>
      <c r="N158" s="120"/>
      <c r="O158" s="20">
        <f t="shared" si="34"/>
        <v>46728000</v>
      </c>
      <c r="P158" s="135">
        <f t="shared" si="35"/>
        <v>1.1141411491687125E-3</v>
      </c>
    </row>
    <row r="159" spans="1:16" s="46" customFormat="1" ht="15" hidden="1" outlineLevel="2" x14ac:dyDescent="0.25">
      <c r="A159" s="53" t="s">
        <v>197</v>
      </c>
      <c r="B159" s="9"/>
      <c r="C159" s="9"/>
      <c r="D159" s="20">
        <f>+'[16]Consolidado Investigación'!$C$30</f>
        <v>200000000</v>
      </c>
      <c r="E159" s="9"/>
      <c r="F159" s="9"/>
      <c r="G159" s="9"/>
      <c r="H159" s="11">
        <f t="shared" si="36"/>
        <v>200000000</v>
      </c>
      <c r="I159" s="9"/>
      <c r="J159" s="20">
        <f t="shared" si="37"/>
        <v>200000000</v>
      </c>
      <c r="K159" s="120"/>
      <c r="L159" s="120"/>
      <c r="M159" s="120"/>
      <c r="N159" s="120"/>
      <c r="O159" s="20">
        <f t="shared" si="34"/>
        <v>200000000</v>
      </c>
      <c r="P159" s="135">
        <f t="shared" si="35"/>
        <v>4.7686233058068499E-3</v>
      </c>
    </row>
    <row r="160" spans="1:16" s="46" customFormat="1" ht="15" hidden="1" outlineLevel="2" x14ac:dyDescent="0.25">
      <c r="A160" s="53" t="s">
        <v>198</v>
      </c>
      <c r="B160" s="9"/>
      <c r="C160" s="9"/>
      <c r="D160" s="20">
        <f>+'[16]Consolidado Investigación'!$C$31</f>
        <v>50000000</v>
      </c>
      <c r="E160" s="9"/>
      <c r="F160" s="9"/>
      <c r="G160" s="9"/>
      <c r="H160" s="11">
        <f t="shared" si="36"/>
        <v>50000000</v>
      </c>
      <c r="I160" s="9"/>
      <c r="J160" s="20">
        <f t="shared" si="37"/>
        <v>50000000</v>
      </c>
      <c r="K160" s="120"/>
      <c r="L160" s="120"/>
      <c r="M160" s="120"/>
      <c r="N160" s="120"/>
      <c r="O160" s="20">
        <f t="shared" si="34"/>
        <v>50000000</v>
      </c>
      <c r="P160" s="135">
        <f t="shared" si="35"/>
        <v>1.1921558264517125E-3</v>
      </c>
    </row>
    <row r="161" spans="1:16" s="46" customFormat="1" ht="15" hidden="1" outlineLevel="2" x14ac:dyDescent="0.25">
      <c r="A161" s="53" t="s">
        <v>199</v>
      </c>
      <c r="B161" s="9"/>
      <c r="C161" s="9"/>
      <c r="D161" s="20">
        <f>+'[16]Consolidado Investigación'!$C$32</f>
        <v>120000000</v>
      </c>
      <c r="E161" s="9"/>
      <c r="F161" s="9"/>
      <c r="G161" s="9"/>
      <c r="H161" s="11">
        <f t="shared" si="36"/>
        <v>120000000</v>
      </c>
      <c r="I161" s="9"/>
      <c r="J161" s="20">
        <f t="shared" si="37"/>
        <v>120000000</v>
      </c>
      <c r="K161" s="120"/>
      <c r="L161" s="120"/>
      <c r="M161" s="120"/>
      <c r="N161" s="120"/>
      <c r="O161" s="20">
        <f t="shared" si="34"/>
        <v>120000000</v>
      </c>
      <c r="P161" s="135">
        <f t="shared" si="35"/>
        <v>2.86117398348411E-3</v>
      </c>
    </row>
    <row r="162" spans="1:16" s="46" customFormat="1" ht="15" hidden="1" outlineLevel="2" x14ac:dyDescent="0.25">
      <c r="A162" s="53" t="s">
        <v>214</v>
      </c>
      <c r="B162" s="9"/>
      <c r="C162" s="9"/>
      <c r="D162" s="20">
        <f>+'[16]Consolidado Investigación'!$C$33</f>
        <v>38000000</v>
      </c>
      <c r="E162" s="9"/>
      <c r="F162" s="9"/>
      <c r="G162" s="9"/>
      <c r="H162" s="11">
        <f>+B162+C162+D162+G162+E162+F162</f>
        <v>38000000</v>
      </c>
      <c r="I162" s="9"/>
      <c r="J162" s="20">
        <f>+H162+I162</f>
        <v>38000000</v>
      </c>
      <c r="K162" s="120"/>
      <c r="L162" s="120"/>
      <c r="M162" s="120"/>
      <c r="N162" s="120"/>
      <c r="O162" s="20">
        <f t="shared" si="34"/>
        <v>38000000</v>
      </c>
      <c r="P162" s="135">
        <f t="shared" si="35"/>
        <v>9.0603842810330147E-4</v>
      </c>
    </row>
    <row r="163" spans="1:16" s="46" customFormat="1" ht="15" hidden="1" outlineLevel="1" x14ac:dyDescent="0.25">
      <c r="A163" s="64" t="s">
        <v>157</v>
      </c>
      <c r="B163" s="9"/>
      <c r="C163" s="9"/>
      <c r="D163" s="9">
        <f>SUM(D164:D167)</f>
        <v>289750000</v>
      </c>
      <c r="E163" s="9"/>
      <c r="F163" s="9"/>
      <c r="G163" s="9"/>
      <c r="H163" s="9">
        <f>SUM(H164:H167)</f>
        <v>289750000</v>
      </c>
      <c r="I163" s="9"/>
      <c r="J163" s="9">
        <f>SUM(J164:J167)</f>
        <v>289750000</v>
      </c>
      <c r="K163" s="116">
        <f>SUM(K164:K167)</f>
        <v>0</v>
      </c>
      <c r="L163" s="116">
        <f>SUM(L164:L167)</f>
        <v>0</v>
      </c>
      <c r="M163" s="116">
        <f>SUM(M164:M167)</f>
        <v>0</v>
      </c>
      <c r="N163" s="116">
        <f>SUM(N164:N167)</f>
        <v>0</v>
      </c>
      <c r="O163" s="9">
        <f t="shared" si="34"/>
        <v>289750000</v>
      </c>
      <c r="P163" s="131">
        <f t="shared" si="35"/>
        <v>6.908543014287674E-3</v>
      </c>
    </row>
    <row r="164" spans="1:16" s="46" customFormat="1" ht="15" hidden="1" outlineLevel="2" x14ac:dyDescent="0.25">
      <c r="A164" s="53" t="s">
        <v>178</v>
      </c>
      <c r="B164" s="9"/>
      <c r="C164" s="9"/>
      <c r="D164" s="20">
        <f>+'[16]Consolidado Investigación'!$C$37</f>
        <v>49000000</v>
      </c>
      <c r="E164" s="9"/>
      <c r="F164" s="9"/>
      <c r="G164" s="9"/>
      <c r="H164" s="11">
        <f>+B164+C164+D164+G164+E164+F164</f>
        <v>49000000</v>
      </c>
      <c r="I164" s="9"/>
      <c r="J164" s="20">
        <f>+H164+I164</f>
        <v>49000000</v>
      </c>
      <c r="K164" s="120"/>
      <c r="L164" s="120"/>
      <c r="M164" s="120"/>
      <c r="N164" s="120"/>
      <c r="O164" s="20">
        <f t="shared" si="34"/>
        <v>49000000</v>
      </c>
      <c r="P164" s="135">
        <f t="shared" si="35"/>
        <v>1.1683127099226783E-3</v>
      </c>
    </row>
    <row r="165" spans="1:16" s="46" customFormat="1" ht="15" hidden="1" outlineLevel="2" x14ac:dyDescent="0.25">
      <c r="A165" s="53" t="s">
        <v>200</v>
      </c>
      <c r="B165" s="9"/>
      <c r="C165" s="9"/>
      <c r="D165" s="20">
        <f>+'[16]Consolidado Investigación'!$C$40</f>
        <v>56000000</v>
      </c>
      <c r="E165" s="9"/>
      <c r="F165" s="9"/>
      <c r="G165" s="9"/>
      <c r="H165" s="11">
        <f>+B165+C165+D165+G165+E165+F165</f>
        <v>56000000</v>
      </c>
      <c r="I165" s="9"/>
      <c r="J165" s="20">
        <f>+H165+I165</f>
        <v>56000000</v>
      </c>
      <c r="K165" s="120"/>
      <c r="L165" s="120"/>
      <c r="M165" s="120"/>
      <c r="N165" s="120"/>
      <c r="O165" s="20">
        <f t="shared" si="34"/>
        <v>56000000</v>
      </c>
      <c r="P165" s="135">
        <f t="shared" si="35"/>
        <v>1.3352145256259179E-3</v>
      </c>
    </row>
    <row r="166" spans="1:16" s="46" customFormat="1" ht="15" hidden="1" outlineLevel="2" x14ac:dyDescent="0.25">
      <c r="A166" s="53" t="s">
        <v>201</v>
      </c>
      <c r="B166" s="9"/>
      <c r="C166" s="9"/>
      <c r="D166" s="20">
        <f>+'[16]Consolidado Investigación'!$C$41</f>
        <v>24750000</v>
      </c>
      <c r="E166" s="9"/>
      <c r="F166" s="9"/>
      <c r="G166" s="9"/>
      <c r="H166" s="11">
        <f>+B166+C166+D166+G166+E166+F166</f>
        <v>24750000</v>
      </c>
      <c r="I166" s="9"/>
      <c r="J166" s="20">
        <f>+H166+I166</f>
        <v>24750000</v>
      </c>
      <c r="K166" s="120"/>
      <c r="L166" s="120"/>
      <c r="M166" s="120"/>
      <c r="N166" s="120"/>
      <c r="O166" s="20">
        <f t="shared" si="34"/>
        <v>24750000</v>
      </c>
      <c r="P166" s="135">
        <f t="shared" si="35"/>
        <v>5.9011713409359769E-4</v>
      </c>
    </row>
    <row r="167" spans="1:16" s="46" customFormat="1" ht="15" hidden="1" outlineLevel="2" x14ac:dyDescent="0.25">
      <c r="A167" s="53" t="s">
        <v>106</v>
      </c>
      <c r="B167" s="9"/>
      <c r="C167" s="9"/>
      <c r="D167" s="20">
        <f>+'[16]Consolidado Investigación'!$C$42</f>
        <v>160000000</v>
      </c>
      <c r="E167" s="9"/>
      <c r="F167" s="9"/>
      <c r="G167" s="9"/>
      <c r="H167" s="11">
        <f>+B167+C167+D167+G167+E167+F167</f>
        <v>160000000</v>
      </c>
      <c r="I167" s="9"/>
      <c r="J167" s="20">
        <f>+H167+I167</f>
        <v>160000000</v>
      </c>
      <c r="K167" s="120"/>
      <c r="L167" s="120"/>
      <c r="M167" s="120"/>
      <c r="N167" s="120"/>
      <c r="O167" s="20">
        <f t="shared" si="34"/>
        <v>160000000</v>
      </c>
      <c r="P167" s="135">
        <f t="shared" si="35"/>
        <v>3.81489864464548E-3</v>
      </c>
    </row>
    <row r="168" spans="1:16" s="46" customFormat="1" ht="15" collapsed="1" x14ac:dyDescent="0.25">
      <c r="A168" s="64" t="s">
        <v>138</v>
      </c>
      <c r="B168" s="9"/>
      <c r="C168" s="9"/>
      <c r="D168" s="9">
        <f>+D169+D176+D181+D182</f>
        <v>452051297.88750005</v>
      </c>
      <c r="E168" s="9"/>
      <c r="F168" s="9"/>
      <c r="G168" s="9"/>
      <c r="H168" s="9">
        <f>+H169+H176+H181+H182</f>
        <v>452051297.88750005</v>
      </c>
      <c r="I168" s="9"/>
      <c r="J168" s="9">
        <f>+J169+J176+J181+J182</f>
        <v>452051297.88750005</v>
      </c>
      <c r="K168" s="116">
        <f>+K169+K176+K181+K182</f>
        <v>0</v>
      </c>
      <c r="L168" s="116">
        <f>+L169+L176+L181+L182</f>
        <v>43733675</v>
      </c>
      <c r="M168" s="116">
        <f>+M169+M176+M181+M182</f>
        <v>0</v>
      </c>
      <c r="N168" s="116">
        <f>+N169+N176+N181+N182</f>
        <v>0</v>
      </c>
      <c r="O168" s="9">
        <f t="shared" si="34"/>
        <v>495784972.88750005</v>
      </c>
      <c r="P168" s="131">
        <f t="shared" si="35"/>
        <v>1.1821058881900749E-2</v>
      </c>
    </row>
    <row r="169" spans="1:16" s="46" customFormat="1" ht="15" hidden="1" outlineLevel="1" x14ac:dyDescent="0.25">
      <c r="A169" s="64" t="s">
        <v>139</v>
      </c>
      <c r="B169" s="9"/>
      <c r="C169" s="9"/>
      <c r="D169" s="9">
        <f>SUM(D170:D175)</f>
        <v>157786944.52250001</v>
      </c>
      <c r="E169" s="9"/>
      <c r="F169" s="9"/>
      <c r="G169" s="9"/>
      <c r="H169" s="9">
        <f>SUM(H170:H175)</f>
        <v>157786944.52250001</v>
      </c>
      <c r="I169" s="9"/>
      <c r="J169" s="9">
        <f>SUM(J170:J175)</f>
        <v>157786944.52250001</v>
      </c>
      <c r="K169" s="116">
        <f>SUM(K170:K175)</f>
        <v>0</v>
      </c>
      <c r="L169" s="116">
        <f>SUM(L170:L175)</f>
        <v>43733675</v>
      </c>
      <c r="M169" s="116">
        <f>SUM(M170:M175)</f>
        <v>0</v>
      </c>
      <c r="N169" s="116">
        <f>SUM(N170:N175)</f>
        <v>0</v>
      </c>
      <c r="O169" s="9">
        <f t="shared" si="34"/>
        <v>201520619.52250001</v>
      </c>
      <c r="P169" s="131">
        <f t="shared" si="35"/>
        <v>4.804879614278142E-3</v>
      </c>
    </row>
    <row r="170" spans="1:16" s="46" customFormat="1" ht="15" hidden="1" outlineLevel="2" x14ac:dyDescent="0.25">
      <c r="A170" s="53" t="s">
        <v>140</v>
      </c>
      <c r="B170" s="9"/>
      <c r="C170" s="9"/>
      <c r="D170" s="11">
        <f>+'[16]Consolidado Investigación'!$C$45</f>
        <v>14804989.425000001</v>
      </c>
      <c r="E170" s="9"/>
      <c r="F170" s="9"/>
      <c r="G170" s="9"/>
      <c r="H170" s="11">
        <f t="shared" ref="H170:H175" si="38">+B170+C170+D170+G170+E170+F170</f>
        <v>14804989.425000001</v>
      </c>
      <c r="I170" s="9"/>
      <c r="J170" s="20">
        <f t="shared" ref="J170:J175" si="39">+H170+I170</f>
        <v>14804989.425000001</v>
      </c>
      <c r="K170" s="120"/>
      <c r="L170" s="120"/>
      <c r="M170" s="120"/>
      <c r="N170" s="120"/>
      <c r="O170" s="20">
        <f t="shared" si="34"/>
        <v>14804989.425000001</v>
      </c>
      <c r="P170" s="135">
        <f t="shared" si="35"/>
        <v>3.5299708807139482E-4</v>
      </c>
    </row>
    <row r="171" spans="1:16" s="46" customFormat="1" ht="15" hidden="1" outlineLevel="2" x14ac:dyDescent="0.25">
      <c r="A171" s="53" t="s">
        <v>141</v>
      </c>
      <c r="B171" s="9"/>
      <c r="C171" s="9"/>
      <c r="D171" s="11">
        <f>+'[16]Consolidado Investigación'!$C$46</f>
        <v>17759118.8475</v>
      </c>
      <c r="E171" s="9"/>
      <c r="F171" s="9"/>
      <c r="G171" s="9"/>
      <c r="H171" s="11">
        <f t="shared" si="38"/>
        <v>17759118.8475</v>
      </c>
      <c r="I171" s="9"/>
      <c r="J171" s="20">
        <f t="shared" si="39"/>
        <v>17759118.8475</v>
      </c>
      <c r="K171" s="120"/>
      <c r="L171" s="120"/>
      <c r="M171" s="120"/>
      <c r="N171" s="120"/>
      <c r="O171" s="20">
        <f t="shared" si="34"/>
        <v>17759118.8475</v>
      </c>
      <c r="P171" s="135">
        <f t="shared" si="35"/>
        <v>4.2343274013391093E-4</v>
      </c>
    </row>
    <row r="172" spans="1:16" s="46" customFormat="1" ht="15" hidden="1" outlineLevel="2" x14ac:dyDescent="0.25">
      <c r="A172" s="53" t="s">
        <v>142</v>
      </c>
      <c r="B172" s="9"/>
      <c r="C172" s="9"/>
      <c r="D172" s="11">
        <f>+'[16]Consolidado Investigación'!$C$47</f>
        <v>22697651.25</v>
      </c>
      <c r="E172" s="9"/>
      <c r="F172" s="9"/>
      <c r="G172" s="9"/>
      <c r="H172" s="11">
        <f t="shared" si="38"/>
        <v>22697651.25</v>
      </c>
      <c r="I172" s="9"/>
      <c r="J172" s="20">
        <f t="shared" si="39"/>
        <v>22697651.25</v>
      </c>
      <c r="K172" s="120"/>
      <c r="L172" s="120"/>
      <c r="M172" s="120"/>
      <c r="N172" s="120"/>
      <c r="O172" s="20">
        <f t="shared" si="34"/>
        <v>22697651.25</v>
      </c>
      <c r="P172" s="135">
        <f t="shared" si="35"/>
        <v>5.4118274368912989E-4</v>
      </c>
    </row>
    <row r="173" spans="1:16" s="46" customFormat="1" ht="15" hidden="1" outlineLevel="2" x14ac:dyDescent="0.25">
      <c r="A173" s="53" t="s">
        <v>179</v>
      </c>
      <c r="B173" s="9"/>
      <c r="C173" s="9"/>
      <c r="D173" s="11">
        <f>+'[16]Consolidado Investigación'!$C$48</f>
        <v>61258860</v>
      </c>
      <c r="E173" s="9"/>
      <c r="F173" s="9"/>
      <c r="G173" s="9"/>
      <c r="H173" s="11">
        <f t="shared" si="38"/>
        <v>61258860</v>
      </c>
      <c r="I173" s="9"/>
      <c r="J173" s="20">
        <f t="shared" si="39"/>
        <v>61258860</v>
      </c>
      <c r="K173" s="120"/>
      <c r="L173" s="120">
        <v>20000000</v>
      </c>
      <c r="M173" s="120"/>
      <c r="N173" s="120"/>
      <c r="O173" s="20">
        <f t="shared" si="34"/>
        <v>81258860</v>
      </c>
      <c r="P173" s="135">
        <f t="shared" si="35"/>
        <v>1.9374644679964802E-3</v>
      </c>
    </row>
    <row r="174" spans="1:16" s="46" customFormat="1" ht="15" hidden="1" outlineLevel="2" x14ac:dyDescent="0.25">
      <c r="A174" s="53" t="s">
        <v>180</v>
      </c>
      <c r="B174" s="9"/>
      <c r="C174" s="9"/>
      <c r="D174" s="11">
        <f>+'[16]Consolidado Investigación'!$C$49</f>
        <v>21266325</v>
      </c>
      <c r="E174" s="9"/>
      <c r="F174" s="9"/>
      <c r="G174" s="9"/>
      <c r="H174" s="11">
        <f t="shared" si="38"/>
        <v>21266325</v>
      </c>
      <c r="I174" s="9"/>
      <c r="J174" s="20">
        <f t="shared" si="39"/>
        <v>21266325</v>
      </c>
      <c r="K174" s="120"/>
      <c r="L174" s="120">
        <v>23733675</v>
      </c>
      <c r="M174" s="120"/>
      <c r="N174" s="120"/>
      <c r="O174" s="20">
        <f t="shared" si="34"/>
        <v>45000000</v>
      </c>
      <c r="P174" s="135">
        <f t="shared" si="35"/>
        <v>1.0729402438065412E-3</v>
      </c>
    </row>
    <row r="175" spans="1:16" s="46" customFormat="1" ht="15" hidden="1" outlineLevel="2" x14ac:dyDescent="0.25">
      <c r="A175" s="53" t="s">
        <v>202</v>
      </c>
      <c r="B175" s="9"/>
      <c r="C175" s="9"/>
      <c r="D175" s="11">
        <f>+'[16]Consolidado Investigación'!$C$50</f>
        <v>20000000</v>
      </c>
      <c r="E175" s="9"/>
      <c r="F175" s="9"/>
      <c r="G175" s="9"/>
      <c r="H175" s="11">
        <f t="shared" si="38"/>
        <v>20000000</v>
      </c>
      <c r="I175" s="9"/>
      <c r="J175" s="20">
        <f t="shared" si="39"/>
        <v>20000000</v>
      </c>
      <c r="K175" s="120"/>
      <c r="L175" s="120"/>
      <c r="M175" s="120"/>
      <c r="N175" s="120"/>
      <c r="O175" s="20">
        <f t="shared" si="34"/>
        <v>20000000</v>
      </c>
      <c r="P175" s="135">
        <f t="shared" si="35"/>
        <v>4.7686233058068499E-4</v>
      </c>
    </row>
    <row r="176" spans="1:16" s="46" customFormat="1" ht="15" hidden="1" outlineLevel="1" x14ac:dyDescent="0.25">
      <c r="A176" s="64" t="s">
        <v>143</v>
      </c>
      <c r="B176" s="9"/>
      <c r="C176" s="9"/>
      <c r="D176" s="9">
        <f>SUM(D177:D180)</f>
        <v>241389353.36500001</v>
      </c>
      <c r="E176" s="9"/>
      <c r="F176" s="9"/>
      <c r="G176" s="9"/>
      <c r="H176" s="9">
        <f>SUM(H177:H180)</f>
        <v>241389353.36500001</v>
      </c>
      <c r="I176" s="9"/>
      <c r="J176" s="9">
        <f>SUM(J177:J180)</f>
        <v>241389353.36500001</v>
      </c>
      <c r="K176" s="116">
        <f>SUM(K177:K180)</f>
        <v>0</v>
      </c>
      <c r="L176" s="116">
        <f>SUM(L177:L180)</f>
        <v>0</v>
      </c>
      <c r="M176" s="116">
        <f>SUM(M177:M180)</f>
        <v>0</v>
      </c>
      <c r="N176" s="116">
        <f>SUM(N177:N180)</f>
        <v>0</v>
      </c>
      <c r="O176" s="9">
        <f t="shared" si="34"/>
        <v>241389353.36500001</v>
      </c>
      <c r="P176" s="131">
        <f t="shared" si="35"/>
        <v>5.7554744811499211E-3</v>
      </c>
    </row>
    <row r="177" spans="1:16" s="46" customFormat="1" ht="15" hidden="1" outlineLevel="2" x14ac:dyDescent="0.25">
      <c r="A177" s="53" t="s">
        <v>181</v>
      </c>
      <c r="B177" s="9"/>
      <c r="C177" s="9"/>
      <c r="D177" s="11">
        <f>+'[16]Consolidado Investigación'!$C$52</f>
        <v>55793979.18</v>
      </c>
      <c r="E177" s="9"/>
      <c r="F177" s="9"/>
      <c r="G177" s="9"/>
      <c r="H177" s="11">
        <f t="shared" ref="H177:H182" si="40">+B177+C177+D177+G177+E177+F177</f>
        <v>55793979.18</v>
      </c>
      <c r="I177" s="9"/>
      <c r="J177" s="20">
        <f t="shared" ref="J177:J182" si="41">+H177+I177</f>
        <v>55793979.18</v>
      </c>
      <c r="K177" s="120"/>
      <c r="L177" s="120"/>
      <c r="M177" s="120"/>
      <c r="N177" s="120"/>
      <c r="O177" s="20">
        <f t="shared" si="34"/>
        <v>55793979.18</v>
      </c>
      <c r="P177" s="135">
        <f t="shared" si="35"/>
        <v>1.3303023472072508E-3</v>
      </c>
    </row>
    <row r="178" spans="1:16" s="46" customFormat="1" ht="15" hidden="1" outlineLevel="2" x14ac:dyDescent="0.25">
      <c r="A178" s="53" t="s">
        <v>182</v>
      </c>
      <c r="B178" s="9"/>
      <c r="C178" s="9"/>
      <c r="D178" s="11">
        <f>+'[16]Consolidado Investigación'!$C$53</f>
        <v>52893757.935000002</v>
      </c>
      <c r="E178" s="9"/>
      <c r="F178" s="9"/>
      <c r="G178" s="9"/>
      <c r="H178" s="11">
        <f t="shared" si="40"/>
        <v>52893757.935000002</v>
      </c>
      <c r="I178" s="9"/>
      <c r="J178" s="20">
        <f t="shared" si="41"/>
        <v>52893757.935000002</v>
      </c>
      <c r="K178" s="120"/>
      <c r="L178" s="120"/>
      <c r="M178" s="120"/>
      <c r="N178" s="120"/>
      <c r="O178" s="20">
        <f t="shared" si="34"/>
        <v>52893757.935000002</v>
      </c>
      <c r="P178" s="135">
        <f t="shared" si="35"/>
        <v>1.2611520341027352E-3</v>
      </c>
    </row>
    <row r="179" spans="1:16" s="46" customFormat="1" ht="15" hidden="1" outlineLevel="2" x14ac:dyDescent="0.25">
      <c r="A179" s="53" t="s">
        <v>144</v>
      </c>
      <c r="B179" s="9"/>
      <c r="C179" s="9"/>
      <c r="D179" s="11">
        <f>+'[16]Consolidado Investigación'!$C$54</f>
        <v>107701616.25</v>
      </c>
      <c r="E179" s="9"/>
      <c r="F179" s="9"/>
      <c r="G179" s="9"/>
      <c r="H179" s="11">
        <f t="shared" si="40"/>
        <v>107701616.25</v>
      </c>
      <c r="I179" s="9"/>
      <c r="J179" s="20">
        <f t="shared" si="41"/>
        <v>107701616.25</v>
      </c>
      <c r="K179" s="120"/>
      <c r="L179" s="120"/>
      <c r="M179" s="120"/>
      <c r="N179" s="120"/>
      <c r="O179" s="20">
        <f t="shared" si="34"/>
        <v>107701616.25</v>
      </c>
      <c r="P179" s="135">
        <f t="shared" si="35"/>
        <v>2.5679421866140789E-3</v>
      </c>
    </row>
    <row r="180" spans="1:16" s="46" customFormat="1" ht="15" hidden="1" outlineLevel="2" x14ac:dyDescent="0.25">
      <c r="A180" s="53" t="s">
        <v>228</v>
      </c>
      <c r="B180" s="9"/>
      <c r="C180" s="9"/>
      <c r="D180" s="11">
        <v>25000000</v>
      </c>
      <c r="E180" s="9"/>
      <c r="F180" s="9"/>
      <c r="G180" s="9"/>
      <c r="H180" s="11">
        <f t="shared" si="40"/>
        <v>25000000</v>
      </c>
      <c r="I180" s="9"/>
      <c r="J180" s="20">
        <f t="shared" si="41"/>
        <v>25000000</v>
      </c>
      <c r="K180" s="120"/>
      <c r="L180" s="120"/>
      <c r="M180" s="120"/>
      <c r="N180" s="120"/>
      <c r="O180" s="20">
        <f t="shared" si="34"/>
        <v>25000000</v>
      </c>
      <c r="P180" s="135">
        <f t="shared" si="35"/>
        <v>5.9607791322585624E-4</v>
      </c>
    </row>
    <row r="181" spans="1:16" s="46" customFormat="1" ht="15" hidden="1" outlineLevel="1" x14ac:dyDescent="0.25">
      <c r="A181" s="64" t="s">
        <v>145</v>
      </c>
      <c r="B181" s="9"/>
      <c r="C181" s="9"/>
      <c r="D181" s="9">
        <f>+'[16]Consolidado Investigación'!$C$56</f>
        <v>21150000</v>
      </c>
      <c r="E181" s="9"/>
      <c r="F181" s="9"/>
      <c r="G181" s="9"/>
      <c r="H181" s="14">
        <f t="shared" si="40"/>
        <v>21150000</v>
      </c>
      <c r="I181" s="14"/>
      <c r="J181" s="14">
        <f t="shared" si="41"/>
        <v>21150000</v>
      </c>
      <c r="K181" s="114"/>
      <c r="L181" s="114"/>
      <c r="M181" s="114"/>
      <c r="N181" s="114"/>
      <c r="O181" s="14">
        <f t="shared" si="34"/>
        <v>21150000</v>
      </c>
      <c r="P181" s="130">
        <f t="shared" si="35"/>
        <v>5.0428191458907437E-4</v>
      </c>
    </row>
    <row r="182" spans="1:16" s="46" customFormat="1" ht="15" hidden="1" outlineLevel="1" x14ac:dyDescent="0.25">
      <c r="A182" s="64" t="s">
        <v>183</v>
      </c>
      <c r="B182" s="9"/>
      <c r="C182" s="9"/>
      <c r="D182" s="9">
        <f>+'[16]Consolidado Investigación'!$C$57</f>
        <v>31725000</v>
      </c>
      <c r="E182" s="9"/>
      <c r="F182" s="9"/>
      <c r="G182" s="9"/>
      <c r="H182" s="14">
        <f t="shared" si="40"/>
        <v>31725000</v>
      </c>
      <c r="I182" s="14"/>
      <c r="J182" s="14">
        <f t="shared" si="41"/>
        <v>31725000</v>
      </c>
      <c r="K182" s="114"/>
      <c r="L182" s="114"/>
      <c r="M182" s="114"/>
      <c r="N182" s="114"/>
      <c r="O182" s="14">
        <f t="shared" si="34"/>
        <v>31725000</v>
      </c>
      <c r="P182" s="130">
        <f t="shared" si="35"/>
        <v>7.5642287188361162E-4</v>
      </c>
    </row>
    <row r="183" spans="1:16" s="46" customFormat="1" ht="15" collapsed="1" x14ac:dyDescent="0.25">
      <c r="A183" s="53"/>
      <c r="B183" s="9"/>
      <c r="C183" s="9"/>
      <c r="D183" s="9"/>
      <c r="E183" s="9"/>
      <c r="F183" s="9"/>
      <c r="G183" s="9"/>
      <c r="H183" s="11"/>
      <c r="I183" s="9"/>
      <c r="J183" s="20"/>
      <c r="K183" s="120"/>
      <c r="L183" s="120"/>
      <c r="M183" s="120"/>
      <c r="N183" s="120"/>
      <c r="O183" s="20"/>
      <c r="P183" s="135"/>
    </row>
    <row r="184" spans="1:16" s="46" customFormat="1" ht="15" x14ac:dyDescent="0.25">
      <c r="A184" s="64" t="s">
        <v>168</v>
      </c>
      <c r="B184" s="9"/>
      <c r="C184" s="9"/>
      <c r="D184" s="9"/>
      <c r="E184" s="14">
        <f>+E185</f>
        <v>248662237</v>
      </c>
      <c r="F184" s="14"/>
      <c r="G184" s="14"/>
      <c r="H184" s="14">
        <f>+H185</f>
        <v>248662237</v>
      </c>
      <c r="I184" s="14"/>
      <c r="J184" s="14">
        <f>+H184+I184</f>
        <v>248662237</v>
      </c>
      <c r="K184" s="14">
        <f>+K185</f>
        <v>550000000</v>
      </c>
      <c r="L184" s="14">
        <f>+L185</f>
        <v>0</v>
      </c>
      <c r="M184" s="14">
        <f>+M185</f>
        <v>-32000000</v>
      </c>
      <c r="N184" s="14">
        <f>+N185</f>
        <v>0</v>
      </c>
      <c r="O184" s="14">
        <f t="shared" ref="O184:O190" si="42">+J184+K184+L184+M184+N184</f>
        <v>766662237</v>
      </c>
      <c r="P184" s="136">
        <f t="shared" ref="P184:P190" si="43">+O184/$O$204</f>
        <v>1.8279617055201074E-2</v>
      </c>
    </row>
    <row r="185" spans="1:16" s="46" customFormat="1" ht="15" x14ac:dyDescent="0.25">
      <c r="A185" s="64" t="s">
        <v>245</v>
      </c>
      <c r="B185" s="9"/>
      <c r="C185" s="9"/>
      <c r="D185" s="9"/>
      <c r="E185" s="9">
        <f>SUM(E186:E190)</f>
        <v>248662237</v>
      </c>
      <c r="F185" s="9">
        <f t="shared" ref="F185:K185" si="44">SUM(F186:F190)</f>
        <v>0</v>
      </c>
      <c r="G185" s="9">
        <f t="shared" si="44"/>
        <v>0</v>
      </c>
      <c r="H185" s="9">
        <f t="shared" si="44"/>
        <v>248662237</v>
      </c>
      <c r="I185" s="9">
        <f t="shared" si="44"/>
        <v>0</v>
      </c>
      <c r="J185" s="9">
        <f t="shared" si="44"/>
        <v>248662237</v>
      </c>
      <c r="K185" s="9">
        <f t="shared" si="44"/>
        <v>550000000</v>
      </c>
      <c r="L185" s="9">
        <f>SUM(L186:L190)</f>
        <v>0</v>
      </c>
      <c r="M185" s="9">
        <f>SUM(M186:M190)</f>
        <v>-32000000</v>
      </c>
      <c r="N185" s="9">
        <f>SUM(N186:N190)</f>
        <v>0</v>
      </c>
      <c r="O185" s="9">
        <f t="shared" si="42"/>
        <v>766662237</v>
      </c>
      <c r="P185" s="137">
        <f t="shared" si="43"/>
        <v>1.8279617055201074E-2</v>
      </c>
    </row>
    <row r="186" spans="1:16" s="46" customFormat="1" ht="15" hidden="1" outlineLevel="2" x14ac:dyDescent="0.25">
      <c r="A186" s="53" t="s">
        <v>129</v>
      </c>
      <c r="B186" s="9"/>
      <c r="C186" s="9"/>
      <c r="D186" s="9"/>
      <c r="E186" s="20">
        <f>+'[17]COMPARATIVO 2016 - 2017'!$C$12</f>
        <v>46387237</v>
      </c>
      <c r="F186" s="9"/>
      <c r="G186" s="9"/>
      <c r="H186" s="11">
        <f>+B186+C186+D186+G186+E186+F186</f>
        <v>46387237</v>
      </c>
      <c r="I186" s="9"/>
      <c r="J186" s="20">
        <f>+H186+I186</f>
        <v>46387237</v>
      </c>
      <c r="K186" s="120"/>
      <c r="L186" s="120"/>
      <c r="M186" s="120">
        <v>-5791054</v>
      </c>
      <c r="N186" s="120"/>
      <c r="O186" s="20">
        <f t="shared" si="42"/>
        <v>40596183</v>
      </c>
      <c r="P186" s="135">
        <f t="shared" si="43"/>
        <v>9.6793952190299924E-4</v>
      </c>
    </row>
    <row r="187" spans="1:16" s="46" customFormat="1" ht="15" hidden="1" outlineLevel="2" x14ac:dyDescent="0.25">
      <c r="A187" s="53" t="s">
        <v>130</v>
      </c>
      <c r="B187" s="9"/>
      <c r="C187" s="9"/>
      <c r="D187" s="9"/>
      <c r="E187" s="20">
        <f>+'[17]COMPARATIVO 2016 - 2017'!$C$13</f>
        <v>120975000</v>
      </c>
      <c r="F187" s="9"/>
      <c r="G187" s="9"/>
      <c r="H187" s="11">
        <f>+B187+C187+D187+G187+E187+F187</f>
        <v>120975000</v>
      </c>
      <c r="I187" s="9"/>
      <c r="J187" s="20">
        <f>+H187+I187</f>
        <v>120975000</v>
      </c>
      <c r="K187" s="120">
        <v>180000000</v>
      </c>
      <c r="L187" s="120"/>
      <c r="M187" s="120">
        <f>-19093956+78610</f>
        <v>-19015346</v>
      </c>
      <c r="N187" s="120"/>
      <c r="O187" s="20">
        <f t="shared" si="42"/>
        <v>281959654</v>
      </c>
      <c r="P187" s="135">
        <f t="shared" si="43"/>
        <v>6.7227968868081777E-3</v>
      </c>
    </row>
    <row r="188" spans="1:16" s="46" customFormat="1" ht="15" hidden="1" outlineLevel="2" x14ac:dyDescent="0.25">
      <c r="A188" s="53" t="s">
        <v>131</v>
      </c>
      <c r="B188" s="9"/>
      <c r="C188" s="9"/>
      <c r="D188" s="9"/>
      <c r="E188" s="20">
        <f>+'[17]COMPARATIVO 2016 - 2017'!$C$14</f>
        <v>37300000</v>
      </c>
      <c r="F188" s="9"/>
      <c r="G188" s="9"/>
      <c r="H188" s="11">
        <f>+B188+C188+D188+G188+E188+F188</f>
        <v>37300000</v>
      </c>
      <c r="I188" s="9"/>
      <c r="J188" s="20">
        <f>+H188+I188</f>
        <v>37300000</v>
      </c>
      <c r="K188" s="120"/>
      <c r="L188" s="120"/>
      <c r="M188" s="120">
        <v>0</v>
      </c>
      <c r="N188" s="120"/>
      <c r="O188" s="20">
        <f t="shared" si="42"/>
        <v>37300000</v>
      </c>
      <c r="P188" s="135">
        <f t="shared" si="43"/>
        <v>8.893482465329775E-4</v>
      </c>
    </row>
    <row r="189" spans="1:16" s="46" customFormat="1" ht="15" hidden="1" outlineLevel="1" x14ac:dyDescent="0.25">
      <c r="A189" s="53" t="s">
        <v>230</v>
      </c>
      <c r="B189" s="9"/>
      <c r="C189" s="9"/>
      <c r="D189" s="9"/>
      <c r="E189" s="20">
        <f>+'[17]COMPARATIVO 2016 - 2017'!$C$15</f>
        <v>44000000</v>
      </c>
      <c r="F189" s="9"/>
      <c r="G189" s="9"/>
      <c r="H189" s="11">
        <f>+B189+C189+D189+G189+E189+F189</f>
        <v>44000000</v>
      </c>
      <c r="I189" s="9"/>
      <c r="J189" s="20">
        <f>+H189+I189</f>
        <v>44000000</v>
      </c>
      <c r="K189" s="120"/>
      <c r="L189" s="120"/>
      <c r="M189" s="120">
        <v>-4993600</v>
      </c>
      <c r="N189" s="120"/>
      <c r="O189" s="20">
        <f t="shared" si="42"/>
        <v>39006400</v>
      </c>
      <c r="P189" s="135">
        <f t="shared" si="43"/>
        <v>9.3003414057812156E-4</v>
      </c>
    </row>
    <row r="190" spans="1:16" s="46" customFormat="1" ht="15" hidden="1" outlineLevel="1" x14ac:dyDescent="0.25">
      <c r="A190" s="53" t="s">
        <v>242</v>
      </c>
      <c r="B190" s="9"/>
      <c r="C190" s="9"/>
      <c r="D190" s="9"/>
      <c r="E190" s="20"/>
      <c r="F190" s="9"/>
      <c r="G190" s="9"/>
      <c r="H190" s="11">
        <f>+B190+C190+D190+G190+E190+F190</f>
        <v>0</v>
      </c>
      <c r="I190" s="9"/>
      <c r="J190" s="20">
        <f>+H190+I190</f>
        <v>0</v>
      </c>
      <c r="K190" s="120">
        <v>370000000</v>
      </c>
      <c r="L190" s="120"/>
      <c r="M190" s="120">
        <v>-2200000</v>
      </c>
      <c r="N190" s="120"/>
      <c r="O190" s="20">
        <f t="shared" si="42"/>
        <v>367800000</v>
      </c>
      <c r="P190" s="135">
        <f t="shared" si="43"/>
        <v>8.7694982593787968E-3</v>
      </c>
    </row>
    <row r="191" spans="1:16" s="46" customFormat="1" ht="15" collapsed="1" x14ac:dyDescent="0.25">
      <c r="A191" s="53"/>
      <c r="B191" s="11"/>
      <c r="C191" s="9"/>
      <c r="D191" s="9"/>
      <c r="E191" s="9"/>
      <c r="F191" s="9"/>
      <c r="G191" s="9"/>
      <c r="H191" s="11"/>
      <c r="I191" s="9"/>
      <c r="J191" s="20"/>
      <c r="K191" s="120"/>
      <c r="L191" s="120"/>
      <c r="M191" s="120"/>
      <c r="N191" s="120"/>
      <c r="O191" s="20"/>
      <c r="P191" s="135"/>
    </row>
    <row r="192" spans="1:16" ht="15" x14ac:dyDescent="0.25">
      <c r="A192" s="13" t="s">
        <v>49</v>
      </c>
      <c r="B192" s="11"/>
      <c r="C192" s="11"/>
      <c r="D192" s="11"/>
      <c r="E192" s="11"/>
      <c r="F192" s="11"/>
      <c r="G192" s="11"/>
      <c r="H192" s="11"/>
      <c r="I192" s="9">
        <f>+I193+I194</f>
        <v>3402350940.8687792</v>
      </c>
      <c r="J192" s="9">
        <f>+I192+H192</f>
        <v>3402350940.8687792</v>
      </c>
      <c r="K192" s="9">
        <f>+K193+K194</f>
        <v>-79633990</v>
      </c>
      <c r="L192" s="9">
        <f>+L193+L194</f>
        <v>0</v>
      </c>
      <c r="M192" s="9">
        <f>+M193+M194</f>
        <v>-54824110</v>
      </c>
      <c r="N192" s="9">
        <f>+N193+N194</f>
        <v>0</v>
      </c>
      <c r="O192" s="9">
        <f>+J192+K192+L192+M192+N192</f>
        <v>3267892840.8687792</v>
      </c>
      <c r="P192" s="137">
        <f>+O192/$O$204</f>
        <v>7.7916749809231078E-2</v>
      </c>
    </row>
    <row r="193" spans="1:21" ht="14.25" hidden="1" outlineLevel="1" x14ac:dyDescent="0.2">
      <c r="A193" s="21" t="s">
        <v>103</v>
      </c>
      <c r="B193" s="11"/>
      <c r="C193" s="11"/>
      <c r="D193" s="11"/>
      <c r="E193" s="11"/>
      <c r="F193" s="11"/>
      <c r="G193" s="11"/>
      <c r="H193" s="11"/>
      <c r="I193" s="20">
        <f>+('[24]Anexo 1'!B14+'[24]Anexo 1'!B18)*0.1</f>
        <v>2126469338.0429871</v>
      </c>
      <c r="J193" s="20">
        <f>+I193+H193</f>
        <v>2126469338.0429871</v>
      </c>
      <c r="K193" s="120">
        <v>-49771244</v>
      </c>
      <c r="L193" s="120"/>
      <c r="M193" s="120">
        <v>-34265069</v>
      </c>
      <c r="N193" s="120"/>
      <c r="O193" s="20">
        <f>+J193+K193+L193+M193+N193</f>
        <v>2042433025.0429871</v>
      </c>
      <c r="P193" s="135">
        <f>+O193/$O$204</f>
        <v>4.869796861884787E-2</v>
      </c>
    </row>
    <row r="194" spans="1:21" ht="14.25" hidden="1" outlineLevel="1" x14ac:dyDescent="0.2">
      <c r="A194" s="21" t="s">
        <v>104</v>
      </c>
      <c r="B194" s="11"/>
      <c r="C194" s="11"/>
      <c r="D194" s="11"/>
      <c r="E194" s="11"/>
      <c r="F194" s="11"/>
      <c r="G194" s="11"/>
      <c r="H194" s="11"/>
      <c r="I194" s="20">
        <f>+('[24]Anexo 1'!B15+'[24]Anexo 1'!B19)*0.1</f>
        <v>1275881602.8257923</v>
      </c>
      <c r="J194" s="20">
        <f>+I194+H194</f>
        <v>1275881602.8257923</v>
      </c>
      <c r="K194" s="120">
        <v>-29862746</v>
      </c>
      <c r="L194" s="120"/>
      <c r="M194" s="120">
        <v>-20559041</v>
      </c>
      <c r="N194" s="120"/>
      <c r="O194" s="20">
        <f>+J194+K194+L194+M194+N194</f>
        <v>1225459815.8257923</v>
      </c>
      <c r="P194" s="135">
        <f>+O194/$O$204</f>
        <v>2.9218781190383215E-2</v>
      </c>
    </row>
    <row r="195" spans="1:21" ht="14.25" collapsed="1" x14ac:dyDescent="0.2">
      <c r="A195" s="21"/>
      <c r="B195" s="11"/>
      <c r="C195" s="11"/>
      <c r="D195" s="11"/>
      <c r="E195" s="11"/>
      <c r="F195" s="11"/>
      <c r="G195" s="11"/>
      <c r="H195" s="11"/>
      <c r="I195" s="20"/>
      <c r="J195" s="20"/>
      <c r="K195" s="120"/>
      <c r="L195" s="120"/>
      <c r="M195" s="120"/>
      <c r="N195" s="120"/>
      <c r="O195" s="20"/>
      <c r="P195" s="135"/>
    </row>
    <row r="196" spans="1:21" ht="15" x14ac:dyDescent="0.25">
      <c r="A196" s="52" t="s">
        <v>243</v>
      </c>
      <c r="B196" s="14"/>
      <c r="C196" s="14"/>
      <c r="D196" s="14"/>
      <c r="E196" s="14"/>
      <c r="F196" s="14"/>
      <c r="G196" s="14"/>
      <c r="H196" s="14">
        <f>+B196+C196+D196+G196+F196</f>
        <v>0</v>
      </c>
      <c r="I196" s="14"/>
      <c r="J196" s="104">
        <f>+I196+H196</f>
        <v>0</v>
      </c>
      <c r="K196" s="121">
        <v>2000000000</v>
      </c>
      <c r="L196" s="121"/>
      <c r="M196" s="121"/>
      <c r="N196" s="121">
        <v>-746161368</v>
      </c>
      <c r="O196" s="104">
        <f>+J196+K196+L196+M196+N196</f>
        <v>1253838632</v>
      </c>
      <c r="P196" s="138">
        <f>+O196/$O$204</f>
        <v>2.9895420611380893E-2</v>
      </c>
    </row>
    <row r="197" spans="1:21" ht="15" x14ac:dyDescent="0.25">
      <c r="A197" s="15"/>
      <c r="B197" s="11"/>
      <c r="C197" s="11"/>
      <c r="D197" s="11"/>
      <c r="E197" s="11"/>
      <c r="F197" s="11"/>
      <c r="G197" s="11"/>
      <c r="H197" s="11"/>
      <c r="I197" s="11"/>
      <c r="J197" s="11"/>
      <c r="K197" s="115"/>
      <c r="L197" s="115"/>
      <c r="M197" s="115"/>
      <c r="N197" s="115"/>
      <c r="O197" s="11"/>
      <c r="P197" s="129"/>
    </row>
    <row r="198" spans="1:21" ht="15" x14ac:dyDescent="0.25">
      <c r="A198" s="52" t="s">
        <v>244</v>
      </c>
      <c r="B198" s="14"/>
      <c r="C198" s="14"/>
      <c r="D198" s="14"/>
      <c r="E198" s="14"/>
      <c r="F198" s="14"/>
      <c r="G198" s="14">
        <v>4150000000</v>
      </c>
      <c r="H198" s="14">
        <f>+B198+C198+D198+G198+F198</f>
        <v>4150000000</v>
      </c>
      <c r="I198" s="14"/>
      <c r="J198" s="104">
        <f>+I198+H198</f>
        <v>4150000000</v>
      </c>
      <c r="K198" s="121"/>
      <c r="L198" s="121"/>
      <c r="M198" s="121"/>
      <c r="N198" s="121">
        <v>-2744885241</v>
      </c>
      <c r="O198" s="104">
        <f>+J198+K198+L198+M198+N198</f>
        <v>1405114759</v>
      </c>
      <c r="P198" s="138">
        <f>+O198/$O$204</f>
        <v>3.3502314935502875E-2</v>
      </c>
    </row>
    <row r="199" spans="1:21" ht="15" x14ac:dyDescent="0.25">
      <c r="A199" s="15"/>
      <c r="B199" s="11"/>
      <c r="C199" s="11"/>
      <c r="D199" s="11"/>
      <c r="E199" s="11"/>
      <c r="F199" s="11"/>
      <c r="G199" s="11"/>
      <c r="H199" s="11"/>
      <c r="I199" s="11"/>
      <c r="J199" s="11"/>
      <c r="K199" s="115"/>
      <c r="L199" s="115"/>
      <c r="M199" s="115"/>
      <c r="N199" s="115"/>
      <c r="O199" s="11"/>
      <c r="P199" s="129"/>
    </row>
    <row r="200" spans="1:21" ht="15" x14ac:dyDescent="0.25">
      <c r="A200" s="13" t="s">
        <v>53</v>
      </c>
      <c r="B200" s="11"/>
      <c r="C200" s="11"/>
      <c r="D200" s="11"/>
      <c r="E200" s="11"/>
      <c r="F200" s="11"/>
      <c r="G200" s="11"/>
      <c r="H200" s="9">
        <f>+B200+C200+G200+F200</f>
        <v>0</v>
      </c>
      <c r="I200" s="9">
        <f>+I201+I202</f>
        <v>3114906111.8556213</v>
      </c>
      <c r="J200" s="9">
        <f>+I200+H200</f>
        <v>3114906111.8556213</v>
      </c>
      <c r="K200" s="9">
        <f>+K201+K202</f>
        <v>-2592583629</v>
      </c>
      <c r="L200" s="9">
        <f>+L201+L202</f>
        <v>-78401486.105159998</v>
      </c>
      <c r="M200" s="9">
        <f>+M201+M202</f>
        <v>-282705297</v>
      </c>
      <c r="N200" s="9">
        <f>+N201+N202</f>
        <v>0</v>
      </c>
      <c r="O200" s="9">
        <f>+J200+K200+L200+M200+N200</f>
        <v>161215699.75046134</v>
      </c>
      <c r="P200" s="137">
        <f>+O200/$O$204</f>
        <v>3.8438847154600476E-3</v>
      </c>
    </row>
    <row r="201" spans="1:21" s="16" customFormat="1" ht="14.25" hidden="1" outlineLevel="1" x14ac:dyDescent="0.2">
      <c r="A201" s="12" t="s">
        <v>78</v>
      </c>
      <c r="B201" s="11"/>
      <c r="C201" s="11"/>
      <c r="D201" s="11"/>
      <c r="E201" s="11"/>
      <c r="F201" s="11"/>
      <c r="G201" s="11"/>
      <c r="H201" s="11">
        <f>+B201+C201+G201+F201</f>
        <v>0</v>
      </c>
      <c r="I201" s="11">
        <v>2912589677.2912941</v>
      </c>
      <c r="J201" s="11">
        <f>+I201</f>
        <v>2912589677.2912941</v>
      </c>
      <c r="K201" s="115">
        <f>-497712440+288736578+49771244-83103328-180000000-370000000-2000000000</f>
        <v>-2792307946</v>
      </c>
      <c r="L201" s="115">
        <f>-20000000-19569827</f>
        <v>-39569827</v>
      </c>
      <c r="M201" s="115">
        <f>-342650687-1288308+108000000+119000000+31000000+54000000+13000000+32000000+34265069</f>
        <v>47326074</v>
      </c>
      <c r="N201" s="115"/>
      <c r="O201" s="11">
        <f>+J201+K201+L201+M201+N201</f>
        <v>128037978.2912941</v>
      </c>
      <c r="P201" s="129">
        <f>+O201/$O$204</f>
        <v>3.0528244365412827E-3</v>
      </c>
      <c r="Q201" s="110"/>
    </row>
    <row r="202" spans="1:21" s="16" customFormat="1" ht="14.25" hidden="1" outlineLevel="1" x14ac:dyDescent="0.2">
      <c r="A202" s="12" t="s">
        <v>79</v>
      </c>
      <c r="B202" s="11"/>
      <c r="C202" s="11"/>
      <c r="D202" s="11"/>
      <c r="E202" s="11"/>
      <c r="F202" s="11"/>
      <c r="G202" s="11"/>
      <c r="H202" s="11">
        <f>+B202+C202+G202+F202</f>
        <v>0</v>
      </c>
      <c r="I202" s="11">
        <v>202316434.56432724</v>
      </c>
      <c r="J202" s="11">
        <f>+I202</f>
        <v>202316434.56432724</v>
      </c>
      <c r="K202" s="115">
        <f>-298627464+717092106+29862746-240000000-8603071</f>
        <v>199724317</v>
      </c>
      <c r="L202" s="115">
        <f>-33238760.10516-5592899</f>
        <v>-38831659.105159998</v>
      </c>
      <c r="M202" s="115">
        <f>-205590412+20000000+30000000-300000000+105000000+20559041</f>
        <v>-330031371</v>
      </c>
      <c r="N202" s="115"/>
      <c r="O202" s="11">
        <f>+J202+K202+L202+M202+N202</f>
        <v>33177721.459167242</v>
      </c>
      <c r="P202" s="129">
        <f>+O202/$O$204</f>
        <v>7.9106027891876483E-4</v>
      </c>
      <c r="Q202" s="109"/>
    </row>
    <row r="203" spans="1:21" ht="15" collapsed="1" x14ac:dyDescent="0.25">
      <c r="A203" s="15"/>
      <c r="B203" s="11"/>
      <c r="C203" s="11"/>
      <c r="D203" s="11"/>
      <c r="E203" s="11"/>
      <c r="F203" s="11"/>
      <c r="G203" s="11"/>
      <c r="H203" s="11"/>
      <c r="I203" s="11"/>
      <c r="J203" s="11"/>
      <c r="K203" s="115"/>
      <c r="L203" s="115"/>
      <c r="M203" s="115"/>
      <c r="N203" s="115"/>
      <c r="O203" s="11"/>
      <c r="P203" s="129"/>
    </row>
    <row r="204" spans="1:21" ht="15" x14ac:dyDescent="0.25">
      <c r="A204" s="15" t="s">
        <v>81</v>
      </c>
      <c r="B204" s="9">
        <f>+B39+B37</f>
        <v>4909328305.0027847</v>
      </c>
      <c r="C204" s="9">
        <f>+C37+C39</f>
        <v>2019069421.9116025</v>
      </c>
      <c r="D204" s="9">
        <f>+D39+D37</f>
        <v>2037154411.9912839</v>
      </c>
      <c r="E204" s="9">
        <f>+E39+E37</f>
        <v>307602384.70271885</v>
      </c>
      <c r="F204" s="9">
        <f>+F39+F37</f>
        <v>9097346242.3600693</v>
      </c>
      <c r="G204" s="9">
        <f>+G37+G39+G198</f>
        <v>19809376960.38205</v>
      </c>
      <c r="H204" s="9">
        <f>+B204+C204+D204+G204+E204+F204</f>
        <v>38179877726.35051</v>
      </c>
      <c r="I204" s="9">
        <f>+I200+I192+I39+I37</f>
        <v>7481687196.589119</v>
      </c>
      <c r="J204" s="9">
        <f>+I204+H204</f>
        <v>45661564922.939629</v>
      </c>
      <c r="K204" s="116">
        <f>+K37+K39+K192+K198+K200+K196</f>
        <v>200885709.10500002</v>
      </c>
      <c r="L204" s="116">
        <f>+L37+L39+L192+L198+L200+L196</f>
        <v>149163007.09065425</v>
      </c>
      <c r="M204" s="116">
        <f>+M37+M39+M192+M198+M200+M196</f>
        <v>-579741099</v>
      </c>
      <c r="N204" s="116">
        <f>+N37+N39+N192+N198+N200+N196</f>
        <v>-3491046609</v>
      </c>
      <c r="O204" s="9">
        <f>+J204+K204+L204+M204+N204</f>
        <v>41940825931.135284</v>
      </c>
      <c r="P204" s="131">
        <f>+O204/$O$204</f>
        <v>1</v>
      </c>
    </row>
    <row r="205" spans="1:21" ht="15.75" thickBot="1" x14ac:dyDescent="0.3">
      <c r="A205" s="39"/>
      <c r="B205" s="7"/>
      <c r="C205" s="40"/>
      <c r="D205" s="40"/>
      <c r="E205" s="48"/>
      <c r="F205" s="40"/>
      <c r="G205" s="48"/>
      <c r="H205" s="40"/>
      <c r="I205" s="40"/>
      <c r="J205" s="40"/>
      <c r="K205" s="122"/>
      <c r="L205" s="122"/>
      <c r="M205" s="122"/>
      <c r="N205" s="122"/>
      <c r="O205" s="40"/>
      <c r="P205" s="139"/>
      <c r="Q205" s="71"/>
      <c r="R205" s="71"/>
      <c r="S205" s="71"/>
      <c r="T205" s="71"/>
      <c r="U205" s="71"/>
    </row>
    <row r="206" spans="1:21" ht="13.5" thickTop="1" x14ac:dyDescent="0.2">
      <c r="A206" s="41"/>
      <c r="B206" s="38"/>
      <c r="C206" s="38"/>
      <c r="D206" s="38"/>
      <c r="E206" s="38"/>
      <c r="F206" s="38"/>
      <c r="G206" s="54"/>
      <c r="H206" s="2"/>
      <c r="I206" s="38"/>
      <c r="J206" s="38"/>
      <c r="K206" s="141"/>
      <c r="L206" s="141"/>
      <c r="M206" s="141"/>
      <c r="N206" s="141"/>
      <c r="O206" s="124"/>
      <c r="P206" s="140"/>
    </row>
    <row r="207" spans="1:21" x14ac:dyDescent="0.2">
      <c r="A207" s="41"/>
      <c r="B207" s="38"/>
      <c r="C207" s="38"/>
      <c r="D207" s="38"/>
      <c r="E207" s="38"/>
      <c r="F207" s="38"/>
      <c r="G207" s="55"/>
      <c r="H207" s="38"/>
      <c r="I207" s="38"/>
      <c r="J207" s="79"/>
      <c r="K207" s="79"/>
      <c r="L207" s="79"/>
      <c r="M207" s="79"/>
      <c r="N207" s="79"/>
      <c r="O207" s="125"/>
      <c r="P207" s="80"/>
    </row>
    <row r="208" spans="1:2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79"/>
      <c r="K208" s="79"/>
      <c r="L208" s="79"/>
      <c r="M208" s="79"/>
      <c r="N208" s="79"/>
      <c r="O208" s="124"/>
      <c r="P208" s="140"/>
    </row>
    <row r="209" spans="1:16" x14ac:dyDescent="0.2">
      <c r="A209" s="2"/>
      <c r="B209" s="2"/>
      <c r="C209" s="2"/>
      <c r="D209" s="2"/>
      <c r="E209" s="2"/>
      <c r="F209" s="2"/>
      <c r="G209" s="2"/>
      <c r="H209" s="38"/>
      <c r="I209" s="38"/>
      <c r="J209" s="143"/>
      <c r="K209" s="142"/>
      <c r="L209" s="142"/>
      <c r="M209" s="142"/>
      <c r="N209" s="142"/>
      <c r="O209" s="124"/>
      <c r="P209" s="140"/>
    </row>
    <row r="210" spans="1:1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143"/>
      <c r="K210" s="142"/>
      <c r="L210" s="142"/>
      <c r="M210" s="142"/>
      <c r="N210" s="142"/>
      <c r="O210" s="124"/>
      <c r="P210" s="140"/>
    </row>
    <row r="211" spans="1:1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42"/>
      <c r="L211" s="142"/>
      <c r="M211" s="142"/>
      <c r="N211" s="142"/>
      <c r="O211" s="124"/>
      <c r="P211" s="140"/>
    </row>
    <row r="212" spans="1:16" x14ac:dyDescent="0.2">
      <c r="A212" s="2"/>
      <c r="B212" s="2"/>
      <c r="C212" s="2"/>
      <c r="D212" s="2"/>
      <c r="E212" s="2"/>
      <c r="F212" s="2"/>
      <c r="G212" s="2"/>
      <c r="H212" s="2"/>
      <c r="I212" s="80"/>
      <c r="J212" s="2"/>
      <c r="K212" s="2"/>
      <c r="L212" s="2"/>
      <c r="M212" s="2"/>
      <c r="N212" s="2"/>
      <c r="O212" s="124"/>
      <c r="P212" s="140"/>
    </row>
    <row r="213" spans="1:1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24"/>
      <c r="P213" s="140"/>
    </row>
    <row r="214" spans="1:1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24"/>
      <c r="P214" s="140"/>
    </row>
    <row r="215" spans="1:1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24"/>
      <c r="P215" s="140"/>
    </row>
    <row r="216" spans="1:1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24"/>
      <c r="P216" s="140"/>
    </row>
    <row r="217" spans="1:1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24"/>
      <c r="P217" s="140"/>
    </row>
    <row r="218" spans="1:1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24"/>
      <c r="P218" s="140"/>
    </row>
    <row r="219" spans="1:1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24"/>
      <c r="P219" s="140"/>
    </row>
    <row r="220" spans="1:1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24"/>
      <c r="P220" s="140"/>
    </row>
    <row r="221" spans="1:1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24"/>
      <c r="P221" s="140"/>
    </row>
    <row r="222" spans="1:1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24"/>
      <c r="P222" s="140"/>
    </row>
    <row r="223" spans="1:1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24"/>
      <c r="P223" s="140"/>
    </row>
    <row r="224" spans="1:1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24"/>
      <c r="P224" s="140"/>
    </row>
    <row r="225" spans="1:1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24"/>
      <c r="P225" s="140"/>
    </row>
    <row r="226" spans="1:1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24"/>
      <c r="P226" s="140"/>
    </row>
    <row r="227" spans="1:1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24"/>
      <c r="P227" s="140"/>
    </row>
    <row r="228" spans="1:1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24"/>
      <c r="P228" s="140"/>
    </row>
    <row r="229" spans="1:1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24"/>
      <c r="P229" s="140"/>
    </row>
    <row r="230" spans="1:1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24"/>
      <c r="P230" s="140"/>
    </row>
    <row r="231" spans="1:1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24"/>
      <c r="P231" s="140"/>
    </row>
    <row r="232" spans="1:1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24"/>
      <c r="P232" s="140"/>
    </row>
    <row r="233" spans="1:1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24"/>
      <c r="P233" s="140"/>
    </row>
    <row r="234" spans="1:1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24"/>
      <c r="P234" s="140"/>
    </row>
    <row r="235" spans="1:1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24"/>
      <c r="P235" s="140"/>
    </row>
    <row r="236" spans="1:1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24"/>
      <c r="P236" s="140"/>
    </row>
    <row r="237" spans="1:1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24"/>
      <c r="P237" s="140"/>
    </row>
    <row r="238" spans="1:1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24"/>
      <c r="P238" s="140"/>
    </row>
    <row r="239" spans="1:1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24"/>
      <c r="P239" s="140"/>
    </row>
    <row r="240" spans="1:1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24"/>
      <c r="P240" s="140"/>
    </row>
    <row r="241" spans="1:1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24"/>
      <c r="P241" s="140"/>
    </row>
    <row r="242" spans="1:1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24"/>
      <c r="P242" s="140"/>
    </row>
    <row r="243" spans="1:1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24"/>
      <c r="P243" s="140"/>
    </row>
    <row r="244" spans="1:1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24"/>
      <c r="P244" s="140"/>
    </row>
    <row r="245" spans="1:1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24"/>
      <c r="P245" s="140"/>
    </row>
    <row r="246" spans="1:1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24"/>
      <c r="P246" s="140"/>
    </row>
    <row r="247" spans="1:1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24"/>
      <c r="P247" s="140"/>
    </row>
    <row r="248" spans="1:1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24"/>
      <c r="P248" s="140"/>
    </row>
    <row r="249" spans="1:1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24"/>
      <c r="P249" s="140"/>
    </row>
    <row r="250" spans="1:1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24"/>
      <c r="P250" s="140"/>
    </row>
    <row r="251" spans="1:1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24"/>
      <c r="P251" s="140"/>
    </row>
    <row r="252" spans="1:1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24"/>
      <c r="P252" s="140"/>
    </row>
    <row r="253" spans="1:1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24"/>
      <c r="P253" s="140"/>
    </row>
    <row r="254" spans="1:1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24"/>
      <c r="P254" s="140"/>
    </row>
    <row r="255" spans="1:1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24"/>
      <c r="P255" s="140"/>
    </row>
    <row r="256" spans="1:1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24"/>
      <c r="P256" s="140"/>
    </row>
    <row r="257" spans="1:1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24"/>
      <c r="P257" s="140"/>
    </row>
    <row r="258" spans="1:1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24"/>
      <c r="P258" s="140"/>
    </row>
    <row r="259" spans="1:1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24"/>
      <c r="P259" s="140"/>
    </row>
    <row r="260" spans="1:1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24"/>
      <c r="P260" s="140"/>
    </row>
    <row r="261" spans="1:1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24"/>
      <c r="P261" s="140"/>
    </row>
    <row r="262" spans="1:1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24"/>
      <c r="P262" s="140"/>
    </row>
    <row r="263" spans="1:1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24"/>
      <c r="P263" s="140"/>
    </row>
    <row r="264" spans="1:1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24"/>
      <c r="P264" s="140"/>
    </row>
    <row r="265" spans="1:1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24"/>
      <c r="P265" s="140"/>
    </row>
    <row r="266" spans="1:1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24"/>
      <c r="P266" s="140"/>
    </row>
    <row r="267" spans="1:1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24"/>
      <c r="P267" s="140"/>
    </row>
    <row r="268" spans="1:1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24"/>
      <c r="P268" s="140"/>
    </row>
    <row r="269" spans="1:1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24"/>
      <c r="P269" s="140"/>
    </row>
    <row r="270" spans="1:1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24"/>
      <c r="P270" s="140"/>
    </row>
    <row r="271" spans="1:1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24"/>
      <c r="P271" s="140"/>
    </row>
    <row r="272" spans="1:1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24"/>
      <c r="P272" s="140"/>
    </row>
    <row r="273" spans="1:1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24"/>
      <c r="P273" s="140"/>
    </row>
    <row r="274" spans="1:1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24"/>
      <c r="P274" s="140"/>
    </row>
    <row r="275" spans="1:1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24"/>
      <c r="P275" s="140"/>
    </row>
    <row r="276" spans="1:1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24"/>
      <c r="P276" s="140"/>
    </row>
    <row r="277" spans="1:1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24"/>
      <c r="P277" s="140"/>
    </row>
    <row r="278" spans="1:1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24"/>
      <c r="P278" s="140"/>
    </row>
  </sheetData>
  <mergeCells count="4">
    <mergeCell ref="A1:O1"/>
    <mergeCell ref="A2:P2"/>
    <mergeCell ref="A3:P3"/>
    <mergeCell ref="A4:P4"/>
  </mergeCells>
  <printOptions horizontalCentered="1"/>
  <pageMargins left="0.39370078740157483" right="0.39370078740157483" top="0.39370078740157483" bottom="0.39370078740157483" header="0" footer="0"/>
  <pageSetup scale="52" orientation="portrait" r:id="rId1"/>
  <headerFooter alignWithMargins="0"/>
  <ignoredErrors>
    <ignoredError sqref="H36:H37 H197:J200 I151:J151 H152:J154 H156:J159 I155 H167:J168 H170:J174 I169 H76:J81 H83:J84 H90:J91 I74:J74 H148:J150 H163:J164 H93:J93 H92 J92 H95:J101 I94 H177:J179 I176 H56:J73 H181:J184 H186:J188 H203:J204 H106:J134 H141:J141 I140 I142:J142 H143:J145 H136:J139 I135 H201:H202 H191:J194 H45:J48 I50:J50 I49:J49 I53:J5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T1876"/>
  <sheetViews>
    <sheetView zoomScale="85" zoomScaleNormal="85" zoomScaleSheetLayoutView="100" workbookViewId="0">
      <pane xSplit="1" ySplit="7" topLeftCell="B8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RowHeight="12.75" outlineLevelCol="1" x14ac:dyDescent="0.2"/>
  <cols>
    <col min="1" max="1" width="39.5703125" bestFit="1" customWidth="1"/>
    <col min="2" max="2" width="20.5703125" customWidth="1" outlineLevel="1"/>
    <col min="3" max="3" width="27.7109375" customWidth="1" outlineLevel="1"/>
    <col min="4" max="4" width="19.140625" customWidth="1" outlineLevel="1"/>
    <col min="5" max="5" width="19.28515625" customWidth="1" outlineLevel="1"/>
    <col min="6" max="6" width="22.7109375" customWidth="1" outlineLevel="1"/>
    <col min="7" max="8" width="20.28515625" customWidth="1" outlineLevel="1"/>
    <col min="9" max="9" width="22.28515625" customWidth="1" outlineLevel="1"/>
    <col min="10" max="10" width="20.28515625" customWidth="1" outlineLevel="1"/>
    <col min="11" max="11" width="25.7109375" customWidth="1" outlineLevel="1"/>
    <col min="12" max="12" width="21.42578125" customWidth="1" outlineLevel="1"/>
    <col min="13" max="13" width="17.140625" customWidth="1"/>
    <col min="14" max="14" width="22.42578125" customWidth="1"/>
    <col min="15" max="15" width="20.28515625" customWidth="1"/>
    <col min="16" max="16" width="10.28515625" customWidth="1"/>
    <col min="17" max="17" width="13.85546875" bestFit="1" customWidth="1"/>
  </cols>
  <sheetData>
    <row r="1" spans="1:20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5.75" x14ac:dyDescent="0.25">
      <c r="A2" s="153" t="s">
        <v>14</v>
      </c>
      <c r="B2" s="153"/>
      <c r="C2" s="153"/>
      <c r="D2" s="153"/>
      <c r="E2" s="153"/>
      <c r="F2" s="153"/>
      <c r="G2" s="153" t="s">
        <v>14</v>
      </c>
      <c r="H2" s="153"/>
      <c r="I2" s="153"/>
      <c r="J2" s="153"/>
      <c r="K2" s="153"/>
      <c r="L2" s="153"/>
      <c r="M2" s="153"/>
      <c r="N2" s="153"/>
      <c r="O2" s="153"/>
      <c r="P2" s="153"/>
      <c r="Q2" s="22"/>
      <c r="R2" s="22"/>
      <c r="S2" s="22"/>
      <c r="T2" s="22"/>
    </row>
    <row r="3" spans="1:20" x14ac:dyDescent="0.2">
      <c r="A3" s="22"/>
      <c r="B3" s="22"/>
      <c r="C3" s="22"/>
      <c r="D3" s="22"/>
      <c r="E3" s="42"/>
      <c r="F3" s="22"/>
      <c r="G3" s="22"/>
      <c r="H3" s="22"/>
      <c r="I3" s="4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ht="15.75" thickBot="1" x14ac:dyDescent="0.3">
      <c r="A4" s="23"/>
      <c r="B4" s="23"/>
      <c r="C4" s="25" t="s">
        <v>82</v>
      </c>
      <c r="D4" s="24">
        <v>1.0575000000000001</v>
      </c>
      <c r="E4" s="105">
        <v>1.2</v>
      </c>
      <c r="F4" s="47"/>
      <c r="G4" s="23"/>
      <c r="H4" s="23"/>
      <c r="I4" s="23"/>
      <c r="J4" s="23"/>
      <c r="K4" s="23"/>
      <c r="L4" s="23"/>
      <c r="M4" s="23"/>
      <c r="N4" s="23"/>
      <c r="O4" s="23"/>
      <c r="P4" s="23"/>
      <c r="Q4" s="22"/>
      <c r="R4" s="22"/>
      <c r="S4" s="22"/>
      <c r="T4" s="22"/>
    </row>
    <row r="5" spans="1:20" ht="15.75" thickBot="1" x14ac:dyDescent="0.3">
      <c r="A5" s="22"/>
      <c r="B5" s="154">
        <v>2017</v>
      </c>
      <c r="C5" s="155"/>
      <c r="D5" s="155"/>
      <c r="E5" s="156"/>
      <c r="F5" s="146" t="s">
        <v>57</v>
      </c>
      <c r="G5" s="146" t="s">
        <v>71</v>
      </c>
      <c r="H5" s="146" t="s">
        <v>128</v>
      </c>
      <c r="I5" s="146" t="s">
        <v>72</v>
      </c>
      <c r="J5" s="146" t="s">
        <v>73</v>
      </c>
      <c r="K5" s="146" t="s">
        <v>91</v>
      </c>
      <c r="L5" s="146" t="s">
        <v>74</v>
      </c>
      <c r="M5" s="148" t="s">
        <v>216</v>
      </c>
      <c r="N5" s="159" t="s">
        <v>215</v>
      </c>
      <c r="O5" s="160"/>
      <c r="P5" s="161"/>
      <c r="Q5" s="22"/>
      <c r="R5" s="22"/>
      <c r="S5" s="22"/>
      <c r="T5" s="22"/>
    </row>
    <row r="6" spans="1:20" ht="15.75" thickBot="1" x14ac:dyDescent="0.3">
      <c r="A6" s="18" t="s">
        <v>65</v>
      </c>
      <c r="B6" s="157"/>
      <c r="C6" s="158"/>
      <c r="D6" s="158"/>
      <c r="E6" s="158"/>
      <c r="F6" s="147"/>
      <c r="G6" s="147"/>
      <c r="H6" s="147" t="s">
        <v>128</v>
      </c>
      <c r="I6" s="147"/>
      <c r="J6" s="147"/>
      <c r="K6" s="147"/>
      <c r="L6" s="147"/>
      <c r="M6" s="149"/>
      <c r="N6" s="19">
        <v>2016</v>
      </c>
      <c r="O6" s="19">
        <v>2017</v>
      </c>
      <c r="P6" s="50" t="s">
        <v>189</v>
      </c>
      <c r="Q6" s="22"/>
      <c r="R6" s="22"/>
      <c r="S6" s="22"/>
      <c r="T6" s="22"/>
    </row>
    <row r="7" spans="1:20" s="99" customFormat="1" ht="31.5" customHeight="1" x14ac:dyDescent="0.25">
      <c r="A7" s="69"/>
      <c r="B7" s="66"/>
      <c r="C7" s="95"/>
      <c r="D7" s="66"/>
      <c r="E7" s="66"/>
      <c r="F7" s="96"/>
      <c r="G7" s="96"/>
      <c r="H7" s="96"/>
      <c r="I7" s="96"/>
      <c r="J7" s="97"/>
      <c r="K7" s="97"/>
      <c r="L7" s="97"/>
      <c r="M7" s="66"/>
      <c r="N7" s="66"/>
      <c r="O7" s="66"/>
      <c r="P7" s="66"/>
    </row>
    <row r="8" spans="1:20" s="99" customFormat="1" ht="31.5" customHeight="1" thickBot="1" x14ac:dyDescent="0.25">
      <c r="A8" s="67" t="s">
        <v>30</v>
      </c>
      <c r="B8" s="62">
        <f>25000000</f>
        <v>25000000</v>
      </c>
      <c r="C8" s="62"/>
      <c r="D8" s="62"/>
      <c r="E8" s="63"/>
      <c r="F8" s="65">
        <f>SUM(B8:E8)</f>
        <v>25000000</v>
      </c>
      <c r="G8" s="65"/>
      <c r="H8" s="65"/>
      <c r="I8" s="65"/>
      <c r="J8" s="65"/>
      <c r="K8" s="65"/>
      <c r="L8" s="65"/>
      <c r="M8" s="86">
        <f>SUM(F8:L8)</f>
        <v>25000000</v>
      </c>
      <c r="N8" s="86">
        <v>25000000</v>
      </c>
      <c r="O8" s="86">
        <f>+M8</f>
        <v>25000000</v>
      </c>
      <c r="P8" s="87">
        <f>+(O8-N8)/N8</f>
        <v>0</v>
      </c>
    </row>
    <row r="9" spans="1:20" s="99" customFormat="1" ht="31.5" customHeight="1" x14ac:dyDescent="0.25">
      <c r="A9" s="81"/>
      <c r="B9" s="82" t="s">
        <v>109</v>
      </c>
      <c r="C9" s="66" t="s">
        <v>90</v>
      </c>
      <c r="D9" s="66" t="s">
        <v>110</v>
      </c>
      <c r="E9" s="83" t="s">
        <v>187</v>
      </c>
      <c r="F9" s="84"/>
      <c r="G9" s="66"/>
      <c r="H9" s="66"/>
      <c r="I9" s="66"/>
      <c r="J9" s="66"/>
      <c r="K9" s="66"/>
      <c r="L9" s="66"/>
      <c r="M9" s="66"/>
      <c r="N9" s="66"/>
      <c r="O9" s="66"/>
      <c r="P9" s="90"/>
    </row>
    <row r="10" spans="1:20" s="99" customFormat="1" ht="15" thickBot="1" x14ac:dyDescent="0.25">
      <c r="A10" s="67" t="s">
        <v>50</v>
      </c>
      <c r="B10" s="102">
        <f>11354000*D4</f>
        <v>12006855.000000002</v>
      </c>
      <c r="C10" s="62">
        <f>31354000*D4</f>
        <v>33156855.000000004</v>
      </c>
      <c r="D10" s="62">
        <f>(23507622*D4)+642911</f>
        <v>25502221.265000004</v>
      </c>
      <c r="E10" s="63">
        <f>(27083000+7560000+147002)*D4</f>
        <v>36790427.115000002</v>
      </c>
      <c r="F10" s="65">
        <f>SUM(B10:E10)</f>
        <v>107456358.38000003</v>
      </c>
      <c r="G10" s="65">
        <f>+'[21]COMPARACIÓN PPC 2016 - 2017'!$O$7</f>
        <v>2400000</v>
      </c>
      <c r="H10" s="65"/>
      <c r="I10" s="111">
        <f>+[14]Agregado!$D$10</f>
        <v>142765236</v>
      </c>
      <c r="J10" s="65">
        <f>+'[15]Presupuesto 2017'!$G$5</f>
        <v>3000000</v>
      </c>
      <c r="K10" s="65"/>
      <c r="L10" s="65">
        <v>5000000</v>
      </c>
      <c r="M10" s="86">
        <f>SUM(F10:L10)</f>
        <v>260621594.38000003</v>
      </c>
      <c r="N10" s="86">
        <v>219187186.05202284</v>
      </c>
      <c r="O10" s="86">
        <f>+M10</f>
        <v>260621594.38000003</v>
      </c>
      <c r="P10" s="87">
        <f>+(O10-N10)/N10</f>
        <v>0.18903663610218052</v>
      </c>
      <c r="Q10" s="100"/>
    </row>
    <row r="11" spans="1:20" s="99" customFormat="1" ht="15" x14ac:dyDescent="0.25">
      <c r="A11" s="69"/>
      <c r="B11" s="66" t="s">
        <v>80</v>
      </c>
      <c r="C11" s="66" t="s">
        <v>31</v>
      </c>
      <c r="D11" s="66"/>
      <c r="E11" s="83"/>
      <c r="F11" s="84"/>
      <c r="G11" s="66"/>
      <c r="H11" s="66"/>
      <c r="I11" s="66"/>
      <c r="J11" s="66"/>
      <c r="K11" s="66"/>
      <c r="L11" s="66"/>
      <c r="M11" s="66"/>
      <c r="N11" s="66"/>
      <c r="O11" s="66"/>
      <c r="P11" s="90"/>
    </row>
    <row r="12" spans="1:20" s="99" customFormat="1" ht="15" thickBot="1" x14ac:dyDescent="0.25">
      <c r="A12" s="67" t="s">
        <v>22</v>
      </c>
      <c r="B12" s="63">
        <v>3009145</v>
      </c>
      <c r="C12" s="63">
        <f>6456830*E4</f>
        <v>7748196</v>
      </c>
      <c r="D12" s="67"/>
      <c r="E12" s="85"/>
      <c r="F12" s="62">
        <f>SUM(B12:E12)</f>
        <v>10757341</v>
      </c>
      <c r="G12" s="67"/>
      <c r="H12" s="67"/>
      <c r="I12" s="67"/>
      <c r="J12" s="67"/>
      <c r="K12" s="67"/>
      <c r="L12" s="67"/>
      <c r="M12" s="86">
        <f>SUM(F12:L12)</f>
        <v>10757341</v>
      </c>
      <c r="N12" s="86">
        <v>9103394.9121000003</v>
      </c>
      <c r="O12" s="86">
        <f>+M12</f>
        <v>10757341</v>
      </c>
      <c r="P12" s="87">
        <f>+(O12-N12)/N12</f>
        <v>0.18168453679864166</v>
      </c>
      <c r="Q12" s="100"/>
    </row>
    <row r="13" spans="1:20" s="99" customFormat="1" ht="15" x14ac:dyDescent="0.25">
      <c r="A13" s="81"/>
      <c r="B13" s="88" t="s">
        <v>32</v>
      </c>
      <c r="C13" s="83" t="s">
        <v>33</v>
      </c>
      <c r="D13" s="68"/>
      <c r="E13" s="89"/>
      <c r="F13" s="84"/>
      <c r="G13" s="68"/>
      <c r="H13" s="68"/>
      <c r="I13" s="68"/>
      <c r="J13" s="68"/>
      <c r="K13" s="68"/>
      <c r="L13" s="68"/>
      <c r="M13" s="66"/>
      <c r="N13" s="66"/>
      <c r="O13" s="66"/>
      <c r="P13" s="90"/>
      <c r="Q13" s="100"/>
    </row>
    <row r="14" spans="1:20" s="99" customFormat="1" ht="15" thickBot="1" x14ac:dyDescent="0.25">
      <c r="A14" s="91" t="s">
        <v>23</v>
      </c>
      <c r="B14" s="63">
        <f>1240851*D4</f>
        <v>1312199.9325000001</v>
      </c>
      <c r="C14" s="63">
        <f>(4795556*4)*D4</f>
        <v>20285201.880000003</v>
      </c>
      <c r="D14" s="63">
        <f>4270800*D2</f>
        <v>0</v>
      </c>
      <c r="E14" s="85"/>
      <c r="F14" s="62">
        <f>SUM(B14:E14)</f>
        <v>21597401.812500004</v>
      </c>
      <c r="G14" s="62">
        <f>+(12812400*D4)</f>
        <v>13549113.000000002</v>
      </c>
      <c r="H14" s="62"/>
      <c r="I14" s="67"/>
      <c r="J14" s="67"/>
      <c r="K14" s="67"/>
      <c r="L14" s="67"/>
      <c r="M14" s="86">
        <f>SUM(F14:L14)</f>
        <v>35146514.812500007</v>
      </c>
      <c r="N14" s="86">
        <v>33235476.640799999</v>
      </c>
      <c r="O14" s="86">
        <f>+M14</f>
        <v>35146514.812500007</v>
      </c>
      <c r="P14" s="87">
        <f>+(O14-N14)/N14</f>
        <v>5.749994779235422E-2</v>
      </c>
      <c r="Q14" s="100"/>
    </row>
    <row r="15" spans="1:20" s="99" customFormat="1" ht="15" x14ac:dyDescent="0.25">
      <c r="A15" s="81"/>
      <c r="B15" s="66" t="s">
        <v>108</v>
      </c>
      <c r="C15" s="66" t="s">
        <v>113</v>
      </c>
      <c r="D15" s="66" t="s">
        <v>188</v>
      </c>
      <c r="E15" s="83" t="s">
        <v>231</v>
      </c>
      <c r="F15" s="84"/>
      <c r="G15" s="66" t="s">
        <v>108</v>
      </c>
      <c r="H15" s="70" t="s">
        <v>108</v>
      </c>
      <c r="I15" s="66" t="s">
        <v>108</v>
      </c>
      <c r="J15" s="66" t="s">
        <v>108</v>
      </c>
      <c r="K15" s="66" t="s">
        <v>108</v>
      </c>
      <c r="L15" s="66" t="s">
        <v>108</v>
      </c>
      <c r="M15" s="66"/>
      <c r="N15" s="66"/>
      <c r="O15" s="66"/>
      <c r="P15" s="90"/>
      <c r="Q15" s="100"/>
    </row>
    <row r="16" spans="1:20" s="99" customFormat="1" ht="15" thickBot="1" x14ac:dyDescent="0.25">
      <c r="A16" s="91" t="s">
        <v>15</v>
      </c>
      <c r="B16" s="63">
        <f>+(676210*$D$4*12)+157785</f>
        <v>8738889.9000000004</v>
      </c>
      <c r="C16" s="63">
        <f>(171474*D4)*4</f>
        <v>725335.02</v>
      </c>
      <c r="D16" s="63">
        <f>8899495*D4</f>
        <v>9411215.9625000004</v>
      </c>
      <c r="E16" s="92">
        <f>4270800*D4</f>
        <v>4516371</v>
      </c>
      <c r="F16" s="62">
        <f>SUM(B16:E16)</f>
        <v>23391811.8825</v>
      </c>
      <c r="G16" s="63">
        <f>+(676210*$D$4*12)+157784</f>
        <v>8738888.9000000004</v>
      </c>
      <c r="H16" s="63">
        <f>+(676210*$D$4*12)+157785</f>
        <v>8738889.9000000004</v>
      </c>
      <c r="I16" s="63">
        <f>+(676210*$D$4*12)+157785</f>
        <v>8738889.9000000004</v>
      </c>
      <c r="J16" s="63">
        <f>+(676210*$D$4*12)+157785</f>
        <v>8738889.9000000004</v>
      </c>
      <c r="K16" s="63">
        <f>+(676210*$D$4*12)+157785</f>
        <v>8738889.9000000004</v>
      </c>
      <c r="L16" s="63">
        <f>+(676210*$D$4*12)+157785</f>
        <v>8738889.9000000004</v>
      </c>
      <c r="M16" s="86">
        <f>SUM(F16:L16)</f>
        <v>75825150.282499999</v>
      </c>
      <c r="N16" s="86">
        <v>70657800.030599996</v>
      </c>
      <c r="O16" s="86">
        <f>+M16</f>
        <v>75825150.282499999</v>
      </c>
      <c r="P16" s="87">
        <f>+(O16-N16)/N16</f>
        <v>7.3132056894810782E-2</v>
      </c>
      <c r="Q16" s="100"/>
    </row>
    <row r="17" spans="1:18" s="99" customFormat="1" ht="15" x14ac:dyDescent="0.25">
      <c r="A17" s="81"/>
      <c r="B17" s="66" t="s">
        <v>34</v>
      </c>
      <c r="C17" s="66" t="s">
        <v>35</v>
      </c>
      <c r="D17" s="66" t="s">
        <v>36</v>
      </c>
      <c r="E17" s="70" t="s">
        <v>37</v>
      </c>
      <c r="F17" s="84"/>
      <c r="G17" s="101"/>
      <c r="H17" s="101"/>
      <c r="I17" s="101"/>
      <c r="J17" s="101"/>
      <c r="K17" s="101"/>
      <c r="L17" s="101"/>
      <c r="M17" s="66"/>
      <c r="N17" s="66"/>
      <c r="O17" s="66"/>
      <c r="P17" s="90"/>
      <c r="Q17" s="100"/>
    </row>
    <row r="18" spans="1:18" s="99" customFormat="1" ht="15" thickBot="1" x14ac:dyDescent="0.25">
      <c r="A18" s="91" t="s">
        <v>24</v>
      </c>
      <c r="B18" s="63">
        <f>9246229*D4</f>
        <v>9777887.1675000004</v>
      </c>
      <c r="C18" s="63">
        <f>4045225*D4</f>
        <v>4277825.4375</v>
      </c>
      <c r="D18" s="63">
        <f>11557786*D4</f>
        <v>12222358.695000002</v>
      </c>
      <c r="E18" s="63">
        <f>4623114*D4</f>
        <v>4888943.0550000006</v>
      </c>
      <c r="F18" s="62">
        <f>SUM(B18:E18)</f>
        <v>31167014.355000004</v>
      </c>
      <c r="G18" s="63">
        <f>9353052*D4</f>
        <v>9890852.4900000002</v>
      </c>
      <c r="H18" s="63"/>
      <c r="I18" s="63">
        <f>+(10402007)*D4</f>
        <v>11000122.402500002</v>
      </c>
      <c r="J18" s="63">
        <f>+(4045225)*D4</f>
        <v>4277825.4375</v>
      </c>
      <c r="K18" s="63">
        <f>1733668*D4</f>
        <v>1833353.9100000001</v>
      </c>
      <c r="L18" s="62">
        <f>10402007*D4</f>
        <v>11000122.402500002</v>
      </c>
      <c r="M18" s="86">
        <f>SUM(F18:L18)+G17+I17+J17+L17</f>
        <v>69169290.997500017</v>
      </c>
      <c r="N18" s="86">
        <v>65408314.179600008</v>
      </c>
      <c r="O18" s="86">
        <f>+M18</f>
        <v>69169290.997500017</v>
      </c>
      <c r="P18" s="87">
        <f>+(O18-N18)/N18</f>
        <v>5.7499980928617307E-2</v>
      </c>
      <c r="Q18" s="100"/>
    </row>
    <row r="19" spans="1:18" s="99" customFormat="1" ht="15" x14ac:dyDescent="0.25">
      <c r="A19" s="81"/>
      <c r="B19" s="66" t="s">
        <v>70</v>
      </c>
      <c r="C19" s="83" t="s">
        <v>38</v>
      </c>
      <c r="D19" s="66"/>
      <c r="E19" s="83"/>
      <c r="F19" s="84"/>
      <c r="G19" s="66"/>
      <c r="H19" s="83"/>
      <c r="I19" s="69"/>
      <c r="J19" s="69"/>
      <c r="K19" s="69"/>
      <c r="L19" s="69"/>
      <c r="M19" s="66"/>
      <c r="N19" s="66"/>
      <c r="O19" s="66"/>
      <c r="P19" s="90"/>
      <c r="Q19" s="100"/>
      <c r="R19" s="100"/>
    </row>
    <row r="20" spans="1:18" s="99" customFormat="1" ht="15" thickBot="1" x14ac:dyDescent="0.25">
      <c r="A20" s="91" t="s">
        <v>16</v>
      </c>
      <c r="B20" s="63">
        <f>(43028761/12)*D4*12+1176761</f>
        <v>46679675.757500008</v>
      </c>
      <c r="C20" s="63">
        <f>(9018611/12)*D4*12+246647</f>
        <v>9783828.1325000003</v>
      </c>
      <c r="D20" s="62"/>
      <c r="E20" s="92"/>
      <c r="F20" s="62">
        <f>SUM(B20:E20)</f>
        <v>56463503.890000008</v>
      </c>
      <c r="G20" s="62">
        <f>+'[19]ARRI, MUEB Y EQUIP 2017'!$D$11</f>
        <v>11222095.059999999</v>
      </c>
      <c r="H20" s="63"/>
      <c r="I20" s="62">
        <f>3203100*D4+'[20]Presupuesto FNP 2016'!$I$17</f>
        <v>17307278.25</v>
      </c>
      <c r="J20" s="67"/>
      <c r="K20" s="67"/>
      <c r="L20" s="62">
        <f>22047014*D4</f>
        <v>23314717.305000003</v>
      </c>
      <c r="M20" s="86">
        <f>SUM(F20:L20)</f>
        <v>108307594.50500001</v>
      </c>
      <c r="N20" s="86">
        <v>87226757.273400009</v>
      </c>
      <c r="O20" s="86">
        <f>+M20</f>
        <v>108307594.50500001</v>
      </c>
      <c r="P20" s="87">
        <f>+(O20-N20)/N20</f>
        <v>0.24167856160839593</v>
      </c>
      <c r="Q20" s="100"/>
    </row>
    <row r="21" spans="1:18" s="99" customFormat="1" ht="15" x14ac:dyDescent="0.25">
      <c r="A21" s="81"/>
      <c r="B21" s="66" t="s">
        <v>39</v>
      </c>
      <c r="C21" s="93"/>
      <c r="D21" s="94"/>
      <c r="E21" s="93"/>
      <c r="F21" s="84"/>
      <c r="G21" s="69"/>
      <c r="H21" s="69"/>
      <c r="I21" s="69"/>
      <c r="J21" s="69"/>
      <c r="K21" s="69"/>
      <c r="L21" s="69"/>
      <c r="M21" s="66"/>
      <c r="N21" s="66"/>
      <c r="O21" s="66"/>
      <c r="P21" s="90"/>
      <c r="Q21" s="100"/>
    </row>
    <row r="22" spans="1:18" s="99" customFormat="1" ht="15" thickBot="1" x14ac:dyDescent="0.25">
      <c r="A22" s="91" t="s">
        <v>66</v>
      </c>
      <c r="B22" s="63">
        <f>26692500</f>
        <v>26692500</v>
      </c>
      <c r="C22" s="85"/>
      <c r="D22" s="67"/>
      <c r="E22" s="85"/>
      <c r="F22" s="62">
        <f>SUM(B22:E22)</f>
        <v>26692500</v>
      </c>
      <c r="G22" s="98">
        <f>+'[21]COMPARACIÓN PPC 2016 - 2017'!$O$8</f>
        <v>349509396.77000004</v>
      </c>
      <c r="H22" s="98"/>
      <c r="I22" s="98">
        <f>+[14]Agregado!$D$16</f>
        <v>15000000</v>
      </c>
      <c r="J22" s="98">
        <f>17346276*D4</f>
        <v>18343686.870000001</v>
      </c>
      <c r="K22" s="98">
        <f>8240989*D4</f>
        <v>8714845.8675000016</v>
      </c>
      <c r="L22" s="98">
        <f>22577477*D4</f>
        <v>23875681.927500002</v>
      </c>
      <c r="M22" s="86">
        <f>SUM(F22:L22)</f>
        <v>442136111.43500006</v>
      </c>
      <c r="N22" s="86">
        <v>435140563.3897</v>
      </c>
      <c r="O22" s="86">
        <f>+M22</f>
        <v>442136111.43500006</v>
      </c>
      <c r="P22" s="87">
        <f>+(O22-N22)/N22</f>
        <v>1.607652476892862E-2</v>
      </c>
      <c r="Q22" s="100"/>
    </row>
    <row r="23" spans="1:18" s="99" customFormat="1" ht="15" x14ac:dyDescent="0.25">
      <c r="A23" s="81"/>
      <c r="B23" s="66" t="s">
        <v>67</v>
      </c>
      <c r="C23" s="83" t="s">
        <v>155</v>
      </c>
      <c r="D23" s="69"/>
      <c r="E23" s="93"/>
      <c r="F23" s="84"/>
      <c r="G23" s="69"/>
      <c r="H23" s="69"/>
      <c r="I23" s="69"/>
      <c r="J23" s="69"/>
      <c r="K23" s="69"/>
      <c r="L23" s="69"/>
      <c r="M23" s="66"/>
      <c r="N23" s="66"/>
      <c r="O23" s="66"/>
      <c r="P23" s="90"/>
      <c r="Q23" s="100"/>
    </row>
    <row r="24" spans="1:18" s="99" customFormat="1" ht="15" thickBot="1" x14ac:dyDescent="0.25">
      <c r="A24" s="91" t="s">
        <v>51</v>
      </c>
      <c r="B24" s="63">
        <f>8991669*D4</f>
        <v>9508689.9675000012</v>
      </c>
      <c r="C24" s="63">
        <f>(3102726*D4)</f>
        <v>3281132.7450000001</v>
      </c>
      <c r="D24" s="67"/>
      <c r="E24" s="85"/>
      <c r="F24" s="62">
        <f>SUM(B24:E24)</f>
        <v>12789822.712500002</v>
      </c>
      <c r="G24" s="98">
        <f>+'[21]COMPARACIÓN PPC 2016 - 2017'!$O$16</f>
        <v>15069375</v>
      </c>
      <c r="H24" s="98"/>
      <c r="I24" s="98">
        <f>+[14]Agregado!$D$11</f>
        <v>33828230.850000001</v>
      </c>
      <c r="J24" s="98">
        <f>(4270800*D4)</f>
        <v>4516371</v>
      </c>
      <c r="K24" s="98"/>
      <c r="L24" s="98"/>
      <c r="M24" s="62">
        <f>SUM(F24:L24)</f>
        <v>66203799.5625</v>
      </c>
      <c r="N24" s="86">
        <v>73463926.868699998</v>
      </c>
      <c r="O24" s="86">
        <f>+M24</f>
        <v>66203799.5625</v>
      </c>
      <c r="P24" s="87">
        <f>+(O24-N24)/N24</f>
        <v>-9.8825745037776414E-2</v>
      </c>
      <c r="Q24" s="100"/>
    </row>
    <row r="25" spans="1:18" s="99" customFormat="1" ht="15" x14ac:dyDescent="0.25">
      <c r="A25" s="81"/>
      <c r="B25" s="66" t="s">
        <v>185</v>
      </c>
      <c r="C25" s="83" t="s">
        <v>184</v>
      </c>
      <c r="D25" s="66"/>
      <c r="E25" s="93"/>
      <c r="F25" s="84"/>
      <c r="G25" s="69"/>
      <c r="H25" s="69"/>
      <c r="I25" s="69"/>
      <c r="J25" s="69"/>
      <c r="K25" s="69"/>
      <c r="L25" s="69"/>
      <c r="M25" s="66"/>
      <c r="N25" s="66"/>
      <c r="O25" s="66"/>
      <c r="P25" s="90"/>
      <c r="Q25" s="100"/>
    </row>
    <row r="26" spans="1:18" s="99" customFormat="1" ht="15" thickBot="1" x14ac:dyDescent="0.25">
      <c r="A26" s="91" t="s">
        <v>17</v>
      </c>
      <c r="B26" s="63">
        <f>(27527297*D4)</f>
        <v>29110116.577500004</v>
      </c>
      <c r="C26" s="92">
        <f>(24246696*D4)</f>
        <v>25640881.020000003</v>
      </c>
      <c r="D26" s="62"/>
      <c r="E26" s="85"/>
      <c r="F26" s="62">
        <f>SUM(B26:E26)</f>
        <v>54750997.597500011</v>
      </c>
      <c r="G26" s="98">
        <f>+'[21]COMPARACIÓN PPC 2016 - 2017'!$O$17</f>
        <v>241147381.20999998</v>
      </c>
      <c r="H26" s="98">
        <f>+'[17]CONSOLIDADO SANIDAD'!$B$8</f>
        <v>3800000</v>
      </c>
      <c r="I26" s="98">
        <f>+[14]Agregado!$D$12</f>
        <v>23000000</v>
      </c>
      <c r="J26" s="98">
        <f>+(11288739*D4)</f>
        <v>11937841.492500002</v>
      </c>
      <c r="K26" s="98">
        <f>+(6773489*D4)</f>
        <v>7162964.6175000006</v>
      </c>
      <c r="L26" s="98">
        <f>+(10675529*D4)</f>
        <v>11289371.9175</v>
      </c>
      <c r="M26" s="62">
        <f>SUM(F26:L26)</f>
        <v>353088556.83500004</v>
      </c>
      <c r="N26" s="86">
        <v>367866166.22439998</v>
      </c>
      <c r="O26" s="86">
        <f>+M26</f>
        <v>353088556.83500004</v>
      </c>
      <c r="P26" s="87">
        <f>+(O26-N26)/N26</f>
        <v>-4.017115664936019E-2</v>
      </c>
      <c r="Q26" s="100"/>
    </row>
    <row r="27" spans="1:18" s="99" customFormat="1" ht="15" x14ac:dyDescent="0.25">
      <c r="A27" s="81"/>
      <c r="B27" s="66" t="s">
        <v>40</v>
      </c>
      <c r="C27" s="83" t="s">
        <v>41</v>
      </c>
      <c r="D27" s="69"/>
      <c r="E27" s="93"/>
      <c r="F27" s="84"/>
      <c r="G27" s="69"/>
      <c r="H27" s="69"/>
      <c r="I27" s="69"/>
      <c r="J27" s="69"/>
      <c r="K27" s="69"/>
      <c r="L27" s="69"/>
      <c r="M27" s="66"/>
      <c r="N27" s="66"/>
      <c r="O27" s="66"/>
      <c r="P27" s="90"/>
      <c r="Q27" s="100"/>
    </row>
    <row r="28" spans="1:18" s="99" customFormat="1" ht="15" thickBot="1" x14ac:dyDescent="0.25">
      <c r="A28" s="91" t="s">
        <v>20</v>
      </c>
      <c r="B28" s="63">
        <f>4220034*D4</f>
        <v>4462685.9550000001</v>
      </c>
      <c r="C28" s="63">
        <f>623423*D4</f>
        <v>659269.82250000001</v>
      </c>
      <c r="D28" s="62"/>
      <c r="E28" s="85"/>
      <c r="F28" s="62">
        <f>SUM(B28:E28)</f>
        <v>5121955.7774999999</v>
      </c>
      <c r="G28" s="63">
        <f>+'[19]COMPARACIÓN PPC 2016 - 2017'!$O$18</f>
        <v>3000000</v>
      </c>
      <c r="H28" s="63"/>
      <c r="I28" s="62">
        <f>+[14]Agregado!$D$13</f>
        <v>1000000</v>
      </c>
      <c r="J28" s="62">
        <f>+'[15]Presupuesto 2017'!$G$9</f>
        <v>2709297</v>
      </c>
      <c r="K28" s="62">
        <f>(2000000*D4)</f>
        <v>2115000</v>
      </c>
      <c r="L28" s="62">
        <f>+'[18]PROPUESTA 2017 Compacto '!$C$13</f>
        <v>2300000</v>
      </c>
      <c r="M28" s="62">
        <f>SUM(F28:L28)</f>
        <v>16246252.7775</v>
      </c>
      <c r="N28" s="86">
        <v>16126586.769900002</v>
      </c>
      <c r="O28" s="86">
        <f>+M28</f>
        <v>16246252.7775</v>
      </c>
      <c r="P28" s="87">
        <f>+(O28-N28)/N28</f>
        <v>7.4204175568851815E-3</v>
      </c>
      <c r="Q28" s="100"/>
    </row>
    <row r="29" spans="1:18" s="99" customFormat="1" ht="15" x14ac:dyDescent="0.25">
      <c r="A29" s="81"/>
      <c r="B29" s="66" t="s">
        <v>42</v>
      </c>
      <c r="C29" s="83" t="s">
        <v>43</v>
      </c>
      <c r="D29" s="66" t="s">
        <v>86</v>
      </c>
      <c r="E29" s="93"/>
      <c r="F29" s="84"/>
      <c r="G29" s="66"/>
      <c r="H29" s="83"/>
      <c r="I29" s="69"/>
      <c r="J29" s="69"/>
      <c r="K29" s="69"/>
      <c r="L29" s="69"/>
      <c r="M29" s="66"/>
      <c r="N29" s="66"/>
      <c r="O29" s="66"/>
      <c r="P29" s="90"/>
      <c r="Q29" s="100"/>
    </row>
    <row r="30" spans="1:18" s="99" customFormat="1" ht="15" thickBot="1" x14ac:dyDescent="0.25">
      <c r="A30" s="91" t="s">
        <v>25</v>
      </c>
      <c r="B30" s="62">
        <f>16015500*D4</f>
        <v>16936391.25</v>
      </c>
      <c r="C30" s="63">
        <f>2135400*D4</f>
        <v>2258185.5</v>
      </c>
      <c r="D30" s="63">
        <f>5338500*D4</f>
        <v>5645463.7500000009</v>
      </c>
      <c r="E30" s="85"/>
      <c r="F30" s="62">
        <f>SUM(B30:E30)</f>
        <v>24840040.5</v>
      </c>
      <c r="G30" s="62">
        <f>+'[21]COMPARACIÓN PPC 2016 - 2017'!$O$21</f>
        <v>40000000</v>
      </c>
      <c r="H30" s="63">
        <f>+'[17]CONSOLIDADO SANIDAD'!$B$9</f>
        <v>1500000</v>
      </c>
      <c r="I30" s="63">
        <f>+[14]Agregado!$D$15</f>
        <v>3000000</v>
      </c>
      <c r="J30" s="62">
        <f>533850*D4</f>
        <v>564546.375</v>
      </c>
      <c r="K30" s="62">
        <f>(5000000*D4)</f>
        <v>5287500.0000000009</v>
      </c>
      <c r="L30" s="67"/>
      <c r="M30" s="86">
        <f>SUM(F30:L30)</f>
        <v>75192086.875</v>
      </c>
      <c r="N30" s="86">
        <v>72062000</v>
      </c>
      <c r="O30" s="86">
        <f>+M30</f>
        <v>75192086.875</v>
      </c>
      <c r="P30" s="87">
        <f>+(O30-N30)/N30</f>
        <v>4.3436025575199134E-2</v>
      </c>
      <c r="Q30" s="100"/>
    </row>
    <row r="31" spans="1:18" s="99" customFormat="1" ht="15" x14ac:dyDescent="0.25">
      <c r="A31" s="81"/>
      <c r="B31" s="66" t="s">
        <v>44</v>
      </c>
      <c r="C31" s="83" t="s">
        <v>68</v>
      </c>
      <c r="D31" s="66" t="s">
        <v>69</v>
      </c>
      <c r="E31" s="83"/>
      <c r="F31" s="84"/>
      <c r="G31" s="69"/>
      <c r="H31" s="69"/>
      <c r="I31" s="69"/>
      <c r="J31" s="69"/>
      <c r="K31" s="69"/>
      <c r="L31" s="69"/>
      <c r="M31" s="66"/>
      <c r="N31" s="66"/>
      <c r="O31" s="66"/>
      <c r="P31" s="90"/>
      <c r="Q31" s="100"/>
    </row>
    <row r="32" spans="1:18" s="99" customFormat="1" ht="15" thickBot="1" x14ac:dyDescent="0.25">
      <c r="A32" s="91" t="s">
        <v>26</v>
      </c>
      <c r="B32" s="63">
        <f>14866225*D4</f>
        <v>15721032.937500002</v>
      </c>
      <c r="C32" s="63">
        <f>4975390*D4</f>
        <v>5261474.9250000007</v>
      </c>
      <c r="D32" s="63">
        <f>(513301*5)*D4</f>
        <v>2714079.0375000001</v>
      </c>
      <c r="E32" s="92"/>
      <c r="F32" s="62">
        <f>SUM(B32:E32)</f>
        <v>23696586.900000006</v>
      </c>
      <c r="G32" s="67"/>
      <c r="H32" s="67"/>
      <c r="I32" s="67"/>
      <c r="J32" s="67"/>
      <c r="K32" s="67"/>
      <c r="L32" s="67"/>
      <c r="M32" s="86">
        <f>SUM(F32:L32)</f>
        <v>23696586.900000006</v>
      </c>
      <c r="N32" s="86">
        <v>22408119.923700005</v>
      </c>
      <c r="O32" s="86">
        <f>+M32</f>
        <v>23696586.900000006</v>
      </c>
      <c r="P32" s="87">
        <f>+(O32-N32)/N32</f>
        <v>5.7500003600804137E-2</v>
      </c>
      <c r="Q32" s="100"/>
    </row>
    <row r="33" spans="1:20" s="99" customFormat="1" ht="15" x14ac:dyDescent="0.25">
      <c r="A33" s="81"/>
      <c r="B33" s="66" t="s">
        <v>45</v>
      </c>
      <c r="C33" s="93"/>
      <c r="D33" s="69"/>
      <c r="E33" s="93"/>
      <c r="F33" s="84"/>
      <c r="G33" s="66"/>
      <c r="H33" s="66"/>
      <c r="I33" s="69"/>
      <c r="J33" s="69"/>
      <c r="K33" s="69"/>
      <c r="L33" s="69"/>
      <c r="M33" s="66"/>
      <c r="N33" s="66"/>
      <c r="O33" s="66"/>
      <c r="P33" s="90"/>
      <c r="Q33" s="100"/>
    </row>
    <row r="34" spans="1:20" s="99" customFormat="1" ht="15" thickBot="1" x14ac:dyDescent="0.25">
      <c r="A34" s="91" t="s">
        <v>27</v>
      </c>
      <c r="B34" s="63">
        <f>93477843*D4+13500000+7000000</f>
        <v>119352818.97250001</v>
      </c>
      <c r="C34" s="85"/>
      <c r="D34" s="67"/>
      <c r="E34" s="85"/>
      <c r="F34" s="62">
        <f>SUM(B34:E34)</f>
        <v>119352818.97250001</v>
      </c>
      <c r="G34" s="63">
        <f>+'[21]COMPARACIÓN PPC 2016 - 2017'!$O$20</f>
        <v>70000000</v>
      </c>
      <c r="H34" s="63"/>
      <c r="I34" s="62"/>
      <c r="J34" s="62"/>
      <c r="K34" s="62"/>
      <c r="L34" s="62"/>
      <c r="M34" s="86">
        <f>SUM(F34:L34)</f>
        <v>189352818.97250003</v>
      </c>
      <c r="N34" s="86">
        <v>154977362.88510001</v>
      </c>
      <c r="O34" s="86">
        <f>+M34</f>
        <v>189352818.97250003</v>
      </c>
      <c r="P34" s="87">
        <f>+(O34-N34)/N34</f>
        <v>0.22180953042081333</v>
      </c>
      <c r="Q34" s="100"/>
    </row>
    <row r="35" spans="1:20" s="99" customFormat="1" ht="15" x14ac:dyDescent="0.25">
      <c r="A35" s="81"/>
      <c r="B35" s="66" t="s">
        <v>83</v>
      </c>
      <c r="C35" s="95" t="s">
        <v>84</v>
      </c>
      <c r="D35" s="66" t="s">
        <v>85</v>
      </c>
      <c r="E35" s="89" t="s">
        <v>186</v>
      </c>
      <c r="F35" s="84"/>
      <c r="G35" s="69"/>
      <c r="H35" s="69"/>
      <c r="I35" s="69"/>
      <c r="J35" s="69"/>
      <c r="K35" s="69"/>
      <c r="L35" s="69"/>
      <c r="M35" s="66"/>
      <c r="N35" s="66"/>
      <c r="O35" s="66"/>
      <c r="P35" s="90"/>
      <c r="Q35" s="100"/>
    </row>
    <row r="36" spans="1:20" ht="15" thickBot="1" x14ac:dyDescent="0.25">
      <c r="A36" s="91" t="s">
        <v>28</v>
      </c>
      <c r="B36" s="63">
        <f>48328180*D4</f>
        <v>51107050.350000001</v>
      </c>
      <c r="C36" s="63">
        <f>1785678*D4</f>
        <v>1888354.4850000001</v>
      </c>
      <c r="D36" s="63">
        <f>185229*D4</f>
        <v>195879.66750000001</v>
      </c>
      <c r="E36" s="63">
        <v>980537</v>
      </c>
      <c r="F36" s="62">
        <f>SUM(B36:E36)</f>
        <v>54171821.502499998</v>
      </c>
      <c r="G36" s="67"/>
      <c r="H36" s="67"/>
      <c r="I36" s="67"/>
      <c r="J36" s="67"/>
      <c r="K36" s="67"/>
      <c r="L36" s="67"/>
      <c r="M36" s="86">
        <f>SUM(F36:L36)</f>
        <v>54171821.502499998</v>
      </c>
      <c r="N36" s="86">
        <v>51222380</v>
      </c>
      <c r="O36" s="86">
        <f>+M36</f>
        <v>54171821.502499998</v>
      </c>
      <c r="P36" s="87">
        <f>+(O36-N36)/N36</f>
        <v>5.75811101026543E-2</v>
      </c>
      <c r="Q36" s="42"/>
      <c r="R36" s="22"/>
      <c r="S36" s="22"/>
      <c r="T36" s="22"/>
    </row>
    <row r="37" spans="1:20" ht="15.75" thickBot="1" x14ac:dyDescent="0.3">
      <c r="A37" s="150" t="s">
        <v>46</v>
      </c>
      <c r="B37" s="151"/>
      <c r="C37" s="151"/>
      <c r="D37" s="151"/>
      <c r="E37" s="152"/>
      <c r="F37" s="106">
        <f>SUM(F8:F36)</f>
        <v>597249975.28250003</v>
      </c>
      <c r="G37" s="107">
        <f>+G34+G30+G28+G26+G24+G22+G20+G18+G14+G17+G16+G10</f>
        <v>764527102.42999995</v>
      </c>
      <c r="H37" s="107">
        <f>+H34+H30+H28+H26+H24+H22+H20+H18+H14+H17+H16+H10</f>
        <v>14038889.9</v>
      </c>
      <c r="I37" s="107">
        <f>SUM(I10,I12,I14,I16,I18,I20,I22,I24,I26,I28,I30,I32,I34,I36)+I17</f>
        <v>255639757.4025</v>
      </c>
      <c r="J37" s="107">
        <f>SUM(J10,J12,J14,J16,J18,J20,J22,J24,J26,J28,J30,J32,J34,J36)+J17</f>
        <v>54088458.075000003</v>
      </c>
      <c r="K37" s="107">
        <f>SUM(K10:K36)</f>
        <v>33852554.295000002</v>
      </c>
      <c r="L37" s="107">
        <f>SUM(L10,L12,L14,L16,L18,L20,L22,L24,L26,L28,L30,L32,L34,L36)+L17</f>
        <v>85518783.452500001</v>
      </c>
      <c r="M37" s="107">
        <f>+M36+M34+M32+M30+M28+M26+M24+M22+M20+M18+M16+M14+M12+M10+M8</f>
        <v>1804915520.8375003</v>
      </c>
      <c r="N37" s="107">
        <f>SUM(N8:N36)</f>
        <v>1703086035.150023</v>
      </c>
      <c r="O37" s="107">
        <f>SUM(O8:O36)</f>
        <v>1804915520.8375003</v>
      </c>
      <c r="P37" s="108">
        <f>+(O37-N37)/N37</f>
        <v>5.9791157690108884E-2</v>
      </c>
      <c r="Q37" s="42"/>
      <c r="R37" s="22"/>
      <c r="S37" s="22"/>
      <c r="T37" s="22"/>
    </row>
    <row r="38" spans="1:20" ht="16.5" x14ac:dyDescent="0.3">
      <c r="A38" s="43"/>
      <c r="B38" s="43"/>
      <c r="C38" s="44"/>
      <c r="D38" s="28"/>
      <c r="E38" s="28"/>
      <c r="F38" s="28"/>
      <c r="G38" s="28"/>
      <c r="H38" s="28"/>
      <c r="I38" s="103"/>
      <c r="J38" s="28"/>
      <c r="K38" s="28"/>
      <c r="L38" s="28"/>
      <c r="M38" s="43"/>
      <c r="N38" s="43"/>
      <c r="O38" s="43"/>
      <c r="P38" s="43"/>
      <c r="Q38" s="45"/>
      <c r="R38" s="22"/>
      <c r="S38" s="22"/>
      <c r="T38" s="22"/>
    </row>
    <row r="39" spans="1:20" ht="16.5" x14ac:dyDescent="0.3">
      <c r="A39" s="43"/>
      <c r="B39" s="43"/>
      <c r="C39" s="44"/>
      <c r="D39" s="28"/>
      <c r="E39" s="28"/>
      <c r="F39" s="28"/>
      <c r="G39" s="28"/>
      <c r="H39" s="28"/>
      <c r="I39" s="103"/>
      <c r="J39" s="28"/>
      <c r="K39" s="28"/>
      <c r="L39" s="28"/>
      <c r="M39" s="43"/>
      <c r="N39" s="43"/>
      <c r="O39" s="43"/>
      <c r="P39" s="43"/>
      <c r="Q39" s="45"/>
      <c r="R39" s="22"/>
      <c r="S39" s="22"/>
      <c r="T39" s="22"/>
    </row>
    <row r="40" spans="1:20" ht="16.5" x14ac:dyDescent="0.3">
      <c r="A40" s="26"/>
      <c r="B40" s="26"/>
      <c r="C40" s="27"/>
      <c r="D40" s="28"/>
      <c r="E40" s="28"/>
      <c r="F40" s="29"/>
      <c r="G40" s="28"/>
      <c r="H40" s="28"/>
      <c r="I40" s="103"/>
      <c r="J40" s="28"/>
      <c r="K40" s="28"/>
      <c r="L40" s="28"/>
      <c r="M40" s="26"/>
      <c r="N40" s="26"/>
      <c r="O40" s="26"/>
      <c r="P40" s="26"/>
      <c r="Q40" s="22"/>
      <c r="R40" s="22"/>
      <c r="S40" s="22"/>
      <c r="T40" s="22"/>
    </row>
    <row r="41" spans="1:20" ht="16.5" x14ac:dyDescent="0.3">
      <c r="A41" s="26"/>
      <c r="B41" s="26"/>
      <c r="C41" s="27"/>
      <c r="D41" s="28"/>
      <c r="E41" s="28"/>
      <c r="F41" s="29"/>
      <c r="G41" s="29"/>
      <c r="H41" s="29"/>
      <c r="I41" s="5"/>
      <c r="J41" s="29"/>
      <c r="K41" s="29"/>
      <c r="L41" s="29"/>
      <c r="M41" s="26"/>
      <c r="N41" s="26"/>
      <c r="O41" s="26"/>
      <c r="P41" s="26"/>
      <c r="Q41" s="22"/>
      <c r="R41" s="22"/>
      <c r="S41" s="22"/>
      <c r="T41" s="22"/>
    </row>
    <row r="42" spans="1:20" ht="16.5" x14ac:dyDescent="0.3">
      <c r="A42" s="26"/>
      <c r="B42" s="26"/>
      <c r="C42" s="27"/>
      <c r="D42" s="28"/>
      <c r="E42" s="28"/>
      <c r="F42" s="29"/>
      <c r="G42" s="29"/>
      <c r="H42" s="29"/>
      <c r="I42" s="5"/>
      <c r="J42" s="29"/>
      <c r="K42" s="29"/>
      <c r="L42" s="29"/>
      <c r="M42" s="26"/>
      <c r="N42" s="26"/>
      <c r="O42" s="26"/>
      <c r="P42" s="26"/>
      <c r="Q42" s="22"/>
      <c r="R42" s="22"/>
      <c r="S42" s="22"/>
      <c r="T42" s="22"/>
    </row>
    <row r="43" spans="1:20" ht="16.5" x14ac:dyDescent="0.3">
      <c r="A43" s="26"/>
      <c r="B43" s="26"/>
      <c r="C43" s="29"/>
      <c r="D43" s="28"/>
      <c r="E43" s="28"/>
      <c r="F43" s="28"/>
      <c r="G43" s="28"/>
      <c r="H43" s="28"/>
      <c r="I43" s="103"/>
      <c r="J43" s="28"/>
      <c r="K43" s="28"/>
      <c r="M43" s="26"/>
      <c r="N43" s="26"/>
      <c r="O43" s="26"/>
      <c r="P43" s="26"/>
      <c r="Q43" s="22"/>
      <c r="R43" s="22"/>
      <c r="S43" s="22"/>
      <c r="T43" s="22"/>
    </row>
    <row r="44" spans="1:20" ht="16.5" x14ac:dyDescent="0.3">
      <c r="A44" s="26"/>
      <c r="B44" s="26"/>
      <c r="C44" s="29"/>
      <c r="D44" s="30"/>
      <c r="E44" s="29"/>
      <c r="F44" s="29"/>
      <c r="G44" s="26"/>
      <c r="H44" s="26"/>
      <c r="I44" s="4"/>
      <c r="J44" s="26"/>
      <c r="K44" s="26"/>
      <c r="M44" s="26"/>
      <c r="N44" s="26"/>
      <c r="O44" s="26"/>
      <c r="P44" s="26"/>
    </row>
    <row r="45" spans="1:20" ht="16.5" x14ac:dyDescent="0.3">
      <c r="A45" s="26"/>
      <c r="B45" s="26"/>
      <c r="C45" s="5"/>
      <c r="D45" s="5"/>
      <c r="E45" s="5"/>
      <c r="F45" s="5"/>
      <c r="G45" s="4"/>
      <c r="H45" s="4"/>
      <c r="I45" s="4"/>
      <c r="J45" s="4"/>
      <c r="K45" s="4"/>
      <c r="M45" s="4"/>
      <c r="N45" s="3"/>
      <c r="O45" s="3"/>
      <c r="P45" s="3"/>
    </row>
    <row r="46" spans="1:20" ht="16.5" x14ac:dyDescent="0.3">
      <c r="A46" s="4"/>
      <c r="B46" s="4"/>
      <c r="C46" s="5"/>
      <c r="D46" s="5"/>
      <c r="E46" s="5"/>
      <c r="F46" s="5"/>
      <c r="G46" s="4"/>
      <c r="H46" s="4"/>
      <c r="I46" s="4"/>
      <c r="J46" s="4"/>
      <c r="K46" s="4"/>
      <c r="M46" s="4"/>
      <c r="N46" s="3"/>
      <c r="O46" s="3"/>
      <c r="P46" s="3"/>
    </row>
    <row r="47" spans="1:20" ht="16.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3"/>
      <c r="O47" s="3"/>
      <c r="P47" s="3"/>
    </row>
    <row r="48" spans="1:20" ht="16.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3"/>
      <c r="O48" s="3"/>
      <c r="P48" s="3"/>
    </row>
    <row r="49" spans="1:16" ht="16.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3"/>
      <c r="O49" s="3"/>
      <c r="P49" s="3"/>
    </row>
    <row r="50" spans="1:1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1:13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1:13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1:13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1:13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1:13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1:13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1:13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1:13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1:13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1:13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1:13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1:13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</row>
    <row r="1013" spans="1:13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</row>
    <row r="1014" spans="1:13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</row>
    <row r="1015" spans="1:13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</row>
    <row r="1016" spans="1:13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</row>
    <row r="1017" spans="1:13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</row>
    <row r="1018" spans="1:13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</row>
    <row r="1019" spans="1:13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</row>
    <row r="1020" spans="1:13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</row>
    <row r="1021" spans="1:13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</row>
    <row r="1022" spans="1:13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</row>
    <row r="1023" spans="1:13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</row>
    <row r="1024" spans="1:13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</row>
    <row r="1025" spans="1:13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</row>
    <row r="1026" spans="1:13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</row>
    <row r="1027" spans="1:13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</row>
    <row r="1028" spans="1:13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</row>
    <row r="1029" spans="1:13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</row>
    <row r="1030" spans="1:13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</row>
    <row r="1031" spans="1:13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</row>
    <row r="1032" spans="1:13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</row>
    <row r="1033" spans="1:13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</row>
    <row r="1034" spans="1:13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</row>
    <row r="1035" spans="1:13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</row>
    <row r="1036" spans="1:13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</row>
    <row r="1037" spans="1:13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</row>
    <row r="1038" spans="1:13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</row>
    <row r="1039" spans="1:13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</row>
    <row r="1040" spans="1:13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</row>
    <row r="1041" spans="1:13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</row>
    <row r="1042" spans="1:13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</row>
    <row r="1043" spans="1:13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</row>
    <row r="1044" spans="1:13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</row>
    <row r="1045" spans="1:13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</row>
    <row r="1046" spans="1:13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</row>
    <row r="1047" spans="1:13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</row>
    <row r="1048" spans="1:13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</row>
    <row r="1049" spans="1:13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</row>
    <row r="1050" spans="1:13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</row>
    <row r="1051" spans="1:13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</row>
    <row r="1052" spans="1:13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</row>
    <row r="1053" spans="1:13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</row>
    <row r="1054" spans="1:13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</row>
    <row r="1055" spans="1:13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</row>
    <row r="1056" spans="1:13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</row>
    <row r="1057" spans="1:13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</row>
    <row r="1058" spans="1:13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</row>
    <row r="1059" spans="1:13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</row>
    <row r="1060" spans="1:13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</row>
    <row r="1061" spans="1:13" x14ac:dyDescent="0.2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</row>
    <row r="1062" spans="1:13" x14ac:dyDescent="0.2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</row>
    <row r="1063" spans="1:13" x14ac:dyDescent="0.2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</row>
    <row r="1064" spans="1:13" x14ac:dyDescent="0.2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</row>
    <row r="1065" spans="1:13" x14ac:dyDescent="0.2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</row>
    <row r="1066" spans="1:13" x14ac:dyDescent="0.2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</row>
    <row r="1067" spans="1:13" x14ac:dyDescent="0.2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</row>
    <row r="1068" spans="1:13" x14ac:dyDescent="0.2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</row>
    <row r="1069" spans="1:13" x14ac:dyDescent="0.2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</row>
    <row r="1070" spans="1:13" x14ac:dyDescent="0.2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</row>
    <row r="1071" spans="1:13" x14ac:dyDescent="0.2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</row>
    <row r="1072" spans="1:13" x14ac:dyDescent="0.2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</row>
    <row r="1073" spans="1:13" x14ac:dyDescent="0.2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</row>
    <row r="1074" spans="1:13" x14ac:dyDescent="0.2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</row>
    <row r="1075" spans="1:13" x14ac:dyDescent="0.2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</row>
    <row r="1076" spans="1:13" x14ac:dyDescent="0.2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</row>
    <row r="1077" spans="1:13" x14ac:dyDescent="0.2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</row>
    <row r="1078" spans="1:13" x14ac:dyDescent="0.2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</row>
    <row r="1079" spans="1:13" x14ac:dyDescent="0.2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</row>
    <row r="1080" spans="1:13" x14ac:dyDescent="0.2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</row>
    <row r="1081" spans="1:13" x14ac:dyDescent="0.2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</row>
    <row r="1082" spans="1:13" x14ac:dyDescent="0.2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</row>
    <row r="1083" spans="1:13" x14ac:dyDescent="0.2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</row>
    <row r="1084" spans="1:13" x14ac:dyDescent="0.2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</row>
    <row r="1085" spans="1:13" x14ac:dyDescent="0.2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</row>
    <row r="1086" spans="1:13" x14ac:dyDescent="0.2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</row>
    <row r="1087" spans="1:13" x14ac:dyDescent="0.2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</row>
    <row r="1088" spans="1:13" x14ac:dyDescent="0.2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</row>
    <row r="1089" spans="1:13" x14ac:dyDescent="0.2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</row>
    <row r="1090" spans="1:13" x14ac:dyDescent="0.2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</row>
    <row r="1091" spans="1:13" x14ac:dyDescent="0.2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</row>
    <row r="1092" spans="1:13" x14ac:dyDescent="0.2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</row>
    <row r="1093" spans="1:13" x14ac:dyDescent="0.2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</row>
    <row r="1094" spans="1:13" x14ac:dyDescent="0.2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</row>
    <row r="1095" spans="1:13" x14ac:dyDescent="0.2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</row>
    <row r="1096" spans="1:13" x14ac:dyDescent="0.2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</row>
    <row r="1097" spans="1:13" x14ac:dyDescent="0.2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</row>
    <row r="1098" spans="1:13" x14ac:dyDescent="0.2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</row>
    <row r="1099" spans="1:13" x14ac:dyDescent="0.2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</row>
    <row r="1100" spans="1:13" x14ac:dyDescent="0.2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</row>
    <row r="1101" spans="1:13" x14ac:dyDescent="0.2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</row>
    <row r="1102" spans="1:13" x14ac:dyDescent="0.2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</row>
    <row r="1103" spans="1:13" x14ac:dyDescent="0.2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</row>
    <row r="1104" spans="1:13" x14ac:dyDescent="0.2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</row>
    <row r="1105" spans="1:13" x14ac:dyDescent="0.2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</row>
    <row r="1106" spans="1:13" x14ac:dyDescent="0.2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</row>
    <row r="1107" spans="1:13" x14ac:dyDescent="0.2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</row>
    <row r="1108" spans="1:13" x14ac:dyDescent="0.2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</row>
    <row r="1109" spans="1:13" x14ac:dyDescent="0.2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</row>
    <row r="1110" spans="1:13" x14ac:dyDescent="0.2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</row>
    <row r="1111" spans="1:13" x14ac:dyDescent="0.2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</row>
    <row r="1112" spans="1:13" x14ac:dyDescent="0.2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</row>
    <row r="1113" spans="1:13" x14ac:dyDescent="0.2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</row>
    <row r="1114" spans="1:13" x14ac:dyDescent="0.2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</row>
    <row r="1115" spans="1:13" x14ac:dyDescent="0.2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</row>
    <row r="1116" spans="1:13" x14ac:dyDescent="0.2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</row>
    <row r="1117" spans="1:13" x14ac:dyDescent="0.2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</row>
    <row r="1118" spans="1:13" x14ac:dyDescent="0.2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</row>
    <row r="1119" spans="1:13" x14ac:dyDescent="0.2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</row>
    <row r="1120" spans="1:13" x14ac:dyDescent="0.2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</row>
    <row r="1121" spans="1:13" x14ac:dyDescent="0.2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</row>
    <row r="1122" spans="1:13" x14ac:dyDescent="0.2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</row>
    <row r="1123" spans="1:13" x14ac:dyDescent="0.2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</row>
    <row r="1124" spans="1:13" x14ac:dyDescent="0.2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</row>
    <row r="1125" spans="1:13" x14ac:dyDescent="0.2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</row>
    <row r="1126" spans="1:13" x14ac:dyDescent="0.2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</row>
    <row r="1127" spans="1:13" x14ac:dyDescent="0.2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</row>
    <row r="1128" spans="1:13" x14ac:dyDescent="0.2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</row>
    <row r="1129" spans="1:13" x14ac:dyDescent="0.2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</row>
    <row r="1130" spans="1:13" x14ac:dyDescent="0.2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</row>
    <row r="1131" spans="1:13" x14ac:dyDescent="0.2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</row>
    <row r="1132" spans="1:13" x14ac:dyDescent="0.2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</row>
    <row r="1133" spans="1:13" x14ac:dyDescent="0.2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</row>
    <row r="1134" spans="1:13" x14ac:dyDescent="0.2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</row>
    <row r="1135" spans="1:13" x14ac:dyDescent="0.2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</row>
    <row r="1136" spans="1:13" x14ac:dyDescent="0.2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</row>
    <row r="1137" spans="1:13" x14ac:dyDescent="0.2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</row>
    <row r="1138" spans="1:13" x14ac:dyDescent="0.2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</row>
    <row r="1139" spans="1:13" x14ac:dyDescent="0.2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</row>
    <row r="1140" spans="1:13" x14ac:dyDescent="0.2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</row>
    <row r="1141" spans="1:13" x14ac:dyDescent="0.2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</row>
    <row r="1142" spans="1:13" x14ac:dyDescent="0.2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</row>
    <row r="1143" spans="1:13" x14ac:dyDescent="0.2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</row>
    <row r="1144" spans="1:13" x14ac:dyDescent="0.2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</row>
    <row r="1145" spans="1:13" x14ac:dyDescent="0.2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</row>
    <row r="1146" spans="1:13" x14ac:dyDescent="0.2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</row>
    <row r="1147" spans="1:13" x14ac:dyDescent="0.2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</row>
    <row r="1148" spans="1:13" x14ac:dyDescent="0.2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</row>
    <row r="1149" spans="1:13" x14ac:dyDescent="0.2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</row>
    <row r="1150" spans="1:13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</row>
    <row r="1151" spans="1:13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</row>
    <row r="1152" spans="1:13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</row>
    <row r="1153" spans="1:13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</row>
    <row r="1154" spans="1:13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</row>
    <row r="1155" spans="1:13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</row>
    <row r="1156" spans="1:13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</row>
    <row r="1157" spans="1:13" x14ac:dyDescent="0.2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</row>
    <row r="1158" spans="1:13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</row>
    <row r="1159" spans="1:13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</row>
    <row r="1160" spans="1:13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</row>
    <row r="1161" spans="1:13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</row>
    <row r="1162" spans="1:13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</row>
    <row r="1163" spans="1:13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</row>
    <row r="1164" spans="1:13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</row>
    <row r="1165" spans="1:13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</row>
    <row r="1166" spans="1:13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</row>
    <row r="1167" spans="1:13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</row>
    <row r="1168" spans="1:13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</row>
    <row r="1169" spans="1:13" x14ac:dyDescent="0.2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</row>
    <row r="1170" spans="1:13" x14ac:dyDescent="0.2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</row>
    <row r="1171" spans="1:13" x14ac:dyDescent="0.2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</row>
    <row r="1172" spans="1:13" x14ac:dyDescent="0.2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</row>
    <row r="1173" spans="1:13" x14ac:dyDescent="0.2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</row>
    <row r="1174" spans="1:13" x14ac:dyDescent="0.2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</row>
    <row r="1175" spans="1:13" x14ac:dyDescent="0.2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</row>
    <row r="1176" spans="1:13" x14ac:dyDescent="0.2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</row>
    <row r="1177" spans="1:13" x14ac:dyDescent="0.2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</row>
    <row r="1178" spans="1:13" x14ac:dyDescent="0.2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</row>
    <row r="1179" spans="1:13" x14ac:dyDescent="0.2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</row>
    <row r="1180" spans="1:13" x14ac:dyDescent="0.2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</row>
    <row r="1181" spans="1:13" x14ac:dyDescent="0.2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</row>
    <row r="1182" spans="1:13" x14ac:dyDescent="0.2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</row>
    <row r="1183" spans="1:13" x14ac:dyDescent="0.2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</row>
    <row r="1184" spans="1:13" x14ac:dyDescent="0.2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</row>
    <row r="1185" spans="1:13" x14ac:dyDescent="0.2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</row>
    <row r="1186" spans="1:13" x14ac:dyDescent="0.2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</row>
    <row r="1187" spans="1:13" x14ac:dyDescent="0.2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</row>
    <row r="1188" spans="1:13" x14ac:dyDescent="0.2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</row>
    <row r="1189" spans="1:13" x14ac:dyDescent="0.2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</row>
    <row r="1190" spans="1:13" x14ac:dyDescent="0.2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</row>
    <row r="1191" spans="1:13" x14ac:dyDescent="0.2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</row>
    <row r="1192" spans="1:13" x14ac:dyDescent="0.2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</row>
    <row r="1193" spans="1:13" x14ac:dyDescent="0.2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</row>
    <row r="1194" spans="1:13" x14ac:dyDescent="0.2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</row>
    <row r="1195" spans="1:13" x14ac:dyDescent="0.2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</row>
    <row r="1196" spans="1:13" x14ac:dyDescent="0.2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</row>
    <row r="1197" spans="1:13" x14ac:dyDescent="0.2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</row>
    <row r="1198" spans="1:13" x14ac:dyDescent="0.2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</row>
    <row r="1199" spans="1:13" x14ac:dyDescent="0.2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</row>
    <row r="1200" spans="1:13" x14ac:dyDescent="0.2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</row>
    <row r="1201" spans="1:13" x14ac:dyDescent="0.2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</row>
    <row r="1202" spans="1:13" x14ac:dyDescent="0.2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</row>
    <row r="1203" spans="1:13" x14ac:dyDescent="0.2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</row>
    <row r="1204" spans="1:13" x14ac:dyDescent="0.2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</row>
    <row r="1205" spans="1:13" x14ac:dyDescent="0.2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</row>
    <row r="1206" spans="1:13" x14ac:dyDescent="0.2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</row>
    <row r="1207" spans="1:13" x14ac:dyDescent="0.2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</row>
    <row r="1208" spans="1:13" x14ac:dyDescent="0.2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</row>
    <row r="1209" spans="1:13" x14ac:dyDescent="0.2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</row>
    <row r="1210" spans="1:13" x14ac:dyDescent="0.2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</row>
    <row r="1211" spans="1:13" x14ac:dyDescent="0.2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</row>
    <row r="1212" spans="1:13" x14ac:dyDescent="0.2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</row>
    <row r="1213" spans="1:13" x14ac:dyDescent="0.2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</row>
    <row r="1214" spans="1:13" x14ac:dyDescent="0.2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</row>
    <row r="1215" spans="1:13" x14ac:dyDescent="0.2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</row>
    <row r="1216" spans="1:13" x14ac:dyDescent="0.2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</row>
    <row r="1217" spans="1:13" x14ac:dyDescent="0.2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</row>
    <row r="1218" spans="1:13" x14ac:dyDescent="0.2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</row>
    <row r="1219" spans="1:13" x14ac:dyDescent="0.2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</row>
    <row r="1220" spans="1:13" x14ac:dyDescent="0.2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</row>
    <row r="1221" spans="1:13" x14ac:dyDescent="0.2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</row>
    <row r="1222" spans="1:13" x14ac:dyDescent="0.2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</row>
    <row r="1223" spans="1:13" x14ac:dyDescent="0.2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</row>
    <row r="1224" spans="1:13" x14ac:dyDescent="0.2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</row>
    <row r="1225" spans="1:13" x14ac:dyDescent="0.2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</row>
    <row r="1226" spans="1:13" x14ac:dyDescent="0.2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</row>
    <row r="1227" spans="1:13" x14ac:dyDescent="0.2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</row>
    <row r="1228" spans="1:13" x14ac:dyDescent="0.2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</row>
    <row r="1229" spans="1:13" x14ac:dyDescent="0.2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</row>
    <row r="1230" spans="1:13" x14ac:dyDescent="0.2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</row>
    <row r="1231" spans="1:13" x14ac:dyDescent="0.2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</row>
    <row r="1232" spans="1:13" x14ac:dyDescent="0.2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</row>
    <row r="1233" spans="1:13" x14ac:dyDescent="0.2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</row>
    <row r="1234" spans="1:13" x14ac:dyDescent="0.2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</row>
    <row r="1235" spans="1:13" x14ac:dyDescent="0.2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</row>
    <row r="1236" spans="1:13" x14ac:dyDescent="0.2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</row>
    <row r="1237" spans="1:13" x14ac:dyDescent="0.2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</row>
    <row r="1238" spans="1:13" x14ac:dyDescent="0.2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</row>
    <row r="1239" spans="1:13" x14ac:dyDescent="0.2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</row>
    <row r="1240" spans="1:13" x14ac:dyDescent="0.2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</row>
    <row r="1241" spans="1:13" x14ac:dyDescent="0.2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</row>
    <row r="1242" spans="1:13" x14ac:dyDescent="0.2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</row>
    <row r="1243" spans="1:13" x14ac:dyDescent="0.2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</row>
    <row r="1244" spans="1:13" x14ac:dyDescent="0.2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</row>
    <row r="1245" spans="1:13" x14ac:dyDescent="0.2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</row>
    <row r="1246" spans="1:13" x14ac:dyDescent="0.2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</row>
    <row r="1247" spans="1:13" x14ac:dyDescent="0.2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</row>
    <row r="1248" spans="1:13" x14ac:dyDescent="0.2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</row>
    <row r="1249" spans="1:13" x14ac:dyDescent="0.2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</row>
    <row r="1250" spans="1:13" x14ac:dyDescent="0.2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</row>
    <row r="1251" spans="1:13" x14ac:dyDescent="0.2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</row>
    <row r="1252" spans="1:13" x14ac:dyDescent="0.2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</row>
    <row r="1253" spans="1:13" x14ac:dyDescent="0.2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</row>
    <row r="1254" spans="1:13" x14ac:dyDescent="0.2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</row>
    <row r="1255" spans="1:13" x14ac:dyDescent="0.2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</row>
    <row r="1256" spans="1:13" x14ac:dyDescent="0.2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</row>
    <row r="1257" spans="1:13" x14ac:dyDescent="0.2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</row>
    <row r="1258" spans="1:13" x14ac:dyDescent="0.2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</row>
    <row r="1259" spans="1:13" x14ac:dyDescent="0.2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</row>
    <row r="1260" spans="1:13" x14ac:dyDescent="0.2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</row>
    <row r="1261" spans="1:13" x14ac:dyDescent="0.2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</row>
    <row r="1262" spans="1:13" x14ac:dyDescent="0.2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</row>
    <row r="1263" spans="1:13" x14ac:dyDescent="0.2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</row>
    <row r="1264" spans="1:13" x14ac:dyDescent="0.2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</row>
    <row r="1265" spans="1:13" x14ac:dyDescent="0.2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</row>
    <row r="1266" spans="1:13" x14ac:dyDescent="0.2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</row>
    <row r="1267" spans="1:13" x14ac:dyDescent="0.2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</row>
    <row r="1268" spans="1:13" x14ac:dyDescent="0.2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</row>
    <row r="1269" spans="1:13" x14ac:dyDescent="0.2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</row>
    <row r="1270" spans="1:13" x14ac:dyDescent="0.2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</row>
    <row r="1271" spans="1:13" x14ac:dyDescent="0.2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</row>
    <row r="1272" spans="1:13" x14ac:dyDescent="0.2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</row>
    <row r="1273" spans="1:13" x14ac:dyDescent="0.2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</row>
    <row r="1274" spans="1:13" x14ac:dyDescent="0.2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</row>
    <row r="1275" spans="1:13" x14ac:dyDescent="0.2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</row>
    <row r="1276" spans="1:13" x14ac:dyDescent="0.2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</row>
    <row r="1277" spans="1:13" x14ac:dyDescent="0.2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</row>
    <row r="1278" spans="1:13" x14ac:dyDescent="0.2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</row>
    <row r="1279" spans="1:13" x14ac:dyDescent="0.2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</row>
    <row r="1280" spans="1:13" x14ac:dyDescent="0.2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</row>
    <row r="1281" spans="1:13" x14ac:dyDescent="0.2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</row>
    <row r="1282" spans="1:13" x14ac:dyDescent="0.2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</row>
    <row r="1283" spans="1:13" x14ac:dyDescent="0.2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</row>
    <row r="1284" spans="1:13" x14ac:dyDescent="0.2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</row>
    <row r="1285" spans="1:13" x14ac:dyDescent="0.2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</row>
    <row r="1286" spans="1:13" x14ac:dyDescent="0.2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</row>
    <row r="1287" spans="1:13" x14ac:dyDescent="0.2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</row>
    <row r="1288" spans="1:13" x14ac:dyDescent="0.2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</row>
    <row r="1289" spans="1:13" x14ac:dyDescent="0.2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</row>
    <row r="1290" spans="1:13" x14ac:dyDescent="0.2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</row>
    <row r="1291" spans="1:13" x14ac:dyDescent="0.2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</row>
    <row r="1292" spans="1:13" x14ac:dyDescent="0.2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</row>
    <row r="1293" spans="1:13" x14ac:dyDescent="0.2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</row>
    <row r="1294" spans="1:13" x14ac:dyDescent="0.2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</row>
    <row r="1295" spans="1:13" x14ac:dyDescent="0.2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</row>
    <row r="1296" spans="1:13" x14ac:dyDescent="0.2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</row>
    <row r="1297" spans="1:13" x14ac:dyDescent="0.2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</row>
    <row r="1298" spans="1:13" x14ac:dyDescent="0.2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</row>
    <row r="1299" spans="1:13" x14ac:dyDescent="0.2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</row>
    <row r="1300" spans="1:13" x14ac:dyDescent="0.2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</row>
    <row r="1301" spans="1:13" x14ac:dyDescent="0.2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</row>
    <row r="1302" spans="1:13" x14ac:dyDescent="0.2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</row>
    <row r="1303" spans="1:13" x14ac:dyDescent="0.2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</row>
    <row r="1304" spans="1:13" x14ac:dyDescent="0.2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</row>
    <row r="1305" spans="1:13" x14ac:dyDescent="0.2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</row>
    <row r="1306" spans="1:13" x14ac:dyDescent="0.2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</row>
    <row r="1307" spans="1:13" x14ac:dyDescent="0.2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</row>
    <row r="1308" spans="1:13" x14ac:dyDescent="0.2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</row>
    <row r="1309" spans="1:13" x14ac:dyDescent="0.2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</row>
    <row r="1310" spans="1:13" x14ac:dyDescent="0.2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</row>
    <row r="1311" spans="1:13" x14ac:dyDescent="0.2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</row>
    <row r="1312" spans="1:13" x14ac:dyDescent="0.2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</row>
    <row r="1313" spans="1:13" x14ac:dyDescent="0.2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</row>
    <row r="1314" spans="1:13" x14ac:dyDescent="0.2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</row>
    <row r="1315" spans="1:13" x14ac:dyDescent="0.2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</row>
    <row r="1316" spans="1:13" x14ac:dyDescent="0.2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</row>
    <row r="1317" spans="1:13" x14ac:dyDescent="0.2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</row>
    <row r="1318" spans="1:13" x14ac:dyDescent="0.2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</row>
    <row r="1319" spans="1:13" x14ac:dyDescent="0.2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</row>
    <row r="1320" spans="1:13" x14ac:dyDescent="0.2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</row>
    <row r="1321" spans="1:13" x14ac:dyDescent="0.2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</row>
    <row r="1322" spans="1:13" x14ac:dyDescent="0.2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</row>
    <row r="1323" spans="1:13" x14ac:dyDescent="0.2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</row>
    <row r="1324" spans="1:13" x14ac:dyDescent="0.2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</row>
    <row r="1325" spans="1:13" x14ac:dyDescent="0.2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</row>
    <row r="1326" spans="1:13" x14ac:dyDescent="0.2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</row>
    <row r="1327" spans="1:13" x14ac:dyDescent="0.2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</row>
    <row r="1328" spans="1:13" x14ac:dyDescent="0.2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</row>
    <row r="1329" spans="1:13" x14ac:dyDescent="0.2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</row>
    <row r="1330" spans="1:13" x14ac:dyDescent="0.2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</row>
    <row r="1331" spans="1:13" x14ac:dyDescent="0.2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</row>
    <row r="1332" spans="1:13" x14ac:dyDescent="0.2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</row>
    <row r="1333" spans="1:13" x14ac:dyDescent="0.2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</row>
    <row r="1334" spans="1:13" x14ac:dyDescent="0.2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</row>
    <row r="1335" spans="1:13" x14ac:dyDescent="0.2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</row>
    <row r="1336" spans="1:13" x14ac:dyDescent="0.2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</row>
    <row r="1337" spans="1:13" x14ac:dyDescent="0.2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</row>
    <row r="1338" spans="1:13" x14ac:dyDescent="0.2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</row>
    <row r="1339" spans="1:13" x14ac:dyDescent="0.2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</row>
    <row r="1340" spans="1:13" x14ac:dyDescent="0.2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</row>
    <row r="1341" spans="1:13" x14ac:dyDescent="0.2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</row>
    <row r="1342" spans="1:13" x14ac:dyDescent="0.2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</row>
    <row r="1343" spans="1:13" x14ac:dyDescent="0.2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</row>
    <row r="1344" spans="1:13" x14ac:dyDescent="0.2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</row>
    <row r="1345" spans="1:13" x14ac:dyDescent="0.2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</row>
    <row r="1346" spans="1:13" x14ac:dyDescent="0.2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</row>
    <row r="1347" spans="1:13" x14ac:dyDescent="0.2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</row>
    <row r="1348" spans="1:13" x14ac:dyDescent="0.2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</row>
    <row r="1349" spans="1:13" x14ac:dyDescent="0.2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</row>
    <row r="1350" spans="1:13" x14ac:dyDescent="0.2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</row>
    <row r="1351" spans="1:13" x14ac:dyDescent="0.2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</row>
    <row r="1352" spans="1:13" x14ac:dyDescent="0.2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</row>
    <row r="1353" spans="1:13" x14ac:dyDescent="0.2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</row>
    <row r="1354" spans="1:13" x14ac:dyDescent="0.2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</row>
    <row r="1355" spans="1:13" x14ac:dyDescent="0.2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</row>
    <row r="1356" spans="1:13" x14ac:dyDescent="0.2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</row>
    <row r="1357" spans="1:13" x14ac:dyDescent="0.2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</row>
    <row r="1358" spans="1:13" x14ac:dyDescent="0.2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</row>
    <row r="1359" spans="1:13" x14ac:dyDescent="0.2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</row>
    <row r="1360" spans="1:13" x14ac:dyDescent="0.2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</row>
    <row r="1361" spans="1:13" x14ac:dyDescent="0.2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</row>
    <row r="1362" spans="1:13" x14ac:dyDescent="0.2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</row>
    <row r="1363" spans="1:13" x14ac:dyDescent="0.2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</row>
    <row r="1364" spans="1:13" x14ac:dyDescent="0.2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</row>
    <row r="1365" spans="1:13" x14ac:dyDescent="0.2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</row>
    <row r="1366" spans="1:13" x14ac:dyDescent="0.2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</row>
    <row r="1367" spans="1:13" x14ac:dyDescent="0.2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</row>
    <row r="1368" spans="1:13" x14ac:dyDescent="0.2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</row>
    <row r="1369" spans="1:13" x14ac:dyDescent="0.2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</row>
    <row r="1370" spans="1:13" x14ac:dyDescent="0.2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</row>
    <row r="1371" spans="1:13" x14ac:dyDescent="0.2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</row>
    <row r="1372" spans="1:13" x14ac:dyDescent="0.2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</row>
    <row r="1373" spans="1:13" x14ac:dyDescent="0.2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</row>
    <row r="1374" spans="1:13" x14ac:dyDescent="0.2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</row>
    <row r="1375" spans="1:13" x14ac:dyDescent="0.2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</row>
    <row r="1376" spans="1:13" x14ac:dyDescent="0.2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</row>
    <row r="1377" spans="1:13" x14ac:dyDescent="0.2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</row>
    <row r="1378" spans="1:13" x14ac:dyDescent="0.2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</row>
    <row r="1379" spans="1:13" x14ac:dyDescent="0.2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</row>
    <row r="1380" spans="1:13" x14ac:dyDescent="0.2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</row>
    <row r="1381" spans="1:13" x14ac:dyDescent="0.2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</row>
    <row r="1382" spans="1:13" x14ac:dyDescent="0.2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</row>
    <row r="1383" spans="1:13" x14ac:dyDescent="0.2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</row>
    <row r="1384" spans="1:13" x14ac:dyDescent="0.2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</row>
    <row r="1385" spans="1:13" x14ac:dyDescent="0.2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</row>
    <row r="1386" spans="1:13" x14ac:dyDescent="0.2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</row>
    <row r="1387" spans="1:13" x14ac:dyDescent="0.2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</row>
    <row r="1388" spans="1:13" x14ac:dyDescent="0.2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</row>
    <row r="1389" spans="1:13" x14ac:dyDescent="0.2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</row>
    <row r="1390" spans="1:13" x14ac:dyDescent="0.2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</row>
    <row r="1391" spans="1:13" x14ac:dyDescent="0.2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</row>
    <row r="1392" spans="1:13" x14ac:dyDescent="0.2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</row>
    <row r="1393" spans="1:13" x14ac:dyDescent="0.2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</row>
    <row r="1394" spans="1:13" x14ac:dyDescent="0.2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</row>
    <row r="1395" spans="1:13" x14ac:dyDescent="0.2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</row>
    <row r="1396" spans="1:13" x14ac:dyDescent="0.2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</row>
    <row r="1397" spans="1:13" x14ac:dyDescent="0.2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</row>
    <row r="1398" spans="1:13" x14ac:dyDescent="0.2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</row>
    <row r="1399" spans="1:13" x14ac:dyDescent="0.2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</row>
    <row r="1400" spans="1:13" x14ac:dyDescent="0.2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</row>
    <row r="1401" spans="1:13" x14ac:dyDescent="0.2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</row>
    <row r="1402" spans="1:13" x14ac:dyDescent="0.2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</row>
    <row r="1403" spans="1:13" x14ac:dyDescent="0.2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</row>
    <row r="1404" spans="1:13" x14ac:dyDescent="0.2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</row>
    <row r="1405" spans="1:13" x14ac:dyDescent="0.2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</row>
    <row r="1406" spans="1:13" x14ac:dyDescent="0.2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</row>
    <row r="1407" spans="1:13" x14ac:dyDescent="0.2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</row>
    <row r="1408" spans="1:13" x14ac:dyDescent="0.2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</row>
    <row r="1409" spans="1:13" x14ac:dyDescent="0.2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</row>
    <row r="1410" spans="1:13" x14ac:dyDescent="0.2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</row>
    <row r="1411" spans="1:13" x14ac:dyDescent="0.2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</row>
    <row r="1412" spans="1:13" x14ac:dyDescent="0.2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</row>
    <row r="1413" spans="1:13" x14ac:dyDescent="0.2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</row>
    <row r="1414" spans="1:13" x14ac:dyDescent="0.2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</row>
    <row r="1415" spans="1:13" x14ac:dyDescent="0.2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</row>
    <row r="1416" spans="1:13" x14ac:dyDescent="0.2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</row>
    <row r="1417" spans="1:13" x14ac:dyDescent="0.2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</row>
    <row r="1418" spans="1:13" x14ac:dyDescent="0.2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</row>
    <row r="1419" spans="1:13" x14ac:dyDescent="0.2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</row>
    <row r="1420" spans="1:13" x14ac:dyDescent="0.2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</row>
    <row r="1421" spans="1:13" x14ac:dyDescent="0.2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</row>
    <row r="1422" spans="1:13" x14ac:dyDescent="0.2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</row>
    <row r="1423" spans="1:13" x14ac:dyDescent="0.2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</row>
    <row r="1424" spans="1:13" x14ac:dyDescent="0.2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</row>
    <row r="1425" spans="1:13" x14ac:dyDescent="0.2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</row>
    <row r="1426" spans="1:13" x14ac:dyDescent="0.2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</row>
    <row r="1427" spans="1:13" x14ac:dyDescent="0.2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</row>
    <row r="1428" spans="1:13" x14ac:dyDescent="0.2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</row>
    <row r="1429" spans="1:13" x14ac:dyDescent="0.2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</row>
    <row r="1430" spans="1:13" x14ac:dyDescent="0.2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</row>
    <row r="1431" spans="1:13" x14ac:dyDescent="0.2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</row>
    <row r="1432" spans="1:13" x14ac:dyDescent="0.2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</row>
    <row r="1433" spans="1:13" x14ac:dyDescent="0.2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</row>
    <row r="1434" spans="1:13" x14ac:dyDescent="0.2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</row>
    <row r="1435" spans="1:13" x14ac:dyDescent="0.2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</row>
    <row r="1436" spans="1:13" x14ac:dyDescent="0.2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</row>
    <row r="1437" spans="1:13" x14ac:dyDescent="0.2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</row>
    <row r="1438" spans="1:13" x14ac:dyDescent="0.2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</row>
    <row r="1439" spans="1:13" x14ac:dyDescent="0.2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</row>
    <row r="1440" spans="1:13" x14ac:dyDescent="0.2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</row>
    <row r="1441" spans="1:13" x14ac:dyDescent="0.2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</row>
    <row r="1442" spans="1:13" x14ac:dyDescent="0.2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</row>
    <row r="1443" spans="1:13" x14ac:dyDescent="0.2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</row>
    <row r="1444" spans="1:13" x14ac:dyDescent="0.2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</row>
    <row r="1445" spans="1:13" x14ac:dyDescent="0.2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</row>
    <row r="1446" spans="1:13" x14ac:dyDescent="0.2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</row>
    <row r="1447" spans="1:13" x14ac:dyDescent="0.2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</row>
    <row r="1448" spans="1:13" x14ac:dyDescent="0.2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</row>
    <row r="1449" spans="1:13" x14ac:dyDescent="0.2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</row>
    <row r="1450" spans="1:13" x14ac:dyDescent="0.2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</row>
    <row r="1451" spans="1:13" x14ac:dyDescent="0.2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</row>
    <row r="1452" spans="1:13" x14ac:dyDescent="0.2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</row>
    <row r="1453" spans="1:13" x14ac:dyDescent="0.2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</row>
    <row r="1454" spans="1:13" x14ac:dyDescent="0.2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</row>
    <row r="1455" spans="1:13" x14ac:dyDescent="0.2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</row>
    <row r="1456" spans="1:13" x14ac:dyDescent="0.2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</row>
    <row r="1457" spans="1:13" x14ac:dyDescent="0.2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</row>
    <row r="1458" spans="1:13" x14ac:dyDescent="0.2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</row>
    <row r="1459" spans="1:13" x14ac:dyDescent="0.2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</row>
    <row r="1460" spans="1:13" x14ac:dyDescent="0.2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</row>
    <row r="1461" spans="1:13" x14ac:dyDescent="0.2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</row>
    <row r="1462" spans="1:13" x14ac:dyDescent="0.2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</row>
    <row r="1463" spans="1:13" x14ac:dyDescent="0.2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</row>
    <row r="1464" spans="1:13" x14ac:dyDescent="0.2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</row>
    <row r="1465" spans="1:13" x14ac:dyDescent="0.2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</row>
    <row r="1466" spans="1:13" x14ac:dyDescent="0.2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</row>
    <row r="1467" spans="1:13" x14ac:dyDescent="0.2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</row>
    <row r="1468" spans="1:13" x14ac:dyDescent="0.2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</row>
    <row r="1469" spans="1:13" x14ac:dyDescent="0.2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</row>
    <row r="1470" spans="1:13" x14ac:dyDescent="0.2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</row>
    <row r="1471" spans="1:13" x14ac:dyDescent="0.2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</row>
    <row r="1472" spans="1:13" x14ac:dyDescent="0.2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</row>
    <row r="1473" spans="1:13" x14ac:dyDescent="0.2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</row>
    <row r="1474" spans="1:13" x14ac:dyDescent="0.2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</row>
    <row r="1475" spans="1:13" x14ac:dyDescent="0.2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</row>
    <row r="1476" spans="1:13" x14ac:dyDescent="0.2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</row>
    <row r="1477" spans="1:13" x14ac:dyDescent="0.2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</row>
    <row r="1478" spans="1:13" x14ac:dyDescent="0.2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</row>
    <row r="1479" spans="1:13" x14ac:dyDescent="0.2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</row>
    <row r="1480" spans="1:13" x14ac:dyDescent="0.2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</row>
    <row r="1481" spans="1:13" x14ac:dyDescent="0.2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</row>
    <row r="1482" spans="1:13" x14ac:dyDescent="0.2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</row>
    <row r="1483" spans="1:13" x14ac:dyDescent="0.2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</row>
    <row r="1484" spans="1:13" x14ac:dyDescent="0.2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</row>
    <row r="1485" spans="1:13" x14ac:dyDescent="0.2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</row>
    <row r="1486" spans="1:13" x14ac:dyDescent="0.2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</row>
    <row r="1487" spans="1:13" x14ac:dyDescent="0.2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</row>
    <row r="1488" spans="1:13" x14ac:dyDescent="0.2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</row>
    <row r="1489" spans="1:13" x14ac:dyDescent="0.2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</row>
    <row r="1490" spans="1:13" x14ac:dyDescent="0.2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</row>
    <row r="1491" spans="1:13" x14ac:dyDescent="0.2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</row>
    <row r="1492" spans="1:13" x14ac:dyDescent="0.2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</row>
    <row r="1493" spans="1:13" x14ac:dyDescent="0.2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</row>
    <row r="1494" spans="1:13" x14ac:dyDescent="0.2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</row>
    <row r="1495" spans="1:13" x14ac:dyDescent="0.2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</row>
    <row r="1496" spans="1:13" x14ac:dyDescent="0.2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</row>
    <row r="1497" spans="1:13" x14ac:dyDescent="0.2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</row>
    <row r="1498" spans="1:13" x14ac:dyDescent="0.2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</row>
    <row r="1499" spans="1:13" x14ac:dyDescent="0.2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</row>
    <row r="1500" spans="1:13" x14ac:dyDescent="0.2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</row>
    <row r="1501" spans="1:13" x14ac:dyDescent="0.2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</row>
    <row r="1502" spans="1:13" x14ac:dyDescent="0.2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</row>
    <row r="1503" spans="1:13" x14ac:dyDescent="0.2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</row>
    <row r="1504" spans="1:13" x14ac:dyDescent="0.2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</row>
    <row r="1505" spans="1:13" x14ac:dyDescent="0.2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</row>
    <row r="1506" spans="1:13" x14ac:dyDescent="0.2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</row>
    <row r="1507" spans="1:13" x14ac:dyDescent="0.2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</row>
    <row r="1508" spans="1:13" x14ac:dyDescent="0.2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</row>
    <row r="1509" spans="1:13" x14ac:dyDescent="0.2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</row>
    <row r="1510" spans="1:13" x14ac:dyDescent="0.2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</row>
    <row r="1511" spans="1:13" x14ac:dyDescent="0.2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</row>
    <row r="1512" spans="1:13" x14ac:dyDescent="0.2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</row>
    <row r="1513" spans="1:13" x14ac:dyDescent="0.2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</row>
    <row r="1514" spans="1:13" x14ac:dyDescent="0.2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</row>
    <row r="1515" spans="1:13" x14ac:dyDescent="0.2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</row>
    <row r="1516" spans="1:13" x14ac:dyDescent="0.2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</row>
    <row r="1517" spans="1:13" x14ac:dyDescent="0.2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</row>
    <row r="1518" spans="1:13" x14ac:dyDescent="0.2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</row>
    <row r="1519" spans="1:13" x14ac:dyDescent="0.2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</row>
    <row r="1520" spans="1:13" x14ac:dyDescent="0.2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</row>
    <row r="1521" spans="1:13" x14ac:dyDescent="0.2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</row>
    <row r="1522" spans="1:13" x14ac:dyDescent="0.2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</row>
    <row r="1523" spans="1:13" x14ac:dyDescent="0.2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</row>
    <row r="1524" spans="1:13" x14ac:dyDescent="0.2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</row>
    <row r="1525" spans="1:13" x14ac:dyDescent="0.2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</row>
    <row r="1526" spans="1:13" x14ac:dyDescent="0.2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</row>
    <row r="1527" spans="1:13" x14ac:dyDescent="0.2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</row>
    <row r="1528" spans="1:13" x14ac:dyDescent="0.2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</row>
    <row r="1529" spans="1:13" x14ac:dyDescent="0.2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</row>
    <row r="1530" spans="1:13" x14ac:dyDescent="0.2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</row>
    <row r="1531" spans="1:13" x14ac:dyDescent="0.2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</row>
    <row r="1532" spans="1:13" x14ac:dyDescent="0.2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</row>
    <row r="1533" spans="1:13" x14ac:dyDescent="0.2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</row>
    <row r="1534" spans="1:13" x14ac:dyDescent="0.2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</row>
    <row r="1535" spans="1:13" x14ac:dyDescent="0.2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</row>
    <row r="1536" spans="1:13" x14ac:dyDescent="0.2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</row>
    <row r="1537" spans="1:13" x14ac:dyDescent="0.2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</row>
    <row r="1538" spans="1:13" x14ac:dyDescent="0.2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</row>
    <row r="1539" spans="1:13" x14ac:dyDescent="0.2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</row>
    <row r="1540" spans="1:13" x14ac:dyDescent="0.2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</row>
    <row r="1541" spans="1:13" x14ac:dyDescent="0.2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</row>
    <row r="1542" spans="1:13" x14ac:dyDescent="0.2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</row>
    <row r="1543" spans="1:13" x14ac:dyDescent="0.2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</row>
    <row r="1544" spans="1:13" x14ac:dyDescent="0.2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</row>
    <row r="1545" spans="1:13" x14ac:dyDescent="0.2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</row>
    <row r="1546" spans="1:13" x14ac:dyDescent="0.2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</row>
    <row r="1547" spans="1:13" x14ac:dyDescent="0.2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</row>
    <row r="1548" spans="1:13" x14ac:dyDescent="0.2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</row>
    <row r="1549" spans="1:13" x14ac:dyDescent="0.2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</row>
    <row r="1550" spans="1:13" x14ac:dyDescent="0.2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</row>
    <row r="1551" spans="1:13" x14ac:dyDescent="0.2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</row>
    <row r="1552" spans="1:13" x14ac:dyDescent="0.2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</row>
    <row r="1553" spans="1:13" x14ac:dyDescent="0.2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</row>
    <row r="1554" spans="1:13" x14ac:dyDescent="0.2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</row>
    <row r="1555" spans="1:13" x14ac:dyDescent="0.2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</row>
    <row r="1556" spans="1:13" x14ac:dyDescent="0.2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</row>
    <row r="1557" spans="1:13" x14ac:dyDescent="0.2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</row>
    <row r="1558" spans="1:13" x14ac:dyDescent="0.2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</row>
    <row r="1559" spans="1:13" x14ac:dyDescent="0.2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</row>
    <row r="1560" spans="1:13" x14ac:dyDescent="0.2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</row>
    <row r="1561" spans="1:13" x14ac:dyDescent="0.2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</row>
    <row r="1562" spans="1:13" x14ac:dyDescent="0.2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</row>
    <row r="1563" spans="1:13" x14ac:dyDescent="0.2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</row>
    <row r="1564" spans="1:13" x14ac:dyDescent="0.2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</row>
    <row r="1565" spans="1:13" x14ac:dyDescent="0.2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</row>
    <row r="1566" spans="1:13" x14ac:dyDescent="0.2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</row>
    <row r="1567" spans="1:13" x14ac:dyDescent="0.2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</row>
    <row r="1568" spans="1:13" x14ac:dyDescent="0.2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</row>
    <row r="1569" spans="1:13" x14ac:dyDescent="0.2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</row>
    <row r="1570" spans="1:13" x14ac:dyDescent="0.2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</row>
    <row r="1571" spans="1:13" x14ac:dyDescent="0.2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</row>
    <row r="1572" spans="1:13" x14ac:dyDescent="0.2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</row>
    <row r="1573" spans="1:13" x14ac:dyDescent="0.2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</row>
    <row r="1574" spans="1:13" x14ac:dyDescent="0.2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</row>
    <row r="1575" spans="1:13" x14ac:dyDescent="0.2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</row>
    <row r="1576" spans="1:13" x14ac:dyDescent="0.2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</row>
    <row r="1577" spans="1:13" x14ac:dyDescent="0.2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</row>
    <row r="1578" spans="1:13" x14ac:dyDescent="0.2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</row>
    <row r="1579" spans="1:13" x14ac:dyDescent="0.2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</row>
    <row r="1580" spans="1:13" x14ac:dyDescent="0.2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</row>
    <row r="1581" spans="1:13" x14ac:dyDescent="0.2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</row>
    <row r="1582" spans="1:13" x14ac:dyDescent="0.2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</row>
    <row r="1583" spans="1:13" x14ac:dyDescent="0.2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</row>
    <row r="1584" spans="1:13" x14ac:dyDescent="0.2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</row>
    <row r="1585" spans="1:13" x14ac:dyDescent="0.2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</row>
    <row r="1586" spans="1:13" x14ac:dyDescent="0.2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</row>
    <row r="1587" spans="1:13" x14ac:dyDescent="0.2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</row>
    <row r="1588" spans="1:13" x14ac:dyDescent="0.2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</row>
    <row r="1589" spans="1:13" x14ac:dyDescent="0.2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</row>
    <row r="1590" spans="1:13" x14ac:dyDescent="0.2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</row>
    <row r="1591" spans="1:13" x14ac:dyDescent="0.2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</row>
    <row r="1592" spans="1:13" x14ac:dyDescent="0.2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</row>
    <row r="1593" spans="1:13" x14ac:dyDescent="0.2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</row>
    <row r="1594" spans="1:13" x14ac:dyDescent="0.2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</row>
    <row r="1595" spans="1:13" x14ac:dyDescent="0.2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</row>
    <row r="1596" spans="1:13" x14ac:dyDescent="0.2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</row>
    <row r="1597" spans="1:13" x14ac:dyDescent="0.2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</row>
    <row r="1598" spans="1:13" x14ac:dyDescent="0.2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</row>
    <row r="1599" spans="1:13" x14ac:dyDescent="0.2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</row>
    <row r="1600" spans="1:13" x14ac:dyDescent="0.2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</row>
    <row r="1601" spans="1:13" x14ac:dyDescent="0.2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</row>
    <row r="1602" spans="1:13" x14ac:dyDescent="0.2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</row>
    <row r="1603" spans="1:13" x14ac:dyDescent="0.2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</row>
    <row r="1604" spans="1:13" x14ac:dyDescent="0.2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</row>
    <row r="1605" spans="1:13" x14ac:dyDescent="0.2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</row>
    <row r="1606" spans="1:13" x14ac:dyDescent="0.2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</row>
    <row r="1607" spans="1:13" x14ac:dyDescent="0.2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</row>
    <row r="1608" spans="1:13" x14ac:dyDescent="0.2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</row>
    <row r="1609" spans="1:13" x14ac:dyDescent="0.2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</row>
    <row r="1610" spans="1:13" x14ac:dyDescent="0.2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</row>
    <row r="1611" spans="1:13" x14ac:dyDescent="0.2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</row>
    <row r="1612" spans="1:13" x14ac:dyDescent="0.2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</row>
    <row r="1613" spans="1:13" x14ac:dyDescent="0.2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</row>
    <row r="1614" spans="1:13" x14ac:dyDescent="0.2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</row>
    <row r="1615" spans="1:13" x14ac:dyDescent="0.2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</row>
    <row r="1616" spans="1:13" x14ac:dyDescent="0.2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</row>
    <row r="1617" spans="1:13" x14ac:dyDescent="0.2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</row>
    <row r="1618" spans="1:13" x14ac:dyDescent="0.2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</row>
    <row r="1619" spans="1:13" x14ac:dyDescent="0.2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</row>
    <row r="1620" spans="1:13" x14ac:dyDescent="0.2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</row>
    <row r="1621" spans="1:13" x14ac:dyDescent="0.2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</row>
    <row r="1622" spans="1:13" x14ac:dyDescent="0.2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</row>
    <row r="1623" spans="1:13" x14ac:dyDescent="0.2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</row>
    <row r="1624" spans="1:13" x14ac:dyDescent="0.2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</row>
    <row r="1625" spans="1:13" x14ac:dyDescent="0.2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</row>
    <row r="1626" spans="1:13" x14ac:dyDescent="0.2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</row>
    <row r="1627" spans="1:13" x14ac:dyDescent="0.2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</row>
    <row r="1628" spans="1:13" x14ac:dyDescent="0.2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</row>
    <row r="1629" spans="1:13" x14ac:dyDescent="0.2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</row>
    <row r="1630" spans="1:13" x14ac:dyDescent="0.2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</row>
    <row r="1631" spans="1:13" x14ac:dyDescent="0.2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</row>
    <row r="1632" spans="1:13" x14ac:dyDescent="0.2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</row>
    <row r="1633" spans="1:13" x14ac:dyDescent="0.2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</row>
    <row r="1634" spans="1:13" x14ac:dyDescent="0.2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</row>
    <row r="1635" spans="1:13" x14ac:dyDescent="0.2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</row>
    <row r="1636" spans="1:13" x14ac:dyDescent="0.2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</row>
    <row r="1637" spans="1:13" x14ac:dyDescent="0.2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</row>
    <row r="1638" spans="1:13" x14ac:dyDescent="0.2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</row>
    <row r="1639" spans="1:13" x14ac:dyDescent="0.2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</row>
    <row r="1640" spans="1:13" x14ac:dyDescent="0.2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</row>
    <row r="1641" spans="1:13" x14ac:dyDescent="0.2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</row>
    <row r="1642" spans="1:13" x14ac:dyDescent="0.2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</row>
    <row r="1643" spans="1:13" x14ac:dyDescent="0.2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</row>
    <row r="1644" spans="1:13" x14ac:dyDescent="0.2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</row>
    <row r="1645" spans="1:13" x14ac:dyDescent="0.2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</row>
    <row r="1646" spans="1:13" x14ac:dyDescent="0.2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</row>
    <row r="1647" spans="1:13" x14ac:dyDescent="0.2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</row>
    <row r="1648" spans="1:13" x14ac:dyDescent="0.2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</row>
    <row r="1649" spans="1:13" x14ac:dyDescent="0.2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</row>
    <row r="1650" spans="1:13" x14ac:dyDescent="0.2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</row>
    <row r="1651" spans="1:13" x14ac:dyDescent="0.2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</row>
    <row r="1652" spans="1:13" x14ac:dyDescent="0.2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</row>
    <row r="1653" spans="1:13" x14ac:dyDescent="0.2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</row>
    <row r="1654" spans="1:13" x14ac:dyDescent="0.2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</row>
    <row r="1655" spans="1:13" x14ac:dyDescent="0.2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</row>
    <row r="1656" spans="1:13" x14ac:dyDescent="0.2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</row>
    <row r="1657" spans="1:13" x14ac:dyDescent="0.2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</row>
    <row r="1658" spans="1:13" x14ac:dyDescent="0.2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</row>
    <row r="1659" spans="1:13" x14ac:dyDescent="0.2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</row>
    <row r="1660" spans="1:13" x14ac:dyDescent="0.2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</row>
    <row r="1661" spans="1:13" x14ac:dyDescent="0.2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</row>
    <row r="1662" spans="1:13" x14ac:dyDescent="0.2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</row>
    <row r="1663" spans="1:13" x14ac:dyDescent="0.2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</row>
    <row r="1664" spans="1:13" x14ac:dyDescent="0.2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</row>
    <row r="1665" spans="1:13" x14ac:dyDescent="0.2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</row>
    <row r="1666" spans="1:13" x14ac:dyDescent="0.2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</row>
    <row r="1667" spans="1:13" x14ac:dyDescent="0.2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</row>
    <row r="1668" spans="1:13" x14ac:dyDescent="0.2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</row>
    <row r="1669" spans="1:13" x14ac:dyDescent="0.2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</row>
    <row r="1670" spans="1:13" x14ac:dyDescent="0.2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</row>
    <row r="1671" spans="1:13" x14ac:dyDescent="0.2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</row>
    <row r="1672" spans="1:13" x14ac:dyDescent="0.2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</row>
    <row r="1673" spans="1:13" x14ac:dyDescent="0.2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</row>
    <row r="1674" spans="1:13" x14ac:dyDescent="0.2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</row>
    <row r="1675" spans="1:13" x14ac:dyDescent="0.2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</row>
    <row r="1676" spans="1:13" x14ac:dyDescent="0.2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</row>
    <row r="1677" spans="1:13" x14ac:dyDescent="0.2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</row>
    <row r="1678" spans="1:13" x14ac:dyDescent="0.2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</row>
    <row r="1679" spans="1:13" x14ac:dyDescent="0.2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</row>
    <row r="1680" spans="1:13" x14ac:dyDescent="0.2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</row>
    <row r="1681" spans="1:13" x14ac:dyDescent="0.2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</row>
    <row r="1682" spans="1:13" x14ac:dyDescent="0.2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</row>
    <row r="1683" spans="1:13" x14ac:dyDescent="0.2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</row>
    <row r="1684" spans="1:13" x14ac:dyDescent="0.2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</row>
    <row r="1685" spans="1:13" x14ac:dyDescent="0.2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</row>
    <row r="1686" spans="1:13" x14ac:dyDescent="0.2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</row>
    <row r="1687" spans="1:13" x14ac:dyDescent="0.2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</row>
    <row r="1688" spans="1:13" x14ac:dyDescent="0.2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</row>
    <row r="1689" spans="1:13" x14ac:dyDescent="0.2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</row>
    <row r="1690" spans="1:13" x14ac:dyDescent="0.2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</row>
    <row r="1691" spans="1:13" x14ac:dyDescent="0.2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</row>
    <row r="1692" spans="1:13" x14ac:dyDescent="0.2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</row>
    <row r="1693" spans="1:13" x14ac:dyDescent="0.2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</row>
    <row r="1694" spans="1:13" x14ac:dyDescent="0.2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</row>
    <row r="1695" spans="1:13" x14ac:dyDescent="0.2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</row>
    <row r="1696" spans="1:13" x14ac:dyDescent="0.2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</row>
    <row r="1697" spans="1:13" x14ac:dyDescent="0.2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</row>
    <row r="1698" spans="1:13" x14ac:dyDescent="0.2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</row>
    <row r="1699" spans="1:13" x14ac:dyDescent="0.2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</row>
    <row r="1700" spans="1:13" x14ac:dyDescent="0.2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</row>
    <row r="1701" spans="1:13" x14ac:dyDescent="0.2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</row>
    <row r="1702" spans="1:13" x14ac:dyDescent="0.2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</row>
    <row r="1703" spans="1:13" x14ac:dyDescent="0.2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</row>
    <row r="1704" spans="1:13" x14ac:dyDescent="0.2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</row>
    <row r="1705" spans="1:13" x14ac:dyDescent="0.2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</row>
    <row r="1706" spans="1:13" x14ac:dyDescent="0.2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</row>
    <row r="1707" spans="1:13" x14ac:dyDescent="0.2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</row>
    <row r="1708" spans="1:13" x14ac:dyDescent="0.2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</row>
    <row r="1709" spans="1:13" x14ac:dyDescent="0.2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</row>
    <row r="1710" spans="1:13" x14ac:dyDescent="0.2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</row>
    <row r="1711" spans="1:13" x14ac:dyDescent="0.2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</row>
    <row r="1712" spans="1:13" x14ac:dyDescent="0.2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</row>
    <row r="1713" spans="1:13" x14ac:dyDescent="0.2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</row>
    <row r="1714" spans="1:13" x14ac:dyDescent="0.2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</row>
    <row r="1715" spans="1:13" x14ac:dyDescent="0.2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</row>
    <row r="1716" spans="1:13" x14ac:dyDescent="0.2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</row>
    <row r="1717" spans="1:13" x14ac:dyDescent="0.2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</row>
    <row r="1718" spans="1:13" x14ac:dyDescent="0.2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</row>
    <row r="1719" spans="1:13" x14ac:dyDescent="0.2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</row>
    <row r="1720" spans="1:13" x14ac:dyDescent="0.2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</row>
    <row r="1721" spans="1:13" x14ac:dyDescent="0.2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</row>
    <row r="1722" spans="1:13" x14ac:dyDescent="0.2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</row>
    <row r="1723" spans="1:13" x14ac:dyDescent="0.2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</row>
    <row r="1724" spans="1:13" x14ac:dyDescent="0.2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</row>
    <row r="1725" spans="1:13" x14ac:dyDescent="0.2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</row>
    <row r="1726" spans="1:13" x14ac:dyDescent="0.2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</row>
    <row r="1727" spans="1:13" x14ac:dyDescent="0.2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</row>
    <row r="1728" spans="1:13" x14ac:dyDescent="0.2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</row>
    <row r="1729" spans="1:13" x14ac:dyDescent="0.2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</row>
    <row r="1730" spans="1:13" x14ac:dyDescent="0.2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</row>
    <row r="1731" spans="1:13" x14ac:dyDescent="0.2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</row>
    <row r="1732" spans="1:13" x14ac:dyDescent="0.2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</row>
    <row r="1733" spans="1:13" x14ac:dyDescent="0.2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</row>
    <row r="1734" spans="1:13" x14ac:dyDescent="0.2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</row>
    <row r="1735" spans="1:13" x14ac:dyDescent="0.2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</row>
    <row r="1736" spans="1:13" x14ac:dyDescent="0.2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</row>
    <row r="1737" spans="1:13" x14ac:dyDescent="0.2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</row>
    <row r="1738" spans="1:13" x14ac:dyDescent="0.2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</row>
    <row r="1739" spans="1:13" x14ac:dyDescent="0.2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</row>
    <row r="1740" spans="1:13" x14ac:dyDescent="0.2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</row>
    <row r="1741" spans="1:13" x14ac:dyDescent="0.2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</row>
    <row r="1742" spans="1:13" x14ac:dyDescent="0.2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</row>
    <row r="1743" spans="1:13" x14ac:dyDescent="0.2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</row>
    <row r="1744" spans="1:13" x14ac:dyDescent="0.2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</row>
    <row r="1745" spans="1:13" x14ac:dyDescent="0.2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</row>
    <row r="1746" spans="1:13" x14ac:dyDescent="0.2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</row>
    <row r="1747" spans="1:13" x14ac:dyDescent="0.2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</row>
    <row r="1748" spans="1:13" x14ac:dyDescent="0.2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</row>
    <row r="1749" spans="1:13" x14ac:dyDescent="0.2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</row>
    <row r="1750" spans="1:13" x14ac:dyDescent="0.2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</row>
    <row r="1751" spans="1:13" x14ac:dyDescent="0.2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</row>
    <row r="1752" spans="1:13" x14ac:dyDescent="0.2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</row>
    <row r="1753" spans="1:13" x14ac:dyDescent="0.2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</row>
    <row r="1754" spans="1:13" x14ac:dyDescent="0.2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</row>
    <row r="1755" spans="1:13" x14ac:dyDescent="0.2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</row>
    <row r="1756" spans="1:13" x14ac:dyDescent="0.2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</row>
    <row r="1757" spans="1:13" x14ac:dyDescent="0.2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</row>
    <row r="1758" spans="1:13" x14ac:dyDescent="0.2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</row>
    <row r="1759" spans="1:13" x14ac:dyDescent="0.2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</row>
    <row r="1760" spans="1:13" x14ac:dyDescent="0.2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</row>
    <row r="1761" spans="1:13" x14ac:dyDescent="0.2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</row>
    <row r="1762" spans="1:13" x14ac:dyDescent="0.2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</row>
    <row r="1763" spans="1:13" x14ac:dyDescent="0.2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</row>
    <row r="1764" spans="1:13" x14ac:dyDescent="0.2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</row>
    <row r="1765" spans="1:13" x14ac:dyDescent="0.2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</row>
    <row r="1766" spans="1:13" x14ac:dyDescent="0.2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</row>
    <row r="1767" spans="1:13" x14ac:dyDescent="0.2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</row>
    <row r="1768" spans="1:13" x14ac:dyDescent="0.2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</row>
    <row r="1769" spans="1:13" x14ac:dyDescent="0.2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</row>
    <row r="1770" spans="1:13" x14ac:dyDescent="0.2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</row>
    <row r="1771" spans="1:13" x14ac:dyDescent="0.2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</row>
    <row r="1772" spans="1:13" x14ac:dyDescent="0.2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</row>
    <row r="1773" spans="1:13" x14ac:dyDescent="0.2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</row>
    <row r="1774" spans="1:13" x14ac:dyDescent="0.2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</row>
    <row r="1775" spans="1:13" x14ac:dyDescent="0.2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</row>
    <row r="1776" spans="1:13" x14ac:dyDescent="0.2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</row>
    <row r="1777" spans="1:13" x14ac:dyDescent="0.2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</row>
    <row r="1778" spans="1:13" x14ac:dyDescent="0.2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</row>
    <row r="1779" spans="1:13" x14ac:dyDescent="0.2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</row>
    <row r="1780" spans="1:13" x14ac:dyDescent="0.2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</row>
    <row r="1781" spans="1:13" x14ac:dyDescent="0.2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</row>
    <row r="1782" spans="1:13" x14ac:dyDescent="0.2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</row>
    <row r="1783" spans="1:13" x14ac:dyDescent="0.2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</row>
    <row r="1784" spans="1:13" x14ac:dyDescent="0.2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</row>
    <row r="1785" spans="1:13" x14ac:dyDescent="0.2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</row>
    <row r="1786" spans="1:13" x14ac:dyDescent="0.2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</row>
    <row r="1787" spans="1:13" x14ac:dyDescent="0.2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</row>
    <row r="1788" spans="1:13" x14ac:dyDescent="0.2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</row>
    <row r="1789" spans="1:13" x14ac:dyDescent="0.2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</row>
    <row r="1790" spans="1:13" x14ac:dyDescent="0.2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</row>
    <row r="1791" spans="1:13" x14ac:dyDescent="0.2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</row>
    <row r="1792" spans="1:13" x14ac:dyDescent="0.2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</row>
    <row r="1793" spans="1:13" x14ac:dyDescent="0.2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</row>
    <row r="1794" spans="1:13" x14ac:dyDescent="0.2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</row>
    <row r="1795" spans="1:13" x14ac:dyDescent="0.2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</row>
    <row r="1796" spans="1:13" x14ac:dyDescent="0.2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</row>
    <row r="1797" spans="1:13" x14ac:dyDescent="0.2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</row>
    <row r="1798" spans="1:13" x14ac:dyDescent="0.2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</row>
    <row r="1799" spans="1:13" x14ac:dyDescent="0.2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</row>
    <row r="1800" spans="1:13" x14ac:dyDescent="0.2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</row>
    <row r="1801" spans="1:13" x14ac:dyDescent="0.2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</row>
    <row r="1802" spans="1:13" x14ac:dyDescent="0.2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</row>
    <row r="1803" spans="1:13" x14ac:dyDescent="0.2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</row>
    <row r="1804" spans="1:13" x14ac:dyDescent="0.2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</row>
    <row r="1805" spans="1:13" x14ac:dyDescent="0.2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</row>
    <row r="1806" spans="1:13" x14ac:dyDescent="0.2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</row>
    <row r="1807" spans="1:13" x14ac:dyDescent="0.2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</row>
    <row r="1808" spans="1:13" x14ac:dyDescent="0.2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</row>
    <row r="1809" spans="1:13" x14ac:dyDescent="0.2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</row>
    <row r="1810" spans="1:13" x14ac:dyDescent="0.2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</row>
    <row r="1811" spans="1:13" x14ac:dyDescent="0.2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</row>
    <row r="1812" spans="1:13" x14ac:dyDescent="0.2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</row>
    <row r="1813" spans="1:13" x14ac:dyDescent="0.2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</row>
    <row r="1814" spans="1:13" x14ac:dyDescent="0.2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</row>
    <row r="1815" spans="1:13" x14ac:dyDescent="0.2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</row>
    <row r="1816" spans="1:13" x14ac:dyDescent="0.2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</row>
    <row r="1817" spans="1:13" x14ac:dyDescent="0.2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</row>
    <row r="1818" spans="1:13" x14ac:dyDescent="0.2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</row>
    <row r="1819" spans="1:13" x14ac:dyDescent="0.2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</row>
    <row r="1820" spans="1:13" x14ac:dyDescent="0.2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</row>
    <row r="1821" spans="1:13" x14ac:dyDescent="0.2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</row>
    <row r="1822" spans="1:13" x14ac:dyDescent="0.2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</row>
    <row r="1823" spans="1:13" x14ac:dyDescent="0.2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</row>
    <row r="1824" spans="1:13" x14ac:dyDescent="0.2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</row>
    <row r="1825" spans="1:13" x14ac:dyDescent="0.2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</row>
    <row r="1826" spans="1:13" x14ac:dyDescent="0.2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</row>
    <row r="1827" spans="1:13" x14ac:dyDescent="0.2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</row>
    <row r="1828" spans="1:13" x14ac:dyDescent="0.2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</row>
    <row r="1829" spans="1:13" x14ac:dyDescent="0.2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</row>
    <row r="1830" spans="1:13" x14ac:dyDescent="0.2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</row>
    <row r="1831" spans="1:13" x14ac:dyDescent="0.2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</row>
    <row r="1832" spans="1:13" x14ac:dyDescent="0.2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</row>
    <row r="1833" spans="1:13" x14ac:dyDescent="0.2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</row>
    <row r="1834" spans="1:13" x14ac:dyDescent="0.2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</row>
    <row r="1835" spans="1:13" x14ac:dyDescent="0.2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</row>
    <row r="1836" spans="1:13" x14ac:dyDescent="0.2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</row>
    <row r="1837" spans="1:13" x14ac:dyDescent="0.2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</row>
    <row r="1838" spans="1:13" x14ac:dyDescent="0.2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</row>
    <row r="1839" spans="1:13" x14ac:dyDescent="0.2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</row>
    <row r="1840" spans="1:13" x14ac:dyDescent="0.2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</row>
    <row r="1841" spans="1:13" x14ac:dyDescent="0.2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</row>
    <row r="1842" spans="1:13" x14ac:dyDescent="0.2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</row>
    <row r="1843" spans="1:13" x14ac:dyDescent="0.2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</row>
    <row r="1844" spans="1:13" x14ac:dyDescent="0.2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</row>
    <row r="1845" spans="1:13" x14ac:dyDescent="0.2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</row>
    <row r="1846" spans="1:13" x14ac:dyDescent="0.2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</row>
    <row r="1847" spans="1:13" x14ac:dyDescent="0.2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</row>
    <row r="1848" spans="1:13" x14ac:dyDescent="0.2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</row>
    <row r="1849" spans="1:13" x14ac:dyDescent="0.2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</row>
    <row r="1850" spans="1:13" x14ac:dyDescent="0.2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</row>
    <row r="1851" spans="1:13" x14ac:dyDescent="0.2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</row>
    <row r="1852" spans="1:13" x14ac:dyDescent="0.2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</row>
    <row r="1853" spans="1:13" x14ac:dyDescent="0.2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</row>
    <row r="1854" spans="1:13" x14ac:dyDescent="0.2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</row>
    <row r="1855" spans="1:13" x14ac:dyDescent="0.2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</row>
    <row r="1856" spans="1:13" x14ac:dyDescent="0.2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</row>
    <row r="1857" spans="1:13" x14ac:dyDescent="0.2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</row>
    <row r="1858" spans="1:13" x14ac:dyDescent="0.2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</row>
    <row r="1859" spans="1:13" x14ac:dyDescent="0.2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</row>
    <row r="1860" spans="1:13" x14ac:dyDescent="0.2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</row>
    <row r="1861" spans="1:13" x14ac:dyDescent="0.2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</row>
    <row r="1862" spans="1:13" x14ac:dyDescent="0.2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</row>
    <row r="1863" spans="1:13" x14ac:dyDescent="0.2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</row>
    <row r="1864" spans="1:13" x14ac:dyDescent="0.2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</row>
    <row r="1865" spans="1:13" x14ac:dyDescent="0.2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</row>
    <row r="1866" spans="1:13" x14ac:dyDescent="0.2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</row>
    <row r="1867" spans="1:13" x14ac:dyDescent="0.2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</row>
    <row r="1868" spans="1:13" x14ac:dyDescent="0.2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</row>
    <row r="1869" spans="1:13" x14ac:dyDescent="0.2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</row>
    <row r="1870" spans="1:13" x14ac:dyDescent="0.2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</row>
    <row r="1871" spans="1:13" x14ac:dyDescent="0.2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</row>
    <row r="1872" spans="1:13" x14ac:dyDescent="0.2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</row>
    <row r="1873" spans="1:13" x14ac:dyDescent="0.2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</row>
    <row r="1874" spans="1:13" x14ac:dyDescent="0.2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</row>
    <row r="1875" spans="1:13" x14ac:dyDescent="0.2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</row>
    <row r="1876" spans="1:13" x14ac:dyDescent="0.2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</row>
  </sheetData>
  <mergeCells count="13">
    <mergeCell ref="A37:E37"/>
    <mergeCell ref="A2:F2"/>
    <mergeCell ref="G2:P2"/>
    <mergeCell ref="B5:E6"/>
    <mergeCell ref="F5:F6"/>
    <mergeCell ref="G5:G6"/>
    <mergeCell ref="N5:P5"/>
    <mergeCell ref="I5:I6"/>
    <mergeCell ref="J5:J6"/>
    <mergeCell ref="L5:L6"/>
    <mergeCell ref="M5:M6"/>
    <mergeCell ref="K5:K6"/>
    <mergeCell ref="H5:H6"/>
  </mergeCells>
  <phoneticPr fontId="9" type="noConversion"/>
  <printOptions horizontalCentered="1"/>
  <pageMargins left="0.11811023622047245" right="7.874015748031496E-2" top="0.70866141732283472" bottom="1.1023622047244095" header="0" footer="0"/>
  <pageSetup scale="35" orientation="landscape" r:id="rId1"/>
  <headerFooter alignWithMargins="0"/>
  <colBreaks count="1" manualBreakCount="1">
    <brk id="16" max="3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Anexo 2 </vt:lpstr>
      <vt:lpstr>Funcionamiento</vt:lpstr>
      <vt:lpstr>'Anexo 2 '!Área_de_impresión</vt:lpstr>
      <vt:lpstr>Funcionamiento!Área_de_impresión</vt:lpstr>
      <vt:lpstr>'Anexo 2 '!Títulos_a_imprimir</vt:lpstr>
      <vt:lpstr>Funcionamiento!Títulos_a_imprimir</vt:lpstr>
    </vt:vector>
  </TitlesOfParts>
  <Company>Fondo  Nal. de la Porcicultura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davidgomez</dc:creator>
  <cp:lastModifiedBy>Jeymy Pilar</cp:lastModifiedBy>
  <cp:lastPrinted>2017-11-29T17:35:42Z</cp:lastPrinted>
  <dcterms:created xsi:type="dcterms:W3CDTF">2004-09-15T00:05:45Z</dcterms:created>
  <dcterms:modified xsi:type="dcterms:W3CDTF">2020-08-03T04:09:46Z</dcterms:modified>
</cp:coreProperties>
</file>