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6\Ingreso\"/>
    </mc:Choice>
  </mc:AlternateContent>
  <bookViews>
    <workbookView xWindow="0" yWindow="0" windowWidth="24000" windowHeight="9435"/>
  </bookViews>
  <sheets>
    <sheet name="Anexo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hidden="1">#REF!</definedName>
    <definedName name="ANEXO" hidden="1">'[3]Inversión total en programas'!$A$50:$IV$50,'[3]Inversión total en programas'!$A$60:$IV$63</definedName>
    <definedName name="_xlnm.Print_Area" localSheetId="0">'Anexo 1'!$A$1:$Z$39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'[4]Anexo 1 Minagricultura'!#REF!</definedName>
    <definedName name="CABEZAS_PROYEC" localSheetId="0">'Anexo 1'!#REF!</definedName>
    <definedName name="CABEZAS_PROYEC">'[5]Anexo 1 Minagricultura'!#REF!</definedName>
    <definedName name="CUOTAPPC2005" localSheetId="0">'Anexo 1'!$B$14</definedName>
    <definedName name="CUOTAPPC2005">'[5]Anexo 1 Minagricultura'!#REF!</definedName>
    <definedName name="CUOTAPPC2013">'[6]Anexo 1 Minagricultura'!#REF!</definedName>
    <definedName name="CUOTAPPC203">'[6]Anexo 1 Minagricultura'!#REF!</definedName>
    <definedName name="DIAG_PPC">'[3]Inversión total en programas'!$B$86</definedName>
    <definedName name="DISTRIBUIDOR">#REF!</definedName>
    <definedName name="Dólar">#REF!</definedName>
    <definedName name="eeeee">#REF!</definedName>
    <definedName name="EPPC" localSheetId="0">'Anexo 1'!#REF!</definedName>
    <definedName name="EPPC">'[5]Anexo 1 Minagricultura'!#REF!</definedName>
    <definedName name="Euro">#REF!</definedName>
    <definedName name="FDGFDG" localSheetId="0">#REF!</definedName>
    <definedName name="FDGFDG">#REF!</definedName>
    <definedName name="FECHA_DE_RECIBIDO">[7]BASE!$E$3:$E$177</definedName>
    <definedName name="FOMENTO" localSheetId="0">'Anexo 1'!#REF!</definedName>
    <definedName name="FOMENTO">'[5]Anexo 1 Minagricultura'!#REF!</definedName>
    <definedName name="FOMENTOS">'[8]Anexo 1 Minagricultura'!$C$51</definedName>
    <definedName name="fondo">#REF!</definedName>
    <definedName name="GTOSEPPC">'[3]Inversión total en programas'!$C$35</definedName>
    <definedName name="HONORAUDI_JURIDIC">#REF!</definedName>
    <definedName name="HONTOTAL">#REF!</definedName>
    <definedName name="Incremento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>#REF!</definedName>
    <definedName name="ppc">'[9]Inversión total en programas'!$B$86</definedName>
    <definedName name="RESERV_FUTU">#REF!</definedName>
    <definedName name="saldo">#REF!</definedName>
    <definedName name="saldos">#REF!</definedName>
    <definedName name="SUPERA2004" localSheetId="0">'Anexo 1'!#REF!</definedName>
    <definedName name="SUPERA2004">'[5]Anexo 1 Minagricultura'!#REF!</definedName>
    <definedName name="SUPERA2005" localSheetId="0">'Anexo 1'!#REF!</definedName>
    <definedName name="SUPERA2005">'[5]Anexo 1 Minagricultura'!#REF!</definedName>
    <definedName name="SUPERA2010">'[9]Anexo 1 Minagricultura'!$C$21</definedName>
    <definedName name="SUPERA2012">'[6]Anexo 1 Minagricultura'!#REF!</definedName>
    <definedName name="SUPERAVIT">#REF!</definedName>
    <definedName name="SUPERAVIT2005_FNP">#REF!</definedName>
    <definedName name="SUPERAVITPPC_2005">#REF!</definedName>
    <definedName name="_xlnm.Print_Titles">#REF!</definedName>
    <definedName name="VTAS2005" localSheetId="0">'Anexo 1'!$B$31</definedName>
    <definedName name="VTAS2005">'[5]Anexo 1 Minagricultura'!#REF!</definedName>
    <definedName name="xx">[10]Ingresos!$C$19</definedName>
    <definedName name="Z_4099E833_BB74_4680_85C9_A6CF399D1CE2_.wvu.Cols" localSheetId="0" hidden="1">'[4]Nómina 2004'!$C$1:$E$65536,'[4]Nómina 2004'!$H$1:$I$65536,'[4]Nómina 2004'!$L$1:$P$65536,'[4]Nómina 2004'!$AF$1:$AH$65536</definedName>
    <definedName name="Z_4099E833_BB74_4680_85C9_A6CF399D1CE2_.wvu.Cols" hidden="1">'[5]Nómina 2004'!$C$1:$E$65536,'[5]Nómina 2004'!$H$1:$I$65536,'[5]Nómina 2004'!$L$1:$P$65536,'[5]Nómina 2004'!$AF$1:$AH$65536</definedName>
    <definedName name="Z_4099E833_BB74_4680_85C9_A6CF399D1CE2_.wvu.FilterData" hidden="1">#REF!</definedName>
    <definedName name="Z_4099E833_BB74_4680_85C9_A6CF399D1CE2_.wvu.PrintArea" localSheetId="0" hidden="1">'Anexo 1'!$A$4:$B$39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localSheetId="0" hidden="1">'[4]Inversión total en programas'!$A$50:$IV$50,'[4]Inversión total en programas'!$A$60:$IV$63</definedName>
    <definedName name="Z_4099E833_BB74_4680_85C9_A6CF399D1CE2_.wvu.Rows" hidden="1">'[5]Inversión total en programas'!$A$50:$IV$50,'[5]Inversión total en programas'!$A$60:$IV$63</definedName>
    <definedName name="ZFRONTERA">'[11]Ingresos 2014'!#REF!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" i="1" l="1"/>
  <c r="Y37" i="1"/>
  <c r="R37" i="1"/>
  <c r="O37" i="1"/>
  <c r="L37" i="1"/>
  <c r="I37" i="1"/>
  <c r="S37" i="1" s="1"/>
  <c r="F37" i="1"/>
  <c r="R36" i="1"/>
  <c r="O36" i="1"/>
  <c r="L36" i="1"/>
  <c r="G36" i="1"/>
  <c r="I36" i="1" s="1"/>
  <c r="S36" i="1" s="1"/>
  <c r="D36" i="1"/>
  <c r="F36" i="1" s="1"/>
  <c r="C36" i="1"/>
  <c r="Z35" i="1"/>
  <c r="Y35" i="1"/>
  <c r="I35" i="1"/>
  <c r="S35" i="1" s="1"/>
  <c r="Y34" i="1"/>
  <c r="R34" i="1"/>
  <c r="O34" i="1"/>
  <c r="L34" i="1"/>
  <c r="G34" i="1"/>
  <c r="I34" i="1" s="1"/>
  <c r="S34" i="1" s="1"/>
  <c r="F34" i="1"/>
  <c r="Z34" i="1" s="1"/>
  <c r="Y33" i="1"/>
  <c r="R33" i="1"/>
  <c r="O33" i="1"/>
  <c r="O30" i="1" s="1"/>
  <c r="L33" i="1"/>
  <c r="G33" i="1"/>
  <c r="I33" i="1" s="1"/>
  <c r="S33" i="1" s="1"/>
  <c r="F33" i="1"/>
  <c r="Z33" i="1" s="1"/>
  <c r="R32" i="1"/>
  <c r="R30" i="1" s="1"/>
  <c r="R24" i="1" s="1"/>
  <c r="O32" i="1"/>
  <c r="L32" i="1"/>
  <c r="G32" i="1"/>
  <c r="I32" i="1" s="1"/>
  <c r="S32" i="1" s="1"/>
  <c r="F32" i="1"/>
  <c r="Y32" i="1" s="1"/>
  <c r="Y31" i="1"/>
  <c r="R31" i="1"/>
  <c r="O31" i="1"/>
  <c r="L31" i="1"/>
  <c r="G31" i="1"/>
  <c r="I31" i="1" s="1"/>
  <c r="F31" i="1"/>
  <c r="Z31" i="1" s="1"/>
  <c r="X30" i="1"/>
  <c r="W30" i="1"/>
  <c r="V30" i="1"/>
  <c r="U30" i="1"/>
  <c r="U24" i="1" s="1"/>
  <c r="U39" i="1" s="1"/>
  <c r="T30" i="1"/>
  <c r="T24" i="1" s="1"/>
  <c r="Q30" i="1"/>
  <c r="P30" i="1"/>
  <c r="N30" i="1"/>
  <c r="M30" i="1"/>
  <c r="M24" i="1" s="1"/>
  <c r="M39" i="1" s="1"/>
  <c r="L30" i="1"/>
  <c r="K30" i="1"/>
  <c r="J30" i="1"/>
  <c r="H30" i="1"/>
  <c r="E30" i="1"/>
  <c r="E24" i="1" s="1"/>
  <c r="D30" i="1"/>
  <c r="D24" i="1" s="1"/>
  <c r="C30" i="1"/>
  <c r="B30" i="1"/>
  <c r="Z28" i="1"/>
  <c r="X28" i="1"/>
  <c r="Y28" i="1" s="1"/>
  <c r="R28" i="1"/>
  <c r="O28" i="1"/>
  <c r="O26" i="1" s="1"/>
  <c r="L28" i="1"/>
  <c r="G28" i="1"/>
  <c r="I28" i="1" s="1"/>
  <c r="S28" i="1" s="1"/>
  <c r="F28" i="1"/>
  <c r="X27" i="1"/>
  <c r="X26" i="1" s="1"/>
  <c r="R27" i="1"/>
  <c r="O27" i="1"/>
  <c r="L27" i="1"/>
  <c r="L26" i="1" s="1"/>
  <c r="L24" i="1" s="1"/>
  <c r="G27" i="1"/>
  <c r="G26" i="1" s="1"/>
  <c r="F27" i="1"/>
  <c r="F26" i="1" s="1"/>
  <c r="W26" i="1"/>
  <c r="V26" i="1"/>
  <c r="V24" i="1" s="1"/>
  <c r="V39" i="1" s="1"/>
  <c r="U26" i="1"/>
  <c r="T26" i="1"/>
  <c r="R26" i="1"/>
  <c r="Q26" i="1"/>
  <c r="Q24" i="1" s="1"/>
  <c r="Q39" i="1" s="1"/>
  <c r="P26" i="1"/>
  <c r="N26" i="1"/>
  <c r="N24" i="1" s="1"/>
  <c r="M26" i="1"/>
  <c r="K26" i="1"/>
  <c r="J26" i="1"/>
  <c r="H26" i="1"/>
  <c r="E26" i="1"/>
  <c r="D26" i="1"/>
  <c r="C26" i="1"/>
  <c r="B26" i="1"/>
  <c r="W24" i="1"/>
  <c r="W39" i="1" s="1"/>
  <c r="P24" i="1"/>
  <c r="K24" i="1"/>
  <c r="K39" i="1" s="1"/>
  <c r="J24" i="1"/>
  <c r="J39" i="1" s="1"/>
  <c r="H24" i="1"/>
  <c r="C24" i="1"/>
  <c r="C39" i="1" s="1"/>
  <c r="B24" i="1"/>
  <c r="B39" i="1" s="1"/>
  <c r="X22" i="1"/>
  <c r="Z22" i="1" s="1"/>
  <c r="R22" i="1"/>
  <c r="O22" i="1"/>
  <c r="L22" i="1"/>
  <c r="L20" i="1" s="1"/>
  <c r="I22" i="1"/>
  <c r="S22" i="1" s="1"/>
  <c r="G22" i="1"/>
  <c r="F22" i="1"/>
  <c r="F20" i="1" s="1"/>
  <c r="Z21" i="1"/>
  <c r="X21" i="1"/>
  <c r="Y21" i="1" s="1"/>
  <c r="R21" i="1"/>
  <c r="R20" i="1" s="1"/>
  <c r="R10" i="1" s="1"/>
  <c r="O21" i="1"/>
  <c r="L21" i="1"/>
  <c r="G21" i="1"/>
  <c r="I21" i="1" s="1"/>
  <c r="F21" i="1"/>
  <c r="X20" i="1"/>
  <c r="Z20" i="1" s="1"/>
  <c r="W20" i="1"/>
  <c r="W10" i="1" s="1"/>
  <c r="V20" i="1"/>
  <c r="U20" i="1"/>
  <c r="T20" i="1"/>
  <c r="Q20" i="1"/>
  <c r="P20" i="1"/>
  <c r="P10" i="1" s="1"/>
  <c r="P39" i="1" s="1"/>
  <c r="O20" i="1"/>
  <c r="N20" i="1"/>
  <c r="M20" i="1"/>
  <c r="K20" i="1"/>
  <c r="J20" i="1"/>
  <c r="H20" i="1"/>
  <c r="H10" i="1" s="1"/>
  <c r="H39" i="1" s="1"/>
  <c r="G20" i="1"/>
  <c r="E20" i="1"/>
  <c r="D20" i="1"/>
  <c r="C20" i="1"/>
  <c r="B20" i="1"/>
  <c r="X18" i="1"/>
  <c r="Y18" i="1" s="1"/>
  <c r="R18" i="1"/>
  <c r="O18" i="1"/>
  <c r="O16" i="1" s="1"/>
  <c r="L18" i="1"/>
  <c r="G18" i="1"/>
  <c r="I18" i="1" s="1"/>
  <c r="S18" i="1" s="1"/>
  <c r="F18" i="1"/>
  <c r="F16" i="1" s="1"/>
  <c r="Z17" i="1"/>
  <c r="X17" i="1"/>
  <c r="Y17" i="1" s="1"/>
  <c r="R17" i="1"/>
  <c r="O17" i="1"/>
  <c r="L17" i="1"/>
  <c r="G17" i="1"/>
  <c r="G16" i="1" s="1"/>
  <c r="F17" i="1"/>
  <c r="W16" i="1"/>
  <c r="V16" i="1"/>
  <c r="U16" i="1"/>
  <c r="U10" i="1" s="1"/>
  <c r="T16" i="1"/>
  <c r="T10" i="1" s="1"/>
  <c r="R16" i="1"/>
  <c r="Q16" i="1"/>
  <c r="P16" i="1"/>
  <c r="N16" i="1"/>
  <c r="M16" i="1"/>
  <c r="M10" i="1" s="1"/>
  <c r="L16" i="1"/>
  <c r="K16" i="1"/>
  <c r="J16" i="1"/>
  <c r="H16" i="1"/>
  <c r="E16" i="1"/>
  <c r="E10" i="1" s="1"/>
  <c r="D16" i="1"/>
  <c r="D10" i="1" s="1"/>
  <c r="C16" i="1"/>
  <c r="B16" i="1"/>
  <c r="Z14" i="1"/>
  <c r="X14" i="1"/>
  <c r="Y14" i="1" s="1"/>
  <c r="R14" i="1"/>
  <c r="O14" i="1"/>
  <c r="O12" i="1" s="1"/>
  <c r="L14" i="1"/>
  <c r="G14" i="1"/>
  <c r="I14" i="1" s="1"/>
  <c r="S14" i="1" s="1"/>
  <c r="F14" i="1"/>
  <c r="X13" i="1"/>
  <c r="X12" i="1" s="1"/>
  <c r="R13" i="1"/>
  <c r="O13" i="1"/>
  <c r="L13" i="1"/>
  <c r="L12" i="1" s="1"/>
  <c r="G13" i="1"/>
  <c r="G12" i="1" s="1"/>
  <c r="F13" i="1"/>
  <c r="F12" i="1" s="1"/>
  <c r="F10" i="1" s="1"/>
  <c r="W12" i="1"/>
  <c r="V12" i="1"/>
  <c r="V10" i="1" s="1"/>
  <c r="U12" i="1"/>
  <c r="T12" i="1"/>
  <c r="R12" i="1"/>
  <c r="Q12" i="1"/>
  <c r="Q10" i="1" s="1"/>
  <c r="P12" i="1"/>
  <c r="N12" i="1"/>
  <c r="N10" i="1" s="1"/>
  <c r="M12" i="1"/>
  <c r="K12" i="1"/>
  <c r="J12" i="1"/>
  <c r="H12" i="1"/>
  <c r="E12" i="1"/>
  <c r="D12" i="1"/>
  <c r="C12" i="1"/>
  <c r="B12" i="1"/>
  <c r="K10" i="1"/>
  <c r="J10" i="1"/>
  <c r="C10" i="1"/>
  <c r="B10" i="1"/>
  <c r="Y26" i="1" l="1"/>
  <c r="X24" i="1"/>
  <c r="Z26" i="1"/>
  <c r="G10" i="1"/>
  <c r="O10" i="1"/>
  <c r="D39" i="1"/>
  <c r="S31" i="1"/>
  <c r="S30" i="1" s="1"/>
  <c r="I30" i="1"/>
  <c r="L10" i="1"/>
  <c r="N39" i="1"/>
  <c r="E39" i="1"/>
  <c r="G24" i="1"/>
  <c r="G39" i="1" s="1"/>
  <c r="I39" i="1" s="1"/>
  <c r="O24" i="1"/>
  <c r="T39" i="1"/>
  <c r="Z36" i="1"/>
  <c r="Y36" i="1"/>
  <c r="O39" i="1"/>
  <c r="Z12" i="1"/>
  <c r="Y12" i="1"/>
  <c r="X10" i="1"/>
  <c r="R39" i="1"/>
  <c r="S21" i="1"/>
  <c r="S20" i="1" s="1"/>
  <c r="I20" i="1"/>
  <c r="L39" i="1"/>
  <c r="I17" i="1"/>
  <c r="Y13" i="1"/>
  <c r="Z18" i="1"/>
  <c r="Y20" i="1"/>
  <c r="Y27" i="1"/>
  <c r="F30" i="1"/>
  <c r="Z13" i="1"/>
  <c r="Z27" i="1"/>
  <c r="G30" i="1"/>
  <c r="I13" i="1"/>
  <c r="X16" i="1"/>
  <c r="I27" i="1"/>
  <c r="Z32" i="1"/>
  <c r="Y22" i="1"/>
  <c r="S27" i="1" l="1"/>
  <c r="S26" i="1" s="1"/>
  <c r="S24" i="1" s="1"/>
  <c r="I26" i="1"/>
  <c r="I24" i="1" s="1"/>
  <c r="Y10" i="1"/>
  <c r="Z10" i="1"/>
  <c r="M40" i="1"/>
  <c r="L40" i="1"/>
  <c r="I40" i="1"/>
  <c r="S39" i="1"/>
  <c r="Y16" i="1"/>
  <c r="Z16" i="1"/>
  <c r="Z30" i="1"/>
  <c r="Y30" i="1"/>
  <c r="I12" i="1"/>
  <c r="I10" i="1" s="1"/>
  <c r="S13" i="1"/>
  <c r="S12" i="1" s="1"/>
  <c r="S10" i="1" s="1"/>
  <c r="I16" i="1"/>
  <c r="S17" i="1"/>
  <c r="S16" i="1" s="1"/>
  <c r="Y24" i="1"/>
  <c r="X39" i="1"/>
  <c r="F24" i="1"/>
  <c r="F39" i="1" s="1"/>
  <c r="R40" i="1" s="1"/>
  <c r="O40" i="1" l="1"/>
  <c r="Y39" i="1"/>
  <c r="Z39" i="1"/>
  <c r="Z24" i="1"/>
</calcChain>
</file>

<file path=xl/sharedStrings.xml><?xml version="1.0" encoding="utf-8"?>
<sst xmlns="http://schemas.openxmlformats.org/spreadsheetml/2006/main" count="77" uniqueCount="50">
  <si>
    <t>MINISTERIO DE AGRICULTURA Y DESARROLLO RURAL</t>
  </si>
  <si>
    <t>DIRECCIÓN DE PLANEACIÓN Y SEGUIMIENTO PRESUPUESTAL</t>
  </si>
  <si>
    <t>EJECUCIÓN DE INGRESOS ENERO-DICIEMBRE 2016</t>
  </si>
  <si>
    <t>ANEXO 1</t>
  </si>
  <si>
    <t>CUENTAS</t>
  </si>
  <si>
    <t>PRESUPUESTO INICIAL 2016</t>
  </si>
  <si>
    <t>ACUERDO 5/16</t>
  </si>
  <si>
    <t>ACUERDO 9/16</t>
  </si>
  <si>
    <t xml:space="preserve">ACUERDO </t>
  </si>
  <si>
    <t>PRESUPUESTO DEFINITIVO 2016</t>
  </si>
  <si>
    <t>SOLICITADO</t>
  </si>
  <si>
    <t>ACUERDO 6/16</t>
  </si>
  <si>
    <t>SOLICITADO DEFINITIVO</t>
  </si>
  <si>
    <t>ACUERDO 8/16</t>
  </si>
  <si>
    <t>ACUERDO</t>
  </si>
  <si>
    <t>TOTAL SOLICITADO ABR-JUN 2016</t>
  </si>
  <si>
    <t>EJECUCIÓN ENE-MAR</t>
  </si>
  <si>
    <t>EJECUCIÓN ABR-JUN</t>
  </si>
  <si>
    <t>EJECUCIÓN JUL-SEP</t>
  </si>
  <si>
    <t>EJECUCIÓN OCT-DIC</t>
  </si>
  <si>
    <t>EJECUCIÓN ENE-DIC 2016</t>
  </si>
  <si>
    <t>ACUERDO 4/17</t>
  </si>
  <si>
    <t>% EJEC. ANUAL 2016</t>
  </si>
  <si>
    <t>ENERO-MARZO</t>
  </si>
  <si>
    <t>ABRIL-JUNIO</t>
  </si>
  <si>
    <t>JULIO-SEPTIEMBRE</t>
  </si>
  <si>
    <t>OCTUBRE-DICIEMBRE</t>
  </si>
  <si>
    <t>JUL.-SEPT.</t>
  </si>
  <si>
    <t>OCT.-DIC.</t>
  </si>
  <si>
    <t>AÑO 2016</t>
  </si>
  <si>
    <t>INGRESOS OPERACIONALES</t>
  </si>
  <si>
    <t xml:space="preserve">CUOTA DE FOMENTO PORCÍCOLA </t>
  </si>
  <si>
    <t>Cuota de Fomento</t>
  </si>
  <si>
    <t>Cuota de Erradicación Peste Porcina Clásica</t>
  </si>
  <si>
    <t xml:space="preserve"> 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</si>
  <si>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</si>
  <si>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</si>
  <si>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</si>
  <si>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</si>
  <si>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</si>
  <si>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</si>
  <si>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</si>
  <si>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</si>
  <si>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</si>
  <si>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</si>
  <si>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</si>
  <si>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Extraordinarios PPC</t>
  </si>
  <si>
    <t>Programas y proyectos FNP</t>
  </si>
  <si>
    <t>Programas y proyectos PPC</t>
  </si>
  <si>
    <t>TOTAL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</si>
</sst>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_ [$€-2]\ * #,##0.00_ ;_ [$€-2]\ * \-#,##0.00_ ;_ [$€-2]\ * &quot;-&quot;??_ "/>
    <numFmt numFmtId="165" formatCode="_-* #,##0\ _$_-;\-* #,##0\ _$_-;_-* &quot;-&quot;\ _$_-;_-@_-"/>
    <numFmt numFmtId="166" formatCode="_ * #,##0.00_ ;_ * \-#,##0.00_ ;_ * &quot;-&quot;??_ ;_ @_ "/>
    <numFmt numFmtId="167" formatCode="_-* #,##0.00_-;\-* #,##0.00_-;_-* &quot;-&quot;??_-;_-@_-"/>
    <numFmt numFmtId="168" formatCode="_-* #,##0_-;\-* #,##0_-;_-* &quot;-&quot;??_-;_-@_-"/>
    <numFmt numFmtId="169" formatCode="_ * #,##0_ ;_ * \-#,##0_ ;_ * &quot;-&quot;??_ ;_ @_ "/>
    <numFmt numFmtId="170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0"/>
      <name val="Comic Sans MS"/>
      <family val="4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/>
      <right style="medium">
        <color indexed="64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164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164" fontId="0" fillId="0" borderId="0" xfId="0"/>
    <xf numFmtId="0" fontId="2" fillId="0" borderId="0" xfId="3" applyFont="1" applyFill="1" applyAlignment="1">
      <alignment horizontal="center"/>
    </xf>
    <xf numFmtId="164" fontId="3" fillId="0" borderId="0" xfId="0" applyFont="1" applyFill="1"/>
    <xf numFmtId="164" fontId="3" fillId="0" borderId="0" xfId="0" applyFont="1"/>
    <xf numFmtId="0" fontId="2" fillId="0" borderId="0" xfId="3" applyFont="1" applyFill="1" applyBorder="1" applyAlignment="1">
      <alignment horizontal="center"/>
    </xf>
    <xf numFmtId="164" fontId="2" fillId="0" borderId="0" xfId="0" applyFont="1" applyFill="1" applyBorder="1" applyAlignment="1">
      <alignment horizontal="center"/>
    </xf>
    <xf numFmtId="14" fontId="3" fillId="0" borderId="0" xfId="0" applyNumberFormat="1" applyFont="1" applyFill="1"/>
    <xf numFmtId="165" fontId="3" fillId="0" borderId="0" xfId="0" applyNumberFormat="1" applyFont="1" applyFill="1"/>
    <xf numFmtId="164" fontId="2" fillId="0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3" xfId="0" applyFont="1" applyFill="1" applyBorder="1" applyAlignment="1">
      <alignment horizontal="left"/>
    </xf>
    <xf numFmtId="41" fontId="2" fillId="3" borderId="14" xfId="4" applyNumberFormat="1" applyFont="1" applyFill="1" applyBorder="1" applyAlignment="1">
      <alignment horizontal="center"/>
    </xf>
    <xf numFmtId="41" fontId="2" fillId="3" borderId="15" xfId="4" applyNumberFormat="1" applyFont="1" applyFill="1" applyBorder="1" applyAlignment="1">
      <alignment horizontal="center"/>
    </xf>
    <xf numFmtId="41" fontId="2" fillId="0" borderId="16" xfId="5" applyNumberFormat="1" applyFont="1" applyFill="1" applyBorder="1"/>
    <xf numFmtId="41" fontId="2" fillId="0" borderId="7" xfId="1" applyNumberFormat="1" applyFont="1" applyFill="1" applyBorder="1"/>
    <xf numFmtId="168" fontId="2" fillId="0" borderId="6" xfId="1" applyNumberFormat="1" applyFont="1" applyFill="1" applyBorder="1"/>
    <xf numFmtId="41" fontId="2" fillId="0" borderId="6" xfId="1" applyNumberFormat="1" applyFont="1" applyFill="1" applyBorder="1"/>
    <xf numFmtId="168" fontId="2" fillId="0" borderId="17" xfId="5" applyNumberFormat="1" applyFont="1" applyFill="1" applyBorder="1"/>
    <xf numFmtId="41" fontId="2" fillId="0" borderId="7" xfId="4" applyNumberFormat="1" applyFont="1" applyFill="1" applyBorder="1" applyAlignment="1">
      <alignment horizontal="center"/>
    </xf>
    <xf numFmtId="41" fontId="2" fillId="0" borderId="7" xfId="4" applyNumberFormat="1" applyFont="1" applyFill="1" applyBorder="1" applyAlignment="1">
      <alignment horizontal="right"/>
    </xf>
    <xf numFmtId="169" fontId="2" fillId="0" borderId="16" xfId="6" applyNumberFormat="1" applyFont="1" applyFill="1" applyBorder="1" applyAlignment="1">
      <alignment wrapText="1"/>
    </xf>
    <xf numFmtId="10" fontId="2" fillId="0" borderId="18" xfId="2" applyNumberFormat="1" applyFont="1" applyFill="1" applyBorder="1" applyAlignment="1">
      <alignment horizontal="right"/>
    </xf>
    <xf numFmtId="164" fontId="4" fillId="0" borderId="19" xfId="0" applyFont="1" applyFill="1" applyBorder="1"/>
    <xf numFmtId="41" fontId="4" fillId="3" borderId="17" xfId="5" applyNumberFormat="1" applyFont="1" applyFill="1" applyBorder="1"/>
    <xf numFmtId="41" fontId="4" fillId="3" borderId="16" xfId="5" applyNumberFormat="1" applyFont="1" applyFill="1" applyBorder="1"/>
    <xf numFmtId="41" fontId="4" fillId="0" borderId="16" xfId="5" applyNumberFormat="1" applyFont="1" applyFill="1" applyBorder="1"/>
    <xf numFmtId="41" fontId="2" fillId="0" borderId="16" xfId="1" applyNumberFormat="1" applyFont="1" applyFill="1" applyBorder="1"/>
    <xf numFmtId="168" fontId="2" fillId="0" borderId="17" xfId="1" applyNumberFormat="1" applyFont="1" applyFill="1" applyBorder="1"/>
    <xf numFmtId="41" fontId="2" fillId="0" borderId="17" xfId="1" applyNumberFormat="1" applyFont="1" applyFill="1" applyBorder="1"/>
    <xf numFmtId="41" fontId="4" fillId="0" borderId="16" xfId="1" applyNumberFormat="1" applyFont="1" applyFill="1" applyBorder="1"/>
    <xf numFmtId="9" fontId="4" fillId="0" borderId="18" xfId="2" applyFont="1" applyFill="1" applyBorder="1"/>
    <xf numFmtId="164" fontId="2" fillId="0" borderId="20" xfId="0" applyFont="1" applyFill="1" applyBorder="1"/>
    <xf numFmtId="170" fontId="2" fillId="3" borderId="21" xfId="4" applyNumberFormat="1" applyFont="1" applyFill="1" applyBorder="1" applyAlignment="1">
      <alignment wrapText="1"/>
    </xf>
    <xf numFmtId="41" fontId="2" fillId="0" borderId="17" xfId="5" applyNumberFormat="1" applyFont="1" applyFill="1" applyBorder="1"/>
    <xf numFmtId="41" fontId="5" fillId="0" borderId="16" xfId="5" applyNumberFormat="1" applyFont="1" applyFill="1" applyBorder="1"/>
    <xf numFmtId="168" fontId="4" fillId="0" borderId="17" xfId="1" applyNumberFormat="1" applyFont="1" applyFill="1" applyBorder="1"/>
    <xf numFmtId="41" fontId="4" fillId="0" borderId="17" xfId="1" applyNumberFormat="1" applyFont="1" applyFill="1" applyBorder="1"/>
    <xf numFmtId="41" fontId="4" fillId="0" borderId="16" xfId="7" applyNumberFormat="1" applyFont="1" applyFill="1" applyBorder="1"/>
    <xf numFmtId="41" fontId="4" fillId="0" borderId="7" xfId="1" applyNumberFormat="1" applyFont="1" applyFill="1" applyBorder="1"/>
    <xf numFmtId="41" fontId="6" fillId="0" borderId="16" xfId="2" applyNumberFormat="1" applyFont="1" applyFill="1" applyBorder="1"/>
    <xf numFmtId="41" fontId="4" fillId="0" borderId="16" xfId="8" applyNumberFormat="1" applyFont="1" applyFill="1" applyBorder="1"/>
    <xf numFmtId="169" fontId="4" fillId="0" borderId="16" xfId="6" applyNumberFormat="1" applyFont="1" applyFill="1" applyBorder="1" applyAlignment="1">
      <alignment wrapText="1"/>
    </xf>
    <xf numFmtId="10" fontId="4" fillId="0" borderId="18" xfId="2" applyNumberFormat="1" applyFont="1" applyFill="1" applyBorder="1" applyAlignment="1">
      <alignment horizontal="right"/>
    </xf>
    <xf numFmtId="41" fontId="4" fillId="0" borderId="16" xfId="2" applyNumberFormat="1" applyFont="1" applyFill="1" applyBorder="1"/>
    <xf numFmtId="164" fontId="2" fillId="0" borderId="19" xfId="0" applyFont="1" applyFill="1" applyBorder="1"/>
    <xf numFmtId="41" fontId="2" fillId="3" borderId="17" xfId="5" applyNumberFormat="1" applyFont="1" applyFill="1" applyBorder="1"/>
    <xf numFmtId="41" fontId="2" fillId="3" borderId="16" xfId="5" applyNumberFormat="1" applyFont="1" applyFill="1" applyBorder="1"/>
    <xf numFmtId="167" fontId="4" fillId="0" borderId="16" xfId="1" applyNumberFormat="1" applyFont="1" applyFill="1" applyBorder="1"/>
    <xf numFmtId="41" fontId="4" fillId="3" borderId="17" xfId="2" applyNumberFormat="1" applyFont="1" applyFill="1" applyBorder="1"/>
    <xf numFmtId="41" fontId="4" fillId="3" borderId="16" xfId="2" applyNumberFormat="1" applyFont="1" applyFill="1" applyBorder="1"/>
    <xf numFmtId="41" fontId="7" fillId="0" borderId="16" xfId="5" applyNumberFormat="1" applyFont="1" applyFill="1" applyBorder="1"/>
    <xf numFmtId="168" fontId="2" fillId="0" borderId="16" xfId="5" applyNumberFormat="1" applyFont="1" applyFill="1" applyBorder="1"/>
    <xf numFmtId="168" fontId="2" fillId="3" borderId="17" xfId="5" applyNumberFormat="1" applyFont="1" applyFill="1" applyBorder="1"/>
    <xf numFmtId="10" fontId="2" fillId="0" borderId="22" xfId="2" applyNumberFormat="1" applyFont="1" applyFill="1" applyBorder="1" applyAlignment="1">
      <alignment horizontal="right"/>
    </xf>
    <xf numFmtId="164" fontId="4" fillId="0" borderId="23" xfId="0" applyFont="1" applyFill="1" applyBorder="1"/>
    <xf numFmtId="41" fontId="4" fillId="3" borderId="24" xfId="5" applyNumberFormat="1" applyFont="1" applyFill="1" applyBorder="1"/>
    <xf numFmtId="41" fontId="4" fillId="3" borderId="25" xfId="5" applyNumberFormat="1" applyFont="1" applyFill="1" applyBorder="1"/>
    <xf numFmtId="41" fontId="4" fillId="0" borderId="25" xfId="1" applyNumberFormat="1" applyFont="1" applyFill="1" applyBorder="1"/>
    <xf numFmtId="168" fontId="4" fillId="0" borderId="24" xfId="1" applyNumberFormat="1" applyFont="1" applyFill="1" applyBorder="1"/>
    <xf numFmtId="41" fontId="4" fillId="0" borderId="24" xfId="1" applyNumberFormat="1" applyFont="1" applyFill="1" applyBorder="1"/>
    <xf numFmtId="41" fontId="4" fillId="0" borderId="25" xfId="5" applyNumberFormat="1" applyFont="1" applyFill="1" applyBorder="1"/>
    <xf numFmtId="41" fontId="4" fillId="0" borderId="24" xfId="5" applyNumberFormat="1" applyFont="1" applyFill="1" applyBorder="1"/>
    <xf numFmtId="41" fontId="4" fillId="0" borderId="26" xfId="1" applyNumberFormat="1" applyFont="1" applyFill="1" applyBorder="1"/>
    <xf numFmtId="168" fontId="4" fillId="0" borderId="26" xfId="1" applyNumberFormat="1" applyFont="1" applyFill="1" applyBorder="1"/>
    <xf numFmtId="41" fontId="4" fillId="0" borderId="17" xfId="5" applyNumberFormat="1" applyFont="1" applyFill="1" applyBorder="1"/>
    <xf numFmtId="41" fontId="4" fillId="0" borderId="5" xfId="5" applyNumberFormat="1" applyFont="1" applyFill="1" applyBorder="1"/>
    <xf numFmtId="41" fontId="4" fillId="0" borderId="6" xfId="5" applyNumberFormat="1" applyFont="1" applyFill="1" applyBorder="1"/>
    <xf numFmtId="41" fontId="4" fillId="0" borderId="7" xfId="5" applyNumberFormat="1" applyFont="1" applyFill="1" applyBorder="1"/>
    <xf numFmtId="41" fontId="4" fillId="0" borderId="6" xfId="1" applyNumberFormat="1" applyFont="1" applyFill="1" applyBorder="1"/>
    <xf numFmtId="41" fontId="4" fillId="3" borderId="7" xfId="1" applyNumberFormat="1" applyFont="1" applyFill="1" applyBorder="1"/>
    <xf numFmtId="9" fontId="4" fillId="0" borderId="22" xfId="2" applyFont="1" applyFill="1" applyBorder="1"/>
    <xf numFmtId="164" fontId="2" fillId="0" borderId="27" xfId="0" applyFont="1" applyFill="1" applyBorder="1"/>
    <xf numFmtId="41" fontId="2" fillId="0" borderId="28" xfId="0" applyNumberFormat="1" applyFont="1" applyFill="1" applyBorder="1"/>
    <xf numFmtId="168" fontId="2" fillId="0" borderId="28" xfId="5" applyNumberFormat="1" applyFont="1" applyFill="1" applyBorder="1"/>
    <xf numFmtId="41" fontId="2" fillId="0" borderId="29" xfId="0" applyNumberFormat="1" applyFont="1" applyFill="1" applyBorder="1"/>
    <xf numFmtId="41" fontId="2" fillId="0" borderId="28" xfId="0" applyNumberFormat="1" applyFont="1" applyFill="1" applyBorder="1" applyAlignment="1">
      <alignment horizontal="center"/>
    </xf>
    <xf numFmtId="10" fontId="2" fillId="0" borderId="30" xfId="2" applyNumberFormat="1" applyFont="1" applyFill="1" applyBorder="1" applyAlignment="1">
      <alignment horizontal="right"/>
    </xf>
    <xf numFmtId="10" fontId="3" fillId="0" borderId="0" xfId="2" applyNumberFormat="1" applyFont="1" applyFill="1"/>
    <xf numFmtId="9" fontId="3" fillId="0" borderId="0" xfId="2" applyFont="1" applyFill="1"/>
  </cellXfs>
  <cellStyles count="9">
    <cellStyle name="Millares" xfId="1" builtinId="3"/>
    <cellStyle name="Millares_Formato Presupuesto Minagricultura" xfId="5"/>
    <cellStyle name="Millares_Formato Presupuesto Minagricultura 2" xfId="6"/>
    <cellStyle name="Millares_INGRESOS 2005" xfId="4"/>
    <cellStyle name="Millares_PRESUPUESTO INGRESOS 2011" xfId="7"/>
    <cellStyle name="Normal" xfId="0" builtinId="0"/>
    <cellStyle name="Normal 10 2" xfId="3"/>
    <cellStyle name="Porcentaje" xfId="2" builtinId="5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6/ACUERDOS/ACUERDOS%20PROYECTADOS/ANEXO%20ACUERDO%202-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efeControlRegional\Presupuesto%202008\Presupuesto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6/CIER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ANEXO%20CIERRE%20DE%20INGRESOS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0\A&#241;o%202010\MANEJO%20PTO%202010\PRESUPUESTO%20INGRESOS%20ESTIMADO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0\CIERRES%202010\ACUERDOS%202010\ANEXO%20ACUERDO%206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PRESUPUESTO%202014\PRESUPUESTO%202014%20V.4\Presupuesto%202014%20version%2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Anexo 2 "/>
      <sheetName val="Funcionamiento"/>
      <sheetName val="Nómina y honorarios 2015"/>
      <sheetName val="Ajuste salarios Coordinadores "/>
      <sheetName val="Detalle Incremento Nomina"/>
      <sheetName val="ANEXO ACUERDO 2-16"/>
    </sheetNames>
    <definedNames>
      <definedName name="VTAS2005" refersTo="='Anexo 1 Minagricultura'!$B$32"/>
    </definedNames>
    <sheetDataSet>
      <sheetData sheetId="0">
        <row r="14">
          <cell r="B14">
            <v>3711127156.25</v>
          </cell>
        </row>
        <row r="15">
          <cell r="B15">
            <v>2226676293.75</v>
          </cell>
        </row>
        <row r="18">
          <cell r="B18">
            <v>56250000</v>
          </cell>
        </row>
        <row r="19">
          <cell r="B19">
            <v>33750000</v>
          </cell>
        </row>
        <row r="22">
          <cell r="B22">
            <v>493775959</v>
          </cell>
        </row>
        <row r="23">
          <cell r="B23">
            <v>1837927279</v>
          </cell>
        </row>
        <row r="28">
          <cell r="B28">
            <v>12937931</v>
          </cell>
        </row>
        <row r="29">
          <cell r="B29">
            <v>55020573</v>
          </cell>
        </row>
        <row r="32">
          <cell r="B32">
            <v>549258751.20000005</v>
          </cell>
        </row>
        <row r="33">
          <cell r="B33">
            <v>1093708</v>
          </cell>
        </row>
        <row r="34">
          <cell r="B34">
            <v>743742</v>
          </cell>
        </row>
        <row r="35">
          <cell r="B35">
            <v>8445171</v>
          </cell>
        </row>
        <row r="36">
          <cell r="B36">
            <v>92190000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"/>
      <sheetName val="Áreas  "/>
      <sheetName val="Superavit 2016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  <row r="86">
          <cell r="B86">
            <v>117000000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Otros ingresos"/>
      <sheetName val="Anexo 2 "/>
      <sheetName val="Funcionamiento"/>
      <sheetName val="Nómina y honorarios II TRIM."/>
      <sheetName val="Inversión total en programas"/>
      <sheetName val="MODELO CONTRATISTAS"/>
      <sheetName val="Servicios personal 2005"/>
      <sheetName val="Nómina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8" refreshError="1"/>
      <sheetData sheetId="9" refreshError="1"/>
      <sheetData sheetId="10" refreshError="1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Superavit 2013"/>
      <sheetName val="Ejecución ingresos 2013"/>
      <sheetName val="Ejecucion de gastos  2013"/>
      <sheetName val="Anexo 2 "/>
      <sheetName val="Anexo 3"/>
      <sheetName val="Anexo 4"/>
      <sheetName val="Funcionamiento"/>
      <sheetName val="Nómina y honorarios 2014"/>
      <sheetName val="Comparativo nómina 2013-2014"/>
      <sheetName val="Comparativo gastos personal "/>
    </sheetNames>
    <sheetDataSet>
      <sheetData sheetId="0">
        <row r="2">
          <cell r="A2" t="str">
            <v>MINISTERIO DE AGRICULTURA Y DESARROLLO RURAL</v>
          </cell>
        </row>
      </sheetData>
      <sheetData sheetId="1">
        <row r="2">
          <cell r="A2" t="str">
            <v>MINISTERIO DE AGRICULTURA Y DESARROLLO RURAL</v>
          </cell>
        </row>
      </sheetData>
      <sheetData sheetId="2">
        <row r="1">
          <cell r="A1" t="str">
            <v xml:space="preserve"> MOVIMIENTO PPC 2013</v>
          </cell>
        </row>
      </sheetData>
      <sheetData sheetId="3">
        <row r="2">
          <cell r="A2" t="str">
            <v>SUPUESTOS CALCULO DE INGRESOS PPC</v>
          </cell>
        </row>
      </sheetData>
      <sheetData sheetId="4">
        <row r="9">
          <cell r="B9" t="str">
            <v>SUPERAVIT PROYECTADO  AÑO 2013</v>
          </cell>
        </row>
      </sheetData>
      <sheetData sheetId="5">
        <row r="3">
          <cell r="B3" t="str">
            <v>EJECUCIÓN PROYECTADA DE INGRESOS AÑO 2013</v>
          </cell>
        </row>
      </sheetData>
      <sheetData sheetId="6">
        <row r="1">
          <cell r="A1" t="str">
            <v>MINISTERIO DE AGRICULTURA  Y DESARROLLO RURAL</v>
          </cell>
        </row>
      </sheetData>
      <sheetData sheetId="7">
        <row r="1">
          <cell r="A1" t="str">
            <v>MINISTERIO DE AGRICULTURA  Y DESARROLLO RURAL</v>
          </cell>
        </row>
      </sheetData>
      <sheetData sheetId="8">
        <row r="1">
          <cell r="A1" t="str">
            <v>MINISTERIO DE AGRICULTURA Y DESARROLLO RURAL</v>
          </cell>
        </row>
      </sheetData>
      <sheetData sheetId="9">
        <row r="1">
          <cell r="A1" t="str">
            <v>MINISTERIO DE AGRICULTURA Y DESARROLLO RURAL</v>
          </cell>
        </row>
      </sheetData>
      <sheetData sheetId="10">
        <row r="2">
          <cell r="A2" t="str">
            <v>GASTOS GENERALES</v>
          </cell>
        </row>
      </sheetData>
      <sheetData sheetId="11">
        <row r="4">
          <cell r="A4" t="str">
            <v>FONDO NACIONAL DE LA PORCICULTURA</v>
          </cell>
        </row>
      </sheetData>
      <sheetData sheetId="12">
        <row r="1">
          <cell r="D1" t="str">
            <v>FONDO NACIONAL DE LA PORCICULTURA</v>
          </cell>
        </row>
      </sheetData>
      <sheetData sheetId="13">
        <row r="6">
          <cell r="B6" t="str">
            <v>Información obtenida hasta el acuerdo No 14 de 2013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2"/>
  <sheetViews>
    <sheetView tabSelected="1" zoomScaleNormal="100" zoomScaleSheetLayoutView="85" workbookViewId="0">
      <pane xSplit="1" ySplit="9" topLeftCell="B20" activePane="bottomRight" state="frozen"/>
      <selection activeCell="A24" sqref="A24"/>
      <selection pane="topRight" activeCell="A24" sqref="A24"/>
      <selection pane="bottomLeft" activeCell="A24" sqref="A24"/>
      <selection pane="bottomRight" activeCell="F24" sqref="F24"/>
    </sheetView>
  </sheetViews>
  <sheetFormatPr baseColWidth="10" defaultColWidth="19.28515625" defaultRowHeight="15" outlineLevelCol="2" x14ac:dyDescent="0.3"/>
  <cols>
    <col min="1" max="1" width="43.85546875" style="3" bestFit="1" customWidth="1"/>
    <col min="2" max="2" width="19.42578125" style="3" customWidth="1"/>
    <col min="3" max="3" width="17.140625" style="3" hidden="1" customWidth="1" outlineLevel="1"/>
    <col min="4" max="4" width="16.5703125" style="3" hidden="1" customWidth="1" outlineLevel="1"/>
    <col min="5" max="5" width="19.28515625" style="3" hidden="1" customWidth="1" outlineLevel="1"/>
    <col min="6" max="6" width="18.85546875" style="2" customWidth="1" collapsed="1"/>
    <col min="7" max="7" width="22" style="2" hidden="1" customWidth="1" outlineLevel="2"/>
    <col min="8" max="8" width="19.28515625" style="2" hidden="1" customWidth="1" outlineLevel="2"/>
    <col min="9" max="9" width="23.140625" style="2" hidden="1" customWidth="1" outlineLevel="1"/>
    <col min="10" max="10" width="22" style="2" hidden="1" customWidth="1" outlineLevel="2" collapsed="1"/>
    <col min="11" max="11" width="17.85546875" style="2" hidden="1" customWidth="1" outlineLevel="2"/>
    <col min="12" max="12" width="25.28515625" style="2" hidden="1" customWidth="1" outlineLevel="1" collapsed="1"/>
    <col min="13" max="13" width="20.85546875" style="2" hidden="1" customWidth="1" outlineLevel="2"/>
    <col min="14" max="14" width="19.28515625" style="2" hidden="1" customWidth="1" outlineLevel="2"/>
    <col min="15" max="15" width="25" style="2" hidden="1" customWidth="1" outlineLevel="1" collapsed="1"/>
    <col min="16" max="16" width="24.42578125" style="2" hidden="1" customWidth="1" outlineLevel="2"/>
    <col min="17" max="17" width="19.28515625" style="2" hidden="1" customWidth="1" outlineLevel="2"/>
    <col min="18" max="18" width="26" style="2" hidden="1" customWidth="1" outlineLevel="1" collapsed="1"/>
    <col min="19" max="19" width="19.28515625" style="2" hidden="1" customWidth="1" collapsed="1"/>
    <col min="20" max="20" width="15.42578125" style="2" hidden="1" customWidth="1" outlineLevel="1"/>
    <col min="21" max="21" width="18.140625" style="2" hidden="1" customWidth="1" outlineLevel="1"/>
    <col min="22" max="22" width="16.28515625" style="2" hidden="1" customWidth="1" outlineLevel="1"/>
    <col min="23" max="23" width="17.140625" style="2" hidden="1" customWidth="1" outlineLevel="1"/>
    <col min="24" max="25" width="18" style="2" customWidth="1" collapsed="1"/>
    <col min="26" max="26" width="12.42578125" style="2" customWidth="1"/>
    <col min="27" max="41" width="19.28515625" style="2" customWidth="1"/>
    <col min="42" max="16384" width="19.28515625" style="3"/>
  </cols>
  <sheetData>
    <row r="2" spans="1:41" ht="15.7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41" ht="15.75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41" ht="15.75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41" ht="15.75" x14ac:dyDescent="0.3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41" ht="16.5" thickBot="1" x14ac:dyDescent="0.35">
      <c r="A6" s="5"/>
      <c r="B6" s="5"/>
      <c r="C6" s="5"/>
      <c r="D6" s="5"/>
      <c r="E6" s="5"/>
      <c r="F6" s="5"/>
      <c r="L6" s="6"/>
      <c r="S6" s="7"/>
      <c r="T6" s="7"/>
      <c r="U6" s="7"/>
    </row>
    <row r="7" spans="1:41" s="16" customFormat="1" ht="17.100000000000001" customHeight="1" thickTop="1" x14ac:dyDescent="0.2">
      <c r="A7" s="8" t="s">
        <v>4</v>
      </c>
      <c r="B7" s="9" t="s">
        <v>5</v>
      </c>
      <c r="C7" s="10" t="s">
        <v>6</v>
      </c>
      <c r="D7" s="10" t="s">
        <v>7</v>
      </c>
      <c r="E7" s="10" t="s">
        <v>8</v>
      </c>
      <c r="F7" s="9" t="s">
        <v>9</v>
      </c>
      <c r="G7" s="11" t="s">
        <v>10</v>
      </c>
      <c r="H7" s="12" t="s">
        <v>11</v>
      </c>
      <c r="I7" s="11" t="s">
        <v>12</v>
      </c>
      <c r="J7" s="13" t="s">
        <v>10</v>
      </c>
      <c r="K7" s="12" t="s">
        <v>13</v>
      </c>
      <c r="L7" s="11" t="s">
        <v>12</v>
      </c>
      <c r="M7" s="11" t="s">
        <v>10</v>
      </c>
      <c r="N7" s="12" t="s">
        <v>14</v>
      </c>
      <c r="O7" s="11" t="s">
        <v>12</v>
      </c>
      <c r="P7" s="11" t="s">
        <v>10</v>
      </c>
      <c r="Q7" s="12" t="s">
        <v>8</v>
      </c>
      <c r="R7" s="11" t="s">
        <v>12</v>
      </c>
      <c r="S7" s="9" t="s">
        <v>15</v>
      </c>
      <c r="T7" s="9" t="s">
        <v>16</v>
      </c>
      <c r="U7" s="9" t="s">
        <v>17</v>
      </c>
      <c r="V7" s="9" t="s">
        <v>18</v>
      </c>
      <c r="W7" s="9" t="s">
        <v>19</v>
      </c>
      <c r="X7" s="9" t="s">
        <v>20</v>
      </c>
      <c r="Y7" s="9" t="s">
        <v>21</v>
      </c>
      <c r="Z7" s="14" t="s">
        <v>22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s="16" customFormat="1" ht="17.100000000000001" customHeight="1" x14ac:dyDescent="0.2">
      <c r="A8" s="17"/>
      <c r="B8" s="18"/>
      <c r="C8" s="19"/>
      <c r="D8" s="19"/>
      <c r="E8" s="19"/>
      <c r="F8" s="18"/>
      <c r="G8" s="20" t="s">
        <v>23</v>
      </c>
      <c r="H8" s="21"/>
      <c r="I8" s="20" t="s">
        <v>23</v>
      </c>
      <c r="J8" s="22" t="s">
        <v>24</v>
      </c>
      <c r="K8" s="21"/>
      <c r="L8" s="20" t="s">
        <v>24</v>
      </c>
      <c r="M8" s="20" t="s">
        <v>25</v>
      </c>
      <c r="N8" s="21"/>
      <c r="O8" s="20" t="s">
        <v>25</v>
      </c>
      <c r="P8" s="20" t="s">
        <v>26</v>
      </c>
      <c r="Q8" s="21"/>
      <c r="R8" s="20" t="s">
        <v>26</v>
      </c>
      <c r="S8" s="18"/>
      <c r="T8" s="18" t="s">
        <v>23</v>
      </c>
      <c r="U8" s="18" t="s">
        <v>24</v>
      </c>
      <c r="V8" s="18" t="s">
        <v>27</v>
      </c>
      <c r="W8" s="18" t="s">
        <v>28</v>
      </c>
      <c r="X8" s="18"/>
      <c r="Y8" s="18"/>
      <c r="Z8" s="23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1:41" s="16" customFormat="1" ht="29.25" customHeight="1" thickBot="1" x14ac:dyDescent="0.25">
      <c r="A9" s="24"/>
      <c r="B9" s="25"/>
      <c r="C9" s="26"/>
      <c r="D9" s="26"/>
      <c r="E9" s="26"/>
      <c r="F9" s="25"/>
      <c r="G9" s="27" t="s">
        <v>29</v>
      </c>
      <c r="H9" s="28"/>
      <c r="I9" s="27" t="s">
        <v>29</v>
      </c>
      <c r="J9" s="29" t="s">
        <v>29</v>
      </c>
      <c r="K9" s="28"/>
      <c r="L9" s="27" t="s">
        <v>29</v>
      </c>
      <c r="M9" s="27" t="s">
        <v>29</v>
      </c>
      <c r="N9" s="28"/>
      <c r="O9" s="27" t="s">
        <v>29</v>
      </c>
      <c r="P9" s="27" t="s">
        <v>29</v>
      </c>
      <c r="Q9" s="28"/>
      <c r="R9" s="27" t="s">
        <v>29</v>
      </c>
      <c r="S9" s="25"/>
      <c r="T9" s="25"/>
      <c r="U9" s="25" t="s">
        <v>29</v>
      </c>
      <c r="V9" s="25" t="s">
        <v>29</v>
      </c>
      <c r="W9" s="25" t="s">
        <v>29</v>
      </c>
      <c r="X9" s="25"/>
      <c r="Y9" s="25"/>
      <c r="Z9" s="3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1" ht="15.75" x14ac:dyDescent="0.3">
      <c r="A10" s="31" t="s">
        <v>30</v>
      </c>
      <c r="B10" s="32">
        <f t="shared" ref="B10:X10" si="0">+B12+B16+B20</f>
        <v>34246595630.270721</v>
      </c>
      <c r="C10" s="32">
        <f t="shared" si="0"/>
        <v>4364203791</v>
      </c>
      <c r="D10" s="32">
        <f t="shared" si="0"/>
        <v>1899996597</v>
      </c>
      <c r="E10" s="33">
        <f t="shared" si="0"/>
        <v>0</v>
      </c>
      <c r="F10" s="34">
        <f t="shared" si="0"/>
        <v>40510796018.270721</v>
      </c>
      <c r="G10" s="35">
        <f t="shared" si="0"/>
        <v>8359506688</v>
      </c>
      <c r="H10" s="36">
        <f t="shared" si="0"/>
        <v>-1259319719</v>
      </c>
      <c r="I10" s="37">
        <f t="shared" si="0"/>
        <v>7100186969</v>
      </c>
      <c r="J10" s="35">
        <f t="shared" si="0"/>
        <v>9548801522.9872513</v>
      </c>
      <c r="K10" s="38">
        <f t="shared" si="0"/>
        <v>-1352310246</v>
      </c>
      <c r="L10" s="35">
        <f t="shared" si="0"/>
        <v>8196491276.9872503</v>
      </c>
      <c r="M10" s="35">
        <f t="shared" si="0"/>
        <v>0</v>
      </c>
      <c r="N10" s="38">
        <f t="shared" si="0"/>
        <v>0</v>
      </c>
      <c r="O10" s="35">
        <f t="shared" si="0"/>
        <v>0</v>
      </c>
      <c r="P10" s="35">
        <f t="shared" si="0"/>
        <v>0</v>
      </c>
      <c r="Q10" s="35">
        <f t="shared" si="0"/>
        <v>0</v>
      </c>
      <c r="R10" s="35">
        <f t="shared" si="0"/>
        <v>0</v>
      </c>
      <c r="S10" s="35">
        <f t="shared" si="0"/>
        <v>15296678245.987249</v>
      </c>
      <c r="T10" s="35">
        <f t="shared" si="0"/>
        <v>7100186969</v>
      </c>
      <c r="U10" s="39">
        <f t="shared" si="0"/>
        <v>8196541591</v>
      </c>
      <c r="V10" s="39">
        <f t="shared" si="0"/>
        <v>8040641914.9944172</v>
      </c>
      <c r="W10" s="39">
        <f t="shared" si="0"/>
        <v>16707678779.5</v>
      </c>
      <c r="X10" s="40">
        <f t="shared" si="0"/>
        <v>40045049254.494415</v>
      </c>
      <c r="Y10" s="41">
        <f>+X10-F10</f>
        <v>-465746763.77630615</v>
      </c>
      <c r="Z10" s="42">
        <f>IFERROR(X10/F10,0)</f>
        <v>0.98850314460455802</v>
      </c>
    </row>
    <row r="11" spans="1:41" ht="13.5" customHeight="1" x14ac:dyDescent="0.3">
      <c r="A11" s="43"/>
      <c r="B11" s="44"/>
      <c r="C11" s="45"/>
      <c r="D11" s="44"/>
      <c r="E11" s="45"/>
      <c r="F11" s="46"/>
      <c r="G11" s="47"/>
      <c r="H11" s="48"/>
      <c r="I11" s="49"/>
      <c r="J11" s="47"/>
      <c r="K11" s="38"/>
      <c r="L11" s="47"/>
      <c r="M11" s="47"/>
      <c r="N11" s="47"/>
      <c r="O11" s="47"/>
      <c r="P11" s="47"/>
      <c r="Q11" s="47"/>
      <c r="R11" s="47"/>
      <c r="S11" s="50"/>
      <c r="T11" s="50"/>
      <c r="U11" s="46"/>
      <c r="V11" s="46"/>
      <c r="W11" s="46"/>
      <c r="X11" s="46"/>
      <c r="Y11" s="46"/>
      <c r="Z11" s="51"/>
    </row>
    <row r="12" spans="1:41" ht="15.75" x14ac:dyDescent="0.3">
      <c r="A12" s="52" t="s">
        <v>31</v>
      </c>
      <c r="B12" s="53">
        <f>+B13+B14</f>
        <v>26621183390.72258</v>
      </c>
      <c r="C12" s="34">
        <f>+C13+C14</f>
        <v>1738176732</v>
      </c>
      <c r="D12" s="34">
        <f>+D13+D14</f>
        <v>1899996597</v>
      </c>
      <c r="E12" s="34">
        <f>+E13+E14</f>
        <v>0</v>
      </c>
      <c r="F12" s="34">
        <f>+F13+F14</f>
        <v>30259356719.72258</v>
      </c>
      <c r="G12" s="34">
        <f t="shared" ref="G12:O12" si="1">+SUM(G13:G14)</f>
        <v>5937803450</v>
      </c>
      <c r="H12" s="38">
        <f t="shared" si="1"/>
        <v>405834116</v>
      </c>
      <c r="I12" s="54">
        <f t="shared" si="1"/>
        <v>6343637566</v>
      </c>
      <c r="J12" s="34">
        <f t="shared" si="1"/>
        <v>6799317196</v>
      </c>
      <c r="K12" s="38">
        <f t="shared" si="1"/>
        <v>652581349</v>
      </c>
      <c r="L12" s="34">
        <f t="shared" si="1"/>
        <v>7451898545</v>
      </c>
      <c r="M12" s="34">
        <f t="shared" si="1"/>
        <v>0</v>
      </c>
      <c r="N12" s="34">
        <f t="shared" si="1"/>
        <v>0</v>
      </c>
      <c r="O12" s="34">
        <f t="shared" si="1"/>
        <v>0</v>
      </c>
      <c r="P12" s="34">
        <f>+P13+P14</f>
        <v>0</v>
      </c>
      <c r="Q12" s="34">
        <f t="shared" ref="Q12:W12" si="2">+SUM(Q13:Q14)</f>
        <v>0</v>
      </c>
      <c r="R12" s="34">
        <f t="shared" si="2"/>
        <v>0</v>
      </c>
      <c r="S12" s="34">
        <f t="shared" si="2"/>
        <v>13795536111</v>
      </c>
      <c r="T12" s="34">
        <f t="shared" si="2"/>
        <v>6343637566</v>
      </c>
      <c r="U12" s="55">
        <f t="shared" si="2"/>
        <v>7451898545</v>
      </c>
      <c r="V12" s="34">
        <f t="shared" si="2"/>
        <v>7883464458.9899998</v>
      </c>
      <c r="W12" s="34">
        <f t="shared" si="2"/>
        <v>7996203899</v>
      </c>
      <c r="X12" s="34">
        <f>+SUM(X13:X14)</f>
        <v>29675204468.989998</v>
      </c>
      <c r="Y12" s="41">
        <f>+X12-F12</f>
        <v>-584152250.73258209</v>
      </c>
      <c r="Z12" s="42">
        <f>IFERROR(X12/F12,0)</f>
        <v>0.9806951530350333</v>
      </c>
    </row>
    <row r="13" spans="1:41" ht="15.75" x14ac:dyDescent="0.3">
      <c r="A13" s="43" t="s">
        <v>32</v>
      </c>
      <c r="B13" s="44">
        <v>16638239619.201611</v>
      </c>
      <c r="C13" s="45">
        <v>1086360457</v>
      </c>
      <c r="D13" s="44">
        <v>1187497873</v>
      </c>
      <c r="E13" s="46"/>
      <c r="F13" s="46">
        <f>+SUM(B13:E13)</f>
        <v>18912097949.201611</v>
      </c>
      <c r="G13" s="50">
        <f>+'[1]Anexo 1 Minagricultura'!$B$14</f>
        <v>3711127156.25</v>
      </c>
      <c r="H13" s="56">
        <v>253646297</v>
      </c>
      <c r="I13" s="57">
        <f>+G13+H13</f>
        <v>3964773453.25</v>
      </c>
      <c r="J13" s="58">
        <v>4249573247.5</v>
      </c>
      <c r="K13" s="56">
        <v>407863343.62</v>
      </c>
      <c r="L13" s="58">
        <f>+J13+K13</f>
        <v>4657436591.1199999</v>
      </c>
      <c r="M13" s="59"/>
      <c r="N13" s="59"/>
      <c r="O13" s="50">
        <f>+M13+N13</f>
        <v>0</v>
      </c>
      <c r="P13" s="50"/>
      <c r="Q13" s="50"/>
      <c r="R13" s="50">
        <f>+P13+Q13</f>
        <v>0</v>
      </c>
      <c r="S13" s="50">
        <f>+I13+L13+O13+R13</f>
        <v>8622210044.3699989</v>
      </c>
      <c r="T13" s="50">
        <v>3964773453.25</v>
      </c>
      <c r="U13" s="60">
        <v>4657436590.625</v>
      </c>
      <c r="V13" s="61">
        <v>4927165286.1199999</v>
      </c>
      <c r="W13" s="50">
        <v>4997627436.125</v>
      </c>
      <c r="X13" s="50">
        <f>+T13+U13+V13+W13</f>
        <v>18547002766.119999</v>
      </c>
      <c r="Y13" s="62">
        <f>+X13-F13</f>
        <v>-365095183.08161163</v>
      </c>
      <c r="Z13" s="63">
        <f>IFERROR(X13/F13,0)</f>
        <v>0.98069515163985155</v>
      </c>
    </row>
    <row r="14" spans="1:41" ht="15.75" x14ac:dyDescent="0.3">
      <c r="A14" s="43" t="s">
        <v>33</v>
      </c>
      <c r="B14" s="44">
        <v>9982943771.5209675</v>
      </c>
      <c r="C14" s="45">
        <v>651816275</v>
      </c>
      <c r="D14" s="44">
        <v>712498724</v>
      </c>
      <c r="E14" s="46"/>
      <c r="F14" s="46">
        <f>+SUM(B14:E14)</f>
        <v>11347258770.520967</v>
      </c>
      <c r="G14" s="50">
        <f>+'[1]Anexo 1 Minagricultura'!$B$15</f>
        <v>2226676293.75</v>
      </c>
      <c r="H14" s="56">
        <v>152187819</v>
      </c>
      <c r="I14" s="57">
        <f>+G14+H14</f>
        <v>2378864112.75</v>
      </c>
      <c r="J14" s="58">
        <v>2549743948.5</v>
      </c>
      <c r="K14" s="56">
        <v>244718005.38</v>
      </c>
      <c r="L14" s="58">
        <f>+J14+K14</f>
        <v>2794461953.8800001</v>
      </c>
      <c r="M14" s="59"/>
      <c r="N14" s="59"/>
      <c r="O14" s="50">
        <f>+M14+N14</f>
        <v>0</v>
      </c>
      <c r="P14" s="50"/>
      <c r="Q14" s="50"/>
      <c r="R14" s="50">
        <f>+P14+Q14</f>
        <v>0</v>
      </c>
      <c r="S14" s="50">
        <f>+I14+L14+O14+R14</f>
        <v>5173326066.6300001</v>
      </c>
      <c r="T14" s="50">
        <v>2378864112.75</v>
      </c>
      <c r="U14" s="60">
        <v>2794461954.375</v>
      </c>
      <c r="V14" s="61">
        <v>2956299172.8699999</v>
      </c>
      <c r="W14" s="50">
        <v>2998576462.875</v>
      </c>
      <c r="X14" s="50">
        <f>+T14+U14+V14+W14</f>
        <v>11128201702.869999</v>
      </c>
      <c r="Y14" s="62">
        <f>+X14-F14</f>
        <v>-219057067.65096855</v>
      </c>
      <c r="Z14" s="63">
        <f>IFERROR(X14/F14,0)</f>
        <v>0.98069515536033636</v>
      </c>
    </row>
    <row r="15" spans="1:41" ht="15.75" x14ac:dyDescent="0.3">
      <c r="A15" s="43"/>
      <c r="B15" s="44"/>
      <c r="C15" s="45"/>
      <c r="D15" s="44"/>
      <c r="E15" s="45"/>
      <c r="F15" s="46"/>
      <c r="G15" s="50"/>
      <c r="H15" s="56"/>
      <c r="I15" s="57" t="s">
        <v>34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46"/>
      <c r="V15" s="61"/>
      <c r="W15" s="64"/>
      <c r="X15" s="46"/>
      <c r="Y15" s="46"/>
      <c r="Z15" s="51"/>
    </row>
    <row r="16" spans="1:41" ht="15.75" x14ac:dyDescent="0.3">
      <c r="A16" s="65" t="s">
        <v>35</v>
      </c>
      <c r="B16" s="66">
        <f>+B17+B18</f>
        <v>170000000</v>
      </c>
      <c r="C16" s="66">
        <f>+C17+C18</f>
        <v>0</v>
      </c>
      <c r="D16" s="66">
        <f>+D17+D18</f>
        <v>0</v>
      </c>
      <c r="E16" s="67">
        <f>+E17+E18</f>
        <v>0</v>
      </c>
      <c r="F16" s="47">
        <f>+SUM(F17:F18)</f>
        <v>170000000</v>
      </c>
      <c r="G16" s="47">
        <f>+SUM(G17:G18)</f>
        <v>90000000</v>
      </c>
      <c r="H16" s="48">
        <f t="shared" ref="H16:W16" si="3">+SUM(H17:H18)</f>
        <v>112831404</v>
      </c>
      <c r="I16" s="49">
        <f t="shared" si="3"/>
        <v>202831404</v>
      </c>
      <c r="J16" s="47">
        <f t="shared" si="3"/>
        <v>0</v>
      </c>
      <c r="K16" s="38">
        <f>+SUM(K17:K18)</f>
        <v>18532480</v>
      </c>
      <c r="L16" s="47">
        <f>+SUM(L17:L18)</f>
        <v>18532480</v>
      </c>
      <c r="M16" s="47">
        <f t="shared" si="3"/>
        <v>0</v>
      </c>
      <c r="N16" s="38">
        <f t="shared" si="3"/>
        <v>0</v>
      </c>
      <c r="O16" s="47">
        <f>+SUM(O17:O18)</f>
        <v>0</v>
      </c>
      <c r="P16" s="47">
        <f>+SUM(P17:P18)</f>
        <v>0</v>
      </c>
      <c r="Q16" s="47">
        <f t="shared" si="3"/>
        <v>0</v>
      </c>
      <c r="R16" s="47">
        <f t="shared" si="3"/>
        <v>0</v>
      </c>
      <c r="S16" s="47">
        <f>+SUM(S17:S18)</f>
        <v>221363884</v>
      </c>
      <c r="T16" s="47">
        <f>+SUM(T17:T18)</f>
        <v>202831404</v>
      </c>
      <c r="U16" s="47">
        <f>+SUM(U17:U18)</f>
        <v>18532480</v>
      </c>
      <c r="V16" s="47">
        <f>+SUM(V17:V18)</f>
        <v>24282308</v>
      </c>
      <c r="W16" s="47">
        <f t="shared" si="3"/>
        <v>42759294.5</v>
      </c>
      <c r="X16" s="47">
        <f>+SUM(X17:X18)</f>
        <v>288405486.5</v>
      </c>
      <c r="Y16" s="47">
        <f>+X16-F16</f>
        <v>118405486.5</v>
      </c>
      <c r="Z16" s="42">
        <f>IFERROR(X16/F16,0)</f>
        <v>1.6965028617647058</v>
      </c>
    </row>
    <row r="17" spans="1:26" ht="15.75" x14ac:dyDescent="0.3">
      <c r="A17" s="43" t="s">
        <v>32</v>
      </c>
      <c r="B17" s="44">
        <v>106250000</v>
      </c>
      <c r="C17" s="45"/>
      <c r="D17" s="44"/>
      <c r="E17" s="45"/>
      <c r="F17" s="46">
        <f>+SUM(B17:E17)</f>
        <v>106250000</v>
      </c>
      <c r="G17" s="50">
        <f>+'[1]Anexo 1 Minagricultura'!$B$18</f>
        <v>56250000</v>
      </c>
      <c r="H17" s="56">
        <v>70519627</v>
      </c>
      <c r="I17" s="57">
        <f>+G17+H17</f>
        <v>126769627</v>
      </c>
      <c r="J17" s="50"/>
      <c r="K17" s="56">
        <v>11582800</v>
      </c>
      <c r="L17" s="58">
        <f>+J17+K17</f>
        <v>11582800</v>
      </c>
      <c r="M17" s="50"/>
      <c r="N17" s="56"/>
      <c r="O17" s="50">
        <f>+M17+N17</f>
        <v>0</v>
      </c>
      <c r="P17" s="50">
        <v>0</v>
      </c>
      <c r="Q17" s="50"/>
      <c r="R17" s="50">
        <f>+P17+Q17</f>
        <v>0</v>
      </c>
      <c r="S17" s="50">
        <f>+I17+L17+O17+R17</f>
        <v>138352427</v>
      </c>
      <c r="T17" s="50">
        <v>126769627</v>
      </c>
      <c r="U17" s="46">
        <v>11582800</v>
      </c>
      <c r="V17" s="61">
        <v>15176443</v>
      </c>
      <c r="W17" s="64">
        <v>26724559.5</v>
      </c>
      <c r="X17" s="50">
        <f>+T17+U17+V17+W17</f>
        <v>180253429.5</v>
      </c>
      <c r="Y17" s="50">
        <f>+X17-F17</f>
        <v>74003429.5</v>
      </c>
      <c r="Z17" s="63">
        <f>IFERROR(X17/F17,0)</f>
        <v>1.6965028658823529</v>
      </c>
    </row>
    <row r="18" spans="1:26" ht="15.75" x14ac:dyDescent="0.3">
      <c r="A18" s="43" t="s">
        <v>33</v>
      </c>
      <c r="B18" s="44">
        <v>63750000</v>
      </c>
      <c r="C18" s="45"/>
      <c r="D18" s="44">
        <v>0</v>
      </c>
      <c r="E18" s="45"/>
      <c r="F18" s="46">
        <f>+SUM(B18:E18)</f>
        <v>63750000</v>
      </c>
      <c r="G18" s="50">
        <f>+'[1]Anexo 1 Minagricultura'!$B$19</f>
        <v>33750000</v>
      </c>
      <c r="H18" s="56">
        <v>42311777</v>
      </c>
      <c r="I18" s="57">
        <f>+G18+H18</f>
        <v>76061777</v>
      </c>
      <c r="J18" s="50"/>
      <c r="K18" s="56">
        <v>6949680</v>
      </c>
      <c r="L18" s="58">
        <f>+J18+K18</f>
        <v>6949680</v>
      </c>
      <c r="M18" s="50"/>
      <c r="N18" s="56"/>
      <c r="O18" s="50">
        <f>+M18+N18</f>
        <v>0</v>
      </c>
      <c r="P18" s="50">
        <v>0</v>
      </c>
      <c r="Q18" s="50"/>
      <c r="R18" s="50">
        <f>+P18+Q18</f>
        <v>0</v>
      </c>
      <c r="S18" s="50">
        <f>+I18+L18+O18+R18</f>
        <v>83011457</v>
      </c>
      <c r="T18" s="50">
        <v>76061777</v>
      </c>
      <c r="U18" s="46">
        <v>6949680</v>
      </c>
      <c r="V18" s="61">
        <v>9105865</v>
      </c>
      <c r="W18" s="64">
        <v>16034735</v>
      </c>
      <c r="X18" s="50">
        <f>+T18+U18+V18+W18</f>
        <v>108152057</v>
      </c>
      <c r="Y18" s="50">
        <f>+X18-F18</f>
        <v>44402057</v>
      </c>
      <c r="Z18" s="63">
        <f>IFERROR(X18/F18,0)</f>
        <v>1.6965028549019607</v>
      </c>
    </row>
    <row r="19" spans="1:26" ht="15.75" x14ac:dyDescent="0.3">
      <c r="A19" s="43"/>
      <c r="B19" s="44"/>
      <c r="C19" s="45"/>
      <c r="D19" s="44"/>
      <c r="E19" s="45"/>
      <c r="F19" s="46"/>
      <c r="G19" s="50"/>
      <c r="H19" s="56"/>
      <c r="I19" s="57"/>
      <c r="J19" s="50"/>
      <c r="K19" s="68"/>
      <c r="L19" s="50"/>
      <c r="M19" s="50"/>
      <c r="N19" s="50"/>
      <c r="O19" s="50"/>
      <c r="P19" s="50"/>
      <c r="Q19" s="50"/>
      <c r="R19" s="50"/>
      <c r="S19" s="50"/>
      <c r="T19" s="50"/>
      <c r="U19" s="64"/>
      <c r="V19" s="46"/>
      <c r="W19" s="46"/>
      <c r="X19" s="46"/>
      <c r="Y19" s="46"/>
      <c r="Z19" s="51"/>
    </row>
    <row r="20" spans="1:26" ht="15.75" x14ac:dyDescent="0.3">
      <c r="A20" s="65" t="s">
        <v>36</v>
      </c>
      <c r="B20" s="66">
        <f t="shared" ref="B20:X20" si="4">+B21+B22</f>
        <v>7455412239.5481415</v>
      </c>
      <c r="C20" s="66">
        <f t="shared" si="4"/>
        <v>2626027059</v>
      </c>
      <c r="D20" s="66">
        <f t="shared" si="4"/>
        <v>0</v>
      </c>
      <c r="E20" s="67">
        <f t="shared" si="4"/>
        <v>0</v>
      </c>
      <c r="F20" s="47">
        <f t="shared" si="4"/>
        <v>10081439298.548141</v>
      </c>
      <c r="G20" s="47">
        <f t="shared" si="4"/>
        <v>2331703238</v>
      </c>
      <c r="H20" s="48">
        <f t="shared" si="4"/>
        <v>-1777985239</v>
      </c>
      <c r="I20" s="49">
        <f>+I21+I22</f>
        <v>553717999</v>
      </c>
      <c r="J20" s="47">
        <f t="shared" si="4"/>
        <v>2749484326.9872503</v>
      </c>
      <c r="K20" s="38">
        <f>+K21+K22</f>
        <v>-2023424075</v>
      </c>
      <c r="L20" s="47">
        <f>+L21+L22</f>
        <v>726060251.98725009</v>
      </c>
      <c r="M20" s="47">
        <f t="shared" si="4"/>
        <v>0</v>
      </c>
      <c r="N20" s="38">
        <f t="shared" si="4"/>
        <v>0</v>
      </c>
      <c r="O20" s="47">
        <f>+O21+O22</f>
        <v>0</v>
      </c>
      <c r="P20" s="47">
        <f t="shared" si="4"/>
        <v>0</v>
      </c>
      <c r="Q20" s="47">
        <f t="shared" si="4"/>
        <v>0</v>
      </c>
      <c r="R20" s="47">
        <f t="shared" si="4"/>
        <v>0</v>
      </c>
      <c r="S20" s="47">
        <f t="shared" si="4"/>
        <v>1279778250.9872501</v>
      </c>
      <c r="T20" s="47">
        <f t="shared" si="4"/>
        <v>553717999</v>
      </c>
      <c r="U20" s="47">
        <f>+U21+U22</f>
        <v>726110566</v>
      </c>
      <c r="V20" s="47">
        <f>+V21+V22</f>
        <v>132895148.0044179</v>
      </c>
      <c r="W20" s="47">
        <f t="shared" si="4"/>
        <v>8668715586</v>
      </c>
      <c r="X20" s="47">
        <f t="shared" si="4"/>
        <v>10081439299.004417</v>
      </c>
      <c r="Y20" s="47">
        <f>+X20-F20</f>
        <v>0.45627593994140625</v>
      </c>
      <c r="Z20" s="42">
        <f>IFERROR(X20/F20,0)</f>
        <v>1.0000000000452589</v>
      </c>
    </row>
    <row r="21" spans="1:26" ht="15.75" x14ac:dyDescent="0.3">
      <c r="A21" s="43" t="s">
        <v>32</v>
      </c>
      <c r="B21" s="69">
        <v>978972359.4473381</v>
      </c>
      <c r="C21" s="70">
        <v>306576037.5</v>
      </c>
      <c r="D21" s="69"/>
      <c r="E21" s="70"/>
      <c r="F21" s="46">
        <f>+SUM(B21:E21)</f>
        <v>1285548396.9473381</v>
      </c>
      <c r="G21" s="50">
        <f>+'[1]Anexo 1 Minagricultura'!$B$22</f>
        <v>493775959</v>
      </c>
      <c r="H21" s="56">
        <v>-493775959</v>
      </c>
      <c r="I21" s="57">
        <f>+G21+H21</f>
        <v>0</v>
      </c>
      <c r="J21" s="58">
        <v>1283163967.9623101</v>
      </c>
      <c r="K21" s="56">
        <v>-1280271506</v>
      </c>
      <c r="L21" s="58">
        <f>+J21+K21</f>
        <v>2892461.9623100758</v>
      </c>
      <c r="M21" s="50"/>
      <c r="N21" s="56"/>
      <c r="O21" s="50">
        <f>+M21+N21</f>
        <v>0</v>
      </c>
      <c r="P21" s="50"/>
      <c r="Q21" s="50"/>
      <c r="R21" s="50">
        <f>+P21+Q21</f>
        <v>0</v>
      </c>
      <c r="S21" s="50">
        <f>+I21+L21+O21+R21</f>
        <v>2892461.9623100758</v>
      </c>
      <c r="T21" s="50"/>
      <c r="U21" s="64">
        <v>2942776</v>
      </c>
      <c r="V21" s="61">
        <v>0</v>
      </c>
      <c r="W21" s="64">
        <v>1282605621</v>
      </c>
      <c r="X21" s="50">
        <f>+T21+U21+V21+W21</f>
        <v>1285548397</v>
      </c>
      <c r="Y21" s="50">
        <f>+X21-F21</f>
        <v>5.2661895751953125E-2</v>
      </c>
      <c r="Z21" s="63">
        <f>IFERROR(X21/F21,0)</f>
        <v>1.0000000000409646</v>
      </c>
    </row>
    <row r="22" spans="1:26" ht="15.75" x14ac:dyDescent="0.3">
      <c r="A22" s="43" t="s">
        <v>33</v>
      </c>
      <c r="B22" s="44">
        <v>6476439880.1008034</v>
      </c>
      <c r="C22" s="70">
        <v>2319451021.5</v>
      </c>
      <c r="D22" s="44"/>
      <c r="E22" s="45"/>
      <c r="F22" s="46">
        <f>+SUM(B22:E22)</f>
        <v>8795890901.6008034</v>
      </c>
      <c r="G22" s="50">
        <f>+'[1]Anexo 1 Minagricultura'!$B$23</f>
        <v>1837927279</v>
      </c>
      <c r="H22" s="56">
        <v>-1284209280</v>
      </c>
      <c r="I22" s="57">
        <f>+G22+H22</f>
        <v>553717999</v>
      </c>
      <c r="J22" s="58">
        <v>1466320359.02494</v>
      </c>
      <c r="K22" s="56">
        <v>-743152569</v>
      </c>
      <c r="L22" s="58">
        <f>+J22+K22</f>
        <v>723167790.02494001</v>
      </c>
      <c r="M22" s="50"/>
      <c r="N22" s="56"/>
      <c r="O22" s="50">
        <f>+M22+N22</f>
        <v>0</v>
      </c>
      <c r="P22" s="50"/>
      <c r="Q22" s="50"/>
      <c r="R22" s="50">
        <f>+P22+Q22</f>
        <v>0</v>
      </c>
      <c r="S22" s="50">
        <f>+I22+L22+O22+R22</f>
        <v>1276885789.02494</v>
      </c>
      <c r="T22" s="50">
        <v>553717999</v>
      </c>
      <c r="U22" s="46">
        <v>723167790</v>
      </c>
      <c r="V22" s="50">
        <v>132895148.0044179</v>
      </c>
      <c r="W22" s="64">
        <v>7386109965</v>
      </c>
      <c r="X22" s="50">
        <f>+T22+U22+V22+W22</f>
        <v>8795890902.0044174</v>
      </c>
      <c r="Y22" s="50">
        <f>+X22-F22</f>
        <v>0.40361404418945313</v>
      </c>
      <c r="Z22" s="63">
        <f>IFERROR(X22/F22,0)</f>
        <v>1.0000000000458866</v>
      </c>
    </row>
    <row r="23" spans="1:26" ht="15.75" x14ac:dyDescent="0.3">
      <c r="A23" s="43"/>
      <c r="B23" s="44"/>
      <c r="C23" s="45"/>
      <c r="D23" s="44"/>
      <c r="E23" s="45"/>
      <c r="F23" s="46"/>
      <c r="G23" s="50"/>
      <c r="H23" s="56"/>
      <c r="I23" s="57"/>
      <c r="J23" s="50"/>
      <c r="K23" s="68"/>
      <c r="L23" s="50"/>
      <c r="M23" s="50"/>
      <c r="N23" s="50"/>
      <c r="O23" s="50"/>
      <c r="P23" s="50"/>
      <c r="Q23" s="50"/>
      <c r="R23" s="50"/>
      <c r="S23" s="50"/>
      <c r="T23" s="50"/>
      <c r="U23" s="46"/>
      <c r="V23" s="46"/>
      <c r="W23" s="46"/>
      <c r="X23" s="71"/>
      <c r="Y23" s="71"/>
      <c r="Z23" s="51"/>
    </row>
    <row r="24" spans="1:26" ht="15.75" x14ac:dyDescent="0.3">
      <c r="A24" s="65" t="s">
        <v>37</v>
      </c>
      <c r="B24" s="66">
        <f>+B26+B30</f>
        <v>3229143934.2599998</v>
      </c>
      <c r="C24" s="66">
        <f>+C26+C30</f>
        <v>1333409028</v>
      </c>
      <c r="D24" s="38">
        <f>+D26+D30</f>
        <v>39944600</v>
      </c>
      <c r="E24" s="72">
        <f>+E26+E30</f>
        <v>0</v>
      </c>
      <c r="F24" s="66">
        <f>+F26+F30</f>
        <v>4602497562.2600002</v>
      </c>
      <c r="G24" s="66">
        <f t="shared" ref="G24:W24" si="5">+G26+G30</f>
        <v>719689876.20000005</v>
      </c>
      <c r="H24" s="48">
        <f t="shared" si="5"/>
        <v>-70096692</v>
      </c>
      <c r="I24" s="66">
        <f t="shared" si="5"/>
        <v>649593184.20000005</v>
      </c>
      <c r="J24" s="67">
        <f>+J26+J30</f>
        <v>1239353333</v>
      </c>
      <c r="K24" s="66">
        <f t="shared" si="5"/>
        <v>-26700509</v>
      </c>
      <c r="L24" s="66">
        <f>+L26+L30</f>
        <v>1212652824</v>
      </c>
      <c r="M24" s="66">
        <f t="shared" si="5"/>
        <v>0</v>
      </c>
      <c r="N24" s="66">
        <f t="shared" si="5"/>
        <v>0</v>
      </c>
      <c r="O24" s="66">
        <f t="shared" si="5"/>
        <v>0</v>
      </c>
      <c r="P24" s="66">
        <f t="shared" si="5"/>
        <v>0</v>
      </c>
      <c r="Q24" s="66">
        <f t="shared" si="5"/>
        <v>0</v>
      </c>
      <c r="R24" s="66">
        <f t="shared" si="5"/>
        <v>0</v>
      </c>
      <c r="S24" s="66">
        <f t="shared" si="5"/>
        <v>1862246008.2</v>
      </c>
      <c r="T24" s="66">
        <f t="shared" si="5"/>
        <v>649593184.20000005</v>
      </c>
      <c r="U24" s="66">
        <f>+U26+U30</f>
        <v>1212602510</v>
      </c>
      <c r="V24" s="66">
        <f t="shared" si="5"/>
        <v>1359571177</v>
      </c>
      <c r="W24" s="66">
        <f t="shared" si="5"/>
        <v>1335048085</v>
      </c>
      <c r="X24" s="66">
        <f>+X26+X30</f>
        <v>4504551818.1999998</v>
      </c>
      <c r="Y24" s="41">
        <f>+X24-F24</f>
        <v>-97945744.06000042</v>
      </c>
      <c r="Z24" s="42">
        <f>IFERROR(X24/F24,0)</f>
        <v>0.97871900142584645</v>
      </c>
    </row>
    <row r="25" spans="1:26" ht="15.75" x14ac:dyDescent="0.3">
      <c r="A25" s="43"/>
      <c r="B25" s="44"/>
      <c r="C25" s="45"/>
      <c r="D25" s="44"/>
      <c r="E25" s="45"/>
      <c r="F25" s="46"/>
      <c r="G25" s="47"/>
      <c r="H25" s="48"/>
      <c r="I25" s="49"/>
      <c r="J25" s="47"/>
      <c r="K25" s="38"/>
      <c r="L25" s="47"/>
      <c r="M25" s="47"/>
      <c r="N25" s="47"/>
      <c r="O25" s="47"/>
      <c r="P25" s="47"/>
      <c r="Q25" s="47"/>
      <c r="R25" s="47"/>
      <c r="S25" s="50"/>
      <c r="T25" s="50"/>
      <c r="U25" s="46"/>
      <c r="V25" s="46"/>
      <c r="W25" s="46"/>
      <c r="X25" s="46"/>
      <c r="Y25" s="46"/>
      <c r="Z25" s="51"/>
    </row>
    <row r="26" spans="1:26" ht="15.75" x14ac:dyDescent="0.3">
      <c r="A26" s="65" t="s">
        <v>38</v>
      </c>
      <c r="B26" s="66">
        <f>SUM(B27:B28)</f>
        <v>271834015</v>
      </c>
      <c r="C26" s="66">
        <f t="shared" ref="C26:X26" si="6">SUM(C27:C28)</f>
        <v>0</v>
      </c>
      <c r="D26" s="66">
        <f t="shared" si="6"/>
        <v>0</v>
      </c>
      <c r="E26" s="67">
        <f t="shared" si="6"/>
        <v>0</v>
      </c>
      <c r="F26" s="66">
        <f t="shared" si="6"/>
        <v>271834015</v>
      </c>
      <c r="G26" s="66">
        <f>SUM(G27:G28)</f>
        <v>67958504</v>
      </c>
      <c r="H26" s="73">
        <f t="shared" si="6"/>
        <v>30834493</v>
      </c>
      <c r="I26" s="66">
        <f t="shared" si="6"/>
        <v>98792997</v>
      </c>
      <c r="J26" s="67">
        <f t="shared" si="6"/>
        <v>67958504</v>
      </c>
      <c r="K26" s="38">
        <f t="shared" si="6"/>
        <v>58497597</v>
      </c>
      <c r="L26" s="66">
        <f>SUM(L27:L28)</f>
        <v>126456101</v>
      </c>
      <c r="M26" s="66">
        <f t="shared" si="6"/>
        <v>0</v>
      </c>
      <c r="N26" s="38">
        <f t="shared" si="6"/>
        <v>0</v>
      </c>
      <c r="O26" s="54">
        <f>SUM(O27:O28)</f>
        <v>0</v>
      </c>
      <c r="P26" s="54">
        <f t="shared" si="6"/>
        <v>0</v>
      </c>
      <c r="Q26" s="54">
        <f t="shared" si="6"/>
        <v>0</v>
      </c>
      <c r="R26" s="54">
        <f t="shared" si="6"/>
        <v>0</v>
      </c>
      <c r="S26" s="54">
        <f t="shared" si="6"/>
        <v>225249098</v>
      </c>
      <c r="T26" s="54">
        <f t="shared" si="6"/>
        <v>98792997</v>
      </c>
      <c r="U26" s="54">
        <f>SUM(U27:U28)</f>
        <v>126456101</v>
      </c>
      <c r="V26" s="54">
        <f t="shared" si="6"/>
        <v>120543313</v>
      </c>
      <c r="W26" s="54">
        <f t="shared" si="6"/>
        <v>103626227</v>
      </c>
      <c r="X26" s="54">
        <f t="shared" si="6"/>
        <v>449418638</v>
      </c>
      <c r="Y26" s="54">
        <f>+X26-F26</f>
        <v>177584623</v>
      </c>
      <c r="Z26" s="42">
        <f>IFERROR(X26/F26,0)</f>
        <v>1.6532833023122584</v>
      </c>
    </row>
    <row r="27" spans="1:26" ht="15.75" x14ac:dyDescent="0.3">
      <c r="A27" s="43" t="s">
        <v>39</v>
      </c>
      <c r="B27" s="44">
        <v>51751725.499999993</v>
      </c>
      <c r="C27" s="45"/>
      <c r="D27" s="44"/>
      <c r="E27" s="45"/>
      <c r="F27" s="46">
        <f>+SUM(B27:E27)</f>
        <v>51751725.499999993</v>
      </c>
      <c r="G27" s="50">
        <f>+'[1]Anexo 1 Minagricultura'!$B$28</f>
        <v>12937931</v>
      </c>
      <c r="H27" s="56">
        <v>3634079</v>
      </c>
      <c r="I27" s="57">
        <f>+G27+H27</f>
        <v>16572010</v>
      </c>
      <c r="J27" s="58">
        <v>12937931</v>
      </c>
      <c r="K27" s="56">
        <v>13218717</v>
      </c>
      <c r="L27" s="58">
        <f>+J27+K27</f>
        <v>26156648</v>
      </c>
      <c r="M27" s="59"/>
      <c r="N27" s="56"/>
      <c r="O27" s="50">
        <f>+M27+N27</f>
        <v>0</v>
      </c>
      <c r="P27" s="50"/>
      <c r="Q27" s="50"/>
      <c r="R27" s="50">
        <f>+P27+Q27</f>
        <v>0</v>
      </c>
      <c r="S27" s="50">
        <f>+I27+L27+O27+R27</f>
        <v>42728658</v>
      </c>
      <c r="T27" s="50">
        <v>16572010</v>
      </c>
      <c r="U27" s="46">
        <v>26156648</v>
      </c>
      <c r="V27" s="61">
        <v>30234598.499999993</v>
      </c>
      <c r="W27" s="64">
        <v>33038930</v>
      </c>
      <c r="X27" s="50">
        <f>+T27+U27+V27+W27</f>
        <v>106002186.5</v>
      </c>
      <c r="Y27" s="50">
        <f>+X27-F27</f>
        <v>54250461.000000007</v>
      </c>
      <c r="Z27" s="63">
        <f>IFERROR(X27/F27,0)</f>
        <v>2.0482831340570473</v>
      </c>
    </row>
    <row r="28" spans="1:26" ht="15.75" x14ac:dyDescent="0.3">
      <c r="A28" s="43" t="s">
        <v>40</v>
      </c>
      <c r="B28" s="44">
        <v>220082289.5</v>
      </c>
      <c r="C28" s="45"/>
      <c r="D28" s="44">
        <v>0</v>
      </c>
      <c r="E28" s="45"/>
      <c r="F28" s="46">
        <f>+SUM(B28:E28)</f>
        <v>220082289.5</v>
      </c>
      <c r="G28" s="50">
        <f>+'[1]Anexo 1 Minagricultura'!$B$29</f>
        <v>55020573</v>
      </c>
      <c r="H28" s="56">
        <v>27200414</v>
      </c>
      <c r="I28" s="57">
        <f>+G28+H28</f>
        <v>82220987</v>
      </c>
      <c r="J28" s="58">
        <v>55020573</v>
      </c>
      <c r="K28" s="56">
        <v>45278880</v>
      </c>
      <c r="L28" s="58">
        <f>+J28+K28</f>
        <v>100299453</v>
      </c>
      <c r="M28" s="59"/>
      <c r="N28" s="56"/>
      <c r="O28" s="50">
        <f>+M28+N28</f>
        <v>0</v>
      </c>
      <c r="P28" s="50"/>
      <c r="Q28" s="50"/>
      <c r="R28" s="50">
        <f>+P28+Q28</f>
        <v>0</v>
      </c>
      <c r="S28" s="50">
        <f>+I28+L28+O28+R28</f>
        <v>182520440</v>
      </c>
      <c r="T28" s="50">
        <v>82220987</v>
      </c>
      <c r="U28" s="46">
        <v>100299453</v>
      </c>
      <c r="V28" s="61">
        <v>90308714.5</v>
      </c>
      <c r="W28" s="64">
        <v>70587297</v>
      </c>
      <c r="X28" s="50">
        <f>+T28+U28+V28+W28</f>
        <v>343416451.5</v>
      </c>
      <c r="Y28" s="50">
        <f>+X28-F28</f>
        <v>123334162</v>
      </c>
      <c r="Z28" s="63">
        <f>IFERROR(X28/F28,0)</f>
        <v>1.560400213393818</v>
      </c>
    </row>
    <row r="29" spans="1:26" ht="15.75" x14ac:dyDescent="0.3">
      <c r="A29" s="43"/>
      <c r="B29" s="44"/>
      <c r="C29" s="45"/>
      <c r="D29" s="44"/>
      <c r="E29" s="45"/>
      <c r="F29" s="46"/>
      <c r="G29" s="50"/>
      <c r="H29" s="56"/>
      <c r="I29" s="57"/>
      <c r="J29" s="50"/>
      <c r="K29" s="68"/>
      <c r="L29" s="50"/>
      <c r="M29" s="50"/>
      <c r="N29" s="50"/>
      <c r="O29" s="50"/>
      <c r="P29" s="50"/>
      <c r="Q29" s="50"/>
      <c r="R29" s="50"/>
      <c r="S29" s="50"/>
      <c r="T29" s="50"/>
      <c r="U29" s="46"/>
      <c r="V29" s="46"/>
      <c r="W29" s="46"/>
      <c r="X29" s="50"/>
      <c r="Y29" s="50"/>
      <c r="Z29" s="51"/>
    </row>
    <row r="30" spans="1:26" ht="15.75" x14ac:dyDescent="0.3">
      <c r="A30" s="65" t="s">
        <v>41</v>
      </c>
      <c r="B30" s="66">
        <f>SUM(B31:B37)</f>
        <v>2957309919.2599998</v>
      </c>
      <c r="C30" s="66">
        <f>SUM(C31:C37)</f>
        <v>1333409028</v>
      </c>
      <c r="D30" s="66">
        <f>SUM(D31:D37)</f>
        <v>39944600</v>
      </c>
      <c r="E30" s="66">
        <f>SUM(E31:E37)</f>
        <v>0</v>
      </c>
      <c r="F30" s="66">
        <f>SUM(F31:F37)</f>
        <v>4330663547.2600002</v>
      </c>
      <c r="G30" s="66">
        <f t="shared" ref="G30:S30" si="7">SUM(G31:G37)</f>
        <v>651731372.20000005</v>
      </c>
      <c r="H30" s="66">
        <f t="shared" si="7"/>
        <v>-100931185</v>
      </c>
      <c r="I30" s="66">
        <f t="shared" si="7"/>
        <v>550800187.20000005</v>
      </c>
      <c r="J30" s="67">
        <f>SUM(J31:J37)</f>
        <v>1171394829</v>
      </c>
      <c r="K30" s="66">
        <f t="shared" si="7"/>
        <v>-85198106</v>
      </c>
      <c r="L30" s="66">
        <f>SUM(L31:L37)</f>
        <v>1086196723</v>
      </c>
      <c r="M30" s="66">
        <f>SUM(M31:M37)</f>
        <v>0</v>
      </c>
      <c r="N30" s="66">
        <f t="shared" si="7"/>
        <v>0</v>
      </c>
      <c r="O30" s="66">
        <f t="shared" si="7"/>
        <v>0</v>
      </c>
      <c r="P30" s="66">
        <f t="shared" si="7"/>
        <v>0</v>
      </c>
      <c r="Q30" s="66">
        <f t="shared" si="7"/>
        <v>0</v>
      </c>
      <c r="R30" s="66">
        <f t="shared" si="7"/>
        <v>0</v>
      </c>
      <c r="S30" s="66">
        <f t="shared" si="7"/>
        <v>1636996910.2</v>
      </c>
      <c r="T30" s="66">
        <f>SUM(T31:T37)</f>
        <v>550800187.20000005</v>
      </c>
      <c r="U30" s="66">
        <f>SUM(U31:U37)</f>
        <v>1086146409</v>
      </c>
      <c r="V30" s="66">
        <f>SUM(V31:V37)</f>
        <v>1239027864</v>
      </c>
      <c r="W30" s="66">
        <f>SUM(W31:W37)</f>
        <v>1231421858</v>
      </c>
      <c r="X30" s="54">
        <f>SUM(X31:X37)</f>
        <v>4055133180.1999998</v>
      </c>
      <c r="Y30" s="41">
        <f t="shared" ref="Y30:Y37" si="8">+X30-F30</f>
        <v>-275530367.06000042</v>
      </c>
      <c r="Z30" s="74">
        <f t="shared" ref="Z30:Z37" si="9">IFERROR(X30/F30,0)</f>
        <v>0.93637687064507058</v>
      </c>
    </row>
    <row r="31" spans="1:26" ht="15.75" x14ac:dyDescent="0.3">
      <c r="A31" s="43" t="s">
        <v>42</v>
      </c>
      <c r="B31" s="44">
        <v>2274119398.1599998</v>
      </c>
      <c r="C31" s="45"/>
      <c r="D31" s="44">
        <v>69000000</v>
      </c>
      <c r="E31" s="45"/>
      <c r="F31" s="46">
        <f t="shared" ref="F31:F37" si="10">+SUM(B31:E31)</f>
        <v>2343119398.1599998</v>
      </c>
      <c r="G31" s="50">
        <f>+[1]!VTAS2005</f>
        <v>549258751.20000005</v>
      </c>
      <c r="H31" s="56">
        <v>-150221307</v>
      </c>
      <c r="I31" s="57">
        <f t="shared" ref="I31:I36" si="11">+G31+H31</f>
        <v>399037444.20000005</v>
      </c>
      <c r="J31" s="50">
        <v>664940336</v>
      </c>
      <c r="K31" s="56">
        <v>-59618327</v>
      </c>
      <c r="L31" s="58">
        <f t="shared" ref="L31:L36" si="12">+J31+K31</f>
        <v>605322009</v>
      </c>
      <c r="M31" s="50"/>
      <c r="N31" s="50"/>
      <c r="O31" s="50">
        <f t="shared" ref="O31:O36" si="13">+M31+N31</f>
        <v>0</v>
      </c>
      <c r="P31" s="50"/>
      <c r="Q31" s="50"/>
      <c r="R31" s="50">
        <f t="shared" ref="R31:R36" si="14">+P31+Q31</f>
        <v>0</v>
      </c>
      <c r="S31" s="50">
        <f t="shared" ref="S31:S36" si="15">+I31+L31+O31+R31</f>
        <v>1004359453.2</v>
      </c>
      <c r="T31" s="50">
        <v>399037444.20000005</v>
      </c>
      <c r="U31" s="46">
        <v>605322009</v>
      </c>
      <c r="V31" s="61">
        <v>550586513</v>
      </c>
      <c r="W31" s="64">
        <v>442264879</v>
      </c>
      <c r="X31" s="50">
        <v>1997210845.2</v>
      </c>
      <c r="Y31" s="62">
        <f t="shared" si="8"/>
        <v>-345908552.9599998</v>
      </c>
      <c r="Z31" s="63">
        <f t="shared" si="9"/>
        <v>0.8523726305916659</v>
      </c>
    </row>
    <row r="32" spans="1:26" ht="15.75" x14ac:dyDescent="0.3">
      <c r="A32" s="75" t="s">
        <v>43</v>
      </c>
      <c r="B32" s="76">
        <v>4374834</v>
      </c>
      <c r="C32" s="77"/>
      <c r="D32" s="76"/>
      <c r="E32" s="77"/>
      <c r="F32" s="46">
        <f t="shared" si="10"/>
        <v>4374834</v>
      </c>
      <c r="G32" s="78">
        <f>+'[1]Anexo 1 Minagricultura'!$B$33</f>
        <v>1093708</v>
      </c>
      <c r="H32" s="79">
        <v>2457930</v>
      </c>
      <c r="I32" s="80">
        <f t="shared" si="11"/>
        <v>3551638</v>
      </c>
      <c r="J32" s="78">
        <v>1093708</v>
      </c>
      <c r="K32" s="56">
        <v>36102586</v>
      </c>
      <c r="L32" s="58">
        <f t="shared" si="12"/>
        <v>37196294</v>
      </c>
      <c r="M32" s="78"/>
      <c r="N32" s="78"/>
      <c r="O32" s="50">
        <f t="shared" si="13"/>
        <v>0</v>
      </c>
      <c r="P32" s="50"/>
      <c r="Q32" s="50"/>
      <c r="R32" s="50">
        <f t="shared" si="14"/>
        <v>0</v>
      </c>
      <c r="S32" s="78">
        <f t="shared" si="15"/>
        <v>40747932</v>
      </c>
      <c r="T32" s="78">
        <v>3551638</v>
      </c>
      <c r="U32" s="81">
        <v>37145980</v>
      </c>
      <c r="V32" s="61">
        <v>25788706</v>
      </c>
      <c r="W32" s="64">
        <v>24603151</v>
      </c>
      <c r="X32" s="50">
        <v>91089475</v>
      </c>
      <c r="Y32" s="62">
        <f t="shared" si="8"/>
        <v>86714641</v>
      </c>
      <c r="Z32" s="63">
        <f t="shared" si="9"/>
        <v>20.821241445961149</v>
      </c>
    </row>
    <row r="33" spans="1:26" ht="15.75" x14ac:dyDescent="0.3">
      <c r="A33" s="75" t="s">
        <v>44</v>
      </c>
      <c r="B33" s="76">
        <v>2231228.0999999996</v>
      </c>
      <c r="C33" s="77"/>
      <c r="D33" s="76"/>
      <c r="E33" s="77"/>
      <c r="F33" s="46">
        <f t="shared" si="10"/>
        <v>2231228.0999999996</v>
      </c>
      <c r="G33" s="78">
        <f>+'[1]Anexo 1 Minagricultura'!$B$34</f>
        <v>743742</v>
      </c>
      <c r="H33" s="79">
        <v>51746857</v>
      </c>
      <c r="I33" s="80">
        <f t="shared" si="11"/>
        <v>52490599</v>
      </c>
      <c r="J33" s="78">
        <v>1115614</v>
      </c>
      <c r="K33" s="56">
        <v>587298</v>
      </c>
      <c r="L33" s="58">
        <f t="shared" si="12"/>
        <v>1702912</v>
      </c>
      <c r="M33" s="78"/>
      <c r="N33" s="78"/>
      <c r="O33" s="50">
        <f t="shared" si="13"/>
        <v>0</v>
      </c>
      <c r="P33" s="50"/>
      <c r="Q33" s="50"/>
      <c r="R33" s="50">
        <f t="shared" si="14"/>
        <v>0</v>
      </c>
      <c r="S33" s="78">
        <f t="shared" si="15"/>
        <v>54193511</v>
      </c>
      <c r="T33" s="78">
        <v>52490599</v>
      </c>
      <c r="U33" s="81">
        <v>1702912</v>
      </c>
      <c r="V33" s="61">
        <v>1719473</v>
      </c>
      <c r="W33" s="64">
        <v>3037165</v>
      </c>
      <c r="X33" s="50">
        <v>6687011</v>
      </c>
      <c r="Y33" s="62">
        <f t="shared" si="8"/>
        <v>4455782.9000000004</v>
      </c>
      <c r="Z33" s="63">
        <f>IFERROR(X33/F33,0)</f>
        <v>2.9970091359103987</v>
      </c>
    </row>
    <row r="34" spans="1:26" ht="15.75" x14ac:dyDescent="0.3">
      <c r="A34" s="75" t="s">
        <v>45</v>
      </c>
      <c r="B34" s="76">
        <v>181280684</v>
      </c>
      <c r="C34" s="77"/>
      <c r="D34" s="76">
        <v>-100000000</v>
      </c>
      <c r="E34" s="77">
        <v>0</v>
      </c>
      <c r="F34" s="46">
        <f t="shared" si="10"/>
        <v>81280684</v>
      </c>
      <c r="G34" s="78">
        <f>+'[1]Anexo 1 Minagricultura'!$B$35</f>
        <v>8445171</v>
      </c>
      <c r="H34" s="79">
        <v>7293535</v>
      </c>
      <c r="I34" s="80">
        <f t="shared" si="11"/>
        <v>15738706</v>
      </c>
      <c r="J34" s="78">
        <v>72445171</v>
      </c>
      <c r="K34" s="56">
        <v>-55137370</v>
      </c>
      <c r="L34" s="58">
        <f t="shared" si="12"/>
        <v>17307801</v>
      </c>
      <c r="M34" s="82"/>
      <c r="N34" s="56"/>
      <c r="O34" s="50">
        <f t="shared" si="13"/>
        <v>0</v>
      </c>
      <c r="P34" s="50"/>
      <c r="Q34" s="50"/>
      <c r="R34" s="50">
        <f t="shared" si="14"/>
        <v>0</v>
      </c>
      <c r="S34" s="78">
        <f t="shared" si="15"/>
        <v>33046507</v>
      </c>
      <c r="T34" s="78">
        <v>15738706</v>
      </c>
      <c r="U34" s="81">
        <v>17307801</v>
      </c>
      <c r="V34" s="61">
        <v>47253946</v>
      </c>
      <c r="W34" s="64">
        <v>11078277</v>
      </c>
      <c r="X34" s="50">
        <v>91378730</v>
      </c>
      <c r="Y34" s="62">
        <f t="shared" si="8"/>
        <v>10098046</v>
      </c>
      <c r="Z34" s="63">
        <f t="shared" si="9"/>
        <v>1.1242367251732281</v>
      </c>
    </row>
    <row r="35" spans="1:26" ht="15.75" x14ac:dyDescent="0.3">
      <c r="A35" s="75" t="s">
        <v>46</v>
      </c>
      <c r="B35" s="76"/>
      <c r="C35" s="77"/>
      <c r="D35" s="76"/>
      <c r="E35" s="77"/>
      <c r="F35" s="46"/>
      <c r="G35" s="78"/>
      <c r="H35" s="79">
        <v>52263139</v>
      </c>
      <c r="I35" s="80">
        <f t="shared" si="11"/>
        <v>52263139</v>
      </c>
      <c r="J35" s="83"/>
      <c r="K35" s="56"/>
      <c r="L35" s="58"/>
      <c r="M35" s="81"/>
      <c r="N35" s="56"/>
      <c r="O35" s="50"/>
      <c r="P35" s="50"/>
      <c r="Q35" s="50"/>
      <c r="R35" s="50"/>
      <c r="S35" s="78">
        <f t="shared" si="15"/>
        <v>52263139</v>
      </c>
      <c r="T35" s="78">
        <v>52263139</v>
      </c>
      <c r="U35" s="81"/>
      <c r="V35" s="61"/>
      <c r="W35" s="64"/>
      <c r="X35" s="50">
        <v>52263139</v>
      </c>
      <c r="Y35" s="62">
        <f t="shared" si="8"/>
        <v>52263139</v>
      </c>
      <c r="Z35" s="63">
        <f t="shared" si="9"/>
        <v>0</v>
      </c>
    </row>
    <row r="36" spans="1:26" ht="15.75" x14ac:dyDescent="0.3">
      <c r="A36" s="75" t="s">
        <v>47</v>
      </c>
      <c r="B36" s="76">
        <v>495303775</v>
      </c>
      <c r="C36" s="77">
        <f>198409028+180000000+105000000</f>
        <v>483409028</v>
      </c>
      <c r="D36" s="79">
        <f>70944600</f>
        <v>70944600</v>
      </c>
      <c r="E36" s="77"/>
      <c r="F36" s="46">
        <f>+SUM(B36:E36)</f>
        <v>1049657403</v>
      </c>
      <c r="G36" s="78">
        <f>+'[1]Anexo 1 Minagricultura'!$B$36</f>
        <v>92190000</v>
      </c>
      <c r="H36" s="79">
        <v>-64471339</v>
      </c>
      <c r="I36" s="79">
        <f t="shared" si="11"/>
        <v>27718661</v>
      </c>
      <c r="J36" s="84">
        <v>271800000</v>
      </c>
      <c r="K36" s="56">
        <v>152867707</v>
      </c>
      <c r="L36" s="58">
        <f t="shared" si="12"/>
        <v>424667707</v>
      </c>
      <c r="M36" s="78"/>
      <c r="N36" s="56"/>
      <c r="O36" s="50">
        <f t="shared" si="13"/>
        <v>0</v>
      </c>
      <c r="P36" s="50"/>
      <c r="Q36" s="50"/>
      <c r="R36" s="50">
        <f t="shared" si="14"/>
        <v>0</v>
      </c>
      <c r="S36" s="78">
        <f t="shared" si="15"/>
        <v>452386368</v>
      </c>
      <c r="T36" s="78">
        <v>27718661</v>
      </c>
      <c r="U36" s="81">
        <v>424667707</v>
      </c>
      <c r="V36" s="61">
        <v>188679226</v>
      </c>
      <c r="W36" s="64">
        <v>325438386</v>
      </c>
      <c r="X36" s="50">
        <v>966503980</v>
      </c>
      <c r="Y36" s="62">
        <f t="shared" si="8"/>
        <v>-83153423</v>
      </c>
      <c r="Z36" s="63">
        <f t="shared" si="9"/>
        <v>0.920780415817255</v>
      </c>
    </row>
    <row r="37" spans="1:26" ht="15.75" x14ac:dyDescent="0.3">
      <c r="A37" s="75" t="s">
        <v>48</v>
      </c>
      <c r="B37" s="85"/>
      <c r="C37" s="46">
        <v>850000000</v>
      </c>
      <c r="D37" s="46"/>
      <c r="E37" s="46"/>
      <c r="F37" s="46">
        <f t="shared" si="10"/>
        <v>850000000</v>
      </c>
      <c r="G37" s="46"/>
      <c r="H37" s="85"/>
      <c r="I37" s="85">
        <f>+G37+H37</f>
        <v>0</v>
      </c>
      <c r="J37" s="46">
        <v>160000000</v>
      </c>
      <c r="K37" s="56">
        <v>-160000000</v>
      </c>
      <c r="L37" s="58">
        <f>+J37+K37</f>
        <v>0</v>
      </c>
      <c r="M37" s="78"/>
      <c r="N37" s="78"/>
      <c r="O37" s="50">
        <f>+M37+N37</f>
        <v>0</v>
      </c>
      <c r="P37" s="50"/>
      <c r="Q37" s="50"/>
      <c r="R37" s="50">
        <f>+P37+Q37</f>
        <v>0</v>
      </c>
      <c r="S37" s="78">
        <f>+I37+L37+O37+R37</f>
        <v>0</v>
      </c>
      <c r="T37" s="78"/>
      <c r="U37" s="81">
        <v>0</v>
      </c>
      <c r="V37" s="61">
        <v>425000000</v>
      </c>
      <c r="W37" s="64">
        <v>425000000</v>
      </c>
      <c r="X37" s="50">
        <v>850000000</v>
      </c>
      <c r="Y37" s="50">
        <f t="shared" si="8"/>
        <v>0</v>
      </c>
      <c r="Z37" s="63">
        <f t="shared" si="9"/>
        <v>1</v>
      </c>
    </row>
    <row r="38" spans="1:26" ht="16.5" thickBot="1" x14ac:dyDescent="0.35">
      <c r="A38" s="86"/>
      <c r="B38" s="87"/>
      <c r="C38" s="88"/>
      <c r="D38" s="88"/>
      <c r="E38" s="88"/>
      <c r="F38" s="88"/>
      <c r="G38" s="59"/>
      <c r="H38" s="89"/>
      <c r="I38" s="89"/>
      <c r="J38" s="90"/>
      <c r="K38" s="90"/>
      <c r="L38" s="90"/>
      <c r="M38" s="59"/>
      <c r="N38" s="59"/>
      <c r="O38" s="59"/>
      <c r="P38" s="59"/>
      <c r="Q38" s="59"/>
      <c r="R38" s="59"/>
      <c r="S38" s="59"/>
      <c r="T38" s="59"/>
      <c r="U38" s="88"/>
      <c r="V38" s="88"/>
      <c r="W38" s="88"/>
      <c r="X38" s="88"/>
      <c r="Y38" s="88"/>
      <c r="Z38" s="91"/>
    </row>
    <row r="39" spans="1:26" ht="16.5" thickBot="1" x14ac:dyDescent="0.35">
      <c r="A39" s="92" t="s">
        <v>49</v>
      </c>
      <c r="B39" s="93">
        <f t="shared" ref="B39:H39" si="16">+B24+B10</f>
        <v>37475739564.530724</v>
      </c>
      <c r="C39" s="93">
        <f t="shared" si="16"/>
        <v>5697612819</v>
      </c>
      <c r="D39" s="94">
        <f t="shared" si="16"/>
        <v>1939941197</v>
      </c>
      <c r="E39" s="95">
        <f t="shared" si="16"/>
        <v>0</v>
      </c>
      <c r="F39" s="93">
        <f t="shared" si="16"/>
        <v>45113293580.530724</v>
      </c>
      <c r="G39" s="93">
        <f t="shared" si="16"/>
        <v>9079196564.2000008</v>
      </c>
      <c r="H39" s="94">
        <f t="shared" si="16"/>
        <v>-1329416411</v>
      </c>
      <c r="I39" s="93">
        <f>+G39+H39</f>
        <v>7749780153.2000008</v>
      </c>
      <c r="J39" s="95">
        <f>+J24+J10</f>
        <v>10788154855.987251</v>
      </c>
      <c r="K39" s="94">
        <f>+K24+K10</f>
        <v>-1379010755</v>
      </c>
      <c r="L39" s="93">
        <f>+J39+K39</f>
        <v>9409144100.9872513</v>
      </c>
      <c r="M39" s="93">
        <f>+M24+M10</f>
        <v>0</v>
      </c>
      <c r="N39" s="94">
        <f>+N24+N10</f>
        <v>0</v>
      </c>
      <c r="O39" s="93">
        <f>+M39+N39</f>
        <v>0</v>
      </c>
      <c r="P39" s="93">
        <f>+P24+P10</f>
        <v>0</v>
      </c>
      <c r="Q39" s="96">
        <f>+Q24+Q10</f>
        <v>0</v>
      </c>
      <c r="R39" s="96">
        <f>+P39+Q39</f>
        <v>0</v>
      </c>
      <c r="S39" s="93">
        <f>+I39+L39+O39+R39</f>
        <v>17158924254.187252</v>
      </c>
      <c r="T39" s="93">
        <f>+T24+T10</f>
        <v>7749780153.1999998</v>
      </c>
      <c r="U39" s="93">
        <f>+U24+U10</f>
        <v>9409144101</v>
      </c>
      <c r="V39" s="93">
        <f>+V24+V10</f>
        <v>9400213091.9944172</v>
      </c>
      <c r="W39" s="93">
        <f>+W24+W10</f>
        <v>18042726864.5</v>
      </c>
      <c r="X39" s="93">
        <f>+X24+X10</f>
        <v>44549601072.694412</v>
      </c>
      <c r="Y39" s="93">
        <f>+X39-F39</f>
        <v>-563692507.83631134</v>
      </c>
      <c r="Z39" s="97">
        <f>IFERROR(X39/F39,0)</f>
        <v>0.9875049577830074</v>
      </c>
    </row>
    <row r="40" spans="1:26" ht="15.75" thickTop="1" x14ac:dyDescent="0.3">
      <c r="A40"/>
      <c r="I40" s="98">
        <f>+I39/F39</f>
        <v>0.17178484517797493</v>
      </c>
      <c r="L40" s="98">
        <f>+(I39+L39)/F39</f>
        <v>0.38035184071757572</v>
      </c>
      <c r="M40" s="98">
        <f>+(I39+L39+M39)/F39</f>
        <v>0.38035184071757572</v>
      </c>
      <c r="O40" s="98">
        <f>+(I39+L39+O39)/F39</f>
        <v>0.38035184071757572</v>
      </c>
      <c r="R40" s="99">
        <f>+(I39+L39+O39+R39)/F39</f>
        <v>0.38035184071757572</v>
      </c>
      <c r="T40" s="7"/>
      <c r="U40" s="7"/>
    </row>
    <row r="41" spans="1:26" x14ac:dyDescent="0.3">
      <c r="A41"/>
    </row>
    <row r="42" spans="1:26" x14ac:dyDescent="0.3">
      <c r="A42"/>
    </row>
    <row r="43" spans="1:26" x14ac:dyDescent="0.3">
      <c r="A43"/>
    </row>
    <row r="44" spans="1:26" x14ac:dyDescent="0.3">
      <c r="A44"/>
    </row>
    <row r="45" spans="1:26" x14ac:dyDescent="0.3">
      <c r="A45"/>
    </row>
    <row r="46" spans="1:26" x14ac:dyDescent="0.3">
      <c r="A46"/>
    </row>
    <row r="47" spans="1:26" x14ac:dyDescent="0.3">
      <c r="A47"/>
    </row>
    <row r="48" spans="1:26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</sheetData>
  <mergeCells count="22">
    <mergeCell ref="U7:U9"/>
    <mergeCell ref="V7:V9"/>
    <mergeCell ref="W7:W9"/>
    <mergeCell ref="X7:X9"/>
    <mergeCell ref="Y7:Y9"/>
    <mergeCell ref="Z7:Z9"/>
    <mergeCell ref="H7:H9"/>
    <mergeCell ref="K7:K9"/>
    <mergeCell ref="N7:N9"/>
    <mergeCell ref="Q7:Q9"/>
    <mergeCell ref="S7:S9"/>
    <mergeCell ref="T7:T9"/>
    <mergeCell ref="A2:Z2"/>
    <mergeCell ref="A3:Z3"/>
    <mergeCell ref="A4:Z4"/>
    <mergeCell ref="A5:Z5"/>
    <mergeCell ref="A7:A9"/>
    <mergeCell ref="B7:B9"/>
    <mergeCell ref="C7:C9"/>
    <mergeCell ref="D7:D9"/>
    <mergeCell ref="E7:E9"/>
    <mergeCell ref="F7:F9"/>
  </mergeCells>
  <printOptions horizontalCentered="1"/>
  <pageMargins left="0.59055118110236227" right="0" top="0.19685039370078741" bottom="0.19685039370078741" header="0" footer="0"/>
  <pageSetup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Anexo 1</vt:lpstr>
      <vt:lpstr>'Anexo 1'!Área_de_impresión</vt:lpstr>
      <vt:lpstr>'Anexo 1'!CUOTAPPC2005</vt:lpstr>
      <vt:lpstr>'Anexo 1'!VTAS2005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2019-10-16T17:37:05Z</dcterms:created>
  <dcterms:modified xsi:type="dcterms:W3CDTF">2019-10-16T17:37:45Z</dcterms:modified>
</cp:coreProperties>
</file>