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5\Ingreso\"/>
    </mc:Choice>
  </mc:AlternateContent>
  <bookViews>
    <workbookView xWindow="0" yWindow="0" windowWidth="19200" windowHeight="7005" tabRatio="843"/>
  </bookViews>
  <sheets>
    <sheet name="Anexo 1 Minagricultura" sheetId="1" r:id="rId1"/>
    <sheet name="Otros ingresos" sheetId="15" state="hidden" r:id="rId2"/>
    <sheet name="Rendimientos " sheetId="74" state="hidden" r:id="rId3"/>
    <sheet name="Escenario PPC" sheetId="88" state="hidden" r:id="rId4"/>
    <sheet name="Ejecución ingresos 2014" sheetId="24" state="hidden" r:id="rId5"/>
    <sheet name="Ejecución gastos 2014" sheetId="86" state="hidden" r:id="rId6"/>
    <sheet name="Superavit 2014" sheetId="50" state="hidden" r:id="rId7"/>
    <sheet name="Anexo 3" sheetId="91" state="hidden" r:id="rId8"/>
    <sheet name="Anexo 4" sheetId="90" state="hidden" r:id="rId9"/>
    <sheet name="Anexo 2 " sheetId="14" r:id="rId10"/>
    <sheet name="Funcionamiento" sheetId="23" state="hidden" r:id="rId11"/>
    <sheet name="Nómina y honorarios 2015" sheetId="28" state="hidden" r:id="rId12"/>
    <sheet name="Comparativo nómina 2014-2015" sheetId="81" state="hidden" r:id="rId13"/>
    <sheet name="Comparativo gastos personal " sheetId="89" state="hidden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xlnm._FilterDatabase" localSheetId="7" hidden="1">'Anexo 3'!$A$6:$E$7</definedName>
    <definedName name="_xlnm._FilterDatabase" localSheetId="8" hidden="1">#REF!</definedName>
    <definedName name="_xlnm._FilterDatabase" localSheetId="3" hidden="1">#REF!</definedName>
    <definedName name="_xlnm._FilterDatabase" hidden="1">#REF!</definedName>
    <definedName name="ANEXO" localSheetId="12" hidden="1">'[7]Inversión total en programas'!$A$50:$IV$50,'[7]Inversión total en programas'!$A$60:$IV$63</definedName>
    <definedName name="ANEXO" hidden="1">'[7]Inversión total en programas'!$A$50:$IV$50,'[7]Inversión total en programas'!$A$60:$IV$63</definedName>
    <definedName name="_xlnm.Print_Area" localSheetId="0">'Anexo 1 Minagricultura'!$A$1:$E$37</definedName>
    <definedName name="_xlnm.Print_Area" localSheetId="9">'Anexo 2 '!$A$1:$M$202</definedName>
    <definedName name="_xlnm.Print_Area" localSheetId="7">'Anexo 3'!$A$1:$E$132</definedName>
    <definedName name="_xlnm.Print_Area" localSheetId="8">'Anexo 4'!$A$1:$J$48</definedName>
    <definedName name="_xlnm.Print_Area" localSheetId="12">'Comparativo nómina 2014-2015'!$C$1:$O$95</definedName>
    <definedName name="_xlnm.Print_Area" localSheetId="5">'Ejecución gastos 2014'!$A$1:$S$211</definedName>
    <definedName name="_xlnm.Print_Area" localSheetId="4">'Ejecución ingresos 2014'!$A$1:$G$43</definedName>
    <definedName name="_xlnm.Print_Area" localSheetId="10">Funcionamiento!$A$1:$P$37</definedName>
    <definedName name="_xlnm.Print_Area" localSheetId="11">'Nómina y honorarios 2015'!$A$1:$Z$85</definedName>
    <definedName name="_xlnm.Print_Area" localSheetId="1">'Otros ingresos'!$A$1:$C$24</definedName>
    <definedName name="_xlnm.Print_Area" localSheetId="6">'Superavit 2014'!$A$1:$K$22</definedName>
    <definedName name="_xlnm.Print_Area">#REF!</definedName>
    <definedName name="ASISCALLCENTER" localSheetId="8">#REF!</definedName>
    <definedName name="ASISCALLCENTER">#REF!</definedName>
    <definedName name="ASISCONTABPPC" localSheetId="8">#REF!</definedName>
    <definedName name="ASISCONTABPPC">#REF!</definedName>
    <definedName name="ASISDESPACHOS" localSheetId="8">#REF!</definedName>
    <definedName name="ASISDESPACHOS">#REF!</definedName>
    <definedName name="ASISICA" localSheetId="8">#REF!</definedName>
    <definedName name="ASISICA">#REF!</definedName>
    <definedName name="AUXBODEGA" localSheetId="8">#REF!</definedName>
    <definedName name="AUXBODEGA">#REF!</definedName>
    <definedName name="cabezas" localSheetId="12">'[8]Anexo 1 Minagricultura'!#REF!</definedName>
    <definedName name="cabezas">'[8]Anexo 1 Minagricultura'!#REF!</definedName>
    <definedName name="CABEZAS_PROYEC" localSheetId="7">'[22]Anexo 1 Minagricultura'!$C$46</definedName>
    <definedName name="CABEZAS_PROYEC" localSheetId="8">'[22]Anexo 1 Minagricultura'!$C$46</definedName>
    <definedName name="CABEZAS_PROYEC" localSheetId="13">'[22]Anexo 1 Minagricultura'!$C$46</definedName>
    <definedName name="CABEZAS_PROYEC" localSheetId="12">'[11]Anexo 1 Minagricultura'!$C$46</definedName>
    <definedName name="CABEZAS_PROYEC" localSheetId="5">'[17]Anexo 1 Minagricultura'!#REF!</definedName>
    <definedName name="CABEZAS_PROYEC" localSheetId="3">'[19]Ingresos 2015'!#REF!</definedName>
    <definedName name="CABEZAS_PROYEC" localSheetId="2">'[10]Anexo 1 Minagricultura'!$C$46</definedName>
    <definedName name="CABEZAS_PROYEC">'Anexo 1 Minagricultura'!#REF!</definedName>
    <definedName name="CUOTAPPC2005" localSheetId="7">'[22]Anexo 1 Minagricultura'!#REF!</definedName>
    <definedName name="CUOTAPPC2005" localSheetId="8">'[22]Anexo 1 Minagricultura'!#REF!</definedName>
    <definedName name="CUOTAPPC2005" localSheetId="13">'[22]Anexo 1 Minagricultura'!#REF!</definedName>
    <definedName name="CUOTAPPC2005" localSheetId="12">'[11]Anexo 1 Minagricultura'!$D$15</definedName>
    <definedName name="CUOTAPPC2005" localSheetId="5">'[17]Anexo 1 Minagricultura'!#REF!</definedName>
    <definedName name="CUOTAPPC2005" localSheetId="3">'[19]Ingresos 2015'!#REF!</definedName>
    <definedName name="CUOTAPPC2005" localSheetId="2">'[10]Anexo 1 Minagricultura'!$D$15</definedName>
    <definedName name="CUOTAPPC2005">'Anexo 1 Minagricultura'!#REF!</definedName>
    <definedName name="CUOTAPPC2013" localSheetId="7">'[22]Anexo 1 Minagricultura'!#REF!</definedName>
    <definedName name="CUOTAPPC2013" localSheetId="8">'[22]Anexo 1 Minagricultura'!#REF!</definedName>
    <definedName name="CUOTAPPC2013" localSheetId="13">'[22]Anexo 1 Minagricultura'!#REF!</definedName>
    <definedName name="CUOTAPPC2013" localSheetId="12">'Anexo 1 Minagricultura'!#REF!</definedName>
    <definedName name="CUOTAPPC2013" localSheetId="5">'[17]Anexo 1 Minagricultura'!#REF!</definedName>
    <definedName name="CUOTAPPC2013" localSheetId="3">'[18]Anexo 1 Minagricultura'!#REF!</definedName>
    <definedName name="CUOTAPPC2013">'Anexo 1 Minagricultura'!#REF!</definedName>
    <definedName name="CUOTAPPC203" localSheetId="7">'[22]Anexo 1 Minagricultura'!#REF!</definedName>
    <definedName name="CUOTAPPC203" localSheetId="8">'[22]Anexo 1 Minagricultura'!#REF!</definedName>
    <definedName name="CUOTAPPC203" localSheetId="13">'[22]Anexo 1 Minagricultura'!#REF!</definedName>
    <definedName name="CUOTAPPC203" localSheetId="12">'Anexo 1 Minagricultura'!#REF!</definedName>
    <definedName name="CUOTAPPC203" localSheetId="5">'[17]Anexo 1 Minagricultura'!#REF!</definedName>
    <definedName name="CUOTAPPC203" localSheetId="3">'[18]Anexo 1 Minagricultura'!#REF!</definedName>
    <definedName name="CUOTAPPC203">'Anexo 1 Minagricultura'!#REF!</definedName>
    <definedName name="DIAG_PPC" localSheetId="8">#REF!</definedName>
    <definedName name="DIAG_PPC" localSheetId="12">'[11]Inversión total en programas'!$B$86</definedName>
    <definedName name="DIAG_PPC" localSheetId="3">#REF!</definedName>
    <definedName name="DIAG_PPC" localSheetId="2">'[10]Inversión total en programas'!$B$86</definedName>
    <definedName name="DIAG_PPC">#REF!</definedName>
    <definedName name="DISTRIBUIDOR" localSheetId="12">#REF!</definedName>
    <definedName name="DISTRIBUIDOR" localSheetId="3">#REF!</definedName>
    <definedName name="DISTRIBUIDOR">#REF!</definedName>
    <definedName name="Dólar">#REF!</definedName>
    <definedName name="eeeee" localSheetId="7">'[22]Ejecución ingresos 2013'!#REF!</definedName>
    <definedName name="eeeee" localSheetId="8">'[22]Ejecución ingresos 2013'!#REF!</definedName>
    <definedName name="eeeee" localSheetId="13">'[22]Ejecución ingresos 2013'!#REF!</definedName>
    <definedName name="eeeee" localSheetId="12">'[11]Superávit 2008'!#REF!</definedName>
    <definedName name="eeeee" localSheetId="5">#REF!</definedName>
    <definedName name="eeeee" localSheetId="3">'[14]Superávit 2007'!#REF!</definedName>
    <definedName name="eeeee" localSheetId="2">'[10]Ejecución ingresos 2011'!#REF!</definedName>
    <definedName name="eeeee">'Ejecución ingresos 2014'!#REF!</definedName>
    <definedName name="EPPC" localSheetId="7">'[22]Anexo 1 Minagricultura'!$C$54</definedName>
    <definedName name="EPPC" localSheetId="8">'[22]Anexo 1 Minagricultura'!$C$54</definedName>
    <definedName name="EPPC" localSheetId="13">'[22]Anexo 1 Minagricultura'!$C$54</definedName>
    <definedName name="EPPC" localSheetId="12">'[11]Anexo 1 Minagricultura'!$C$54</definedName>
    <definedName name="EPPC" localSheetId="5">'[17]Anexo 1 Minagricultura'!#REF!</definedName>
    <definedName name="EPPC" localSheetId="3">'[19]Ingresos 2015'!#REF!</definedName>
    <definedName name="EPPC" localSheetId="2">'[10]Anexo 1 Minagricultura'!$C$54</definedName>
    <definedName name="EPPC">'Anexo 1 Minagricultura'!#REF!</definedName>
    <definedName name="Euro">#REF!</definedName>
    <definedName name="FDGFDG" localSheetId="12">#REF!</definedName>
    <definedName name="FDGFDG" localSheetId="3">'[19]Ingresos 2015'!#REF!</definedName>
    <definedName name="FDGFDG" localSheetId="2">#REF!</definedName>
    <definedName name="FDGFDG">#REF!</definedName>
    <definedName name="FECHA_DE_RECIBIDO" localSheetId="12">[5]BASE!$E$3:$E$177</definedName>
    <definedName name="FECHA_DE_RECIBIDO" localSheetId="3">[13]BASE!$E$3:$E$177</definedName>
    <definedName name="FECHA_DE_RECIBIDO">[5]BASE!$E$3:$E$177</definedName>
    <definedName name="FOMENTO" localSheetId="7">'[22]Anexo 1 Minagricultura'!$C$53</definedName>
    <definedName name="FOMENTO" localSheetId="8">'[22]Anexo 1 Minagricultura'!$C$53</definedName>
    <definedName name="FOMENTO" localSheetId="13">'[22]Anexo 1 Minagricultura'!$C$53</definedName>
    <definedName name="FOMENTO" localSheetId="12">'[11]Anexo 1 Minagricultura'!$C$53</definedName>
    <definedName name="FOMENTO" localSheetId="5">'[17]Anexo 1 Minagricultura'!#REF!</definedName>
    <definedName name="FOMENTO" localSheetId="3">'[19]Ingresos 2015'!#REF!</definedName>
    <definedName name="FOMENTO" localSheetId="2">'[10]Anexo 1 Minagricultura'!$C$53</definedName>
    <definedName name="FOMENTO">'Anexo 1 Minagricultura'!#REF!</definedName>
    <definedName name="FOMENTOS" localSheetId="12">'[1]Anexo 1 Minagricultura'!$C$51</definedName>
    <definedName name="FOMENTOS" localSheetId="3">'[15]Anexo 1 Minagricultura'!$C$51</definedName>
    <definedName name="FOMENTOS" localSheetId="2">'[1]Anexo 1 Minagricultura'!$C$51</definedName>
    <definedName name="FOMENTOS">'[1]Anexo 1 Minagricultura'!$C$51</definedName>
    <definedName name="fondo" localSheetId="5">#REF!</definedName>
    <definedName name="fondo">'Ejecución ingresos 2014'!$C$15</definedName>
    <definedName name="GTOSEPPC" localSheetId="8">#REF!</definedName>
    <definedName name="GTOSEPPC" localSheetId="12">'[11]Inversión total en programas'!$C$35</definedName>
    <definedName name="GTOSEPPC" localSheetId="3">#REF!</definedName>
    <definedName name="GTOSEPPC" localSheetId="2">'[10]Inversión total en programas'!$C$35</definedName>
    <definedName name="GTOSEPPC">#REF!</definedName>
    <definedName name="HONORAUDI_JURIDIC" localSheetId="8">#REF!</definedName>
    <definedName name="HONORAUDI_JURIDIC">#REF!</definedName>
    <definedName name="HONTOTAL" localSheetId="8">#REF!</definedName>
    <definedName name="HONTOTAL">#REF!</definedName>
    <definedName name="Incremento">#REF!</definedName>
    <definedName name="Inflación">#REF!</definedName>
    <definedName name="LABORATORIOS" localSheetId="12">#REF!</definedName>
    <definedName name="LABORATORIOS" localSheetId="3">#REF!</definedName>
    <definedName name="LABORATORIOS">#REF!</definedName>
    <definedName name="NOMBDISTRI" localSheetId="12">#REF!</definedName>
    <definedName name="NOMBDISTRI" localSheetId="3">#REF!</definedName>
    <definedName name="NOMBDISTRI">#REF!</definedName>
    <definedName name="ojo" localSheetId="5">#REF!</definedName>
    <definedName name="ojo">'Ejecución ingresos 2014'!$C$15</definedName>
    <definedName name="Pasajes">#REF!</definedName>
    <definedName name="ppc" localSheetId="12">'[4]Inversión total en programas'!$B$86</definedName>
    <definedName name="ppc" localSheetId="2">'[4]Inversión total en programas'!$B$86</definedName>
    <definedName name="ppc">'[4]Inversión total en programas'!$B$86</definedName>
    <definedName name="RESERV_FUTU" localSheetId="8">#REF!</definedName>
    <definedName name="RESERV_FUTU">#REF!</definedName>
    <definedName name="saldo" localSheetId="7">'[22]Ejecución ingresos 2013'!#REF!</definedName>
    <definedName name="saldo" localSheetId="8">'[22]Ejecución ingresos 2013'!#REF!</definedName>
    <definedName name="saldo" localSheetId="13">'[22]Ejecución ingresos 2013'!#REF!</definedName>
    <definedName name="saldo" localSheetId="12">'[11]Superávit 2008'!#REF!</definedName>
    <definedName name="saldo" localSheetId="5">#REF!</definedName>
    <definedName name="saldo" localSheetId="3">'[14]Superávit 2007'!#REF!</definedName>
    <definedName name="saldo" localSheetId="2">'[10]Ejecución ingresos 2011'!#REF!</definedName>
    <definedName name="saldo">'Ejecución ingresos 2014'!#REF!</definedName>
    <definedName name="saldos" localSheetId="7">'[22]Ejecución ingresos 2013'!#REF!</definedName>
    <definedName name="saldos" localSheetId="8">'[22]Ejecución ingresos 2013'!#REF!</definedName>
    <definedName name="saldos" localSheetId="13">'[22]Ejecución ingresos 2013'!#REF!</definedName>
    <definedName name="saldos" localSheetId="12">'[11]Superávit 2008'!#REF!</definedName>
    <definedName name="saldos" localSheetId="5">#REF!</definedName>
    <definedName name="saldos" localSheetId="3">'[14]Superávit 2007'!#REF!</definedName>
    <definedName name="saldos" localSheetId="2">'[10]Ejecución ingresos 2011'!#REF!</definedName>
    <definedName name="saldos">'Ejecución ingresos 2014'!#REF!</definedName>
    <definedName name="SUPERA2004" localSheetId="7">'[22]Anexo 1 Minagricultura'!#REF!</definedName>
    <definedName name="SUPERA2004" localSheetId="8">'[22]Anexo 1 Minagricultura'!#REF!</definedName>
    <definedName name="SUPERA2004" localSheetId="13">'[22]Anexo 1 Minagricultura'!#REF!</definedName>
    <definedName name="SUPERA2004" localSheetId="12">'[11]Anexo 1 Minagricultura'!$B$21</definedName>
    <definedName name="SUPERA2004" localSheetId="5">'[17]Anexo 1 Minagricultura'!#REF!</definedName>
    <definedName name="SUPERA2004" localSheetId="3">'[18]Anexo 1 Minagricultura'!#REF!</definedName>
    <definedName name="SUPERA2004" localSheetId="2">'[10]Anexo 1 Minagricultura'!$B$21</definedName>
    <definedName name="SUPERA2004">'Anexo 1 Minagricultura'!#REF!</definedName>
    <definedName name="SUPERA2005" localSheetId="7">'[22]Anexo 1 Minagricultura'!#REF!</definedName>
    <definedName name="SUPERA2005" localSheetId="8">'[22]Anexo 1 Minagricultura'!#REF!</definedName>
    <definedName name="SUPERA2005" localSheetId="13">'[22]Anexo 1 Minagricultura'!#REF!</definedName>
    <definedName name="SUPERA2005" localSheetId="12">'[11]Anexo 1 Minagricultura'!$C$21</definedName>
    <definedName name="SUPERA2005" localSheetId="5">'[17]Anexo 1 Minagricultura'!#REF!</definedName>
    <definedName name="SUPERA2005" localSheetId="3">'[19]Ingresos 2015'!#REF!</definedName>
    <definedName name="SUPERA2005" localSheetId="2">'[10]Anexo 1 Minagricultura'!$C$21</definedName>
    <definedName name="SUPERA2005">'Anexo 1 Minagricultura'!#REF!</definedName>
    <definedName name="SUPERA2010" localSheetId="12">'[4]Anexo 1 Minagricultura'!$C$21</definedName>
    <definedName name="SUPERA2010" localSheetId="2">'[4]Anexo 1 Minagricultura'!$C$21</definedName>
    <definedName name="SUPERA2010">'[4]Anexo 1 Minagricultura'!$C$21</definedName>
    <definedName name="SUPERA2012" localSheetId="7">'[22]Anexo 1 Minagricultura'!#REF!</definedName>
    <definedName name="SUPERA2012" localSheetId="8">'[22]Anexo 1 Minagricultura'!#REF!</definedName>
    <definedName name="SUPERA2012" localSheetId="13">'[22]Anexo 1 Minagricultura'!#REF!</definedName>
    <definedName name="SUPERA2012" localSheetId="12">'Anexo 1 Minagricultura'!#REF!</definedName>
    <definedName name="SUPERA2012" localSheetId="5">'[17]Anexo 1 Minagricultura'!#REF!</definedName>
    <definedName name="SUPERA2012" localSheetId="3">'[18]Anexo 1 Minagricultura'!#REF!</definedName>
    <definedName name="SUPERA2012">'Anexo 1 Minagricultura'!#REF!</definedName>
    <definedName name="SUPERAVIT" localSheetId="8">#REF!</definedName>
    <definedName name="SUPERAVIT">#REF!</definedName>
    <definedName name="SUPERAVIT2005_FNP" localSheetId="8">#REF!</definedName>
    <definedName name="SUPERAVIT2005_FNP">#REF!</definedName>
    <definedName name="SUPERAVITPPC_2005" localSheetId="8">#REF!</definedName>
    <definedName name="SUPERAVITPPC_2005">#REF!</definedName>
    <definedName name="_xlnm.Print_Titles" localSheetId="0">'Anexo 1 Minagricultura'!$1:$5</definedName>
    <definedName name="_xlnm.Print_Titles" localSheetId="9">'Anexo 2 '!$1:$7</definedName>
    <definedName name="_xlnm.Print_Titles" localSheetId="5">'Ejecución gastos 2014'!$1:$6</definedName>
    <definedName name="_xlnm.Print_Titles" localSheetId="10">Funcionamiento!$A:$A</definedName>
    <definedName name="_xlnm.Print_Titles" localSheetId="11">'Nómina y honorarios 2015'!$A:$A</definedName>
    <definedName name="_xlnm.Print_Titles">#REF!</definedName>
    <definedName name="VTAS2005" localSheetId="12">'[11]Anexo 1 Minagricultura'!$D$32</definedName>
    <definedName name="VTAS2005" localSheetId="3">'[19]Ingresos 2015'!#REF!</definedName>
    <definedName name="VTAS2005" localSheetId="2">'[10]Anexo 1 Minagricultura'!$D$32</definedName>
    <definedName name="VTAS2005">'Anexo 1 Minagricultura'!$B$32</definedName>
    <definedName name="xx" localSheetId="12">[2]Ingresos!$C$19</definedName>
    <definedName name="xx" localSheetId="3">[16]Ingresos!$C$19</definedName>
    <definedName name="xx" localSheetId="2">[2]Ingresos!$C$19</definedName>
    <definedName name="xx">[2]Ingresos!$C$19</definedName>
    <definedName name="Z_4099E833_BB74_4680_85C9_A6CF399D1CE2_.wvu.Cols" localSheetId="8" hidden="1">#REF!,#REF!,#REF!,#REF!</definedName>
    <definedName name="Z_4099E833_BB74_4680_85C9_A6CF399D1CE2_.wvu.Cols" localSheetId="12" hidden="1">'[11]Nómina 2004'!$C$1:$E$65536,'[11]Nómina 2004'!$H$1:$I$65536,'[11]Nómina 2004'!$L$1:$P$65536,'[11]Nómina 2004'!$AF$1:$AH$65536</definedName>
    <definedName name="Z_4099E833_BB74_4680_85C9_A6CF399D1CE2_.wvu.Cols" localSheetId="3" hidden="1">'[14]Nómina 2004'!$C$1:$E$65536,'[14]Nómina 2004'!$H$1:$I$65536,'[14]Nómina 2004'!$L$1:$P$65536,'[14]Nómina 2004'!$AF$1:$AH$65536</definedName>
    <definedName name="Z_4099E833_BB74_4680_85C9_A6CF399D1CE2_.wvu.Cols" localSheetId="2" hidden="1">'[10]Nómina 2004'!$C$1:$E$65536,'[10]Nómina 2004'!$H$1:$I$65536,'[10]Nómina 2004'!$L$1:$P$65536,'[10]Nómina 2004'!$AF$1:$AH$65536</definedName>
    <definedName name="Z_4099E833_BB74_4680_85C9_A6CF399D1CE2_.wvu.Cols" hidden="1">#REF!,#REF!,#REF!,#REF!</definedName>
    <definedName name="Z_4099E833_BB74_4680_85C9_A6CF399D1CE2_.wvu.FilterData" localSheetId="8" hidden="1">#REF!</definedName>
    <definedName name="Z_4099E833_BB74_4680_85C9_A6CF399D1CE2_.wvu.FilterData" localSheetId="3" hidden="1">#REF!</definedName>
    <definedName name="Z_4099E833_BB74_4680_85C9_A6CF399D1CE2_.wvu.FilterData" hidden="1">#REF!</definedName>
    <definedName name="Z_4099E833_BB74_4680_85C9_A6CF399D1CE2_.wvu.PrintArea" localSheetId="0" hidden="1">'Anexo 1 Minagricultura'!$A$1:$B$37</definedName>
    <definedName name="Z_4099E833_BB74_4680_85C9_A6CF399D1CE2_.wvu.PrintArea" localSheetId="12" hidden="1">#REF!</definedName>
    <definedName name="Z_4099E833_BB74_4680_85C9_A6CF399D1CE2_.wvu.PrintArea" hidden="1">#REF!</definedName>
    <definedName name="Z_4099E833_BB74_4680_85C9_A6CF399D1CE2_.wvu.PrintTitles" localSheetId="8" hidden="1">#REF!</definedName>
    <definedName name="Z_4099E833_BB74_4680_85C9_A6CF399D1CE2_.wvu.PrintTitles" localSheetId="3" hidden="1">#REF!</definedName>
    <definedName name="Z_4099E833_BB74_4680_85C9_A6CF399D1CE2_.wvu.PrintTitles" hidden="1">#REF!</definedName>
    <definedName name="Z_4099E833_BB74_4680_85C9_A6CF399D1CE2_.wvu.Rows" localSheetId="8" hidden="1">#REF!,#REF!</definedName>
    <definedName name="Z_4099E833_BB74_4680_85C9_A6CF399D1CE2_.wvu.Rows" localSheetId="12" hidden="1">'[11]Inversión total en programas'!$A$50:$IV$50,'[11]Inversión total en programas'!$A$60:$IV$63</definedName>
    <definedName name="Z_4099E833_BB74_4680_85C9_A6CF399D1CE2_.wvu.Rows" localSheetId="3" hidden="1">'[14]Inversión total en programas'!$A$50:$IV$50,'[14]Inversión total en programas'!$A$60:$IV$63</definedName>
    <definedName name="Z_4099E833_BB74_4680_85C9_A6CF399D1CE2_.wvu.Rows" localSheetId="2" hidden="1">'[10]Inversión total en programas'!$A$50:$IV$50,'[10]Inversión total en programas'!$A$60:$IV$63</definedName>
    <definedName name="Z_4099E833_BB74_4680_85C9_A6CF399D1CE2_.wvu.Rows" hidden="1">#REF!,#REF!</definedName>
    <definedName name="ZFRONTERA">'[21]Ingresos 2014'!#REF!</definedName>
  </definedNames>
  <calcPr calcId="152511" fullCalcOnLoad="1"/>
  <customWorkbookViews>
    <customWorkbookView name="Fondo Nacional de la Porcicultura - Vista personalizada" guid="{4099E833-BB74-4680-85C9-A6CF399D1CE2}" mergeInterval="0" personalView="1" maximized="1" windowWidth="796" windowHeight="399" tabRatio="605" activeSheetId="4"/>
  </customWorkbookViews>
</workbook>
</file>

<file path=xl/calcChain.xml><?xml version="1.0" encoding="utf-8"?>
<calcChain xmlns="http://schemas.openxmlformats.org/spreadsheetml/2006/main">
  <c r="B43" i="1" l="1"/>
  <c r="C43" i="1"/>
  <c r="C39" i="1"/>
  <c r="B64" i="14"/>
  <c r="B63" i="14"/>
  <c r="K53" i="14"/>
  <c r="K50" i="14"/>
  <c r="K49" i="14"/>
  <c r="K47" i="14"/>
  <c r="C149" i="14"/>
  <c r="C148" i="14"/>
  <c r="C147" i="14"/>
  <c r="G110" i="14"/>
  <c r="G107" i="14"/>
  <c r="F96" i="14"/>
  <c r="F95" i="14"/>
  <c r="F94" i="14"/>
  <c r="F93" i="14"/>
  <c r="I36" i="14"/>
  <c r="I30" i="14"/>
  <c r="I28" i="14"/>
  <c r="I25" i="14"/>
  <c r="G30" i="14"/>
  <c r="G29" i="14"/>
  <c r="E36" i="1"/>
  <c r="E35" i="1"/>
  <c r="E34" i="1"/>
  <c r="E33" i="1"/>
  <c r="E32" i="1"/>
  <c r="E29" i="1"/>
  <c r="E28" i="1"/>
  <c r="E23" i="1"/>
  <c r="E22" i="1"/>
  <c r="E19" i="1"/>
  <c r="E18" i="1"/>
  <c r="E15" i="1"/>
  <c r="E14" i="1"/>
  <c r="D182" i="14"/>
  <c r="D181" i="14"/>
  <c r="H181" i="14"/>
  <c r="J181" i="14"/>
  <c r="K191" i="14"/>
  <c r="K186" i="14"/>
  <c r="K185" i="14"/>
  <c r="K175" i="14"/>
  <c r="K171" i="14"/>
  <c r="K170" i="14"/>
  <c r="K163" i="14"/>
  <c r="K157" i="14"/>
  <c r="K156" i="14"/>
  <c r="K152" i="14"/>
  <c r="K145" i="14"/>
  <c r="K137" i="14"/>
  <c r="K129" i="14"/>
  <c r="K130" i="14"/>
  <c r="K124" i="14"/>
  <c r="K121" i="14"/>
  <c r="K114" i="14"/>
  <c r="K111" i="14"/>
  <c r="K106" i="14"/>
  <c r="K105" i="14"/>
  <c r="K101" i="14"/>
  <c r="K98" i="14"/>
  <c r="K92" i="14"/>
  <c r="K82" i="14"/>
  <c r="K75" i="14"/>
  <c r="K76" i="14"/>
  <c r="K71" i="14"/>
  <c r="K66" i="14"/>
  <c r="K62" i="14"/>
  <c r="K58" i="14"/>
  <c r="K43" i="14"/>
  <c r="K37" i="14"/>
  <c r="K20" i="14"/>
  <c r="K9" i="14"/>
  <c r="D36" i="1"/>
  <c r="D35" i="1"/>
  <c r="D34" i="1"/>
  <c r="D33" i="1"/>
  <c r="D32" i="1"/>
  <c r="C31" i="1"/>
  <c r="C25" i="1"/>
  <c r="D29" i="1"/>
  <c r="D28" i="1"/>
  <c r="C27" i="1"/>
  <c r="E27" i="1"/>
  <c r="D23" i="1"/>
  <c r="D22" i="1"/>
  <c r="C21" i="1"/>
  <c r="E21" i="1"/>
  <c r="D19" i="1"/>
  <c r="D18" i="1"/>
  <c r="C17" i="1"/>
  <c r="D17" i="1"/>
  <c r="D15" i="1"/>
  <c r="D14" i="1"/>
  <c r="C13" i="1"/>
  <c r="E13" i="1"/>
  <c r="F78" i="14"/>
  <c r="F100" i="14"/>
  <c r="H100" i="14"/>
  <c r="J100" i="14"/>
  <c r="B22" i="23"/>
  <c r="F22" i="23"/>
  <c r="E19" i="14"/>
  <c r="E18" i="14"/>
  <c r="E11" i="14"/>
  <c r="B73" i="14"/>
  <c r="B68" i="14"/>
  <c r="H68" i="14"/>
  <c r="J68" i="14"/>
  <c r="H64" i="14"/>
  <c r="J64" i="14"/>
  <c r="L64" i="14"/>
  <c r="B61" i="14"/>
  <c r="B45" i="14"/>
  <c r="H45" i="14"/>
  <c r="J45" i="14"/>
  <c r="I19" i="14"/>
  <c r="I18" i="14"/>
  <c r="G19" i="14"/>
  <c r="G18" i="14"/>
  <c r="F19" i="14"/>
  <c r="F18" i="14"/>
  <c r="D19" i="14"/>
  <c r="D18" i="14"/>
  <c r="C19" i="14"/>
  <c r="C18" i="14"/>
  <c r="B19" i="14"/>
  <c r="H19" i="14"/>
  <c r="J19" i="14"/>
  <c r="L19" i="14"/>
  <c r="B18" i="14"/>
  <c r="D17" i="14"/>
  <c r="C17" i="14"/>
  <c r="B17" i="14"/>
  <c r="I11" i="14"/>
  <c r="G11" i="14"/>
  <c r="F11" i="14"/>
  <c r="D11" i="14"/>
  <c r="D20" i="14"/>
  <c r="C11" i="89"/>
  <c r="C11" i="14"/>
  <c r="B11" i="14"/>
  <c r="C143" i="14"/>
  <c r="C142" i="14"/>
  <c r="H142" i="14"/>
  <c r="J142" i="14"/>
  <c r="L142" i="14"/>
  <c r="C136" i="14"/>
  <c r="H136" i="14"/>
  <c r="J136" i="14"/>
  <c r="C133" i="14"/>
  <c r="H133" i="14"/>
  <c r="J133" i="14"/>
  <c r="C16" i="15"/>
  <c r="D158" i="14"/>
  <c r="D153" i="14"/>
  <c r="C20" i="15"/>
  <c r="B36" i="1"/>
  <c r="H70" i="14"/>
  <c r="J70" i="14"/>
  <c r="M70" i="14"/>
  <c r="H141" i="14"/>
  <c r="J141" i="14"/>
  <c r="M141" i="14"/>
  <c r="B16" i="23"/>
  <c r="R28" i="28"/>
  <c r="R27" i="28"/>
  <c r="I13" i="14"/>
  <c r="I10" i="14"/>
  <c r="Z78" i="28"/>
  <c r="Z77" i="28"/>
  <c r="Z76" i="28"/>
  <c r="Z75" i="28"/>
  <c r="Z74" i="28"/>
  <c r="Z73" i="28"/>
  <c r="Z72" i="28"/>
  <c r="Z71" i="28"/>
  <c r="Z70" i="28"/>
  <c r="Z66" i="28"/>
  <c r="Z62" i="28"/>
  <c r="Z61" i="28"/>
  <c r="Z60" i="28"/>
  <c r="Z59" i="28"/>
  <c r="Z58" i="28"/>
  <c r="Z53" i="28"/>
  <c r="Z52" i="28"/>
  <c r="Z51" i="28"/>
  <c r="Z50" i="28"/>
  <c r="Z49" i="28"/>
  <c r="Z44" i="28"/>
  <c r="Z43" i="28"/>
  <c r="Z42" i="28"/>
  <c r="Z41" i="28"/>
  <c r="Z40" i="28"/>
  <c r="Z35" i="28"/>
  <c r="Z34" i="28"/>
  <c r="Z33" i="28"/>
  <c r="Z32" i="28"/>
  <c r="Z31" i="28"/>
  <c r="Z30" i="28"/>
  <c r="Z29" i="28"/>
  <c r="Z26" i="28"/>
  <c r="Z25" i="28"/>
  <c r="Z24" i="28"/>
  <c r="Z23" i="28"/>
  <c r="Z22" i="28"/>
  <c r="Z17" i="28"/>
  <c r="Z16" i="28"/>
  <c r="Z15" i="28"/>
  <c r="Z14" i="28"/>
  <c r="Z13" i="28"/>
  <c r="Y17" i="28"/>
  <c r="Y13" i="28"/>
  <c r="S17" i="28"/>
  <c r="S16" i="28"/>
  <c r="C14" i="15"/>
  <c r="G127" i="14"/>
  <c r="H127" i="14"/>
  <c r="J127" i="14"/>
  <c r="L127" i="14"/>
  <c r="G126" i="14"/>
  <c r="H126" i="14"/>
  <c r="J126" i="14"/>
  <c r="L126" i="14"/>
  <c r="G125" i="14"/>
  <c r="G123" i="14"/>
  <c r="G122" i="14"/>
  <c r="H122" i="14"/>
  <c r="G120" i="14"/>
  <c r="H120" i="14"/>
  <c r="J120" i="14"/>
  <c r="M120" i="14"/>
  <c r="G119" i="14"/>
  <c r="H119" i="14"/>
  <c r="J119" i="14"/>
  <c r="L119" i="14"/>
  <c r="G118" i="14"/>
  <c r="H118" i="14"/>
  <c r="J118" i="14"/>
  <c r="G117" i="14"/>
  <c r="H117" i="14"/>
  <c r="J117" i="14"/>
  <c r="G116" i="14"/>
  <c r="H116" i="14"/>
  <c r="J116" i="14"/>
  <c r="G115" i="14"/>
  <c r="G113" i="14"/>
  <c r="H113" i="14"/>
  <c r="G112" i="14"/>
  <c r="H110" i="14"/>
  <c r="J110" i="14"/>
  <c r="M110" i="14"/>
  <c r="G109" i="14"/>
  <c r="H109" i="14"/>
  <c r="J109" i="14"/>
  <c r="G108" i="14"/>
  <c r="G106" i="14"/>
  <c r="F103" i="14"/>
  <c r="H103" i="14"/>
  <c r="J103" i="14"/>
  <c r="M103" i="14"/>
  <c r="F102" i="14"/>
  <c r="F99" i="14"/>
  <c r="F98" i="14"/>
  <c r="B96" i="91"/>
  <c r="E96" i="91"/>
  <c r="H96" i="14"/>
  <c r="J96" i="14"/>
  <c r="H95" i="14"/>
  <c r="J95" i="14"/>
  <c r="M95" i="14"/>
  <c r="F91" i="14"/>
  <c r="H91" i="14"/>
  <c r="J91" i="14"/>
  <c r="F90" i="14"/>
  <c r="H90" i="14"/>
  <c r="J90" i="14"/>
  <c r="F89" i="14"/>
  <c r="H89" i="14"/>
  <c r="J89" i="14"/>
  <c r="L89" i="14"/>
  <c r="F87" i="14"/>
  <c r="H87" i="14"/>
  <c r="J87" i="14"/>
  <c r="L87" i="14"/>
  <c r="F86" i="14"/>
  <c r="H86" i="14"/>
  <c r="J86" i="14"/>
  <c r="L86" i="14"/>
  <c r="F85" i="14"/>
  <c r="H85" i="14"/>
  <c r="J85" i="14"/>
  <c r="L85" i="14"/>
  <c r="F84" i="14"/>
  <c r="F83" i="14"/>
  <c r="H83" i="14"/>
  <c r="F80" i="14"/>
  <c r="H80" i="14"/>
  <c r="J80" i="14"/>
  <c r="L80" i="14"/>
  <c r="H78" i="14"/>
  <c r="J78" i="14"/>
  <c r="M78" i="14"/>
  <c r="E189" i="14"/>
  <c r="H189" i="14"/>
  <c r="J189" i="14"/>
  <c r="E188" i="14"/>
  <c r="E187" i="14"/>
  <c r="H187" i="14"/>
  <c r="J187" i="14"/>
  <c r="D183" i="14"/>
  <c r="H183" i="14"/>
  <c r="J183" i="14"/>
  <c r="H182" i="14"/>
  <c r="J182" i="14"/>
  <c r="D180" i="14"/>
  <c r="H180" i="14"/>
  <c r="J180" i="14"/>
  <c r="D179" i="14"/>
  <c r="H179" i="14"/>
  <c r="J179" i="14"/>
  <c r="M179" i="14"/>
  <c r="D177" i="14"/>
  <c r="D176" i="14"/>
  <c r="D175" i="14"/>
  <c r="D174" i="14"/>
  <c r="H174" i="14"/>
  <c r="J174" i="14"/>
  <c r="D173" i="14"/>
  <c r="H173" i="14"/>
  <c r="J173" i="14"/>
  <c r="D172" i="14"/>
  <c r="D169" i="14"/>
  <c r="D166" i="14"/>
  <c r="D164" i="14"/>
  <c r="D163" i="14"/>
  <c r="D159" i="14"/>
  <c r="D157" i="14"/>
  <c r="D156" i="14"/>
  <c r="D155" i="14"/>
  <c r="H155" i="14"/>
  <c r="J155" i="14"/>
  <c r="D154" i="14"/>
  <c r="H154" i="14"/>
  <c r="H149" i="14"/>
  <c r="J149" i="14"/>
  <c r="H148" i="14"/>
  <c r="J148" i="14"/>
  <c r="C146" i="14"/>
  <c r="C144" i="14"/>
  <c r="H144" i="14"/>
  <c r="J144" i="14"/>
  <c r="H143" i="14"/>
  <c r="J143" i="14"/>
  <c r="C140" i="14"/>
  <c r="H140" i="14"/>
  <c r="J140" i="14"/>
  <c r="L140" i="14"/>
  <c r="C139" i="14"/>
  <c r="C135" i="14"/>
  <c r="H135" i="14"/>
  <c r="J135" i="14"/>
  <c r="C132" i="14"/>
  <c r="B29" i="14"/>
  <c r="B72" i="14"/>
  <c r="B71" i="14"/>
  <c r="B28" i="91"/>
  <c r="E28" i="91"/>
  <c r="B69" i="14"/>
  <c r="H69" i="14"/>
  <c r="J69" i="14"/>
  <c r="B67" i="14"/>
  <c r="B60" i="14"/>
  <c r="B59" i="14"/>
  <c r="B58" i="14"/>
  <c r="B23" i="91"/>
  <c r="E23" i="91"/>
  <c r="B57" i="14"/>
  <c r="B56" i="14"/>
  <c r="H56" i="14"/>
  <c r="J56" i="14"/>
  <c r="B55" i="14"/>
  <c r="B54" i="14"/>
  <c r="H54" i="14"/>
  <c r="J54" i="14"/>
  <c r="M54" i="14"/>
  <c r="B52" i="14"/>
  <c r="B51" i="14"/>
  <c r="B50" i="14"/>
  <c r="B48" i="14"/>
  <c r="H48" i="14"/>
  <c r="J48" i="14"/>
  <c r="B46" i="14"/>
  <c r="H46" i="14"/>
  <c r="J46" i="14"/>
  <c r="B44" i="14"/>
  <c r="L20" i="23"/>
  <c r="L22" i="23"/>
  <c r="F31" i="14"/>
  <c r="L28" i="23"/>
  <c r="F26" i="14"/>
  <c r="L26" i="23"/>
  <c r="F25" i="14"/>
  <c r="C134" i="14"/>
  <c r="H134" i="14"/>
  <c r="J134" i="14"/>
  <c r="K30" i="23"/>
  <c r="D29" i="14"/>
  <c r="K28" i="23"/>
  <c r="K26" i="23"/>
  <c r="D25" i="14"/>
  <c r="K22" i="23"/>
  <c r="J30" i="23"/>
  <c r="C29" i="14"/>
  <c r="J28" i="23"/>
  <c r="J22" i="23"/>
  <c r="J26" i="23"/>
  <c r="C25" i="14"/>
  <c r="J10" i="23"/>
  <c r="C22" i="14"/>
  <c r="C37" i="14"/>
  <c r="I20" i="23"/>
  <c r="I22" i="23"/>
  <c r="I28" i="23"/>
  <c r="B26" i="14"/>
  <c r="H26" i="14"/>
  <c r="J26" i="14"/>
  <c r="I26" i="23"/>
  <c r="I24" i="23"/>
  <c r="B13" i="14"/>
  <c r="H30" i="23"/>
  <c r="H28" i="23"/>
  <c r="H37" i="23"/>
  <c r="H26" i="23"/>
  <c r="H24" i="23"/>
  <c r="E23" i="14"/>
  <c r="E37" i="14"/>
  <c r="G20" i="23"/>
  <c r="G34" i="14"/>
  <c r="G14" i="23"/>
  <c r="G28" i="23"/>
  <c r="G26" i="14"/>
  <c r="G26" i="23"/>
  <c r="G25" i="14"/>
  <c r="H25" i="14"/>
  <c r="J25" i="14"/>
  <c r="G24" i="23"/>
  <c r="G22" i="23"/>
  <c r="G10" i="23"/>
  <c r="G22" i="14"/>
  <c r="B15" i="1"/>
  <c r="B14" i="1"/>
  <c r="P17" i="28"/>
  <c r="H75" i="28"/>
  <c r="H74" i="28"/>
  <c r="H31" i="28"/>
  <c r="H17" i="28"/>
  <c r="I34" i="28"/>
  <c r="I33" i="28"/>
  <c r="I32" i="28"/>
  <c r="E7" i="28"/>
  <c r="H13" i="28"/>
  <c r="H14" i="28"/>
  <c r="R14" i="28"/>
  <c r="H15" i="28"/>
  <c r="H16" i="28"/>
  <c r="W16" i="28"/>
  <c r="H23" i="28"/>
  <c r="H24" i="28"/>
  <c r="W24" i="28"/>
  <c r="H25" i="28"/>
  <c r="H26" i="28"/>
  <c r="R26" i="28"/>
  <c r="H27" i="28"/>
  <c r="H28" i="28"/>
  <c r="P28" i="28"/>
  <c r="H29" i="28"/>
  <c r="H30" i="28"/>
  <c r="P30" i="28"/>
  <c r="H32" i="28"/>
  <c r="Q32" i="28"/>
  <c r="H33" i="28"/>
  <c r="H34" i="28"/>
  <c r="T34" i="28"/>
  <c r="H35" i="28"/>
  <c r="H41" i="28"/>
  <c r="H42" i="28"/>
  <c r="H43" i="28"/>
  <c r="Q43" i="28"/>
  <c r="H44" i="28"/>
  <c r="H50" i="28"/>
  <c r="H51" i="28"/>
  <c r="H52" i="28"/>
  <c r="H53" i="28"/>
  <c r="H59" i="28"/>
  <c r="H60" i="28"/>
  <c r="H61" i="28"/>
  <c r="H62" i="28"/>
  <c r="H162" i="14"/>
  <c r="J162" i="14"/>
  <c r="H77" i="14"/>
  <c r="J77" i="14"/>
  <c r="M77" i="14"/>
  <c r="H167" i="14"/>
  <c r="J167" i="14"/>
  <c r="H161" i="14"/>
  <c r="B22" i="14"/>
  <c r="D22" i="14"/>
  <c r="M34" i="23"/>
  <c r="F34" i="23"/>
  <c r="F30" i="23"/>
  <c r="F10" i="23"/>
  <c r="M8" i="23"/>
  <c r="O8" i="23"/>
  <c r="P8" i="23"/>
  <c r="E10" i="23"/>
  <c r="R13" i="28"/>
  <c r="J66" i="28"/>
  <c r="I65" i="28"/>
  <c r="H65" i="28"/>
  <c r="G65" i="28"/>
  <c r="O34" i="23"/>
  <c r="P34" i="23"/>
  <c r="B17" i="1"/>
  <c r="H138" i="14"/>
  <c r="J138" i="14"/>
  <c r="B29" i="1"/>
  <c r="B28" i="1"/>
  <c r="I207" i="14"/>
  <c r="B34" i="23"/>
  <c r="D32" i="23"/>
  <c r="C32" i="23"/>
  <c r="B32" i="23"/>
  <c r="D30" i="23"/>
  <c r="C30" i="23"/>
  <c r="B30" i="23"/>
  <c r="C28" i="23"/>
  <c r="B28" i="23"/>
  <c r="F28" i="23"/>
  <c r="I26" i="14"/>
  <c r="B26" i="23"/>
  <c r="F26" i="23"/>
  <c r="C24" i="23"/>
  <c r="B24" i="23"/>
  <c r="C20" i="23"/>
  <c r="B20" i="23"/>
  <c r="E18" i="23"/>
  <c r="D18" i="23"/>
  <c r="C18" i="23"/>
  <c r="B18" i="23"/>
  <c r="F18" i="23"/>
  <c r="E16" i="23"/>
  <c r="D16" i="23"/>
  <c r="C16" i="23"/>
  <c r="F16" i="23"/>
  <c r="C14" i="23"/>
  <c r="B14" i="23"/>
  <c r="F14" i="23"/>
  <c r="I24" i="14"/>
  <c r="C12" i="23"/>
  <c r="F12" i="23"/>
  <c r="L16" i="23"/>
  <c r="K16" i="23"/>
  <c r="J16" i="23"/>
  <c r="I16" i="23"/>
  <c r="H16" i="23"/>
  <c r="G16" i="23"/>
  <c r="G34" i="23"/>
  <c r="L18" i="23"/>
  <c r="F33" i="14"/>
  <c r="K18" i="23"/>
  <c r="D33" i="14"/>
  <c r="J18" i="23"/>
  <c r="C33" i="14"/>
  <c r="I18" i="23"/>
  <c r="G18" i="23"/>
  <c r="I104" i="28"/>
  <c r="I107" i="28"/>
  <c r="E100" i="91"/>
  <c r="E47" i="91"/>
  <c r="S207" i="86"/>
  <c r="R207" i="86"/>
  <c r="B130" i="91"/>
  <c r="E130" i="91"/>
  <c r="H47" i="90"/>
  <c r="H46" i="90"/>
  <c r="H45" i="90"/>
  <c r="H44" i="90"/>
  <c r="H43" i="90"/>
  <c r="H42" i="90"/>
  <c r="H41" i="90"/>
  <c r="H40" i="90"/>
  <c r="H39" i="90"/>
  <c r="H37" i="90"/>
  <c r="H36" i="90"/>
  <c r="H35" i="90"/>
  <c r="H34" i="90"/>
  <c r="H33" i="90"/>
  <c r="H32" i="90"/>
  <c r="H31" i="90"/>
  <c r="H30" i="90"/>
  <c r="H29" i="90"/>
  <c r="H28" i="90"/>
  <c r="H27" i="90"/>
  <c r="H26" i="90"/>
  <c r="H25" i="90"/>
  <c r="H24" i="90"/>
  <c r="H23" i="90"/>
  <c r="H22" i="90"/>
  <c r="H21" i="90"/>
  <c r="H20" i="90"/>
  <c r="H19" i="90"/>
  <c r="H18" i="90"/>
  <c r="H17" i="90"/>
  <c r="H16" i="90"/>
  <c r="H15" i="90"/>
  <c r="H14" i="90"/>
  <c r="H13" i="90"/>
  <c r="H12" i="90"/>
  <c r="H11" i="90"/>
  <c r="H10" i="90"/>
  <c r="H9" i="90"/>
  <c r="E28" i="14"/>
  <c r="D18" i="91"/>
  <c r="D9" i="91"/>
  <c r="D111" i="91"/>
  <c r="D105" i="91"/>
  <c r="D123" i="91"/>
  <c r="D45" i="91"/>
  <c r="E45" i="91"/>
  <c r="E59" i="91"/>
  <c r="D56" i="91"/>
  <c r="D33" i="91"/>
  <c r="E38" i="91"/>
  <c r="E36" i="91"/>
  <c r="E35" i="91"/>
  <c r="E34" i="91"/>
  <c r="E89" i="91"/>
  <c r="E88" i="91"/>
  <c r="E87" i="91"/>
  <c r="E85" i="91"/>
  <c r="D80" i="91"/>
  <c r="E15" i="91"/>
  <c r="E13" i="91"/>
  <c r="G38" i="90"/>
  <c r="H38" i="90"/>
  <c r="G34" i="90"/>
  <c r="G25" i="90"/>
  <c r="G16" i="90"/>
  <c r="G9" i="90"/>
  <c r="B16" i="90"/>
  <c r="C46" i="90"/>
  <c r="C33" i="90"/>
  <c r="C32" i="90"/>
  <c r="C31" i="90"/>
  <c r="C30" i="90"/>
  <c r="C27" i="90"/>
  <c r="C26" i="90"/>
  <c r="C22" i="90"/>
  <c r="C20" i="90"/>
  <c r="C18" i="90"/>
  <c r="C17" i="90"/>
  <c r="C15" i="90"/>
  <c r="C14" i="90"/>
  <c r="C13" i="90"/>
  <c r="C12" i="90"/>
  <c r="C11" i="90"/>
  <c r="C10" i="90"/>
  <c r="J38" i="90"/>
  <c r="F38" i="90"/>
  <c r="E38" i="90"/>
  <c r="D38" i="90"/>
  <c r="C38" i="90"/>
  <c r="B38" i="90"/>
  <c r="J34" i="90"/>
  <c r="F34" i="90"/>
  <c r="E34" i="90"/>
  <c r="D34" i="90"/>
  <c r="C34" i="90"/>
  <c r="B34" i="90"/>
  <c r="B25" i="90"/>
  <c r="J25" i="90"/>
  <c r="E25" i="90"/>
  <c r="D25" i="90"/>
  <c r="C25" i="90"/>
  <c r="J16" i="90"/>
  <c r="E16" i="90"/>
  <c r="D16" i="90"/>
  <c r="C16" i="90"/>
  <c r="J9" i="90"/>
  <c r="E9" i="90"/>
  <c r="D9" i="90"/>
  <c r="D48" i="90"/>
  <c r="C9" i="90"/>
  <c r="J80" i="81"/>
  <c r="J81" i="81"/>
  <c r="J79" i="81"/>
  <c r="J73" i="81"/>
  <c r="J74" i="81"/>
  <c r="J75" i="81"/>
  <c r="J76" i="81"/>
  <c r="J71" i="81"/>
  <c r="J77" i="81"/>
  <c r="J72" i="81"/>
  <c r="J68" i="81"/>
  <c r="J61" i="81"/>
  <c r="J62" i="81"/>
  <c r="J63" i="81"/>
  <c r="J64" i="81"/>
  <c r="J59" i="81"/>
  <c r="J60" i="81"/>
  <c r="J55" i="81"/>
  <c r="J53" i="81"/>
  <c r="J52" i="81"/>
  <c r="J51" i="81"/>
  <c r="J50" i="81"/>
  <c r="J44" i="81"/>
  <c r="J45" i="81"/>
  <c r="J43" i="81"/>
  <c r="J41" i="81"/>
  <c r="J40" i="81"/>
  <c r="J33" i="81"/>
  <c r="J34" i="81"/>
  <c r="J35" i="81"/>
  <c r="J36" i="81"/>
  <c r="J32" i="81"/>
  <c r="J31" i="81"/>
  <c r="J30" i="81"/>
  <c r="J29" i="81"/>
  <c r="J28" i="81"/>
  <c r="J27" i="81"/>
  <c r="J26" i="81"/>
  <c r="J25" i="81"/>
  <c r="J24" i="81"/>
  <c r="J23" i="81"/>
  <c r="J14" i="81"/>
  <c r="J13" i="81"/>
  <c r="J12" i="81"/>
  <c r="J11" i="81"/>
  <c r="J10" i="81"/>
  <c r="I81" i="81"/>
  <c r="I80" i="81"/>
  <c r="I79" i="81"/>
  <c r="I77" i="81"/>
  <c r="K73" i="81"/>
  <c r="I76" i="81"/>
  <c r="I73" i="81"/>
  <c r="I75" i="81"/>
  <c r="I74" i="81"/>
  <c r="I72" i="81"/>
  <c r="I68" i="81"/>
  <c r="I64" i="81"/>
  <c r="I63" i="81"/>
  <c r="I62" i="81"/>
  <c r="I61" i="81"/>
  <c r="I60" i="81"/>
  <c r="I55" i="81"/>
  <c r="I53" i="81"/>
  <c r="I52" i="81"/>
  <c r="I51" i="81"/>
  <c r="I50" i="81"/>
  <c r="I45" i="81"/>
  <c r="I44" i="81"/>
  <c r="I43" i="81"/>
  <c r="I41" i="81"/>
  <c r="I40" i="81"/>
  <c r="I36" i="81"/>
  <c r="I35" i="81"/>
  <c r="I34" i="81"/>
  <c r="I33" i="81"/>
  <c r="I32" i="81"/>
  <c r="I31" i="81"/>
  <c r="I30" i="81"/>
  <c r="I29" i="81"/>
  <c r="I28" i="81"/>
  <c r="I27" i="81"/>
  <c r="I26" i="81"/>
  <c r="I25" i="81"/>
  <c r="I24" i="81"/>
  <c r="I23" i="81"/>
  <c r="I14" i="81"/>
  <c r="I13" i="81"/>
  <c r="I12" i="81"/>
  <c r="I11" i="81"/>
  <c r="I10" i="81"/>
  <c r="D16" i="89"/>
  <c r="B95" i="88"/>
  <c r="H195" i="14"/>
  <c r="J195" i="14"/>
  <c r="M195" i="14"/>
  <c r="H178" i="14"/>
  <c r="J178" i="14"/>
  <c r="M178" i="14"/>
  <c r="H168" i="14"/>
  <c r="J168" i="14"/>
  <c r="L168" i="14"/>
  <c r="H165" i="14"/>
  <c r="H97" i="14"/>
  <c r="J97" i="14"/>
  <c r="L97" i="14"/>
  <c r="H88" i="14"/>
  <c r="J88" i="14"/>
  <c r="H81" i="14"/>
  <c r="J81" i="14"/>
  <c r="M81" i="14"/>
  <c r="H79" i="14"/>
  <c r="J79" i="14"/>
  <c r="F26" i="28"/>
  <c r="X26" i="28"/>
  <c r="I29" i="14"/>
  <c r="H71" i="28"/>
  <c r="H73" i="28"/>
  <c r="H72" i="28"/>
  <c r="K32" i="81"/>
  <c r="N32" i="81"/>
  <c r="K29" i="81"/>
  <c r="N29" i="81"/>
  <c r="J49" i="81"/>
  <c r="J39" i="81"/>
  <c r="J22" i="81"/>
  <c r="C11" i="15"/>
  <c r="F71" i="28"/>
  <c r="L71" i="28"/>
  <c r="G22" i="81"/>
  <c r="G21" i="81"/>
  <c r="G8" i="81"/>
  <c r="G7" i="81"/>
  <c r="U36" i="86"/>
  <c r="U19" i="86"/>
  <c r="B72" i="74"/>
  <c r="C72" i="74"/>
  <c r="D72" i="74"/>
  <c r="E72" i="74"/>
  <c r="F72" i="74"/>
  <c r="G72" i="74"/>
  <c r="K53" i="74"/>
  <c r="K59" i="74"/>
  <c r="R198" i="86"/>
  <c r="I198" i="86"/>
  <c r="M198" i="86"/>
  <c r="C21" i="28"/>
  <c r="R9" i="86"/>
  <c r="F17" i="24"/>
  <c r="J13" i="74"/>
  <c r="J49" i="74"/>
  <c r="K42" i="74"/>
  <c r="E33" i="24"/>
  <c r="F33" i="24"/>
  <c r="K69" i="74"/>
  <c r="E34" i="24"/>
  <c r="F34" i="24"/>
  <c r="H27" i="74"/>
  <c r="G27" i="74"/>
  <c r="F27" i="74"/>
  <c r="E27" i="74"/>
  <c r="D27" i="74"/>
  <c r="C27" i="74"/>
  <c r="B27" i="74"/>
  <c r="D13" i="74"/>
  <c r="B13" i="74"/>
  <c r="B29" i="74"/>
  <c r="B30" i="74"/>
  <c r="B49" i="74"/>
  <c r="B67" i="74"/>
  <c r="B68" i="74"/>
  <c r="B65" i="74"/>
  <c r="H36" i="14"/>
  <c r="J36" i="14"/>
  <c r="L36" i="14"/>
  <c r="H35" i="14"/>
  <c r="J35" i="14"/>
  <c r="H32" i="14"/>
  <c r="J32" i="14"/>
  <c r="H27" i="14"/>
  <c r="J27" i="14"/>
  <c r="B102" i="88"/>
  <c r="B93" i="88"/>
  <c r="B89" i="88"/>
  <c r="B90" i="88"/>
  <c r="B94" i="88"/>
  <c r="F80" i="88"/>
  <c r="I80" i="88"/>
  <c r="F79" i="88"/>
  <c r="I79" i="88"/>
  <c r="F78" i="88"/>
  <c r="F77" i="88"/>
  <c r="I77" i="88"/>
  <c r="F76" i="88"/>
  <c r="F75" i="88"/>
  <c r="H66" i="88"/>
  <c r="G66" i="88"/>
  <c r="E65" i="88"/>
  <c r="H57" i="88"/>
  <c r="G57" i="88"/>
  <c r="G69" i="88"/>
  <c r="E56" i="88"/>
  <c r="E57" i="88"/>
  <c r="C42" i="88"/>
  <c r="C37" i="88"/>
  <c r="B24" i="88"/>
  <c r="B25" i="88"/>
  <c r="C25" i="88"/>
  <c r="C26" i="88"/>
  <c r="C23" i="88"/>
  <c r="C24" i="88"/>
  <c r="B19" i="88"/>
  <c r="B20" i="88"/>
  <c r="C20" i="88"/>
  <c r="C18" i="88"/>
  <c r="C19" i="88"/>
  <c r="B16" i="88"/>
  <c r="B17" i="88"/>
  <c r="C17" i="88"/>
  <c r="B15" i="88"/>
  <c r="C13" i="88"/>
  <c r="C16" i="88"/>
  <c r="C12" i="88"/>
  <c r="B80" i="88"/>
  <c r="C10" i="88"/>
  <c r="C9" i="88"/>
  <c r="C6" i="88"/>
  <c r="B56" i="88"/>
  <c r="C12" i="28"/>
  <c r="I12" i="28"/>
  <c r="F17" i="28"/>
  <c r="J67" i="81"/>
  <c r="G67" i="81"/>
  <c r="G66" i="81"/>
  <c r="F67" i="81"/>
  <c r="E67" i="81"/>
  <c r="C65" i="28"/>
  <c r="C69" i="28"/>
  <c r="C57" i="28"/>
  <c r="C48" i="28"/>
  <c r="C39" i="28"/>
  <c r="J34" i="28"/>
  <c r="F34" i="28"/>
  <c r="L34" i="28"/>
  <c r="V33" i="28"/>
  <c r="F33" i="28"/>
  <c r="F32" i="28"/>
  <c r="K32" i="28"/>
  <c r="H66" i="28"/>
  <c r="F59" i="28"/>
  <c r="O59" i="28"/>
  <c r="G49" i="74"/>
  <c r="E28" i="24"/>
  <c r="E27" i="24"/>
  <c r="G58" i="74"/>
  <c r="K63" i="74"/>
  <c r="K57" i="74"/>
  <c r="K62" i="74"/>
  <c r="K61" i="74"/>
  <c r="K34" i="74"/>
  <c r="K33" i="74"/>
  <c r="K25" i="74"/>
  <c r="K22" i="74"/>
  <c r="K19" i="74"/>
  <c r="K18" i="74"/>
  <c r="K17" i="74"/>
  <c r="K8" i="74"/>
  <c r="K7" i="74"/>
  <c r="K6" i="74"/>
  <c r="K5" i="74"/>
  <c r="K47" i="74"/>
  <c r="K46" i="74"/>
  <c r="K45" i="74"/>
  <c r="K44" i="74"/>
  <c r="K43" i="74"/>
  <c r="K40" i="74"/>
  <c r="I49" i="74"/>
  <c r="H49" i="74"/>
  <c r="F49" i="74"/>
  <c r="E49" i="74"/>
  <c r="D41" i="74"/>
  <c r="K41" i="74"/>
  <c r="C49" i="74"/>
  <c r="C11" i="74"/>
  <c r="I13" i="74"/>
  <c r="H13" i="74"/>
  <c r="G13" i="74"/>
  <c r="G29" i="74"/>
  <c r="G30" i="74"/>
  <c r="F13" i="74"/>
  <c r="E13" i="74"/>
  <c r="E29" i="74"/>
  <c r="E30" i="74"/>
  <c r="K10" i="74"/>
  <c r="K4" i="74"/>
  <c r="K9" i="74"/>
  <c r="F8" i="81"/>
  <c r="E8" i="81"/>
  <c r="G49" i="81"/>
  <c r="G48" i="81"/>
  <c r="G59" i="81"/>
  <c r="G58" i="81"/>
  <c r="F49" i="81"/>
  <c r="F66" i="28"/>
  <c r="U66" i="28"/>
  <c r="U65" i="28"/>
  <c r="J65" i="74"/>
  <c r="J67" i="74"/>
  <c r="J68" i="74"/>
  <c r="J27" i="74"/>
  <c r="J29" i="74"/>
  <c r="K20" i="74"/>
  <c r="K21" i="74"/>
  <c r="K23" i="74"/>
  <c r="K24" i="74"/>
  <c r="K35" i="74"/>
  <c r="K36" i="74"/>
  <c r="K52" i="74"/>
  <c r="K55" i="74"/>
  <c r="K56" i="74"/>
  <c r="K60" i="74"/>
  <c r="W61" i="28"/>
  <c r="H78" i="28"/>
  <c r="H77" i="28"/>
  <c r="H76" i="28"/>
  <c r="Q50" i="28"/>
  <c r="F28" i="28"/>
  <c r="L28" i="28"/>
  <c r="F27" i="28"/>
  <c r="U27" i="28"/>
  <c r="F42" i="28"/>
  <c r="B33" i="14"/>
  <c r="G28" i="14"/>
  <c r="E37" i="23"/>
  <c r="X9" i="86"/>
  <c r="X10" i="86"/>
  <c r="X11" i="86"/>
  <c r="W36" i="86"/>
  <c r="V36" i="86"/>
  <c r="T36" i="86"/>
  <c r="X34" i="86"/>
  <c r="X33" i="86"/>
  <c r="X32" i="86"/>
  <c r="X31" i="86"/>
  <c r="X30" i="86"/>
  <c r="X29" i="86"/>
  <c r="X28" i="86"/>
  <c r="X27" i="86"/>
  <c r="X25" i="86"/>
  <c r="X24" i="86"/>
  <c r="X23" i="86"/>
  <c r="X22" i="86"/>
  <c r="W19" i="86"/>
  <c r="V19" i="86"/>
  <c r="T19" i="86"/>
  <c r="T37" i="86"/>
  <c r="X18" i="86"/>
  <c r="X17" i="86"/>
  <c r="X16" i="86"/>
  <c r="X15" i="86"/>
  <c r="X14" i="86"/>
  <c r="X13" i="86"/>
  <c r="X12" i="86"/>
  <c r="D192" i="86"/>
  <c r="D188" i="86"/>
  <c r="G188" i="86"/>
  <c r="I188" i="86"/>
  <c r="M188" i="86"/>
  <c r="S188" i="86"/>
  <c r="D186" i="86"/>
  <c r="B165" i="86"/>
  <c r="G165" i="86"/>
  <c r="I165" i="86"/>
  <c r="M165" i="86"/>
  <c r="S165" i="86"/>
  <c r="B164" i="86"/>
  <c r="B128" i="86"/>
  <c r="G128" i="86"/>
  <c r="I128" i="86"/>
  <c r="M128" i="86"/>
  <c r="B127" i="86"/>
  <c r="G127" i="86"/>
  <c r="B125" i="86"/>
  <c r="R10" i="86"/>
  <c r="R11" i="86"/>
  <c r="R12" i="86"/>
  <c r="R13" i="86"/>
  <c r="R14" i="86"/>
  <c r="R15" i="86"/>
  <c r="R16" i="86"/>
  <c r="R17" i="86"/>
  <c r="R18" i="86"/>
  <c r="R21" i="86"/>
  <c r="R22" i="86"/>
  <c r="R23" i="86"/>
  <c r="R24" i="86"/>
  <c r="R25" i="86"/>
  <c r="R26" i="86"/>
  <c r="R27" i="86"/>
  <c r="R28" i="86"/>
  <c r="R29" i="86"/>
  <c r="R30" i="86"/>
  <c r="R31" i="86"/>
  <c r="R32" i="86"/>
  <c r="R33" i="86"/>
  <c r="R34" i="86"/>
  <c r="R35" i="86"/>
  <c r="R43" i="86"/>
  <c r="R44" i="86"/>
  <c r="R45" i="86"/>
  <c r="R48" i="86"/>
  <c r="R49" i="86"/>
  <c r="R50" i="86"/>
  <c r="R51" i="86"/>
  <c r="R52" i="86"/>
  <c r="R53" i="86"/>
  <c r="R55" i="86"/>
  <c r="R56" i="86"/>
  <c r="R57" i="86"/>
  <c r="R58" i="86"/>
  <c r="R59" i="86"/>
  <c r="R61" i="86"/>
  <c r="R62" i="86"/>
  <c r="R63" i="86"/>
  <c r="R64" i="86"/>
  <c r="R66" i="86"/>
  <c r="R67" i="86"/>
  <c r="R69" i="86"/>
  <c r="R70" i="86"/>
  <c r="R72" i="86"/>
  <c r="R73" i="86"/>
  <c r="R74" i="86"/>
  <c r="R75" i="86"/>
  <c r="R76" i="86"/>
  <c r="R77" i="86"/>
  <c r="R78" i="86"/>
  <c r="R80" i="86"/>
  <c r="R81" i="86"/>
  <c r="R82" i="86"/>
  <c r="R83" i="86"/>
  <c r="R88" i="86"/>
  <c r="R89" i="86"/>
  <c r="R90" i="86"/>
  <c r="R91" i="86"/>
  <c r="R94" i="86"/>
  <c r="R95" i="86"/>
  <c r="R96" i="86"/>
  <c r="R98" i="86"/>
  <c r="R100" i="86"/>
  <c r="R101" i="86"/>
  <c r="R102" i="86"/>
  <c r="R103" i="86"/>
  <c r="R104" i="86"/>
  <c r="R105" i="86"/>
  <c r="R107" i="86"/>
  <c r="R108" i="86"/>
  <c r="R110" i="86"/>
  <c r="R111" i="86"/>
  <c r="R112" i="86"/>
  <c r="R114" i="86"/>
  <c r="R115" i="86"/>
  <c r="R116" i="86"/>
  <c r="R117" i="86"/>
  <c r="R121" i="86"/>
  <c r="R122" i="86"/>
  <c r="S122" i="86"/>
  <c r="R123" i="86"/>
  <c r="R125" i="86"/>
  <c r="R126" i="86"/>
  <c r="R127" i="86"/>
  <c r="R128" i="86"/>
  <c r="S128" i="86"/>
  <c r="R131" i="86"/>
  <c r="R132" i="86"/>
  <c r="R133" i="86"/>
  <c r="R134" i="86"/>
  <c r="S134" i="86"/>
  <c r="R136" i="86"/>
  <c r="R137" i="86"/>
  <c r="R138" i="86"/>
  <c r="R139" i="86"/>
  <c r="R140" i="86"/>
  <c r="R143" i="86"/>
  <c r="R144" i="86"/>
  <c r="R146" i="86"/>
  <c r="S146" i="86"/>
  <c r="R147" i="86"/>
  <c r="R148" i="86"/>
  <c r="R149" i="86"/>
  <c r="R150" i="86"/>
  <c r="R152" i="86"/>
  <c r="R153" i="86"/>
  <c r="R154" i="86"/>
  <c r="R157" i="86"/>
  <c r="R158" i="86"/>
  <c r="R160" i="86"/>
  <c r="R161" i="86"/>
  <c r="R164" i="86"/>
  <c r="R165" i="86"/>
  <c r="R166" i="86"/>
  <c r="R167" i="86"/>
  <c r="R168" i="86"/>
  <c r="S168" i="86"/>
  <c r="R170" i="86"/>
  <c r="R171" i="86"/>
  <c r="R175" i="86"/>
  <c r="R176" i="86"/>
  <c r="S176" i="86"/>
  <c r="R177" i="86"/>
  <c r="R178" i="86"/>
  <c r="R181" i="86"/>
  <c r="R182" i="86"/>
  <c r="S182" i="86"/>
  <c r="R183" i="86"/>
  <c r="R184" i="86"/>
  <c r="R185" i="86"/>
  <c r="R187" i="86"/>
  <c r="S187" i="86"/>
  <c r="R188" i="86"/>
  <c r="R189" i="86"/>
  <c r="R190" i="86"/>
  <c r="R191" i="86"/>
  <c r="R192" i="86"/>
  <c r="R193" i="86"/>
  <c r="R194" i="86"/>
  <c r="R195" i="86"/>
  <c r="S195" i="86"/>
  <c r="R199" i="86"/>
  <c r="R201" i="86"/>
  <c r="R204" i="86"/>
  <c r="R205" i="86"/>
  <c r="S205" i="86"/>
  <c r="O135" i="86"/>
  <c r="Q203" i="86"/>
  <c r="P203" i="86"/>
  <c r="O203" i="86"/>
  <c r="Q197" i="86"/>
  <c r="P197" i="86"/>
  <c r="O197" i="86"/>
  <c r="Q186" i="86"/>
  <c r="P186" i="86"/>
  <c r="O186" i="86"/>
  <c r="Q180" i="86"/>
  <c r="Q179" i="86"/>
  <c r="P180" i="86"/>
  <c r="O180" i="86"/>
  <c r="Q174" i="86"/>
  <c r="Q173" i="86"/>
  <c r="P174" i="86"/>
  <c r="P173" i="86"/>
  <c r="O174" i="86"/>
  <c r="O173" i="86"/>
  <c r="O172" i="86"/>
  <c r="Q169" i="86"/>
  <c r="P169" i="86"/>
  <c r="O169" i="86"/>
  <c r="Q163" i="86"/>
  <c r="P163" i="86"/>
  <c r="P162" i="86"/>
  <c r="O163" i="86"/>
  <c r="Q159" i="86"/>
  <c r="P159" i="86"/>
  <c r="O159" i="86"/>
  <c r="Q156" i="86"/>
  <c r="P156" i="86"/>
  <c r="O156" i="86"/>
  <c r="O155" i="86"/>
  <c r="Q151" i="86"/>
  <c r="P151" i="86"/>
  <c r="O151" i="86"/>
  <c r="Q145" i="86"/>
  <c r="P145" i="86"/>
  <c r="O145" i="86"/>
  <c r="Q142" i="86"/>
  <c r="P142" i="86"/>
  <c r="O142" i="86"/>
  <c r="Q135" i="86"/>
  <c r="P135" i="86"/>
  <c r="Q130" i="86"/>
  <c r="P130" i="86"/>
  <c r="O130" i="86"/>
  <c r="Q124" i="86"/>
  <c r="P124" i="86"/>
  <c r="O124" i="86"/>
  <c r="Q120" i="86"/>
  <c r="P120" i="86"/>
  <c r="O120" i="86"/>
  <c r="Q113" i="86"/>
  <c r="P113" i="86"/>
  <c r="O113" i="86"/>
  <c r="Q109" i="86"/>
  <c r="P109" i="86"/>
  <c r="O109" i="86"/>
  <c r="Q106" i="86"/>
  <c r="P106" i="86"/>
  <c r="O106" i="86"/>
  <c r="Q99" i="86"/>
  <c r="P99" i="86"/>
  <c r="O99" i="86"/>
  <c r="Q97" i="86"/>
  <c r="P97" i="86"/>
  <c r="O97" i="86"/>
  <c r="Q93" i="86"/>
  <c r="Q92" i="86"/>
  <c r="P93" i="86"/>
  <c r="P92" i="86"/>
  <c r="O93" i="86"/>
  <c r="O92" i="86"/>
  <c r="Q87" i="86"/>
  <c r="Q86" i="86"/>
  <c r="Q85" i="86"/>
  <c r="P87" i="86"/>
  <c r="O87" i="86"/>
  <c r="Q79" i="86"/>
  <c r="P79" i="86"/>
  <c r="O79" i="86"/>
  <c r="Q71" i="86"/>
  <c r="P71" i="86"/>
  <c r="O71" i="86"/>
  <c r="Q68" i="86"/>
  <c r="P68" i="86"/>
  <c r="O68" i="86"/>
  <c r="Q65" i="86"/>
  <c r="P65" i="86"/>
  <c r="O65" i="86"/>
  <c r="Q60" i="86"/>
  <c r="P60" i="86"/>
  <c r="O60" i="86"/>
  <c r="Q54" i="86"/>
  <c r="P54" i="86"/>
  <c r="O54" i="86"/>
  <c r="Q47" i="86"/>
  <c r="P47" i="86"/>
  <c r="O47" i="86"/>
  <c r="O46" i="86"/>
  <c r="Q42" i="86"/>
  <c r="Q41" i="86"/>
  <c r="P42" i="86"/>
  <c r="P41" i="86"/>
  <c r="O42" i="86"/>
  <c r="Q36" i="86"/>
  <c r="P36" i="86"/>
  <c r="O36" i="86"/>
  <c r="Q19" i="86"/>
  <c r="Q37" i="86"/>
  <c r="P19" i="86"/>
  <c r="O19" i="86"/>
  <c r="Q8" i="86"/>
  <c r="P8" i="86"/>
  <c r="O8" i="86"/>
  <c r="R8" i="86"/>
  <c r="N203" i="86"/>
  <c r="N197" i="86"/>
  <c r="R197" i="86"/>
  <c r="N186" i="86"/>
  <c r="N180" i="86"/>
  <c r="N174" i="86"/>
  <c r="N169" i="86"/>
  <c r="N163" i="86"/>
  <c r="N159" i="86"/>
  <c r="N156" i="86"/>
  <c r="N151" i="86"/>
  <c r="N145" i="86"/>
  <c r="N142" i="86"/>
  <c r="N135" i="86"/>
  <c r="N130" i="86"/>
  <c r="N129" i="86"/>
  <c r="N124" i="86"/>
  <c r="N120" i="86"/>
  <c r="N113" i="86"/>
  <c r="R113" i="86"/>
  <c r="N109" i="86"/>
  <c r="N106" i="86"/>
  <c r="N99" i="86"/>
  <c r="N97" i="86"/>
  <c r="N93" i="86"/>
  <c r="N87" i="86"/>
  <c r="N79" i="86"/>
  <c r="R79" i="86"/>
  <c r="N71" i="86"/>
  <c r="N68" i="86"/>
  <c r="N65" i="86"/>
  <c r="N60" i="86"/>
  <c r="R60" i="86"/>
  <c r="N54" i="86"/>
  <c r="N47" i="86"/>
  <c r="N42" i="86"/>
  <c r="N36" i="86"/>
  <c r="R36" i="86"/>
  <c r="N19" i="86"/>
  <c r="L205" i="86"/>
  <c r="K205" i="86"/>
  <c r="J205" i="86"/>
  <c r="G205" i="86"/>
  <c r="I205" i="86"/>
  <c r="M205" i="86"/>
  <c r="D128" i="91"/>
  <c r="L204" i="86"/>
  <c r="L203" i="86"/>
  <c r="K204" i="86"/>
  <c r="K203" i="86"/>
  <c r="J204" i="86"/>
  <c r="G204" i="86"/>
  <c r="I204" i="86"/>
  <c r="M204" i="86"/>
  <c r="D127" i="91"/>
  <c r="H203" i="86"/>
  <c r="G203" i="86"/>
  <c r="G201" i="86"/>
  <c r="I201" i="86"/>
  <c r="M201" i="86"/>
  <c r="S201" i="86"/>
  <c r="I199" i="86"/>
  <c r="M199" i="86"/>
  <c r="L197" i="86"/>
  <c r="K197" i="86"/>
  <c r="J197" i="86"/>
  <c r="H197" i="86"/>
  <c r="G195" i="86"/>
  <c r="I195" i="86"/>
  <c r="M195" i="86"/>
  <c r="G194" i="86"/>
  <c r="I194" i="86"/>
  <c r="M194" i="86"/>
  <c r="G193" i="86"/>
  <c r="I193" i="86"/>
  <c r="M193" i="86"/>
  <c r="S193" i="86"/>
  <c r="G191" i="86"/>
  <c r="I191" i="86"/>
  <c r="M191" i="86"/>
  <c r="G190" i="86"/>
  <c r="I190" i="86"/>
  <c r="M190" i="86"/>
  <c r="S190" i="86"/>
  <c r="G189" i="86"/>
  <c r="I189" i="86"/>
  <c r="M189" i="86"/>
  <c r="S189" i="86"/>
  <c r="G187" i="86"/>
  <c r="I187" i="86"/>
  <c r="M187" i="86"/>
  <c r="L186" i="86"/>
  <c r="K186" i="86"/>
  <c r="J186" i="86"/>
  <c r="J179" i="86"/>
  <c r="M185" i="86"/>
  <c r="G184" i="86"/>
  <c r="I184" i="86"/>
  <c r="M184" i="86"/>
  <c r="S184" i="86"/>
  <c r="G183" i="86"/>
  <c r="I183" i="86"/>
  <c r="M183" i="86"/>
  <c r="S183" i="86"/>
  <c r="G182" i="86"/>
  <c r="I182" i="86"/>
  <c r="M182" i="86"/>
  <c r="G181" i="86"/>
  <c r="I181" i="86"/>
  <c r="M181" i="86"/>
  <c r="S181" i="86"/>
  <c r="L180" i="86"/>
  <c r="K180" i="86"/>
  <c r="K179" i="86"/>
  <c r="J180" i="86"/>
  <c r="D180" i="86"/>
  <c r="G178" i="86"/>
  <c r="I178" i="86"/>
  <c r="M178" i="86"/>
  <c r="G177" i="86"/>
  <c r="I177" i="86"/>
  <c r="M177" i="86"/>
  <c r="S177" i="86"/>
  <c r="G176" i="86"/>
  <c r="I176" i="86"/>
  <c r="M176" i="86"/>
  <c r="G175" i="86"/>
  <c r="I175" i="86"/>
  <c r="M175" i="86"/>
  <c r="L174" i="86"/>
  <c r="L173" i="86"/>
  <c r="L172" i="86"/>
  <c r="K174" i="86"/>
  <c r="K173" i="86"/>
  <c r="J174" i="86"/>
  <c r="J173" i="86"/>
  <c r="J172" i="86"/>
  <c r="D174" i="86"/>
  <c r="D173" i="86"/>
  <c r="G171" i="86"/>
  <c r="I171" i="86"/>
  <c r="M171" i="86"/>
  <c r="S171" i="86"/>
  <c r="G170" i="86"/>
  <c r="I170" i="86"/>
  <c r="M170" i="86"/>
  <c r="S170" i="86"/>
  <c r="L169" i="86"/>
  <c r="K169" i="86"/>
  <c r="J169" i="86"/>
  <c r="B169" i="86"/>
  <c r="G169" i="86"/>
  <c r="I169" i="86"/>
  <c r="M169" i="86"/>
  <c r="D26" i="91"/>
  <c r="E26" i="91"/>
  <c r="G168" i="86"/>
  <c r="I168" i="86"/>
  <c r="M168" i="86"/>
  <c r="G167" i="86"/>
  <c r="I167" i="86"/>
  <c r="M167" i="86"/>
  <c r="G166" i="86"/>
  <c r="I166" i="86"/>
  <c r="M166" i="86"/>
  <c r="S166" i="86"/>
  <c r="L163" i="86"/>
  <c r="L162" i="86"/>
  <c r="K163" i="86"/>
  <c r="K162" i="86"/>
  <c r="J163" i="86"/>
  <c r="I161" i="86"/>
  <c r="M161" i="86"/>
  <c r="G160" i="86"/>
  <c r="I160" i="86"/>
  <c r="M160" i="86"/>
  <c r="L159" i="86"/>
  <c r="K159" i="86"/>
  <c r="J159" i="86"/>
  <c r="B159" i="86"/>
  <c r="G159" i="86"/>
  <c r="I159" i="86"/>
  <c r="G158" i="86"/>
  <c r="I158" i="86"/>
  <c r="M158" i="86"/>
  <c r="S158" i="86"/>
  <c r="G157" i="86"/>
  <c r="I157" i="86"/>
  <c r="M157" i="86"/>
  <c r="L156" i="86"/>
  <c r="L155" i="86"/>
  <c r="K156" i="86"/>
  <c r="K155" i="86"/>
  <c r="J156" i="86"/>
  <c r="B156" i="86"/>
  <c r="G156" i="86"/>
  <c r="I156" i="86"/>
  <c r="M156" i="86"/>
  <c r="D23" i="91"/>
  <c r="G154" i="86"/>
  <c r="I154" i="86"/>
  <c r="M154" i="86"/>
  <c r="S154" i="86"/>
  <c r="G153" i="86"/>
  <c r="I153" i="86"/>
  <c r="M153" i="86"/>
  <c r="S153" i="86"/>
  <c r="G152" i="86"/>
  <c r="I152" i="86"/>
  <c r="M152" i="86"/>
  <c r="L151" i="86"/>
  <c r="K151" i="86"/>
  <c r="J151" i="86"/>
  <c r="F151" i="86"/>
  <c r="G151" i="86"/>
  <c r="I151" i="86"/>
  <c r="G150" i="86"/>
  <c r="I150" i="86"/>
  <c r="M150" i="86"/>
  <c r="G149" i="86"/>
  <c r="I149" i="86"/>
  <c r="M149" i="86"/>
  <c r="G148" i="86"/>
  <c r="I148" i="86"/>
  <c r="M148" i="86"/>
  <c r="S148" i="86"/>
  <c r="G147" i="86"/>
  <c r="I147" i="86"/>
  <c r="M147" i="86"/>
  <c r="S147" i="86"/>
  <c r="G146" i="86"/>
  <c r="I146" i="86"/>
  <c r="M146" i="86"/>
  <c r="L145" i="86"/>
  <c r="K145" i="86"/>
  <c r="J145" i="86"/>
  <c r="F145" i="86"/>
  <c r="G145" i="86"/>
  <c r="I145" i="86"/>
  <c r="M145" i="86"/>
  <c r="D100" i="91"/>
  <c r="F141" i="86"/>
  <c r="G144" i="86"/>
  <c r="I144" i="86"/>
  <c r="M144" i="86"/>
  <c r="S144" i="86"/>
  <c r="G143" i="86"/>
  <c r="I143" i="86"/>
  <c r="M143" i="86"/>
  <c r="S143" i="86"/>
  <c r="L142" i="86"/>
  <c r="L141" i="86"/>
  <c r="K142" i="86"/>
  <c r="J142" i="86"/>
  <c r="C142" i="86"/>
  <c r="G142" i="86"/>
  <c r="I142" i="86"/>
  <c r="M142" i="86"/>
  <c r="D49" i="91"/>
  <c r="E49" i="91"/>
  <c r="G140" i="86"/>
  <c r="I140" i="86"/>
  <c r="M140" i="86"/>
  <c r="S140" i="86"/>
  <c r="G139" i="86"/>
  <c r="I139" i="86"/>
  <c r="M139" i="86"/>
  <c r="S139" i="86"/>
  <c r="G138" i="86"/>
  <c r="I138" i="86"/>
  <c r="M138" i="86"/>
  <c r="G137" i="86"/>
  <c r="I137" i="86"/>
  <c r="M137" i="86"/>
  <c r="G136" i="86"/>
  <c r="I136" i="86"/>
  <c r="M136" i="86"/>
  <c r="S136" i="86"/>
  <c r="L135" i="86"/>
  <c r="K135" i="86"/>
  <c r="J135" i="86"/>
  <c r="B135" i="86"/>
  <c r="G134" i="86"/>
  <c r="I134" i="86"/>
  <c r="M134" i="86"/>
  <c r="G133" i="86"/>
  <c r="I133" i="86"/>
  <c r="M133" i="86"/>
  <c r="G132" i="86"/>
  <c r="I132" i="86"/>
  <c r="M132" i="86"/>
  <c r="G131" i="86"/>
  <c r="I131" i="86"/>
  <c r="M131" i="86"/>
  <c r="S131" i="86"/>
  <c r="L130" i="86"/>
  <c r="L129" i="86"/>
  <c r="K130" i="86"/>
  <c r="J130" i="86"/>
  <c r="J129" i="86"/>
  <c r="J119" i="86"/>
  <c r="B130" i="86"/>
  <c r="B129" i="86"/>
  <c r="G126" i="86"/>
  <c r="I126" i="86"/>
  <c r="M126" i="86"/>
  <c r="S126" i="86"/>
  <c r="L124" i="86"/>
  <c r="K124" i="86"/>
  <c r="J124" i="86"/>
  <c r="G123" i="86"/>
  <c r="I123" i="86"/>
  <c r="M123" i="86"/>
  <c r="G122" i="86"/>
  <c r="I122" i="86"/>
  <c r="G121" i="86"/>
  <c r="I121" i="86"/>
  <c r="L120" i="86"/>
  <c r="L119" i="86"/>
  <c r="K120" i="86"/>
  <c r="J120" i="86"/>
  <c r="B120" i="86"/>
  <c r="G117" i="86"/>
  <c r="I117" i="86"/>
  <c r="M117" i="86"/>
  <c r="D48" i="91"/>
  <c r="E48" i="91"/>
  <c r="G116" i="86"/>
  <c r="G115" i="86"/>
  <c r="I115" i="86"/>
  <c r="M115" i="86"/>
  <c r="G114" i="86"/>
  <c r="L113" i="86"/>
  <c r="K113" i="86"/>
  <c r="J113" i="86"/>
  <c r="C113" i="86"/>
  <c r="C85" i="86"/>
  <c r="G112" i="86"/>
  <c r="I112" i="86"/>
  <c r="M112" i="86"/>
  <c r="S112" i="86"/>
  <c r="G111" i="86"/>
  <c r="G110" i="86"/>
  <c r="I110" i="86"/>
  <c r="L109" i="86"/>
  <c r="K109" i="86"/>
  <c r="J109" i="86"/>
  <c r="E109" i="86"/>
  <c r="G108" i="86"/>
  <c r="G107" i="86"/>
  <c r="L106" i="86"/>
  <c r="K106" i="86"/>
  <c r="J106" i="86"/>
  <c r="E106" i="86"/>
  <c r="J105" i="86"/>
  <c r="G105" i="86"/>
  <c r="I105" i="86"/>
  <c r="M105" i="86"/>
  <c r="J104" i="86"/>
  <c r="G104" i="86"/>
  <c r="I104" i="86"/>
  <c r="J103" i="86"/>
  <c r="G103" i="86"/>
  <c r="I103" i="86"/>
  <c r="M103" i="86"/>
  <c r="S103" i="86"/>
  <c r="J102" i="86"/>
  <c r="G102" i="86"/>
  <c r="J101" i="86"/>
  <c r="G101" i="86"/>
  <c r="J100" i="86"/>
  <c r="G100" i="86"/>
  <c r="L99" i="86"/>
  <c r="K99" i="86"/>
  <c r="E99" i="86"/>
  <c r="G98" i="86"/>
  <c r="I98" i="86"/>
  <c r="I97" i="86"/>
  <c r="L97" i="86"/>
  <c r="K97" i="86"/>
  <c r="J97" i="86"/>
  <c r="E97" i="86"/>
  <c r="E92" i="86"/>
  <c r="E86" i="86"/>
  <c r="G96" i="86"/>
  <c r="I96" i="86"/>
  <c r="M96" i="86"/>
  <c r="G95" i="86"/>
  <c r="I95" i="86"/>
  <c r="M95" i="86"/>
  <c r="G94" i="86"/>
  <c r="L93" i="86"/>
  <c r="L92" i="86"/>
  <c r="K93" i="86"/>
  <c r="K92" i="86"/>
  <c r="J93" i="86"/>
  <c r="J92" i="86"/>
  <c r="J86" i="86"/>
  <c r="J85" i="86"/>
  <c r="E93" i="86"/>
  <c r="G91" i="86"/>
  <c r="I91" i="86"/>
  <c r="M91" i="86"/>
  <c r="S91" i="86"/>
  <c r="G90" i="86"/>
  <c r="G89" i="86"/>
  <c r="I89" i="86"/>
  <c r="G88" i="86"/>
  <c r="L87" i="86"/>
  <c r="K87" i="86"/>
  <c r="K86" i="86"/>
  <c r="K85" i="86"/>
  <c r="J87" i="86"/>
  <c r="E87" i="86"/>
  <c r="G83" i="86"/>
  <c r="G82" i="86"/>
  <c r="G81" i="86"/>
  <c r="I81" i="86"/>
  <c r="M81" i="86"/>
  <c r="G80" i="86"/>
  <c r="L79" i="86"/>
  <c r="K79" i="86"/>
  <c r="J79" i="86"/>
  <c r="F79" i="86"/>
  <c r="G78" i="86"/>
  <c r="I78" i="86"/>
  <c r="M78" i="86"/>
  <c r="G77" i="86"/>
  <c r="I77" i="86"/>
  <c r="M77" i="86"/>
  <c r="S77" i="86"/>
  <c r="G76" i="86"/>
  <c r="I76" i="86"/>
  <c r="M76" i="86"/>
  <c r="G75" i="86"/>
  <c r="I75" i="86"/>
  <c r="M75" i="86"/>
  <c r="S75" i="86"/>
  <c r="G74" i="86"/>
  <c r="G73" i="86"/>
  <c r="G72" i="86"/>
  <c r="L71" i="86"/>
  <c r="K71" i="86"/>
  <c r="J71" i="86"/>
  <c r="F71" i="86"/>
  <c r="G70" i="86"/>
  <c r="I70" i="86"/>
  <c r="M70" i="86"/>
  <c r="G69" i="86"/>
  <c r="L68" i="86"/>
  <c r="K68" i="86"/>
  <c r="J68" i="86"/>
  <c r="F68" i="86"/>
  <c r="G67" i="86"/>
  <c r="I67" i="86"/>
  <c r="M67" i="86"/>
  <c r="G66" i="86"/>
  <c r="L65" i="86"/>
  <c r="K65" i="86"/>
  <c r="J65" i="86"/>
  <c r="F65" i="86"/>
  <c r="F46" i="86"/>
  <c r="F39" i="86"/>
  <c r="F207" i="86"/>
  <c r="G64" i="86"/>
  <c r="I64" i="86"/>
  <c r="M64" i="86"/>
  <c r="G63" i="86"/>
  <c r="I63" i="86"/>
  <c r="M63" i="86"/>
  <c r="S63" i="86"/>
  <c r="G62" i="86"/>
  <c r="I62" i="86"/>
  <c r="M62" i="86"/>
  <c r="G61" i="86"/>
  <c r="L60" i="86"/>
  <c r="K60" i="86"/>
  <c r="J60" i="86"/>
  <c r="F60" i="86"/>
  <c r="G59" i="86"/>
  <c r="I59" i="86"/>
  <c r="M59" i="86"/>
  <c r="S59" i="86"/>
  <c r="G58" i="86"/>
  <c r="I58" i="86"/>
  <c r="M58" i="86"/>
  <c r="G57" i="86"/>
  <c r="G56" i="86"/>
  <c r="I56" i="86"/>
  <c r="M56" i="86"/>
  <c r="S56" i="86"/>
  <c r="G55" i="86"/>
  <c r="L54" i="86"/>
  <c r="K54" i="86"/>
  <c r="J54" i="86"/>
  <c r="F54" i="86"/>
  <c r="G53" i="86"/>
  <c r="I53" i="86"/>
  <c r="M53" i="86"/>
  <c r="S53" i="86"/>
  <c r="G52" i="86"/>
  <c r="I52" i="86"/>
  <c r="M52" i="86"/>
  <c r="S52" i="86"/>
  <c r="G51" i="86"/>
  <c r="I51" i="86"/>
  <c r="M51" i="86"/>
  <c r="S51" i="86"/>
  <c r="G50" i="86"/>
  <c r="G49" i="86"/>
  <c r="I49" i="86"/>
  <c r="M49" i="86"/>
  <c r="S49" i="86"/>
  <c r="G48" i="86"/>
  <c r="L47" i="86"/>
  <c r="K47" i="86"/>
  <c r="J47" i="86"/>
  <c r="F47" i="86"/>
  <c r="G45" i="86"/>
  <c r="I45" i="86"/>
  <c r="M45" i="86"/>
  <c r="S45" i="86"/>
  <c r="G44" i="86"/>
  <c r="G43" i="86"/>
  <c r="I43" i="86"/>
  <c r="M43" i="86"/>
  <c r="L42" i="86"/>
  <c r="L41" i="86"/>
  <c r="L39" i="86"/>
  <c r="L207" i="86"/>
  <c r="K42" i="86"/>
  <c r="K41" i="86"/>
  <c r="J42" i="86"/>
  <c r="J41" i="86"/>
  <c r="B42" i="86"/>
  <c r="B41" i="86"/>
  <c r="L36" i="86"/>
  <c r="L37" i="86"/>
  <c r="K36" i="86"/>
  <c r="J36" i="86"/>
  <c r="H36" i="86"/>
  <c r="H37" i="86"/>
  <c r="H207" i="86"/>
  <c r="F36" i="86"/>
  <c r="E36" i="86"/>
  <c r="D36" i="86"/>
  <c r="C36" i="86"/>
  <c r="C37" i="86"/>
  <c r="B36" i="86"/>
  <c r="G35" i="86"/>
  <c r="I35" i="86"/>
  <c r="M35" i="86"/>
  <c r="S35" i="86"/>
  <c r="G34" i="86"/>
  <c r="I34" i="86"/>
  <c r="M34" i="86"/>
  <c r="G33" i="86"/>
  <c r="I33" i="86"/>
  <c r="M33" i="86"/>
  <c r="G32" i="86"/>
  <c r="I32" i="86"/>
  <c r="M32" i="86"/>
  <c r="G31" i="86"/>
  <c r="I31" i="86"/>
  <c r="M31" i="86"/>
  <c r="N12" i="23"/>
  <c r="G30" i="86"/>
  <c r="I30" i="86"/>
  <c r="M30" i="86"/>
  <c r="G29" i="86"/>
  <c r="I29" i="86"/>
  <c r="M29" i="86"/>
  <c r="G28" i="86"/>
  <c r="I28" i="86"/>
  <c r="M28" i="86"/>
  <c r="N30" i="23"/>
  <c r="G27" i="86"/>
  <c r="I27" i="86"/>
  <c r="M27" i="86"/>
  <c r="G26" i="86"/>
  <c r="I26" i="86"/>
  <c r="M26" i="86"/>
  <c r="G25" i="86"/>
  <c r="I25" i="86"/>
  <c r="M25" i="86"/>
  <c r="S25" i="86"/>
  <c r="G24" i="86"/>
  <c r="I24" i="86"/>
  <c r="M24" i="86"/>
  <c r="N26" i="23"/>
  <c r="G23" i="86"/>
  <c r="G22" i="86"/>
  <c r="I22" i="86"/>
  <c r="M22" i="86"/>
  <c r="N24" i="23"/>
  <c r="G21" i="86"/>
  <c r="I21" i="86"/>
  <c r="L19" i="86"/>
  <c r="K19" i="86"/>
  <c r="H19" i="86"/>
  <c r="F19" i="86"/>
  <c r="G19" i="86"/>
  <c r="E19" i="86"/>
  <c r="E37" i="86"/>
  <c r="D19" i="86"/>
  <c r="C19" i="86"/>
  <c r="B19" i="86"/>
  <c r="B37" i="86"/>
  <c r="G18" i="86"/>
  <c r="I18" i="86"/>
  <c r="M18" i="86"/>
  <c r="S18" i="86"/>
  <c r="G17" i="86"/>
  <c r="I17" i="86"/>
  <c r="M17" i="86"/>
  <c r="S17" i="86"/>
  <c r="G16" i="86"/>
  <c r="I16" i="86"/>
  <c r="M16" i="86"/>
  <c r="S16" i="86"/>
  <c r="G15" i="86"/>
  <c r="I15" i="86"/>
  <c r="M15" i="86"/>
  <c r="S15" i="86"/>
  <c r="G14" i="86"/>
  <c r="I14" i="86"/>
  <c r="M14" i="86"/>
  <c r="S14" i="86"/>
  <c r="G13" i="86"/>
  <c r="I13" i="86"/>
  <c r="M13" i="86"/>
  <c r="S13" i="86"/>
  <c r="G12" i="86"/>
  <c r="G11" i="86"/>
  <c r="I11" i="86"/>
  <c r="M11" i="86"/>
  <c r="S11" i="86"/>
  <c r="G10" i="86"/>
  <c r="J9" i="86"/>
  <c r="G9" i="86"/>
  <c r="I9" i="86"/>
  <c r="L8" i="86"/>
  <c r="K8" i="86"/>
  <c r="H8" i="86"/>
  <c r="F8" i="86"/>
  <c r="E8" i="86"/>
  <c r="D8" i="86"/>
  <c r="C8" i="86"/>
  <c r="B8" i="86"/>
  <c r="J16" i="28"/>
  <c r="V15" i="28"/>
  <c r="E35" i="24"/>
  <c r="F35" i="24"/>
  <c r="G35" i="24"/>
  <c r="F14" i="24"/>
  <c r="F13" i="24"/>
  <c r="G13" i="24"/>
  <c r="I192" i="14"/>
  <c r="C12" i="24"/>
  <c r="F28" i="14"/>
  <c r="C28" i="14"/>
  <c r="G34" i="24"/>
  <c r="H65" i="74"/>
  <c r="H67" i="74"/>
  <c r="H68" i="74"/>
  <c r="A66" i="81"/>
  <c r="A79" i="81"/>
  <c r="A78" i="81"/>
  <c r="A77" i="81"/>
  <c r="A76" i="81"/>
  <c r="B74" i="81"/>
  <c r="A74" i="81"/>
  <c r="A72" i="81"/>
  <c r="A71" i="81"/>
  <c r="G71" i="81"/>
  <c r="G70" i="81"/>
  <c r="F71" i="81"/>
  <c r="E71" i="81"/>
  <c r="F59" i="81"/>
  <c r="E59" i="81"/>
  <c r="A55" i="81"/>
  <c r="A50" i="81"/>
  <c r="A49" i="81"/>
  <c r="E49" i="81"/>
  <c r="A45" i="81"/>
  <c r="A44" i="81"/>
  <c r="A42" i="81"/>
  <c r="A41" i="81"/>
  <c r="A40" i="81"/>
  <c r="A39" i="81"/>
  <c r="G39" i="81"/>
  <c r="G38" i="81"/>
  <c r="F39" i="81"/>
  <c r="A28" i="81"/>
  <c r="A25" i="81"/>
  <c r="A24" i="81"/>
  <c r="A23" i="81"/>
  <c r="A22" i="81"/>
  <c r="F22" i="81"/>
  <c r="E22" i="81"/>
  <c r="A19" i="81"/>
  <c r="A18" i="81"/>
  <c r="A16" i="81"/>
  <c r="A15" i="81"/>
  <c r="A13" i="81"/>
  <c r="A11" i="81"/>
  <c r="A9" i="81"/>
  <c r="A8" i="81"/>
  <c r="F32" i="24"/>
  <c r="G32" i="24"/>
  <c r="F21" i="24"/>
  <c r="G21" i="24"/>
  <c r="F31" i="24"/>
  <c r="F28" i="24"/>
  <c r="G28" i="24"/>
  <c r="F22" i="24"/>
  <c r="G22" i="24"/>
  <c r="F18" i="24"/>
  <c r="G18" i="24"/>
  <c r="E16" i="24"/>
  <c r="F78" i="28"/>
  <c r="X78" i="28"/>
  <c r="F77" i="28"/>
  <c r="F76" i="28"/>
  <c r="F75" i="28"/>
  <c r="F74" i="28"/>
  <c r="K74" i="28"/>
  <c r="F73" i="28"/>
  <c r="F72" i="28"/>
  <c r="F70" i="28"/>
  <c r="F62" i="28"/>
  <c r="X62" i="28"/>
  <c r="F61" i="28"/>
  <c r="F60" i="28"/>
  <c r="F58" i="28"/>
  <c r="U58" i="28"/>
  <c r="F53" i="28"/>
  <c r="U53" i="28"/>
  <c r="F52" i="28"/>
  <c r="F51" i="28"/>
  <c r="F50" i="28"/>
  <c r="F49" i="28"/>
  <c r="O49" i="28"/>
  <c r="O48" i="28"/>
  <c r="F44" i="28"/>
  <c r="F43" i="28"/>
  <c r="S43" i="28"/>
  <c r="F41" i="28"/>
  <c r="F40" i="28"/>
  <c r="O40" i="28"/>
  <c r="F35" i="28"/>
  <c r="U35" i="28"/>
  <c r="F31" i="28"/>
  <c r="F30" i="28"/>
  <c r="F29" i="28"/>
  <c r="S29" i="28"/>
  <c r="F25" i="28"/>
  <c r="U25" i="28"/>
  <c r="F24" i="28"/>
  <c r="F23" i="28"/>
  <c r="F22" i="28"/>
  <c r="U22" i="28"/>
  <c r="F16" i="28"/>
  <c r="O16" i="28"/>
  <c r="F15" i="28"/>
  <c r="F14" i="28"/>
  <c r="F13" i="28"/>
  <c r="X13" i="28"/>
  <c r="K54" i="74"/>
  <c r="K65" i="74"/>
  <c r="I65" i="74"/>
  <c r="F65" i="74"/>
  <c r="F67" i="74"/>
  <c r="F68" i="74"/>
  <c r="D65" i="74"/>
  <c r="C65" i="74"/>
  <c r="C67" i="74"/>
  <c r="C68" i="74"/>
  <c r="S96" i="28"/>
  <c r="G14" i="14"/>
  <c r="I62" i="28"/>
  <c r="K96" i="28"/>
  <c r="B14" i="14"/>
  <c r="M22" i="28"/>
  <c r="M40" i="28"/>
  <c r="M49" i="28"/>
  <c r="M58" i="28"/>
  <c r="M70" i="28"/>
  <c r="Q93" i="28"/>
  <c r="Q96" i="28"/>
  <c r="D14" i="14"/>
  <c r="I96" i="28"/>
  <c r="I14" i="14"/>
  <c r="M96" i="28"/>
  <c r="O96" i="28"/>
  <c r="B28" i="14"/>
  <c r="D28" i="14"/>
  <c r="D23" i="14"/>
  <c r="H197" i="14"/>
  <c r="H198" i="14"/>
  <c r="J198" i="14"/>
  <c r="H199" i="14"/>
  <c r="J199" i="14"/>
  <c r="C16" i="24"/>
  <c r="C20" i="24"/>
  <c r="D12" i="24"/>
  <c r="D16" i="24"/>
  <c r="F16" i="24"/>
  <c r="G16" i="24"/>
  <c r="D20" i="24"/>
  <c r="C26" i="24"/>
  <c r="C24" i="24"/>
  <c r="D26" i="24"/>
  <c r="F26" i="24"/>
  <c r="G26" i="24"/>
  <c r="C30" i="24"/>
  <c r="D30" i="24"/>
  <c r="E36" i="24"/>
  <c r="F36" i="24"/>
  <c r="F29" i="74"/>
  <c r="F30" i="74"/>
  <c r="H29" i="74"/>
  <c r="H30" i="74"/>
  <c r="I27" i="74"/>
  <c r="I29" i="74"/>
  <c r="Q41" i="28"/>
  <c r="I44" i="28"/>
  <c r="I53" i="28"/>
  <c r="I48" i="28"/>
  <c r="I35" i="28"/>
  <c r="I77" i="28"/>
  <c r="T15" i="28"/>
  <c r="U15" i="28"/>
  <c r="I76" i="28"/>
  <c r="I78" i="28"/>
  <c r="T72" i="28"/>
  <c r="U72" i="28"/>
  <c r="V72" i="28"/>
  <c r="X72" i="28"/>
  <c r="H30" i="14"/>
  <c r="J30" i="14"/>
  <c r="M30" i="14"/>
  <c r="D29" i="74"/>
  <c r="D30" i="74"/>
  <c r="E65" i="74"/>
  <c r="E67" i="74"/>
  <c r="E68" i="74"/>
  <c r="E12" i="24"/>
  <c r="F12" i="24"/>
  <c r="I127" i="86"/>
  <c r="M127" i="86"/>
  <c r="S127" i="86"/>
  <c r="P129" i="86"/>
  <c r="O179" i="86"/>
  <c r="N162" i="86"/>
  <c r="N8" i="86"/>
  <c r="C141" i="86"/>
  <c r="G141" i="86"/>
  <c r="I141" i="86"/>
  <c r="L118" i="86"/>
  <c r="S22" i="86"/>
  <c r="I72" i="86"/>
  <c r="I100" i="86"/>
  <c r="J30" i="74"/>
  <c r="G130" i="86"/>
  <c r="I130" i="86"/>
  <c r="M130" i="86"/>
  <c r="G97" i="86"/>
  <c r="N173" i="86"/>
  <c r="K129" i="86"/>
  <c r="K119" i="86"/>
  <c r="K118" i="86"/>
  <c r="J162" i="86"/>
  <c r="W37" i="86"/>
  <c r="X21" i="86"/>
  <c r="X36" i="86"/>
  <c r="I44" i="86"/>
  <c r="R93" i="86"/>
  <c r="R135" i="86"/>
  <c r="N41" i="86"/>
  <c r="G192" i="86"/>
  <c r="I192" i="86"/>
  <c r="M192" i="86"/>
  <c r="S192" i="86"/>
  <c r="T66" i="28"/>
  <c r="Q34" i="28"/>
  <c r="D49" i="74"/>
  <c r="B26" i="88"/>
  <c r="E76" i="88"/>
  <c r="E78" i="88"/>
  <c r="H78" i="88"/>
  <c r="I78" i="88"/>
  <c r="E75" i="88"/>
  <c r="B77" i="88"/>
  <c r="D80" i="88"/>
  <c r="H80" i="88"/>
  <c r="B76" i="88"/>
  <c r="D77" i="88"/>
  <c r="H77" i="88"/>
  <c r="G77" i="88"/>
  <c r="B79" i="88"/>
  <c r="D75" i="88"/>
  <c r="D78" i="88"/>
  <c r="G78" i="88"/>
  <c r="G80" i="88"/>
  <c r="G14" i="24"/>
  <c r="R159" i="86"/>
  <c r="G135" i="86"/>
  <c r="I135" i="86"/>
  <c r="M135" i="86"/>
  <c r="S135" i="86"/>
  <c r="W32" i="28"/>
  <c r="K72" i="74"/>
  <c r="P155" i="86"/>
  <c r="C15" i="88"/>
  <c r="I102" i="86"/>
  <c r="M102" i="86"/>
  <c r="N119" i="86"/>
  <c r="G129" i="86"/>
  <c r="I129" i="86"/>
  <c r="M129" i="86"/>
  <c r="J31" i="28"/>
  <c r="L31" i="28"/>
  <c r="I88" i="86"/>
  <c r="M88" i="86"/>
  <c r="S88" i="86"/>
  <c r="D79" i="88"/>
  <c r="H79" i="88"/>
  <c r="G79" i="88"/>
  <c r="B75" i="88"/>
  <c r="P66" i="28"/>
  <c r="Q172" i="86"/>
  <c r="P44" i="28"/>
  <c r="Q61" i="28"/>
  <c r="V61" i="28"/>
  <c r="X61" i="28"/>
  <c r="R61" i="28"/>
  <c r="P61" i="28"/>
  <c r="W71" i="28"/>
  <c r="J61" i="28"/>
  <c r="W31" i="28"/>
  <c r="X31" i="28"/>
  <c r="J50" i="28"/>
  <c r="O50" i="28"/>
  <c r="P50" i="28"/>
  <c r="W50" i="28"/>
  <c r="T33" i="28"/>
  <c r="U33" i="28"/>
  <c r="Q31" i="28"/>
  <c r="V50" i="28"/>
  <c r="T28" i="28"/>
  <c r="T43" i="28"/>
  <c r="U43" i="28"/>
  <c r="R50" i="28"/>
  <c r="Q66" i="28"/>
  <c r="Q65" i="28"/>
  <c r="W66" i="28"/>
  <c r="W65" i="28"/>
  <c r="J71" i="28"/>
  <c r="I73" i="86"/>
  <c r="M73" i="86"/>
  <c r="S73" i="86"/>
  <c r="I90" i="86"/>
  <c r="O129" i="86"/>
  <c r="R145" i="86"/>
  <c r="S145" i="86"/>
  <c r="R151" i="86"/>
  <c r="Q155" i="86"/>
  <c r="Q162" i="86"/>
  <c r="S160" i="86"/>
  <c r="J8" i="86"/>
  <c r="T23" i="28"/>
  <c r="U23" i="28"/>
  <c r="V23" i="28"/>
  <c r="G75" i="88"/>
  <c r="E66" i="88"/>
  <c r="E69" i="88"/>
  <c r="S102" i="86"/>
  <c r="B65" i="88"/>
  <c r="F65" i="88"/>
  <c r="F66" i="88"/>
  <c r="I23" i="86"/>
  <c r="M23" i="86"/>
  <c r="I80" i="86"/>
  <c r="M80" i="86"/>
  <c r="S80" i="86"/>
  <c r="M100" i="86"/>
  <c r="S100" i="86"/>
  <c r="K27" i="74"/>
  <c r="V51" i="28"/>
  <c r="C13" i="74"/>
  <c r="C29" i="74"/>
  <c r="C30" i="74"/>
  <c r="K11" i="74"/>
  <c r="K13" i="74"/>
  <c r="K36" i="81"/>
  <c r="R34" i="28"/>
  <c r="S96" i="86"/>
  <c r="G186" i="86"/>
  <c r="I186" i="86"/>
  <c r="M186" i="86"/>
  <c r="D66" i="91"/>
  <c r="E66" i="91"/>
  <c r="F81" i="88"/>
  <c r="S58" i="86"/>
  <c r="S199" i="86"/>
  <c r="L179" i="86"/>
  <c r="G33" i="24"/>
  <c r="F14" i="14"/>
  <c r="V27" i="28"/>
  <c r="V26" i="28"/>
  <c r="T26" i="28"/>
  <c r="Q73" i="28"/>
  <c r="T59" i="28"/>
  <c r="U59" i="28"/>
  <c r="J59" i="28"/>
  <c r="J28" i="28"/>
  <c r="P26" i="28"/>
  <c r="P51" i="28"/>
  <c r="P13" i="28"/>
  <c r="T60" i="28"/>
  <c r="P60" i="28"/>
  <c r="R66" i="28"/>
  <c r="R65" i="28"/>
  <c r="V66" i="28"/>
  <c r="R73" i="28"/>
  <c r="W60" i="28"/>
  <c r="K68" i="81"/>
  <c r="K67" i="81"/>
  <c r="J51" i="28"/>
  <c r="T50" i="28"/>
  <c r="T31" i="28"/>
  <c r="U31" i="28"/>
  <c r="T61" i="28"/>
  <c r="J26" i="28"/>
  <c r="O26" i="28"/>
  <c r="P23" i="28"/>
  <c r="F36" i="23"/>
  <c r="I35" i="14"/>
  <c r="M36" i="23"/>
  <c r="O36" i="23"/>
  <c r="P14" i="28"/>
  <c r="Q14" i="28"/>
  <c r="K11" i="81"/>
  <c r="N11" i="81"/>
  <c r="V14" i="28"/>
  <c r="C39" i="86"/>
  <c r="I203" i="86"/>
  <c r="T41" i="28"/>
  <c r="U41" i="28"/>
  <c r="R41" i="28"/>
  <c r="P41" i="28"/>
  <c r="W41" i="28"/>
  <c r="J41" i="28"/>
  <c r="K33" i="81"/>
  <c r="N33" i="81"/>
  <c r="T35" i="28"/>
  <c r="K53" i="81"/>
  <c r="N53" i="81"/>
  <c r="P52" i="28"/>
  <c r="V52" i="28"/>
  <c r="J52" i="28"/>
  <c r="K52" i="28"/>
  <c r="T52" i="28"/>
  <c r="U52" i="28"/>
  <c r="W52" i="28"/>
  <c r="Q52" i="28"/>
  <c r="H70" i="28"/>
  <c r="J70" i="28"/>
  <c r="O70" i="28"/>
  <c r="Y70" i="28"/>
  <c r="W35" i="28"/>
  <c r="E30" i="24"/>
  <c r="V41" i="28"/>
  <c r="X41" i="28"/>
  <c r="R35" i="28"/>
  <c r="R15" i="28"/>
  <c r="Q24" i="28"/>
  <c r="V30" i="28"/>
  <c r="K31" i="81"/>
  <c r="N31" i="81"/>
  <c r="I94" i="86"/>
  <c r="G93" i="86"/>
  <c r="G92" i="86"/>
  <c r="I107" i="86"/>
  <c r="I111" i="86"/>
  <c r="G109" i="86"/>
  <c r="N92" i="86"/>
  <c r="R97" i="86"/>
  <c r="R106" i="86"/>
  <c r="O162" i="86"/>
  <c r="R163" i="86"/>
  <c r="P179" i="86"/>
  <c r="R180" i="86"/>
  <c r="G125" i="86"/>
  <c r="I125" i="86"/>
  <c r="M125" i="86"/>
  <c r="S125" i="86"/>
  <c r="B124" i="86"/>
  <c r="G164" i="86"/>
  <c r="I164" i="86"/>
  <c r="M164" i="86"/>
  <c r="S164" i="86"/>
  <c r="B163" i="86"/>
  <c r="V76" i="28"/>
  <c r="T76" i="28"/>
  <c r="U76" i="28"/>
  <c r="Q76" i="28"/>
  <c r="P76" i="28"/>
  <c r="W76" i="28"/>
  <c r="X76" i="28"/>
  <c r="R76" i="28"/>
  <c r="G69" i="28"/>
  <c r="Q30" i="28"/>
  <c r="N118" i="86"/>
  <c r="R52" i="28"/>
  <c r="J141" i="86"/>
  <c r="K79" i="81"/>
  <c r="N79" i="81"/>
  <c r="T30" i="28"/>
  <c r="U30" i="28"/>
  <c r="B155" i="86"/>
  <c r="G155" i="86"/>
  <c r="I155" i="86"/>
  <c r="T14" i="28"/>
  <c r="U14" i="28"/>
  <c r="R169" i="86"/>
  <c r="S169" i="86"/>
  <c r="R87" i="86"/>
  <c r="C82" i="28"/>
  <c r="B96" i="88"/>
  <c r="G17" i="24"/>
  <c r="K58" i="74"/>
  <c r="G65" i="74"/>
  <c r="G67" i="74"/>
  <c r="G68" i="74"/>
  <c r="P32" i="28"/>
  <c r="R33" i="28"/>
  <c r="V32" i="28"/>
  <c r="T32" i="28"/>
  <c r="I69" i="86"/>
  <c r="J118" i="86"/>
  <c r="G180" i="86"/>
  <c r="I180" i="86"/>
  <c r="D179" i="86"/>
  <c r="E26" i="24"/>
  <c r="F27" i="24"/>
  <c r="G27" i="24"/>
  <c r="K13" i="81"/>
  <c r="N13" i="81"/>
  <c r="J155" i="86"/>
  <c r="M155" i="86"/>
  <c r="S155" i="86"/>
  <c r="V65" i="28"/>
  <c r="G21" i="28"/>
  <c r="H22" i="28"/>
  <c r="W22" i="28"/>
  <c r="J22" i="28"/>
  <c r="H58" i="28"/>
  <c r="P58" i="28"/>
  <c r="J58" i="28"/>
  <c r="G57" i="28"/>
  <c r="J40" i="28"/>
  <c r="G39" i="28"/>
  <c r="H40" i="28"/>
  <c r="R40" i="28"/>
  <c r="P172" i="86"/>
  <c r="G179" i="86"/>
  <c r="I179" i="86"/>
  <c r="M179" i="86"/>
  <c r="M111" i="86"/>
  <c r="S111" i="86"/>
  <c r="I93" i="86"/>
  <c r="M93" i="86"/>
  <c r="S93" i="86"/>
  <c r="M94" i="86"/>
  <c r="S94" i="86"/>
  <c r="K72" i="81"/>
  <c r="N72" i="81"/>
  <c r="J49" i="28"/>
  <c r="H49" i="28"/>
  <c r="W49" i="28"/>
  <c r="G48" i="28"/>
  <c r="F40" i="24"/>
  <c r="I12" i="50"/>
  <c r="G163" i="86"/>
  <c r="I163" i="86"/>
  <c r="M163" i="86"/>
  <c r="D25" i="91"/>
  <c r="S163" i="86"/>
  <c r="B162" i="86"/>
  <c r="G162" i="86"/>
  <c r="I162" i="86"/>
  <c r="M162" i="86"/>
  <c r="N86" i="86"/>
  <c r="N85" i="86"/>
  <c r="T70" i="28"/>
  <c r="U70" i="28"/>
  <c r="P70" i="28"/>
  <c r="W70" i="28"/>
  <c r="V70" i="28"/>
  <c r="R70" i="28"/>
  <c r="Q70" i="28"/>
  <c r="H57" i="28"/>
  <c r="W58" i="28"/>
  <c r="R58" i="28"/>
  <c r="T58" i="28"/>
  <c r="P22" i="28"/>
  <c r="R22" i="28"/>
  <c r="Q22" i="28"/>
  <c r="T22" i="28"/>
  <c r="G33" i="14"/>
  <c r="H65" i="14"/>
  <c r="G42" i="86"/>
  <c r="G41" i="86"/>
  <c r="F30" i="24"/>
  <c r="G30" i="24"/>
  <c r="E24" i="24"/>
  <c r="I21" i="28"/>
  <c r="J35" i="28"/>
  <c r="G31" i="24"/>
  <c r="F42" i="24"/>
  <c r="I17" i="50"/>
  <c r="M180" i="86"/>
  <c r="D65" i="91"/>
  <c r="P49" i="28"/>
  <c r="R49" i="28"/>
  <c r="Q49" i="28"/>
  <c r="I114" i="86"/>
  <c r="K172" i="86"/>
  <c r="N155" i="86"/>
  <c r="R156" i="86"/>
  <c r="S156" i="86"/>
  <c r="I76" i="88"/>
  <c r="G120" i="86"/>
  <c r="I120" i="86"/>
  <c r="M120" i="86"/>
  <c r="I197" i="86"/>
  <c r="M197" i="86"/>
  <c r="S197" i="86"/>
  <c r="O37" i="86"/>
  <c r="D24" i="24"/>
  <c r="K29" i="74"/>
  <c r="E20" i="24"/>
  <c r="F20" i="24"/>
  <c r="G20" i="24"/>
  <c r="T13" i="28"/>
  <c r="N32" i="23"/>
  <c r="M90" i="86"/>
  <c r="S90" i="86"/>
  <c r="H75" i="88"/>
  <c r="I75" i="88"/>
  <c r="I81" i="88"/>
  <c r="F5" i="24"/>
  <c r="G12" i="24"/>
  <c r="D10" i="24"/>
  <c r="F10" i="24"/>
  <c r="K50" i="81"/>
  <c r="N50" i="81"/>
  <c r="K49" i="74"/>
  <c r="D67" i="74"/>
  <c r="D68" i="74"/>
  <c r="C14" i="14"/>
  <c r="E10" i="24"/>
  <c r="C10" i="24"/>
  <c r="C38" i="24"/>
  <c r="J24" i="28"/>
  <c r="K24" i="28"/>
  <c r="Y24" i="28"/>
  <c r="P24" i="28"/>
  <c r="S24" i="28"/>
  <c r="J19" i="86"/>
  <c r="J37" i="86"/>
  <c r="L86" i="86"/>
  <c r="L85" i="86"/>
  <c r="S64" i="86"/>
  <c r="J99" i="86"/>
  <c r="J203" i="86"/>
  <c r="O119" i="86"/>
  <c r="O141" i="86"/>
  <c r="S178" i="86"/>
  <c r="D76" i="88"/>
  <c r="G76" i="88"/>
  <c r="G81" i="88"/>
  <c r="F56" i="88"/>
  <c r="F57" i="88"/>
  <c r="F69" i="88"/>
  <c r="B78" i="88"/>
  <c r="G10" i="24"/>
  <c r="O118" i="86"/>
  <c r="B108" i="88"/>
  <c r="E38" i="24"/>
  <c r="H76" i="88"/>
  <c r="M203" i="86"/>
  <c r="D38" i="24"/>
  <c r="F38" i="24"/>
  <c r="G38" i="24"/>
  <c r="F24" i="24"/>
  <c r="G24" i="24"/>
  <c r="E85" i="81"/>
  <c r="E88" i="81"/>
  <c r="J32" i="28"/>
  <c r="J33" i="28"/>
  <c r="O33" i="28"/>
  <c r="K23" i="81"/>
  <c r="P78" i="28"/>
  <c r="T78" i="28"/>
  <c r="W78" i="28"/>
  <c r="K81" i="81"/>
  <c r="N81" i="81"/>
  <c r="Q78" i="28"/>
  <c r="R78" i="28"/>
  <c r="Q75" i="28"/>
  <c r="W75" i="28"/>
  <c r="P75" i="28"/>
  <c r="S75" i="28"/>
  <c r="T75" i="28"/>
  <c r="U75" i="28"/>
  <c r="K40" i="81"/>
  <c r="J76" i="28"/>
  <c r="K76" i="28"/>
  <c r="I69" i="28"/>
  <c r="I57" i="28"/>
  <c r="V13" i="28"/>
  <c r="J13" i="28"/>
  <c r="W13" i="28"/>
  <c r="K10" i="81"/>
  <c r="N10" i="81"/>
  <c r="Q13" i="28"/>
  <c r="P25" i="28"/>
  <c r="T25" i="28"/>
  <c r="J25" i="28"/>
  <c r="R25" i="28"/>
  <c r="U28" i="28"/>
  <c r="P40" i="28"/>
  <c r="W40" i="28"/>
  <c r="K51" i="81"/>
  <c r="N51" i="81"/>
  <c r="J15" i="28"/>
  <c r="K12" i="81"/>
  <c r="N12" i="81"/>
  <c r="Q15" i="28"/>
  <c r="P15" i="28"/>
  <c r="S15" i="28"/>
  <c r="W15" i="28"/>
  <c r="X15" i="28"/>
  <c r="Q42" i="28"/>
  <c r="K43" i="81"/>
  <c r="Q59" i="28"/>
  <c r="S59" i="28"/>
  <c r="P59" i="28"/>
  <c r="K61" i="81"/>
  <c r="W59" i="28"/>
  <c r="V59" i="28"/>
  <c r="R59" i="28"/>
  <c r="Q72" i="28"/>
  <c r="W72" i="28"/>
  <c r="J72" i="28"/>
  <c r="L72" i="28"/>
  <c r="N72" i="28"/>
  <c r="Y72" i="28"/>
  <c r="R72" i="28"/>
  <c r="P72" i="28"/>
  <c r="V71" i="28"/>
  <c r="P71" i="28"/>
  <c r="R71" i="28"/>
  <c r="T71" i="28"/>
  <c r="Q71" i="28"/>
  <c r="K63" i="81"/>
  <c r="N63" i="81"/>
  <c r="T65" i="28"/>
  <c r="J44" i="28"/>
  <c r="I39" i="28"/>
  <c r="J8" i="81"/>
  <c r="J85" i="81"/>
  <c r="J88" i="81"/>
  <c r="E95" i="81"/>
  <c r="R24" i="28"/>
  <c r="K25" i="81"/>
  <c r="N25" i="81"/>
  <c r="W44" i="28"/>
  <c r="R44" i="28"/>
  <c r="Q44" i="28"/>
  <c r="V43" i="28"/>
  <c r="P27" i="28"/>
  <c r="Q74" i="28"/>
  <c r="P74" i="28"/>
  <c r="F85" i="81"/>
  <c r="F88" i="81"/>
  <c r="K74" i="81"/>
  <c r="N74" i="81"/>
  <c r="K72" i="28"/>
  <c r="N23" i="81"/>
  <c r="I83" i="86"/>
  <c r="M83" i="86"/>
  <c r="S83" i="86"/>
  <c r="R47" i="86"/>
  <c r="P37" i="86"/>
  <c r="I61" i="86"/>
  <c r="M61" i="86"/>
  <c r="S61" i="86"/>
  <c r="M72" i="86"/>
  <c r="S72" i="86"/>
  <c r="O41" i="86"/>
  <c r="R42" i="86"/>
  <c r="S43" i="86"/>
  <c r="I68" i="86"/>
  <c r="M68" i="86"/>
  <c r="D97" i="91"/>
  <c r="E97" i="91"/>
  <c r="M69" i="86"/>
  <c r="S69" i="86"/>
  <c r="I48" i="86"/>
  <c r="J46" i="86"/>
  <c r="J39" i="86"/>
  <c r="J207" i="86"/>
  <c r="I55" i="86"/>
  <c r="N37" i="86"/>
  <c r="R37" i="86"/>
  <c r="L46" i="86"/>
  <c r="K46" i="86"/>
  <c r="S81" i="86"/>
  <c r="S67" i="86"/>
  <c r="I10" i="86"/>
  <c r="M10" i="86"/>
  <c r="S10" i="86"/>
  <c r="S24" i="86"/>
  <c r="U37" i="86"/>
  <c r="S78" i="86"/>
  <c r="S70" i="86"/>
  <c r="M55" i="86"/>
  <c r="S55" i="86"/>
  <c r="M48" i="86"/>
  <c r="S48" i="86"/>
  <c r="R41" i="86"/>
  <c r="I60" i="86"/>
  <c r="M60" i="86"/>
  <c r="R155" i="86"/>
  <c r="R124" i="86"/>
  <c r="M21" i="86"/>
  <c r="R54" i="86"/>
  <c r="N46" i="86"/>
  <c r="S194" i="86"/>
  <c r="S31" i="86"/>
  <c r="R186" i="86"/>
  <c r="S186" i="86"/>
  <c r="N179" i="86"/>
  <c r="R179" i="86"/>
  <c r="S179" i="86"/>
  <c r="P46" i="86"/>
  <c r="R46" i="86"/>
  <c r="R71" i="86"/>
  <c r="P141" i="86"/>
  <c r="R142" i="86"/>
  <c r="S142" i="86"/>
  <c r="N28" i="23"/>
  <c r="N18" i="23"/>
  <c r="S32" i="86"/>
  <c r="C207" i="86"/>
  <c r="D172" i="86"/>
  <c r="G173" i="86"/>
  <c r="I173" i="86"/>
  <c r="M173" i="86"/>
  <c r="S33" i="86"/>
  <c r="N20" i="23"/>
  <c r="I50" i="86"/>
  <c r="G47" i="86"/>
  <c r="O86" i="86"/>
  <c r="R92" i="86"/>
  <c r="R130" i="86"/>
  <c r="S130" i="86"/>
  <c r="Q129" i="86"/>
  <c r="M114" i="86"/>
  <c r="S114" i="86"/>
  <c r="M107" i="86"/>
  <c r="S107" i="86"/>
  <c r="M44" i="86"/>
  <c r="I42" i="86"/>
  <c r="N172" i="86"/>
  <c r="R172" i="86"/>
  <c r="R173" i="86"/>
  <c r="R162" i="86"/>
  <c r="S162" i="86"/>
  <c r="M9" i="86"/>
  <c r="S9" i="86"/>
  <c r="G8" i="86"/>
  <c r="I12" i="86"/>
  <c r="M12" i="86"/>
  <c r="S12" i="86"/>
  <c r="S26" i="86"/>
  <c r="N8" i="23"/>
  <c r="D37" i="86"/>
  <c r="M89" i="86"/>
  <c r="S89" i="86"/>
  <c r="I101" i="86"/>
  <c r="I99" i="86"/>
  <c r="M99" i="86"/>
  <c r="G99" i="86"/>
  <c r="M110" i="86"/>
  <c r="S110" i="86"/>
  <c r="I109" i="86"/>
  <c r="M109" i="86"/>
  <c r="D118" i="91"/>
  <c r="I116" i="86"/>
  <c r="M116" i="86"/>
  <c r="D47" i="91"/>
  <c r="G113" i="86"/>
  <c r="M98" i="86"/>
  <c r="S98" i="86"/>
  <c r="S204" i="86"/>
  <c r="S175" i="86"/>
  <c r="S167" i="86"/>
  <c r="S161" i="86"/>
  <c r="S149" i="86"/>
  <c r="S105" i="86"/>
  <c r="S95" i="86"/>
  <c r="S76" i="86"/>
  <c r="R65" i="86"/>
  <c r="R99" i="86"/>
  <c r="R174" i="86"/>
  <c r="R203" i="86"/>
  <c r="S203" i="86"/>
  <c r="Q46" i="86"/>
  <c r="P86" i="86"/>
  <c r="P85" i="86"/>
  <c r="F37" i="86"/>
  <c r="G68" i="86"/>
  <c r="G87" i="86"/>
  <c r="M104" i="86"/>
  <c r="S104" i="86"/>
  <c r="R68" i="86"/>
  <c r="S68" i="86"/>
  <c r="R120" i="86"/>
  <c r="S120" i="86"/>
  <c r="N141" i="86"/>
  <c r="G174" i="86"/>
  <c r="I174" i="86"/>
  <c r="M174" i="86"/>
  <c r="D64" i="91"/>
  <c r="I113" i="86"/>
  <c r="M113" i="86"/>
  <c r="S113" i="86"/>
  <c r="R129" i="86"/>
  <c r="S129" i="86"/>
  <c r="Q119" i="86"/>
  <c r="G172" i="86"/>
  <c r="I172" i="86"/>
  <c r="M172" i="86"/>
  <c r="D39" i="86"/>
  <c r="I41" i="86"/>
  <c r="M41" i="86"/>
  <c r="S41" i="86"/>
  <c r="M42" i="86"/>
  <c r="D21" i="91"/>
  <c r="S42" i="86"/>
  <c r="O85" i="86"/>
  <c r="R86" i="86"/>
  <c r="G37" i="86"/>
  <c r="N10" i="23"/>
  <c r="S21" i="86"/>
  <c r="M50" i="86"/>
  <c r="S50" i="86"/>
  <c r="N39" i="86"/>
  <c r="O39" i="86"/>
  <c r="O207" i="86"/>
  <c r="D207" i="86"/>
  <c r="Q118" i="86"/>
  <c r="B13" i="1"/>
  <c r="I193" i="14"/>
  <c r="G48" i="90"/>
  <c r="C48" i="90"/>
  <c r="B9" i="90"/>
  <c r="B48" i="90"/>
  <c r="E48" i="90"/>
  <c r="F25" i="90"/>
  <c r="F9" i="90"/>
  <c r="F16" i="90"/>
  <c r="E37" i="91"/>
  <c r="H48" i="90"/>
  <c r="F48" i="90"/>
  <c r="I10" i="90"/>
  <c r="I14" i="90"/>
  <c r="I35" i="90"/>
  <c r="I22" i="90"/>
  <c r="I16" i="90"/>
  <c r="I45" i="90"/>
  <c r="I43" i="90"/>
  <c r="I40" i="90"/>
  <c r="I30" i="90"/>
  <c r="I15" i="90"/>
  <c r="I17" i="90"/>
  <c r="I21" i="90"/>
  <c r="I9" i="90"/>
  <c r="I33" i="90"/>
  <c r="I41" i="90"/>
  <c r="I46" i="90"/>
  <c r="I48" i="90"/>
  <c r="I36" i="90"/>
  <c r="I19" i="90"/>
  <c r="I28" i="90"/>
  <c r="I44" i="90"/>
  <c r="I42" i="90"/>
  <c r="I20" i="90"/>
  <c r="I13" i="90"/>
  <c r="I24" i="90"/>
  <c r="I23" i="90"/>
  <c r="I38" i="90"/>
  <c r="I25" i="90"/>
  <c r="I32" i="90"/>
  <c r="I34" i="90"/>
  <c r="I12" i="90"/>
  <c r="I37" i="90"/>
  <c r="I26" i="90"/>
  <c r="I39" i="90"/>
  <c r="I29" i="90"/>
  <c r="I31" i="90"/>
  <c r="I27" i="90"/>
  <c r="I18" i="90"/>
  <c r="I11" i="90"/>
  <c r="J48" i="90"/>
  <c r="R85" i="86"/>
  <c r="S174" i="86"/>
  <c r="S173" i="86"/>
  <c r="I92" i="86"/>
  <c r="M92" i="86"/>
  <c r="M97" i="86"/>
  <c r="S97" i="86"/>
  <c r="D116" i="91"/>
  <c r="S99" i="86"/>
  <c r="R141" i="86"/>
  <c r="S172" i="86"/>
  <c r="D95" i="91"/>
  <c r="S60" i="86"/>
  <c r="I82" i="86"/>
  <c r="G79" i="86"/>
  <c r="G36" i="86"/>
  <c r="I36" i="86"/>
  <c r="S27" i="86"/>
  <c r="N16" i="23"/>
  <c r="N22" i="23"/>
  <c r="S30" i="86"/>
  <c r="K39" i="86"/>
  <c r="K207" i="86"/>
  <c r="G65" i="86"/>
  <c r="I66" i="86"/>
  <c r="I74" i="86"/>
  <c r="G71" i="86"/>
  <c r="G46" i="86"/>
  <c r="D46" i="91"/>
  <c r="S115" i="86"/>
  <c r="S191" i="86"/>
  <c r="S157" i="86"/>
  <c r="S150" i="86"/>
  <c r="S123" i="86"/>
  <c r="B119" i="86"/>
  <c r="G124" i="86"/>
  <c r="I124" i="86"/>
  <c r="M124" i="86"/>
  <c r="S124" i="86"/>
  <c r="K37" i="86"/>
  <c r="I8" i="86"/>
  <c r="M8" i="86"/>
  <c r="S8" i="86"/>
  <c r="I19" i="86"/>
  <c r="M19" i="86"/>
  <c r="M101" i="86"/>
  <c r="S101" i="86"/>
  <c r="S116" i="86"/>
  <c r="I87" i="86"/>
  <c r="M87" i="86"/>
  <c r="S151" i="86"/>
  <c r="I108" i="86"/>
  <c r="G106" i="86"/>
  <c r="I57" i="86"/>
  <c r="G54" i="86"/>
  <c r="G86" i="86"/>
  <c r="I86" i="86"/>
  <c r="M86" i="86"/>
  <c r="S86" i="86"/>
  <c r="E85" i="86"/>
  <c r="N207" i="86"/>
  <c r="I47" i="86"/>
  <c r="S28" i="86"/>
  <c r="S180" i="86"/>
  <c r="S23" i="86"/>
  <c r="N14" i="23"/>
  <c r="X37" i="86"/>
  <c r="S211" i="86"/>
  <c r="I18" i="50"/>
  <c r="I19" i="50"/>
  <c r="S29" i="86"/>
  <c r="N34" i="23"/>
  <c r="N36" i="23"/>
  <c r="S34" i="86"/>
  <c r="K141" i="86"/>
  <c r="M141" i="86"/>
  <c r="M159" i="86"/>
  <c r="D24" i="91"/>
  <c r="E24" i="91"/>
  <c r="R19" i="86"/>
  <c r="R109" i="86"/>
  <c r="S109" i="86"/>
  <c r="V37" i="86"/>
  <c r="S198" i="86"/>
  <c r="S117" i="86"/>
  <c r="S62" i="86"/>
  <c r="X19" i="86"/>
  <c r="G60" i="86"/>
  <c r="M151" i="86"/>
  <c r="D101" i="91"/>
  <c r="E101" i="91"/>
  <c r="P119" i="86"/>
  <c r="Q141" i="86"/>
  <c r="Q39" i="86"/>
  <c r="Q207" i="86"/>
  <c r="D126" i="91"/>
  <c r="D120" i="91"/>
  <c r="D44" i="91"/>
  <c r="D31" i="91"/>
  <c r="D63" i="91"/>
  <c r="D54" i="91"/>
  <c r="E46" i="91"/>
  <c r="E39" i="86"/>
  <c r="E207" i="86"/>
  <c r="G85" i="86"/>
  <c r="I85" i="86"/>
  <c r="M85" i="86"/>
  <c r="S141" i="86"/>
  <c r="M57" i="86"/>
  <c r="S57" i="86"/>
  <c r="I54" i="86"/>
  <c r="M54" i="86"/>
  <c r="S159" i="86"/>
  <c r="S85" i="86"/>
  <c r="P118" i="86"/>
  <c r="R119" i="86"/>
  <c r="S19" i="86"/>
  <c r="M108" i="86"/>
  <c r="S108" i="86"/>
  <c r="I106" i="86"/>
  <c r="M106" i="86"/>
  <c r="D114" i="91"/>
  <c r="S87" i="86"/>
  <c r="N37" i="23"/>
  <c r="B118" i="86"/>
  <c r="B39" i="86"/>
  <c r="G119" i="86"/>
  <c r="M74" i="86"/>
  <c r="S74" i="86"/>
  <c r="I71" i="86"/>
  <c r="M71" i="86"/>
  <c r="I37" i="86"/>
  <c r="M36" i="86"/>
  <c r="S36" i="86"/>
  <c r="D115" i="91"/>
  <c r="S92" i="86"/>
  <c r="I79" i="86"/>
  <c r="M79" i="86"/>
  <c r="M82" i="86"/>
  <c r="S82" i="86"/>
  <c r="M47" i="86"/>
  <c r="M66" i="86"/>
  <c r="S66" i="86"/>
  <c r="I65" i="86"/>
  <c r="M65" i="86"/>
  <c r="I46" i="86"/>
  <c r="M46" i="86"/>
  <c r="S46" i="86"/>
  <c r="D98" i="91"/>
  <c r="S71" i="86"/>
  <c r="D94" i="91"/>
  <c r="S54" i="86"/>
  <c r="D93" i="91"/>
  <c r="D92" i="91"/>
  <c r="D78" i="91"/>
  <c r="S47" i="86"/>
  <c r="R118" i="86"/>
  <c r="P39" i="86"/>
  <c r="D96" i="91"/>
  <c r="S65" i="86"/>
  <c r="G118" i="86"/>
  <c r="I119" i="86"/>
  <c r="D99" i="91"/>
  <c r="E99" i="91"/>
  <c r="S79" i="86"/>
  <c r="M37" i="86"/>
  <c r="B207" i="86"/>
  <c r="G207" i="86"/>
  <c r="G39" i="86"/>
  <c r="I39" i="86"/>
  <c r="M39" i="86"/>
  <c r="D117" i="91"/>
  <c r="S106" i="86"/>
  <c r="D113" i="91"/>
  <c r="I207" i="86"/>
  <c r="P207" i="86"/>
  <c r="R39" i="86"/>
  <c r="M207" i="86"/>
  <c r="S37" i="86"/>
  <c r="M119" i="86"/>
  <c r="I118" i="86"/>
  <c r="M118" i="86"/>
  <c r="S118" i="86"/>
  <c r="S39" i="86"/>
  <c r="S209" i="86"/>
  <c r="I13" i="50"/>
  <c r="I14" i="50"/>
  <c r="D103" i="91"/>
  <c r="D22" i="91"/>
  <c r="S119" i="86"/>
  <c r="I22" i="50"/>
  <c r="D20" i="91"/>
  <c r="D7" i="91"/>
  <c r="B21" i="1"/>
  <c r="B11" i="1"/>
  <c r="D132" i="91"/>
  <c r="F22" i="14"/>
  <c r="U50" i="28"/>
  <c r="B27" i="1"/>
  <c r="B127" i="91"/>
  <c r="E127" i="91"/>
  <c r="I197" i="14"/>
  <c r="H131" i="14"/>
  <c r="J131" i="14"/>
  <c r="M131" i="14"/>
  <c r="K60" i="81"/>
  <c r="N60" i="81"/>
  <c r="V58" i="28"/>
  <c r="T49" i="28"/>
  <c r="V49" i="28"/>
  <c r="N40" i="81"/>
  <c r="V40" i="28"/>
  <c r="T40" i="28"/>
  <c r="V22" i="28"/>
  <c r="O22" i="28"/>
  <c r="X70" i="28"/>
  <c r="S70" i="28"/>
  <c r="K70" i="28"/>
  <c r="Q58" i="28"/>
  <c r="K58" i="28"/>
  <c r="Q40" i="28"/>
  <c r="S22" i="28"/>
  <c r="I27" i="14"/>
  <c r="M72" i="28"/>
  <c r="O72" i="28"/>
  <c r="O76" i="28"/>
  <c r="L59" i="28"/>
  <c r="N59" i="28"/>
  <c r="U60" i="28"/>
  <c r="L61" i="28"/>
  <c r="M61" i="28"/>
  <c r="L50" i="28"/>
  <c r="M50" i="28"/>
  <c r="Y50" i="28"/>
  <c r="U40" i="28"/>
  <c r="U39" i="28"/>
  <c r="L41" i="28"/>
  <c r="M41" i="28"/>
  <c r="L24" i="28"/>
  <c r="L32" i="28"/>
  <c r="M32" i="28"/>
  <c r="N32" i="28"/>
  <c r="L15" i="28"/>
  <c r="N15" i="28"/>
  <c r="U13" i="28"/>
  <c r="N61" i="28"/>
  <c r="M15" i="28"/>
  <c r="U95" i="28"/>
  <c r="H28" i="14"/>
  <c r="J28" i="14"/>
  <c r="M28" i="14"/>
  <c r="I82" i="28"/>
  <c r="K14" i="81"/>
  <c r="N14" i="81"/>
  <c r="J17" i="28"/>
  <c r="K17" i="28"/>
  <c r="K80" i="81"/>
  <c r="N80" i="81"/>
  <c r="P77" i="28"/>
  <c r="W77" i="28"/>
  <c r="V77" i="28"/>
  <c r="R77" i="28"/>
  <c r="J77" i="28"/>
  <c r="Q77" i="28"/>
  <c r="L13" i="28"/>
  <c r="M13" i="28"/>
  <c r="O41" i="28"/>
  <c r="K41" i="28"/>
  <c r="L51" i="28"/>
  <c r="K52" i="81"/>
  <c r="N52" i="81"/>
  <c r="K51" i="28"/>
  <c r="B121" i="91"/>
  <c r="E121" i="91"/>
  <c r="N50" i="28"/>
  <c r="O51" i="28"/>
  <c r="Q69" i="28"/>
  <c r="X14" i="28"/>
  <c r="T77" i="28"/>
  <c r="U77" i="28"/>
  <c r="S41" i="28"/>
  <c r="L76" i="28"/>
  <c r="N76" i="28"/>
  <c r="R74" i="28"/>
  <c r="J74" i="28"/>
  <c r="W74" i="28"/>
  <c r="T74" i="28"/>
  <c r="U74" i="28"/>
  <c r="V74" i="28"/>
  <c r="J65" i="28"/>
  <c r="R60" i="28"/>
  <c r="S60" i="28"/>
  <c r="Q60" i="28"/>
  <c r="V60" i="28"/>
  <c r="X60" i="28"/>
  <c r="J60" i="28"/>
  <c r="T51" i="28"/>
  <c r="Q51" i="28"/>
  <c r="T42" i="28"/>
  <c r="R42" i="28"/>
  <c r="J42" i="28"/>
  <c r="P33" i="28"/>
  <c r="W33" i="28"/>
  <c r="X33" i="28"/>
  <c r="K35" i="81"/>
  <c r="Q33" i="28"/>
  <c r="S33" i="28"/>
  <c r="J29" i="28"/>
  <c r="P29" i="28"/>
  <c r="V29" i="28"/>
  <c r="W29" i="28"/>
  <c r="Q29" i="28"/>
  <c r="K26" i="81"/>
  <c r="N26" i="81"/>
  <c r="V25" i="28"/>
  <c r="W25" i="28"/>
  <c r="V73" i="28"/>
  <c r="X73" i="28"/>
  <c r="W73" i="28"/>
  <c r="W69" i="28"/>
  <c r="T73" i="28"/>
  <c r="H69" i="28"/>
  <c r="H82" i="28"/>
  <c r="O44" i="28"/>
  <c r="L44" i="28"/>
  <c r="N44" i="28"/>
  <c r="O61" i="28"/>
  <c r="K61" i="28"/>
  <c r="P65" i="28"/>
  <c r="K31" i="28"/>
  <c r="Y31" i="28"/>
  <c r="S72" i="28"/>
  <c r="P42" i="28"/>
  <c r="O15" i="28"/>
  <c r="K15" i="28"/>
  <c r="Y15" i="28"/>
  <c r="Q25" i="28"/>
  <c r="K30" i="81"/>
  <c r="N30" i="81"/>
  <c r="V42" i="28"/>
  <c r="V39" i="28"/>
  <c r="S76" i="28"/>
  <c r="W42" i="28"/>
  <c r="X52" i="28"/>
  <c r="T29" i="28"/>
  <c r="U29" i="28"/>
  <c r="R29" i="28"/>
  <c r="K28" i="28"/>
  <c r="J73" i="28"/>
  <c r="P73" i="28"/>
  <c r="S73" i="28"/>
  <c r="W51" i="28"/>
  <c r="R51" i="28"/>
  <c r="J75" i="28"/>
  <c r="R75" i="28"/>
  <c r="R69" i="28"/>
  <c r="V75" i="28"/>
  <c r="X75" i="28"/>
  <c r="Q62" i="28"/>
  <c r="P62" i="28"/>
  <c r="Q53" i="28"/>
  <c r="V53" i="28"/>
  <c r="K45" i="81"/>
  <c r="N45" i="81"/>
  <c r="V44" i="28"/>
  <c r="X44" i="28"/>
  <c r="T44" i="28"/>
  <c r="U44" i="28"/>
  <c r="Q35" i="28"/>
  <c r="V35" i="28"/>
  <c r="P35" i="28"/>
  <c r="S35" i="28"/>
  <c r="V31" i="28"/>
  <c r="P31" i="28"/>
  <c r="R31" i="28"/>
  <c r="S31" i="28"/>
  <c r="J27" i="28"/>
  <c r="K28" i="81"/>
  <c r="N28" i="81"/>
  <c r="Q27" i="28"/>
  <c r="T27" i="28"/>
  <c r="W27" i="28"/>
  <c r="K24" i="81"/>
  <c r="N24" i="81"/>
  <c r="J23" i="28"/>
  <c r="W23" i="28"/>
  <c r="J14" i="28"/>
  <c r="O14" i="28"/>
  <c r="W14" i="28"/>
  <c r="W12" i="28"/>
  <c r="Q23" i="28"/>
  <c r="R23" i="28"/>
  <c r="V78" i="28"/>
  <c r="J78" i="28"/>
  <c r="Q39" i="28"/>
  <c r="H12" i="28"/>
  <c r="L16" i="28"/>
  <c r="M16" i="28"/>
  <c r="S14" i="28"/>
  <c r="P16" i="28"/>
  <c r="S13" i="28"/>
  <c r="T16" i="28"/>
  <c r="U16" i="28"/>
  <c r="K8" i="81"/>
  <c r="N8" i="81"/>
  <c r="V16" i="28"/>
  <c r="Q16" i="28"/>
  <c r="R16" i="28"/>
  <c r="R12" i="28"/>
  <c r="O24" i="28"/>
  <c r="V24" i="28"/>
  <c r="X24" i="28"/>
  <c r="T24" i="28"/>
  <c r="U24" i="28"/>
  <c r="X23" i="28"/>
  <c r="W34" i="28"/>
  <c r="R32" i="28"/>
  <c r="S32" i="28"/>
  <c r="J30" i="28"/>
  <c r="W30" i="28"/>
  <c r="Q26" i="28"/>
  <c r="S26" i="28"/>
  <c r="Q28" i="28"/>
  <c r="V28" i="28"/>
  <c r="W26" i="28"/>
  <c r="W28" i="28"/>
  <c r="K34" i="81"/>
  <c r="P34" i="28"/>
  <c r="P21" i="28"/>
  <c r="K27" i="81"/>
  <c r="X30" i="28"/>
  <c r="X32" i="28"/>
  <c r="H21" i="28"/>
  <c r="K34" i="28"/>
  <c r="V34" i="28"/>
  <c r="R30" i="28"/>
  <c r="U42" i="28"/>
  <c r="W43" i="28"/>
  <c r="W39" i="28"/>
  <c r="S44" i="28"/>
  <c r="H39" i="28"/>
  <c r="P43" i="28"/>
  <c r="J43" i="28"/>
  <c r="R43" i="28"/>
  <c r="R39" i="28"/>
  <c r="K41" i="81"/>
  <c r="W53" i="28"/>
  <c r="W48" i="28"/>
  <c r="J53" i="28"/>
  <c r="J48" i="28"/>
  <c r="T53" i="28"/>
  <c r="H48" i="28"/>
  <c r="K50" i="28"/>
  <c r="K55" i="81"/>
  <c r="P53" i="28"/>
  <c r="S52" i="28"/>
  <c r="R53" i="28"/>
  <c r="R48" i="28"/>
  <c r="T48" i="28"/>
  <c r="Q48" i="28"/>
  <c r="V48" i="28"/>
  <c r="S50" i="28"/>
  <c r="X50" i="28"/>
  <c r="Q57" i="28"/>
  <c r="T62" i="28"/>
  <c r="J62" i="28"/>
  <c r="S61" i="28"/>
  <c r="T57" i="28"/>
  <c r="R62" i="28"/>
  <c r="V62" i="28"/>
  <c r="W62" i="28"/>
  <c r="W57" i="28"/>
  <c r="K64" i="81"/>
  <c r="N64" i="81"/>
  <c r="P57" i="28"/>
  <c r="U61" i="28"/>
  <c r="N51" i="28"/>
  <c r="M51" i="28"/>
  <c r="S51" i="28"/>
  <c r="X51" i="28"/>
  <c r="U51" i="28"/>
  <c r="L52" i="28"/>
  <c r="O52" i="28"/>
  <c r="M44" i="28"/>
  <c r="K44" i="28"/>
  <c r="N41" i="28"/>
  <c r="J39" i="28"/>
  <c r="N24" i="28"/>
  <c r="T21" i="28"/>
  <c r="L33" i="28"/>
  <c r="M24" i="28"/>
  <c r="K29" i="28"/>
  <c r="S23" i="28"/>
  <c r="L26" i="28"/>
  <c r="N26" i="28"/>
  <c r="L29" i="28"/>
  <c r="M29" i="28"/>
  <c r="K22" i="81"/>
  <c r="N22" i="81"/>
  <c r="K33" i="28"/>
  <c r="K13" i="28"/>
  <c r="J12" i="28"/>
  <c r="Q12" i="28"/>
  <c r="H160" i="14"/>
  <c r="J160" i="14"/>
  <c r="O53" i="28"/>
  <c r="L75" i="28"/>
  <c r="K75" i="28"/>
  <c r="Y75" i="28"/>
  <c r="K77" i="81"/>
  <c r="N77" i="81"/>
  <c r="O75" i="28"/>
  <c r="U73" i="28"/>
  <c r="T69" i="28"/>
  <c r="K14" i="28"/>
  <c r="R57" i="28"/>
  <c r="S34" i="28"/>
  <c r="S30" i="28"/>
  <c r="X25" i="28"/>
  <c r="S42" i="28"/>
  <c r="K62" i="81"/>
  <c r="O60" i="28"/>
  <c r="K60" i="28"/>
  <c r="L60" i="28"/>
  <c r="X77" i="28"/>
  <c r="L42" i="28"/>
  <c r="M42" i="28"/>
  <c r="Y42" i="28"/>
  <c r="K42" i="28"/>
  <c r="L27" i="28"/>
  <c r="N27" i="28"/>
  <c r="K23" i="28"/>
  <c r="O23" i="28"/>
  <c r="L23" i="28"/>
  <c r="M23" i="28"/>
  <c r="X42" i="28"/>
  <c r="T39" i="28"/>
  <c r="O73" i="28"/>
  <c r="L73" i="28"/>
  <c r="K75" i="81"/>
  <c r="K73" i="28"/>
  <c r="J21" i="28"/>
  <c r="L14" i="28"/>
  <c r="O42" i="28"/>
  <c r="P12" i="28"/>
  <c r="L78" i="28"/>
  <c r="M78" i="28"/>
  <c r="P69" i="28"/>
  <c r="L77" i="28"/>
  <c r="M77" i="28"/>
  <c r="O77" i="28"/>
  <c r="K77" i="28"/>
  <c r="S77" i="28"/>
  <c r="X16" i="28"/>
  <c r="V12" i="28"/>
  <c r="T12" i="28"/>
  <c r="Q21" i="28"/>
  <c r="X28" i="28"/>
  <c r="L30" i="28"/>
  <c r="K30" i="28"/>
  <c r="O30" i="28"/>
  <c r="V21" i="28"/>
  <c r="T82" i="28"/>
  <c r="N41" i="81"/>
  <c r="P39" i="28"/>
  <c r="K43" i="28"/>
  <c r="K44" i="81"/>
  <c r="N44" i="81"/>
  <c r="N55" i="81"/>
  <c r="K49" i="81"/>
  <c r="N49" i="81"/>
  <c r="P48" i="28"/>
  <c r="S62" i="28"/>
  <c r="J57" i="28"/>
  <c r="Q82" i="28"/>
  <c r="V57" i="28"/>
  <c r="Y61" i="28"/>
  <c r="L63" i="81"/>
  <c r="O63" i="81"/>
  <c r="N52" i="28"/>
  <c r="M52" i="28"/>
  <c r="M33" i="28"/>
  <c r="N33" i="28"/>
  <c r="N29" i="28"/>
  <c r="N14" i="28"/>
  <c r="M14" i="28"/>
  <c r="Y14" i="28"/>
  <c r="M27" i="28"/>
  <c r="N23" i="28"/>
  <c r="N73" i="28"/>
  <c r="M73" i="28"/>
  <c r="N42" i="28"/>
  <c r="Y33" i="28"/>
  <c r="L35" i="81"/>
  <c r="N78" i="28"/>
  <c r="N60" i="28"/>
  <c r="M60" i="28"/>
  <c r="Y60" i="28"/>
  <c r="N77" i="28"/>
  <c r="N75" i="81"/>
  <c r="N62" i="81"/>
  <c r="K59" i="81"/>
  <c r="N59" i="81"/>
  <c r="N75" i="28"/>
  <c r="M75" i="28"/>
  <c r="N30" i="28"/>
  <c r="M30" i="28"/>
  <c r="Y30" i="28"/>
  <c r="P82" i="28"/>
  <c r="K39" i="81"/>
  <c r="N39" i="81"/>
  <c r="Y52" i="28"/>
  <c r="L53" i="81"/>
  <c r="O53" i="81"/>
  <c r="Y73" i="28"/>
  <c r="V69" i="28"/>
  <c r="V82" i="28"/>
  <c r="K76" i="81"/>
  <c r="J69" i="28"/>
  <c r="J82" i="28"/>
  <c r="N31" i="28"/>
  <c r="M31" i="28"/>
  <c r="R21" i="28"/>
  <c r="R82" i="28"/>
  <c r="O31" i="28"/>
  <c r="W21" i="28"/>
  <c r="W82" i="28"/>
  <c r="K71" i="81"/>
  <c r="N71" i="81"/>
  <c r="N76" i="81"/>
  <c r="J193" i="14"/>
  <c r="M193" i="14"/>
  <c r="I22" i="14"/>
  <c r="L77" i="81"/>
  <c r="O77" i="81"/>
  <c r="N71" i="28"/>
  <c r="M71" i="28"/>
  <c r="L74" i="81"/>
  <c r="O74" i="81"/>
  <c r="L72" i="81"/>
  <c r="O74" i="28"/>
  <c r="Y77" i="28"/>
  <c r="S74" i="28"/>
  <c r="K71" i="28"/>
  <c r="O71" i="28"/>
  <c r="L74" i="28"/>
  <c r="L75" i="81"/>
  <c r="O75" i="81"/>
  <c r="Y76" i="28"/>
  <c r="O78" i="28"/>
  <c r="M76" i="28"/>
  <c r="X74" i="28"/>
  <c r="S78" i="28"/>
  <c r="U78" i="28"/>
  <c r="S71" i="28"/>
  <c r="K78" i="28"/>
  <c r="U71" i="28"/>
  <c r="U69" i="28"/>
  <c r="X71" i="28"/>
  <c r="K66" i="28"/>
  <c r="X66" i="28"/>
  <c r="X65" i="28"/>
  <c r="S66" i="28"/>
  <c r="S65" i="28"/>
  <c r="E17" i="14"/>
  <c r="L66" i="28"/>
  <c r="O66" i="28"/>
  <c r="O65" i="28"/>
  <c r="L62" i="81"/>
  <c r="O62" i="81"/>
  <c r="U62" i="28"/>
  <c r="U57" i="28"/>
  <c r="K62" i="28"/>
  <c r="O62" i="28"/>
  <c r="X59" i="28"/>
  <c r="S58" i="28"/>
  <c r="S57" i="28"/>
  <c r="O58" i="28"/>
  <c r="O57" i="28"/>
  <c r="X58" i="28"/>
  <c r="X57" i="28"/>
  <c r="K59" i="28"/>
  <c r="L62" i="28"/>
  <c r="L57" i="28"/>
  <c r="D15" i="14"/>
  <c r="M59" i="28"/>
  <c r="L51" i="81"/>
  <c r="O51" i="81"/>
  <c r="Y51" i="28"/>
  <c r="S53" i="28"/>
  <c r="X53" i="28"/>
  <c r="L53" i="28"/>
  <c r="K49" i="28"/>
  <c r="S49" i="28"/>
  <c r="S48" i="28"/>
  <c r="K53" i="28"/>
  <c r="X49" i="28"/>
  <c r="U49" i="28"/>
  <c r="U48" i="28"/>
  <c r="L43" i="81"/>
  <c r="Y41" i="28"/>
  <c r="Y44" i="28"/>
  <c r="X43" i="28"/>
  <c r="S40" i="28"/>
  <c r="S39" i="28"/>
  <c r="F17" i="14"/>
  <c r="K40" i="28"/>
  <c r="O43" i="28"/>
  <c r="O39" i="28"/>
  <c r="L43" i="28"/>
  <c r="X40" i="28"/>
  <c r="L25" i="81"/>
  <c r="O25" i="81"/>
  <c r="L31" i="81"/>
  <c r="O31" i="81"/>
  <c r="L32" i="81"/>
  <c r="O32" i="81"/>
  <c r="M34" i="28"/>
  <c r="Y34" i="28"/>
  <c r="N34" i="28"/>
  <c r="N28" i="28"/>
  <c r="M28" i="28"/>
  <c r="X27" i="28"/>
  <c r="O27" i="28"/>
  <c r="K25" i="28"/>
  <c r="O35" i="28"/>
  <c r="O34" i="28"/>
  <c r="Y23" i="28"/>
  <c r="M26" i="28"/>
  <c r="K27" i="28"/>
  <c r="L25" i="28"/>
  <c r="L35" i="28"/>
  <c r="S28" i="28"/>
  <c r="Y28" i="28"/>
  <c r="X35" i="28"/>
  <c r="O28" i="28"/>
  <c r="O29" i="28"/>
  <c r="O25" i="28"/>
  <c r="O21" i="28"/>
  <c r="O32" i="28"/>
  <c r="Y32" i="28"/>
  <c r="X22" i="28"/>
  <c r="K22" i="28"/>
  <c r="U32" i="28"/>
  <c r="U26" i="28"/>
  <c r="U21" i="28"/>
  <c r="U34" i="28"/>
  <c r="X34" i="28"/>
  <c r="K35" i="28"/>
  <c r="S27" i="28"/>
  <c r="S25" i="28"/>
  <c r="X29" i="28"/>
  <c r="Y29" i="28"/>
  <c r="K26" i="28"/>
  <c r="Y26" i="28"/>
  <c r="L12" i="81"/>
  <c r="O12" i="81"/>
  <c r="L14" i="81"/>
  <c r="O14" i="81"/>
  <c r="L11" i="81"/>
  <c r="O11" i="81"/>
  <c r="N16" i="28"/>
  <c r="U12" i="28"/>
  <c r="X12" i="28"/>
  <c r="S12" i="28"/>
  <c r="K16" i="28"/>
  <c r="Y16" i="28"/>
  <c r="L12" i="28"/>
  <c r="I17" i="14"/>
  <c r="M12" i="28"/>
  <c r="N13" i="28"/>
  <c r="N12" i="28"/>
  <c r="O13" i="28"/>
  <c r="O12" i="28"/>
  <c r="K69" i="28"/>
  <c r="G10" i="14"/>
  <c r="Y71" i="28"/>
  <c r="Y78" i="28"/>
  <c r="L79" i="81"/>
  <c r="O79" i="81"/>
  <c r="S69" i="28"/>
  <c r="G17" i="14"/>
  <c r="M74" i="28"/>
  <c r="Y74" i="28"/>
  <c r="N74" i="28"/>
  <c r="N69" i="28"/>
  <c r="G12" i="14"/>
  <c r="L80" i="81"/>
  <c r="O80" i="81"/>
  <c r="M69" i="28"/>
  <c r="G16" i="14"/>
  <c r="X69" i="28"/>
  <c r="O69" i="28"/>
  <c r="O72" i="81"/>
  <c r="L69" i="28"/>
  <c r="G15" i="14"/>
  <c r="M66" i="28"/>
  <c r="M65" i="28"/>
  <c r="E16" i="14"/>
  <c r="L65" i="28"/>
  <c r="E15" i="14"/>
  <c r="N66" i="28"/>
  <c r="N65" i="28"/>
  <c r="E12" i="14"/>
  <c r="E9" i="14"/>
  <c r="K65" i="28"/>
  <c r="E10" i="14"/>
  <c r="Y66" i="28"/>
  <c r="Y59" i="28"/>
  <c r="K57" i="28"/>
  <c r="D10" i="14"/>
  <c r="Y58" i="28"/>
  <c r="N62" i="28"/>
  <c r="N57" i="28"/>
  <c r="D12" i="14"/>
  <c r="M62" i="28"/>
  <c r="Y62" i="28"/>
  <c r="M57" i="28"/>
  <c r="D16" i="14"/>
  <c r="K48" i="28"/>
  <c r="C10" i="14"/>
  <c r="Y49" i="28"/>
  <c r="L52" i="81"/>
  <c r="O52" i="81"/>
  <c r="X48" i="28"/>
  <c r="M53" i="28"/>
  <c r="M48" i="28"/>
  <c r="C16" i="14"/>
  <c r="L48" i="28"/>
  <c r="C15" i="14"/>
  <c r="N53" i="28"/>
  <c r="N48" i="28"/>
  <c r="C12" i="14"/>
  <c r="N43" i="28"/>
  <c r="N39" i="28"/>
  <c r="F12" i="14"/>
  <c r="M43" i="28"/>
  <c r="M39" i="28"/>
  <c r="F16" i="14"/>
  <c r="L39" i="28"/>
  <c r="F15" i="14"/>
  <c r="F9" i="14"/>
  <c r="L45" i="81"/>
  <c r="O45" i="81"/>
  <c r="Y40" i="28"/>
  <c r="K39" i="28"/>
  <c r="F10" i="14"/>
  <c r="L41" i="81"/>
  <c r="O41" i="81"/>
  <c r="Y43" i="28"/>
  <c r="X39" i="28"/>
  <c r="L34" i="81"/>
  <c r="H18" i="14"/>
  <c r="J18" i="14"/>
  <c r="L18" i="14"/>
  <c r="U82" i="28"/>
  <c r="L36" i="81"/>
  <c r="L30" i="81"/>
  <c r="O30" i="81"/>
  <c r="L27" i="81"/>
  <c r="Y22" i="28"/>
  <c r="K21" i="28"/>
  <c r="B10" i="14"/>
  <c r="M35" i="28"/>
  <c r="N35" i="28"/>
  <c r="L24" i="81"/>
  <c r="O24" i="81"/>
  <c r="Y35" i="28"/>
  <c r="X21" i="28"/>
  <c r="L21" i="28"/>
  <c r="B15" i="14"/>
  <c r="N25" i="28"/>
  <c r="N21" i="28"/>
  <c r="B12" i="14"/>
  <c r="H12" i="14"/>
  <c r="J12" i="14"/>
  <c r="L12" i="14"/>
  <c r="M25" i="28"/>
  <c r="M21" i="28"/>
  <c r="B16" i="14"/>
  <c r="L13" i="81"/>
  <c r="O13" i="81"/>
  <c r="K12" i="28"/>
  <c r="I15" i="14"/>
  <c r="I12" i="14"/>
  <c r="I16" i="14"/>
  <c r="O82" i="28"/>
  <c r="L81" i="81"/>
  <c r="O81" i="81"/>
  <c r="Z69" i="28"/>
  <c r="L73" i="81"/>
  <c r="Y69" i="28"/>
  <c r="Y68" i="28"/>
  <c r="Y85" i="28"/>
  <c r="B109" i="91"/>
  <c r="E109" i="91"/>
  <c r="B110" i="91"/>
  <c r="E110" i="91"/>
  <c r="B108" i="91"/>
  <c r="E108" i="91"/>
  <c r="B106" i="91"/>
  <c r="E106" i="91"/>
  <c r="B107" i="91"/>
  <c r="E107" i="91"/>
  <c r="L76" i="81"/>
  <c r="O76" i="81"/>
  <c r="B72" i="91"/>
  <c r="E72" i="91"/>
  <c r="Z65" i="28"/>
  <c r="Y65" i="28"/>
  <c r="Y64" i="28"/>
  <c r="L68" i="81"/>
  <c r="L67" i="81"/>
  <c r="L66" i="81"/>
  <c r="L64" i="81"/>
  <c r="O64" i="81"/>
  <c r="B58" i="91"/>
  <c r="E58" i="91"/>
  <c r="B57" i="91"/>
  <c r="E57" i="91"/>
  <c r="L60" i="81"/>
  <c r="B60" i="91"/>
  <c r="E60" i="91"/>
  <c r="Y57" i="28"/>
  <c r="Y56" i="28"/>
  <c r="H16" i="14"/>
  <c r="J16" i="14"/>
  <c r="L61" i="81"/>
  <c r="L50" i="81"/>
  <c r="B41" i="91"/>
  <c r="E41" i="91"/>
  <c r="Y48" i="28"/>
  <c r="Y47" i="28"/>
  <c r="Y53" i="28"/>
  <c r="B83" i="91"/>
  <c r="E83" i="91"/>
  <c r="Y39" i="28"/>
  <c r="Y38" i="28"/>
  <c r="Z39" i="28"/>
  <c r="B86" i="91"/>
  <c r="E86" i="91"/>
  <c r="B81" i="91"/>
  <c r="E81" i="91"/>
  <c r="L40" i="81"/>
  <c r="B82" i="91"/>
  <c r="E82" i="91"/>
  <c r="B84" i="91"/>
  <c r="E84" i="91"/>
  <c r="L44" i="81"/>
  <c r="O44" i="81"/>
  <c r="L33" i="81"/>
  <c r="O33" i="81"/>
  <c r="Y25" i="28"/>
  <c r="M82" i="28"/>
  <c r="L82" i="28"/>
  <c r="X82" i="28"/>
  <c r="H10" i="14"/>
  <c r="N82" i="28"/>
  <c r="L23" i="81"/>
  <c r="B10" i="91"/>
  <c r="B17" i="91"/>
  <c r="E17" i="91"/>
  <c r="B16" i="91"/>
  <c r="E16" i="91"/>
  <c r="B12" i="91"/>
  <c r="E12" i="91"/>
  <c r="K82" i="28"/>
  <c r="Y12" i="28"/>
  <c r="Y11" i="28"/>
  <c r="B122" i="91"/>
  <c r="E122" i="91"/>
  <c r="Z12" i="28"/>
  <c r="L10" i="81"/>
  <c r="L71" i="81"/>
  <c r="O60" i="81"/>
  <c r="L59" i="81"/>
  <c r="Z57" i="28"/>
  <c r="O50" i="81"/>
  <c r="L55" i="81"/>
  <c r="O55" i="81"/>
  <c r="B39" i="28"/>
  <c r="B40" i="91"/>
  <c r="E40" i="91"/>
  <c r="B39" i="91"/>
  <c r="Z48" i="28"/>
  <c r="L39" i="81"/>
  <c r="O40" i="81"/>
  <c r="O23" i="81"/>
  <c r="E10" i="91"/>
  <c r="L26" i="81"/>
  <c r="O26" i="81"/>
  <c r="B11" i="91"/>
  <c r="E11" i="91"/>
  <c r="O10" i="81"/>
  <c r="L8" i="81"/>
  <c r="O8" i="81"/>
  <c r="O71" i="81"/>
  <c r="L70" i="81"/>
  <c r="L58" i="81"/>
  <c r="O59" i="81"/>
  <c r="E39" i="91"/>
  <c r="L49" i="81"/>
  <c r="O39" i="81"/>
  <c r="L38" i="81"/>
  <c r="L7" i="81"/>
  <c r="O49" i="81"/>
  <c r="L48" i="81"/>
  <c r="C23" i="14"/>
  <c r="Z28" i="28"/>
  <c r="L29" i="81"/>
  <c r="O29" i="81"/>
  <c r="S21" i="28"/>
  <c r="H17" i="14"/>
  <c r="J17" i="14"/>
  <c r="Y27" i="28"/>
  <c r="S82" i="28"/>
  <c r="Z27" i="28"/>
  <c r="Z21" i="28"/>
  <c r="Z82" i="28"/>
  <c r="B14" i="91"/>
  <c r="E14" i="91"/>
  <c r="Y21" i="28"/>
  <c r="L28" i="81"/>
  <c r="O28" i="81"/>
  <c r="L22" i="81"/>
  <c r="Y20" i="28"/>
  <c r="Y82" i="28"/>
  <c r="Y84" i="28"/>
  <c r="C84" i="28"/>
  <c r="O22" i="81"/>
  <c r="L21" i="81"/>
  <c r="K85" i="81"/>
  <c r="N85" i="81"/>
  <c r="K88" i="81"/>
  <c r="F95" i="81"/>
  <c r="H107" i="14"/>
  <c r="J107" i="14"/>
  <c r="M107" i="14"/>
  <c r="C37" i="23"/>
  <c r="F20" i="23"/>
  <c r="I34" i="14"/>
  <c r="D37" i="23"/>
  <c r="F24" i="23"/>
  <c r="I23" i="14"/>
  <c r="F32" i="23"/>
  <c r="I33" i="14"/>
  <c r="M18" i="23"/>
  <c r="O18" i="23"/>
  <c r="P18" i="23"/>
  <c r="M16" i="23"/>
  <c r="O16" i="23"/>
  <c r="P16" i="23"/>
  <c r="H33" i="14"/>
  <c r="J33" i="14"/>
  <c r="M12" i="23"/>
  <c r="O12" i="23"/>
  <c r="P12" i="23"/>
  <c r="I32" i="14"/>
  <c r="M32" i="23"/>
  <c r="O32" i="23"/>
  <c r="P32" i="23"/>
  <c r="H15" i="14"/>
  <c r="J15" i="14"/>
  <c r="B23" i="14"/>
  <c r="B37" i="14"/>
  <c r="H147" i="14"/>
  <c r="J147" i="14"/>
  <c r="H13" i="14"/>
  <c r="J13" i="14"/>
  <c r="L13" i="14"/>
  <c r="B31" i="1"/>
  <c r="B39" i="1"/>
  <c r="I206" i="14"/>
  <c r="B31" i="14"/>
  <c r="F76" i="14"/>
  <c r="H132" i="14"/>
  <c r="J132" i="14"/>
  <c r="H158" i="14"/>
  <c r="J158" i="14"/>
  <c r="M158" i="14"/>
  <c r="H55" i="14"/>
  <c r="J55" i="14"/>
  <c r="B25" i="1"/>
  <c r="H102" i="14"/>
  <c r="H164" i="14"/>
  <c r="H163" i="14"/>
  <c r="J164" i="14"/>
  <c r="H72" i="14"/>
  <c r="J72" i="14"/>
  <c r="D26" i="14"/>
  <c r="P36" i="23"/>
  <c r="G20" i="14"/>
  <c r="C14" i="89"/>
  <c r="E14" i="89"/>
  <c r="H11" i="14"/>
  <c r="J11" i="14"/>
  <c r="H172" i="14"/>
  <c r="J172" i="14"/>
  <c r="G23" i="14"/>
  <c r="E29" i="14"/>
  <c r="H99" i="14"/>
  <c r="J99" i="14"/>
  <c r="M14" i="23"/>
  <c r="O14" i="23"/>
  <c r="P14" i="23"/>
  <c r="G24" i="14"/>
  <c r="H24" i="14"/>
  <c r="J24" i="14"/>
  <c r="H52" i="14"/>
  <c r="J52" i="14"/>
  <c r="H108" i="14"/>
  <c r="J108" i="14"/>
  <c r="F37" i="23"/>
  <c r="I31" i="14"/>
  <c r="B37" i="23"/>
  <c r="I37" i="14"/>
  <c r="B123" i="91"/>
  <c r="B37" i="1"/>
  <c r="D9" i="14"/>
  <c r="E20" i="14"/>
  <c r="C12" i="89"/>
  <c r="H73" i="14"/>
  <c r="J73" i="14"/>
  <c r="L73" i="14"/>
  <c r="I9" i="14"/>
  <c r="I20" i="14"/>
  <c r="C15" i="89"/>
  <c r="E15" i="89"/>
  <c r="C20" i="14"/>
  <c r="C9" i="14"/>
  <c r="H14" i="14"/>
  <c r="J14" i="14"/>
  <c r="M14" i="14"/>
  <c r="G9" i="14"/>
  <c r="C130" i="14"/>
  <c r="H130" i="14"/>
  <c r="F20" i="14"/>
  <c r="C13" i="89"/>
  <c r="E13" i="89"/>
  <c r="I191" i="14"/>
  <c r="J191" i="14"/>
  <c r="L191" i="14"/>
  <c r="J192" i="14"/>
  <c r="M192" i="14"/>
  <c r="B25" i="14"/>
  <c r="D31" i="14"/>
  <c r="H146" i="14"/>
  <c r="J146" i="14"/>
  <c r="J145" i="14"/>
  <c r="L145" i="14"/>
  <c r="H61" i="14"/>
  <c r="J61" i="14"/>
  <c r="B53" i="14"/>
  <c r="H53" i="14"/>
  <c r="J53" i="14"/>
  <c r="H169" i="14"/>
  <c r="J169" i="14"/>
  <c r="H67" i="14"/>
  <c r="B66" i="14"/>
  <c r="B27" i="91"/>
  <c r="E27" i="91"/>
  <c r="H112" i="14"/>
  <c r="H123" i="14"/>
  <c r="J123" i="14"/>
  <c r="H84" i="14"/>
  <c r="B34" i="14"/>
  <c r="H34" i="14"/>
  <c r="J34" i="14"/>
  <c r="E25" i="14"/>
  <c r="B9" i="14"/>
  <c r="B20" i="14"/>
  <c r="C9" i="89"/>
  <c r="E9" i="89"/>
  <c r="H188" i="14"/>
  <c r="J188" i="14"/>
  <c r="H93" i="14"/>
  <c r="J93" i="14"/>
  <c r="M24" i="23"/>
  <c r="O24" i="23"/>
  <c r="P24" i="23"/>
  <c r="C145" i="14"/>
  <c r="H145" i="14"/>
  <c r="F34" i="14"/>
  <c r="M10" i="23"/>
  <c r="O10" i="23"/>
  <c r="H51" i="14"/>
  <c r="J51" i="14"/>
  <c r="L51" i="14"/>
  <c r="I37" i="23"/>
  <c r="B62" i="14"/>
  <c r="H63" i="14"/>
  <c r="J63" i="14"/>
  <c r="J112" i="14"/>
  <c r="L112" i="14"/>
  <c r="H115" i="14"/>
  <c r="H125" i="14"/>
  <c r="G124" i="14"/>
  <c r="B118" i="91"/>
  <c r="E118" i="91"/>
  <c r="G31" i="14"/>
  <c r="C31" i="14"/>
  <c r="B43" i="14"/>
  <c r="B21" i="91"/>
  <c r="E21" i="91"/>
  <c r="H44" i="14"/>
  <c r="H57" i="14"/>
  <c r="J57" i="14"/>
  <c r="H94" i="14"/>
  <c r="J94" i="14"/>
  <c r="M94" i="14"/>
  <c r="H166" i="14"/>
  <c r="J166" i="14"/>
  <c r="H177" i="14"/>
  <c r="J177" i="14"/>
  <c r="C26" i="14"/>
  <c r="H153" i="14"/>
  <c r="H152" i="14"/>
  <c r="H139" i="14"/>
  <c r="J139" i="14"/>
  <c r="M139" i="14"/>
  <c r="B50" i="91"/>
  <c r="E50" i="91"/>
  <c r="L14" i="14"/>
  <c r="H29" i="14"/>
  <c r="J29" i="14"/>
  <c r="M29" i="14"/>
  <c r="H186" i="14"/>
  <c r="H185" i="14"/>
  <c r="J185" i="14"/>
  <c r="C137" i="14"/>
  <c r="B51" i="91"/>
  <c r="M22" i="23"/>
  <c r="O22" i="23"/>
  <c r="P22" i="23"/>
  <c r="D171" i="14"/>
  <c r="D170" i="14"/>
  <c r="B67" i="91"/>
  <c r="E67" i="91"/>
  <c r="M28" i="23"/>
  <c r="O28" i="23"/>
  <c r="P28" i="23"/>
  <c r="D152" i="14"/>
  <c r="B64" i="91"/>
  <c r="E64" i="91"/>
  <c r="J37" i="23"/>
  <c r="H176" i="14"/>
  <c r="H175" i="14"/>
  <c r="F92" i="14"/>
  <c r="B95" i="91"/>
  <c r="E95" i="91"/>
  <c r="J115" i="14"/>
  <c r="L115" i="14"/>
  <c r="G37" i="23"/>
  <c r="G114" i="14"/>
  <c r="B116" i="91"/>
  <c r="E116" i="91"/>
  <c r="G111" i="14"/>
  <c r="B115" i="91"/>
  <c r="E115" i="91"/>
  <c r="B114" i="91"/>
  <c r="E114" i="91"/>
  <c r="E26" i="14"/>
  <c r="M20" i="23"/>
  <c r="O20" i="23"/>
  <c r="P20" i="23"/>
  <c r="E186" i="14"/>
  <c r="E185" i="14"/>
  <c r="E40" i="14"/>
  <c r="G121" i="14"/>
  <c r="H60" i="14"/>
  <c r="J60" i="14"/>
  <c r="L131" i="14"/>
  <c r="L193" i="14"/>
  <c r="L72" i="14"/>
  <c r="L179" i="14"/>
  <c r="D37" i="14"/>
  <c r="D38" i="14"/>
  <c r="H31" i="14"/>
  <c r="J31" i="14"/>
  <c r="K37" i="23"/>
  <c r="M26" i="23"/>
  <c r="O26" i="23"/>
  <c r="P26" i="23"/>
  <c r="H159" i="14"/>
  <c r="M30" i="23"/>
  <c r="O30" i="23"/>
  <c r="P30" i="23"/>
  <c r="H98" i="14"/>
  <c r="F82" i="14"/>
  <c r="F75" i="14"/>
  <c r="F40" i="14"/>
  <c r="F201" i="14"/>
  <c r="L37" i="23"/>
  <c r="F101" i="14"/>
  <c r="B98" i="91"/>
  <c r="E98" i="91"/>
  <c r="M37" i="23"/>
  <c r="F37" i="14"/>
  <c r="F38" i="14"/>
  <c r="J176" i="14"/>
  <c r="J159" i="14"/>
  <c r="M159" i="14"/>
  <c r="B94" i="91"/>
  <c r="E94" i="91"/>
  <c r="L159" i="14"/>
  <c r="L81" i="14"/>
  <c r="J67" i="14"/>
  <c r="M67" i="14"/>
  <c r="L54" i="14"/>
  <c r="M119" i="14"/>
  <c r="L95" i="14"/>
  <c r="M138" i="14"/>
  <c r="J125" i="14"/>
  <c r="M125" i="14"/>
  <c r="M18" i="14"/>
  <c r="J65" i="14"/>
  <c r="M65" i="14"/>
  <c r="M167" i="14"/>
  <c r="L167" i="14"/>
  <c r="L199" i="14"/>
  <c r="B128" i="91"/>
  <c r="E128" i="91"/>
  <c r="L120" i="14"/>
  <c r="M168" i="14"/>
  <c r="M12" i="14"/>
  <c r="M199" i="14"/>
  <c r="M17" i="14"/>
  <c r="L17" i="14"/>
  <c r="D27" i="1"/>
  <c r="D13" i="1"/>
  <c r="C11" i="1"/>
  <c r="E11" i="1"/>
  <c r="L65" i="14"/>
  <c r="D11" i="1"/>
  <c r="M160" i="14"/>
  <c r="L160" i="14"/>
  <c r="L178" i="14"/>
  <c r="M85" i="14"/>
  <c r="B25" i="91"/>
  <c r="E25" i="91"/>
  <c r="C10" i="89"/>
  <c r="J10" i="14"/>
  <c r="L10" i="14"/>
  <c r="L138" i="14"/>
  <c r="L146" i="14"/>
  <c r="B52" i="91"/>
  <c r="M115" i="14"/>
  <c r="B124" i="91"/>
  <c r="E124" i="91"/>
  <c r="J83" i="14"/>
  <c r="M83" i="14"/>
  <c r="H92" i="14"/>
  <c r="J153" i="14"/>
  <c r="M153" i="14"/>
  <c r="L56" i="14"/>
  <c r="M56" i="14"/>
  <c r="G105" i="14"/>
  <c r="G40" i="14"/>
  <c r="B117" i="91"/>
  <c r="M162" i="14"/>
  <c r="L162" i="14"/>
  <c r="H62" i="14"/>
  <c r="M149" i="14"/>
  <c r="L149" i="14"/>
  <c r="L107" i="14"/>
  <c r="L94" i="14"/>
  <c r="M36" i="14"/>
  <c r="L28" i="14"/>
  <c r="E123" i="91"/>
  <c r="I38" i="14"/>
  <c r="L29" i="14"/>
  <c r="D21" i="1"/>
  <c r="E17" i="1"/>
  <c r="L83" i="14"/>
  <c r="E52" i="91"/>
  <c r="E117" i="91"/>
  <c r="E10" i="89"/>
  <c r="I201" i="14"/>
  <c r="I208" i="14"/>
  <c r="L11" i="14"/>
  <c r="M11" i="14"/>
  <c r="L78" i="14"/>
  <c r="M126" i="14"/>
  <c r="L55" i="14"/>
  <c r="M55" i="14"/>
  <c r="M33" i="14"/>
  <c r="L33" i="14"/>
  <c r="L16" i="14"/>
  <c r="M16" i="14"/>
  <c r="M79" i="14"/>
  <c r="L79" i="14"/>
  <c r="B65" i="91"/>
  <c r="E65" i="91"/>
  <c r="M183" i="14"/>
  <c r="L183" i="14"/>
  <c r="L198" i="14"/>
  <c r="M198" i="14"/>
  <c r="M89" i="14"/>
  <c r="E11" i="89"/>
  <c r="C16" i="89"/>
  <c r="E16" i="89"/>
  <c r="M108" i="14"/>
  <c r="J106" i="14"/>
  <c r="L108" i="14"/>
  <c r="M145" i="14"/>
  <c r="L174" i="14"/>
  <c r="M174" i="14"/>
  <c r="L189" i="14"/>
  <c r="M189" i="14"/>
  <c r="M87" i="14"/>
  <c r="M90" i="14"/>
  <c r="L90" i="14"/>
  <c r="M86" i="14"/>
  <c r="L166" i="14"/>
  <c r="M166" i="14"/>
  <c r="J137" i="14"/>
  <c r="M137" i="14"/>
  <c r="M187" i="14"/>
  <c r="L187" i="14"/>
  <c r="J186" i="14"/>
  <c r="L96" i="14"/>
  <c r="M96" i="14"/>
  <c r="J92" i="14"/>
  <c r="M92" i="14"/>
  <c r="B120" i="91"/>
  <c r="E120" i="91"/>
  <c r="H106" i="14"/>
  <c r="L195" i="14"/>
  <c r="H9" i="14"/>
  <c r="H171" i="14"/>
  <c r="H170" i="14"/>
  <c r="M73" i="14"/>
  <c r="H114" i="14"/>
  <c r="L192" i="14"/>
  <c r="H82" i="14"/>
  <c r="B93" i="91"/>
  <c r="J154" i="14"/>
  <c r="M154" i="14"/>
  <c r="M10" i="14"/>
  <c r="L103" i="14"/>
  <c r="M177" i="14"/>
  <c r="J62" i="14"/>
  <c r="L62" i="14"/>
  <c r="M140" i="14"/>
  <c r="M112" i="14"/>
  <c r="H124" i="14"/>
  <c r="M176" i="14"/>
  <c r="H71" i="14"/>
  <c r="M13" i="14"/>
  <c r="J197" i="14"/>
  <c r="M64" i="14"/>
  <c r="L70" i="14"/>
  <c r="J66" i="14"/>
  <c r="M66" i="14"/>
  <c r="L67" i="14"/>
  <c r="J124" i="14"/>
  <c r="L124" i="14"/>
  <c r="M80" i="14"/>
  <c r="L176" i="14"/>
  <c r="M97" i="14"/>
  <c r="E51" i="91"/>
  <c r="B44" i="91"/>
  <c r="L153" i="14"/>
  <c r="B113" i="91"/>
  <c r="J9" i="14"/>
  <c r="L137" i="14"/>
  <c r="L30" i="14"/>
  <c r="L110" i="14"/>
  <c r="J98" i="14"/>
  <c r="B63" i="91"/>
  <c r="J165" i="14"/>
  <c r="M51" i="14"/>
  <c r="M60" i="14"/>
  <c r="L60" i="14"/>
  <c r="E38" i="14"/>
  <c r="B73" i="91"/>
  <c r="L164" i="14"/>
  <c r="M164" i="14"/>
  <c r="L132" i="14"/>
  <c r="M132" i="14"/>
  <c r="L15" i="14"/>
  <c r="M15" i="14"/>
  <c r="M27" i="14"/>
  <c r="L27" i="14"/>
  <c r="M35" i="14"/>
  <c r="L35" i="14"/>
  <c r="M88" i="14"/>
  <c r="L88" i="14"/>
  <c r="J161" i="14"/>
  <c r="H157" i="14"/>
  <c r="H156" i="14"/>
  <c r="H151" i="14"/>
  <c r="J151" i="14"/>
  <c r="L48" i="14"/>
  <c r="M48" i="14"/>
  <c r="L148" i="14"/>
  <c r="M148" i="14"/>
  <c r="M173" i="14"/>
  <c r="L173" i="14"/>
  <c r="L116" i="14"/>
  <c r="M116" i="14"/>
  <c r="M127" i="14"/>
  <c r="C129" i="14"/>
  <c r="C40" i="14"/>
  <c r="H137" i="14"/>
  <c r="H129" i="14"/>
  <c r="J129" i="14"/>
  <c r="J44" i="14"/>
  <c r="H43" i="14"/>
  <c r="L34" i="14"/>
  <c r="M34" i="14"/>
  <c r="L180" i="14"/>
  <c r="M180" i="14"/>
  <c r="M68" i="14"/>
  <c r="L68" i="14"/>
  <c r="J152" i="14"/>
  <c r="M152" i="14"/>
  <c r="J20" i="14"/>
  <c r="L20" i="14"/>
  <c r="B126" i="91"/>
  <c r="E126" i="91"/>
  <c r="L125" i="14"/>
  <c r="L141" i="14"/>
  <c r="L154" i="14"/>
  <c r="J76" i="14"/>
  <c r="B90" i="91"/>
  <c r="L169" i="14"/>
  <c r="M169" i="14"/>
  <c r="L24" i="14"/>
  <c r="M24" i="14"/>
  <c r="L109" i="14"/>
  <c r="M109" i="14"/>
  <c r="L136" i="14"/>
  <c r="M136" i="14"/>
  <c r="M61" i="14"/>
  <c r="L61" i="14"/>
  <c r="L117" i="14"/>
  <c r="M117" i="14"/>
  <c r="M133" i="14"/>
  <c r="L133" i="14"/>
  <c r="J130" i="14"/>
  <c r="M130" i="14"/>
  <c r="L77" i="14"/>
  <c r="L158" i="14"/>
  <c r="H20" i="14"/>
  <c r="J114" i="14"/>
  <c r="L114" i="14"/>
  <c r="H66" i="14"/>
  <c r="J157" i="14"/>
  <c r="L31" i="14"/>
  <c r="M31" i="14"/>
  <c r="M142" i="14"/>
  <c r="L139" i="14"/>
  <c r="M93" i="14"/>
  <c r="L93" i="14"/>
  <c r="M72" i="14"/>
  <c r="J71" i="14"/>
  <c r="J102" i="14"/>
  <c r="J101" i="14"/>
  <c r="H101" i="14"/>
  <c r="L32" i="14"/>
  <c r="M32" i="14"/>
  <c r="H76" i="14"/>
  <c r="H75" i="14"/>
  <c r="J75" i="14"/>
  <c r="L46" i="14"/>
  <c r="M46" i="14"/>
  <c r="M19" i="14"/>
  <c r="M181" i="14"/>
  <c r="L181" i="14"/>
  <c r="J84" i="14"/>
  <c r="D31" i="1"/>
  <c r="M191" i="14"/>
  <c r="E25" i="1"/>
  <c r="C37" i="1"/>
  <c r="D25" i="1"/>
  <c r="E31" i="1"/>
  <c r="L66" i="14"/>
  <c r="M106" i="14"/>
  <c r="L197" i="14"/>
  <c r="M197" i="14"/>
  <c r="L92" i="14"/>
  <c r="M62" i="14"/>
  <c r="E93" i="91"/>
  <c r="B92" i="91"/>
  <c r="E92" i="91"/>
  <c r="L186" i="14"/>
  <c r="M186" i="14"/>
  <c r="L130" i="14"/>
  <c r="J43" i="14"/>
  <c r="L43" i="14"/>
  <c r="M44" i="14"/>
  <c r="L44" i="14"/>
  <c r="M20" i="14"/>
  <c r="E201" i="14"/>
  <c r="M165" i="14"/>
  <c r="J163" i="14"/>
  <c r="J156" i="14"/>
  <c r="L165" i="14"/>
  <c r="E113" i="91"/>
  <c r="M114" i="14"/>
  <c r="B71" i="91"/>
  <c r="E73" i="91"/>
  <c r="M71" i="14"/>
  <c r="L71" i="14"/>
  <c r="M157" i="14"/>
  <c r="L157" i="14"/>
  <c r="E63" i="91"/>
  <c r="E44" i="91"/>
  <c r="M76" i="14"/>
  <c r="L76" i="14"/>
  <c r="L9" i="14"/>
  <c r="M9" i="14"/>
  <c r="M84" i="14"/>
  <c r="L84" i="14"/>
  <c r="J82" i="14"/>
  <c r="B80" i="91"/>
  <c r="E80" i="91"/>
  <c r="E90" i="91"/>
  <c r="M161" i="14"/>
  <c r="L161" i="14"/>
  <c r="M98" i="14"/>
  <c r="L98" i="14"/>
  <c r="E37" i="1"/>
  <c r="D37" i="1"/>
  <c r="M82" i="14"/>
  <c r="M43" i="14"/>
  <c r="B78" i="91"/>
  <c r="E78" i="91"/>
  <c r="E71" i="91"/>
  <c r="M163" i="14"/>
  <c r="K38" i="14"/>
  <c r="L82" i="14"/>
  <c r="L152" i="14"/>
  <c r="M124" i="14"/>
  <c r="K42" i="14"/>
  <c r="K151" i="14"/>
  <c r="L106" i="14"/>
  <c r="C44" i="1"/>
  <c r="C45" i="1"/>
  <c r="C40" i="1"/>
  <c r="C41" i="1"/>
  <c r="K40" i="14"/>
  <c r="L185" i="14"/>
  <c r="M185" i="14"/>
  <c r="K201" i="14"/>
  <c r="L75" i="14"/>
  <c r="M75" i="14"/>
  <c r="M101" i="14"/>
  <c r="L101" i="14"/>
  <c r="L156" i="14"/>
  <c r="M156" i="14"/>
  <c r="M151" i="14"/>
  <c r="L151" i="14"/>
  <c r="M129" i="14"/>
  <c r="L129" i="14"/>
  <c r="L52" i="14"/>
  <c r="M52" i="14"/>
  <c r="M99" i="14"/>
  <c r="L99" i="14"/>
  <c r="B38" i="14"/>
  <c r="B18" i="91"/>
  <c r="M25" i="14"/>
  <c r="L25" i="14"/>
  <c r="C38" i="14"/>
  <c r="C201" i="14"/>
  <c r="B42" i="91"/>
  <c r="L143" i="14"/>
  <c r="M143" i="14"/>
  <c r="L155" i="14"/>
  <c r="M155" i="14"/>
  <c r="L182" i="14"/>
  <c r="M182" i="14"/>
  <c r="L91" i="14"/>
  <c r="M91" i="14"/>
  <c r="L163" i="14"/>
  <c r="M102" i="14"/>
  <c r="L123" i="14"/>
  <c r="M123" i="14"/>
  <c r="G37" i="14"/>
  <c r="H22" i="14"/>
  <c r="L26" i="14"/>
  <c r="M26" i="14"/>
  <c r="L144" i="14"/>
  <c r="M144" i="14"/>
  <c r="D151" i="14"/>
  <c r="D40" i="14"/>
  <c r="D201" i="14"/>
  <c r="L100" i="14"/>
  <c r="M100" i="14"/>
  <c r="L102" i="14"/>
  <c r="L177" i="14"/>
  <c r="J175" i="14"/>
  <c r="L63" i="14"/>
  <c r="M63" i="14"/>
  <c r="M188" i="14"/>
  <c r="L188" i="14"/>
  <c r="M53" i="14"/>
  <c r="L53" i="14"/>
  <c r="L134" i="14"/>
  <c r="M134" i="14"/>
  <c r="B49" i="14"/>
  <c r="H50" i="14"/>
  <c r="J50" i="14"/>
  <c r="H111" i="14"/>
  <c r="H105" i="14"/>
  <c r="J113" i="14"/>
  <c r="M45" i="14"/>
  <c r="L45" i="14"/>
  <c r="M57" i="14"/>
  <c r="L57" i="14"/>
  <c r="P10" i="23"/>
  <c r="O37" i="23"/>
  <c r="P37" i="23"/>
  <c r="L172" i="14"/>
  <c r="M172" i="14"/>
  <c r="J171" i="14"/>
  <c r="M147" i="14"/>
  <c r="L147" i="14"/>
  <c r="L69" i="14"/>
  <c r="M69" i="14"/>
  <c r="M135" i="14"/>
  <c r="L135" i="14"/>
  <c r="M118" i="14"/>
  <c r="L118" i="14"/>
  <c r="J122" i="14"/>
  <c r="H121" i="14"/>
  <c r="B61" i="91"/>
  <c r="B76" i="91"/>
  <c r="M146" i="14"/>
  <c r="H23" i="14"/>
  <c r="J23" i="14"/>
  <c r="H59" i="14"/>
  <c r="M23" i="14"/>
  <c r="L23" i="14"/>
  <c r="L122" i="14"/>
  <c r="J121" i="14"/>
  <c r="M122" i="14"/>
  <c r="L50" i="14"/>
  <c r="M50" i="14"/>
  <c r="J22" i="14"/>
  <c r="H37" i="14"/>
  <c r="E76" i="91"/>
  <c r="B75" i="91"/>
  <c r="J170" i="14"/>
  <c r="L171" i="14"/>
  <c r="M171" i="14"/>
  <c r="B47" i="14"/>
  <c r="H49" i="14"/>
  <c r="B111" i="91"/>
  <c r="G38" i="14"/>
  <c r="G201" i="14"/>
  <c r="H58" i="14"/>
  <c r="J59" i="14"/>
  <c r="B56" i="91"/>
  <c r="E61" i="91"/>
  <c r="M113" i="14"/>
  <c r="L113" i="14"/>
  <c r="J111" i="14"/>
  <c r="L175" i="14"/>
  <c r="M175" i="14"/>
  <c r="E42" i="91"/>
  <c r="B33" i="91"/>
  <c r="B9" i="91"/>
  <c r="E18" i="91"/>
  <c r="B44" i="1"/>
  <c r="B45" i="1"/>
  <c r="H207" i="14"/>
  <c r="J207" i="14"/>
  <c r="B22" i="91"/>
  <c r="B42" i="14"/>
  <c r="B40" i="14"/>
  <c r="B69" i="91"/>
  <c r="E69" i="91"/>
  <c r="E75" i="91"/>
  <c r="H38" i="14"/>
  <c r="E33" i="91"/>
  <c r="B31" i="91"/>
  <c r="E31" i="91"/>
  <c r="L111" i="14"/>
  <c r="J105" i="14"/>
  <c r="M111" i="14"/>
  <c r="E56" i="91"/>
  <c r="B54" i="91"/>
  <c r="E54" i="91"/>
  <c r="E111" i="91"/>
  <c r="B105" i="91"/>
  <c r="E9" i="91"/>
  <c r="M59" i="14"/>
  <c r="L59" i="14"/>
  <c r="J58" i="14"/>
  <c r="J49" i="14"/>
  <c r="H47" i="14"/>
  <c r="H42" i="14"/>
  <c r="J42" i="14"/>
  <c r="L170" i="14"/>
  <c r="M170" i="14"/>
  <c r="J37" i="14"/>
  <c r="L22" i="14"/>
  <c r="M22" i="14"/>
  <c r="M121" i="14"/>
  <c r="L121" i="14"/>
  <c r="L42" i="14"/>
  <c r="M42" i="14"/>
  <c r="M105" i="14"/>
  <c r="L105" i="14"/>
  <c r="E22" i="91"/>
  <c r="B20" i="91"/>
  <c r="B201" i="14"/>
  <c r="H40" i="14"/>
  <c r="J40" i="14"/>
  <c r="L37" i="14"/>
  <c r="M37" i="14"/>
  <c r="J38" i="14"/>
  <c r="J47" i="14"/>
  <c r="L49" i="14"/>
  <c r="M49" i="14"/>
  <c r="E105" i="91"/>
  <c r="B103" i="91"/>
  <c r="E103" i="91"/>
  <c r="M58" i="14"/>
  <c r="L58" i="14"/>
  <c r="L47" i="14"/>
  <c r="M47" i="14"/>
  <c r="L40" i="14"/>
  <c r="M40" i="14"/>
  <c r="H201" i="14"/>
  <c r="J201" i="14"/>
  <c r="H206" i="14"/>
  <c r="B40" i="1"/>
  <c r="B41" i="1"/>
  <c r="E20" i="91"/>
  <c r="B7" i="91"/>
  <c r="M38" i="14"/>
  <c r="L38" i="14"/>
  <c r="H208" i="14"/>
  <c r="J206" i="14"/>
  <c r="J208" i="14"/>
  <c r="B132" i="91"/>
  <c r="E132" i="91"/>
  <c r="E7" i="91"/>
  <c r="L201" i="14"/>
  <c r="M201" i="14"/>
</calcChain>
</file>

<file path=xl/comments1.xml><?xml version="1.0" encoding="utf-8"?>
<comments xmlns="http://schemas.openxmlformats.org/spreadsheetml/2006/main">
  <authors>
    <author>Oscar Rubio</author>
  </authors>
  <commentList>
    <comment ref="A34" authorId="0" shapeId="0">
      <text>
        <r>
          <rPr>
            <b/>
            <sz val="9"/>
            <color indexed="81"/>
            <rFont val="Tahoma"/>
            <family val="2"/>
          </rPr>
          <t>Oscar Rubio:</t>
        </r>
        <r>
          <rPr>
            <sz val="9"/>
            <color indexed="81"/>
            <rFont val="Tahoma"/>
            <family val="2"/>
          </rPr>
          <t xml:space="preserve">
Aprovechamiento, intereses mora distribuidores y comites,ajuste diferencia en cambio importaciones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Oscar Rubio:</t>
        </r>
        <r>
          <rPr>
            <sz val="9"/>
            <color indexed="81"/>
            <rFont val="Tahoma"/>
            <family val="2"/>
          </rPr>
          <t xml:space="preserve">
Intereses recaudadores,Publicaciones,tarifas centro de serv.financieros,feria carne de cerdo</t>
        </r>
      </text>
    </comment>
  </commentList>
</comments>
</file>

<file path=xl/comments10.xml><?xml version="1.0" encoding="utf-8"?>
<comments xmlns="http://schemas.openxmlformats.org/spreadsheetml/2006/main">
  <authors>
    <author>Coordinacion Administrativa</author>
    <author>Oscar Rubio</author>
  </authors>
  <commentList>
    <comment ref="I9" authorId="0" shapeId="0">
      <text>
        <r>
          <rPr>
            <sz val="9"/>
            <color indexed="81"/>
            <rFont val="Tahoma"/>
            <family val="2"/>
          </rPr>
          <t xml:space="preserve">Pasan a nómina de Asociación
</t>
        </r>
      </text>
    </comment>
    <comment ref="O9" authorId="1" shapeId="0">
      <text>
        <r>
          <rPr>
            <b/>
            <sz val="9"/>
            <color indexed="81"/>
            <rFont val="Tahoma"/>
            <family val="2"/>
          </rPr>
          <t>Pasan a nomina Asoporcicultores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Pasan a nómina de Asociación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5" authorId="1" shapeId="0">
      <text>
        <r>
          <rPr>
            <b/>
            <sz val="9"/>
            <color indexed="81"/>
            <rFont val="Tahoma"/>
            <family val="2"/>
          </rPr>
          <t>Pasan a nomina Asoporcicultores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Se trasladan al área económica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6" authorId="1" shapeId="0">
      <text>
        <r>
          <rPr>
            <b/>
            <sz val="9"/>
            <color indexed="81"/>
            <rFont val="Tahoma"/>
            <family val="2"/>
          </rPr>
          <t>Se trasladan al área Económica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Se trasladan al área económica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7" authorId="1" shapeId="0">
      <text>
        <r>
          <rPr>
            <b/>
            <sz val="9"/>
            <color indexed="81"/>
            <rFont val="Tahoma"/>
            <family val="2"/>
          </rPr>
          <t>Se trasladan al área Económica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Se trasladan al área económica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8" authorId="1" shapeId="0">
      <text>
        <r>
          <rPr>
            <b/>
            <sz val="9"/>
            <color indexed="81"/>
            <rFont val="Tahoma"/>
            <family val="2"/>
          </rPr>
          <t>Se trasladan al área Económica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Pasan a nómina de Asociación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9" authorId="1" shapeId="0">
      <text>
        <r>
          <rPr>
            <b/>
            <sz val="9"/>
            <color indexed="81"/>
            <rFont val="Tahoma"/>
            <family val="2"/>
          </rPr>
          <t>Pasan a nomina Asoporcicultores</t>
        </r>
      </text>
    </comment>
    <comment ref="I27" authorId="1" shapeId="0">
      <text>
        <r>
          <rPr>
            <b/>
            <sz val="9"/>
            <color indexed="81"/>
            <rFont val="Tahoma"/>
            <family val="2"/>
          </rPr>
          <t>se traslado del área de comercialización y mercadeo</t>
        </r>
      </text>
    </comment>
    <comment ref="I28" authorId="1" shapeId="0">
      <text>
        <r>
          <rPr>
            <b/>
            <sz val="9"/>
            <color indexed="81"/>
            <rFont val="Tahoma"/>
            <family val="2"/>
          </rPr>
          <t>Se modifica cargo de jefe a coordinador</t>
        </r>
      </text>
    </comment>
    <comment ref="O28" authorId="1" shapeId="0">
      <text>
        <r>
          <rPr>
            <b/>
            <sz val="9"/>
            <color indexed="81"/>
            <rFont val="Tahoma"/>
            <family val="2"/>
          </rPr>
          <t>Se modifica cargo de jefe a coordinador</t>
        </r>
      </text>
    </comment>
    <comment ref="I29" authorId="1" shapeId="0">
      <text>
        <r>
          <rPr>
            <b/>
            <sz val="9"/>
            <color indexed="81"/>
            <rFont val="Tahoma"/>
            <family val="2"/>
          </rPr>
          <t>Se modifica cargo de jefe a coordinador</t>
        </r>
      </text>
    </comment>
    <comment ref="O29" authorId="1" shapeId="0">
      <text>
        <r>
          <rPr>
            <b/>
            <sz val="9"/>
            <color indexed="81"/>
            <rFont val="Tahoma"/>
            <family val="2"/>
          </rPr>
          <t>Se modifica cargo de jefe a coordinador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>Vr unitario $1.685.272</t>
        </r>
      </text>
    </comment>
    <comment ref="I32" authorId="1" shapeId="0">
      <text>
        <r>
          <rPr>
            <b/>
            <sz val="9"/>
            <color indexed="81"/>
            <rFont val="Tahoma"/>
            <family val="2"/>
          </rPr>
          <t>Nivelación salarial, se contempla profesional grado II</t>
        </r>
      </text>
    </comment>
    <comment ref="K32" authorId="1" shapeId="0">
      <text>
        <r>
          <rPr>
            <sz val="9"/>
            <color indexed="81"/>
            <rFont val="Tahoma"/>
            <family val="2"/>
          </rPr>
          <t>Vr unitario año 2014 $1.685.272, vr unitario 2015 $2.163.000</t>
        </r>
      </text>
    </comment>
    <comment ref="O32" authorId="1" shapeId="0">
      <text>
        <r>
          <rPr>
            <b/>
            <sz val="9"/>
            <color indexed="81"/>
            <rFont val="Tahoma"/>
            <family val="2"/>
          </rPr>
          <t>Nivelación salarial, se contempla profesional grado II</t>
        </r>
      </text>
    </comment>
    <comment ref="I34" authorId="1" shapeId="0">
      <text>
        <r>
          <rPr>
            <b/>
            <sz val="9"/>
            <color indexed="81"/>
            <rFont val="Tahoma"/>
            <family val="2"/>
          </rPr>
          <t>se traslada del área de funcionamiento</t>
        </r>
      </text>
    </comment>
    <comment ref="O34" authorId="1" shapeId="0">
      <text>
        <r>
          <rPr>
            <b/>
            <sz val="9"/>
            <color indexed="81"/>
            <rFont val="Tahoma"/>
            <family val="2"/>
          </rPr>
          <t>se traslada del área de funcionamiento</t>
        </r>
      </text>
    </comment>
    <comment ref="I35" authorId="1" shapeId="0">
      <text>
        <r>
          <rPr>
            <b/>
            <sz val="9"/>
            <color indexed="81"/>
            <rFont val="Tahoma"/>
            <family val="2"/>
          </rPr>
          <t>se traslada del área de funcionamiento</t>
        </r>
      </text>
    </comment>
    <comment ref="O35" authorId="1" shapeId="0">
      <text>
        <r>
          <rPr>
            <b/>
            <sz val="9"/>
            <color indexed="81"/>
            <rFont val="Tahoma"/>
            <family val="2"/>
          </rPr>
          <t>se traslada del área de funcionamiento</t>
        </r>
      </text>
    </comment>
    <comment ref="I36" authorId="1" shapeId="0">
      <text>
        <r>
          <rPr>
            <b/>
            <sz val="9"/>
            <color indexed="81"/>
            <rFont val="Tahoma"/>
            <family val="2"/>
          </rPr>
          <t>se traslada del área de funcionamiento</t>
        </r>
      </text>
    </comment>
    <comment ref="O36" authorId="1" shapeId="0">
      <text>
        <r>
          <rPr>
            <b/>
            <sz val="9"/>
            <color indexed="81"/>
            <rFont val="Tahoma"/>
            <family val="2"/>
          </rPr>
          <t>se traslada del área de funcionamiento</t>
        </r>
      </text>
    </comment>
    <comment ref="I42" authorId="1" shapeId="0">
      <text>
        <r>
          <rPr>
            <b/>
            <sz val="9"/>
            <color indexed="81"/>
            <rFont val="Tahoma"/>
            <family val="2"/>
          </rPr>
          <t>Se traslada al área económica</t>
        </r>
      </text>
    </comment>
    <comment ref="O43" authorId="1" shapeId="0">
      <text>
        <r>
          <rPr>
            <b/>
            <sz val="9"/>
            <color indexed="81"/>
            <rFont val="Tahoma"/>
            <family val="2"/>
          </rPr>
          <t>se contempla cargo profesional publicidad</t>
        </r>
      </text>
    </comment>
    <comment ref="O61" authorId="1" shapeId="0">
      <text>
        <r>
          <rPr>
            <b/>
            <sz val="9"/>
            <color indexed="81"/>
            <rFont val="Tahoma"/>
            <family val="2"/>
          </rPr>
          <t>se contempla jefe de laboratorios</t>
        </r>
      </text>
    </comment>
    <comment ref="O68" authorId="1" shapeId="0">
      <text>
        <r>
          <rPr>
            <b/>
            <sz val="9"/>
            <color indexed="81"/>
            <rFont val="Tahoma"/>
            <family val="2"/>
          </rPr>
          <t>Se modifica cargo de jefe a coordinador</t>
        </r>
      </text>
    </comment>
    <comment ref="O74" authorId="1" shapeId="0">
      <text>
        <r>
          <rPr>
            <b/>
            <sz val="9"/>
            <color indexed="81"/>
            <rFont val="Tahoma"/>
            <family val="2"/>
          </rPr>
          <t>Se modifica cargo de jefe a coordinador</t>
        </r>
      </text>
    </comment>
    <comment ref="O75" authorId="1" shapeId="0">
      <text>
        <r>
          <rPr>
            <b/>
            <sz val="9"/>
            <color indexed="81"/>
            <rFont val="Tahoma"/>
            <family val="2"/>
          </rPr>
          <t>Se modifica cargo de jefe a coordinador</t>
        </r>
      </text>
    </comment>
    <comment ref="F76" authorId="1" shapeId="0">
      <text>
        <r>
          <rPr>
            <b/>
            <sz val="9"/>
            <color indexed="81"/>
            <rFont val="Tahoma"/>
            <family val="2"/>
          </rPr>
          <t>Vr unitario $ 1.685.271</t>
        </r>
      </text>
    </comment>
    <comment ref="K76" authorId="1" shapeId="0">
      <text>
        <r>
          <rPr>
            <sz val="9"/>
            <color indexed="81"/>
            <rFont val="Tahoma"/>
            <family val="2"/>
          </rPr>
          <t>Vr unitario año 2014 $1.685.272, vr unitario 2015 $2.163.000</t>
        </r>
      </text>
    </comment>
    <comment ref="O76" authorId="1" shapeId="0">
      <text>
        <r>
          <rPr>
            <b/>
            <sz val="9"/>
            <color indexed="81"/>
            <rFont val="Tahoma"/>
            <family val="2"/>
          </rPr>
          <t xml:space="preserve">Nivelación salarial, se contempla profesional grado II, se incrementa 1 coordinador </t>
        </r>
      </text>
    </comment>
    <comment ref="F77" authorId="1" shapeId="0">
      <text>
        <r>
          <rPr>
            <b/>
            <sz val="9"/>
            <color indexed="81"/>
            <rFont val="Tahoma"/>
            <family val="2"/>
          </rPr>
          <t>Vr unitario $ 1.475.575</t>
        </r>
      </text>
    </comment>
    <comment ref="K77" authorId="1" shapeId="0">
      <text>
        <r>
          <rPr>
            <sz val="9"/>
            <color indexed="81"/>
            <rFont val="Tahoma"/>
            <family val="2"/>
          </rPr>
          <t>Vr unitario año 2014 $1.475.575, vr unitario 2015 $1.854.000</t>
        </r>
      </text>
    </comment>
    <comment ref="O77" authorId="1" shapeId="0">
      <text>
        <r>
          <rPr>
            <b/>
            <sz val="9"/>
            <color indexed="81"/>
            <rFont val="Tahoma"/>
            <family val="2"/>
          </rPr>
          <t>Nivelación salarial, se contempla profesional grado I</t>
        </r>
      </text>
    </comment>
    <comment ref="N85" authorId="1" shapeId="0">
      <text>
        <r>
          <rPr>
            <b/>
            <sz val="9"/>
            <color indexed="81"/>
            <rFont val="Tahoma"/>
            <family val="2"/>
          </rPr>
          <t xml:space="preserve">Se trasladaron a la nomina de Asoporcicultores (4) cargos,(jefe control de proyectos,servicios generales y dos asistentes contables) </t>
        </r>
      </text>
    </comment>
  </commentList>
</comments>
</file>

<file path=xl/comments2.xml><?xml version="1.0" encoding="utf-8"?>
<comments xmlns="http://schemas.openxmlformats.org/spreadsheetml/2006/main">
  <authors>
    <author>Sandra Baquero</author>
  </authors>
  <commentList>
    <comment ref="E68" authorId="0" shapeId="0">
      <text>
        <r>
          <rPr>
            <b/>
            <sz val="9"/>
            <color indexed="81"/>
            <rFont val="Tahoma"/>
            <family val="2"/>
          </rPr>
          <t>Sandra Baquero:</t>
        </r>
        <r>
          <rPr>
            <sz val="9"/>
            <color indexed="81"/>
            <rFont val="Tahoma"/>
            <family val="2"/>
          </rPr>
          <t xml:space="preserve">
Diferencia 30 millones convenio cars que está en extraordinarios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Sandra Baquero:</t>
        </r>
        <r>
          <rPr>
            <sz val="9"/>
            <color indexed="81"/>
            <rFont val="Tahoma"/>
            <family val="2"/>
          </rPr>
          <t xml:space="preserve">
Diferencia de 80 millones convenios cars 30 millones y conv secretaria de Antioquia por 50 millones</t>
        </r>
      </text>
    </comment>
    <comment ref="J68" authorId="0" shapeId="0">
      <text>
        <r>
          <rPr>
            <b/>
            <sz val="9"/>
            <color indexed="81"/>
            <rFont val="Tahoma"/>
            <family val="2"/>
          </rPr>
          <t>Sandra Baquero:</t>
        </r>
        <r>
          <rPr>
            <sz val="9"/>
            <color indexed="81"/>
            <rFont val="Tahoma"/>
            <family val="2"/>
          </rPr>
          <t xml:space="preserve">
Diferencia de 80 millones convenios cars 30 millones y conv secretaria de Antioquia por 50 millones</t>
        </r>
      </text>
    </comment>
  </commentList>
</comments>
</file>

<file path=xl/comments3.xml><?xml version="1.0" encoding="utf-8"?>
<comments xmlns="http://schemas.openxmlformats.org/spreadsheetml/2006/main">
  <authors>
    <author>martinezp</author>
    <author>Contabilidad ACP</author>
    <author>Oscar Rubio</author>
  </authors>
  <commentList>
    <comment ref="C7" authorId="0" shapeId="0">
      <text>
        <r>
          <rPr>
            <b/>
            <sz val="8"/>
            <color indexed="81"/>
            <rFont val="Tahoma"/>
            <family val="2"/>
          </rPr>
          <t>MODIFICADO HASTA EL ACUERDO 12 DEL 2014</t>
        </r>
      </text>
    </comment>
    <comment ref="E27" authorId="1" shapeId="0">
      <text>
        <r>
          <rPr>
            <sz val="9"/>
            <color indexed="81"/>
            <rFont val="Tahoma"/>
            <family val="2"/>
          </rPr>
          <t xml:space="preserve">Se tomo el valor de los rendiientos financieros del mes de julio.agosto,septiembre /3 y lo multiplicamos por 3 meses restantes, oct,nov,dic de 2014
</t>
        </r>
      </text>
    </comment>
    <comment ref="E28" authorId="1" shapeId="0">
      <text>
        <r>
          <rPr>
            <sz val="9"/>
            <color indexed="81"/>
            <rFont val="Tahoma"/>
            <family val="2"/>
          </rPr>
          <t xml:space="preserve">Se tomo el valor de los rendimientos financieros del mes de julio.agosto,septiembre y lo multiplicamos por 2 correspondiente a oct,nov,dic de 2014
</t>
        </r>
      </text>
    </comment>
    <comment ref="E31" authorId="2" shapeId="0">
      <text>
        <r>
          <rPr>
            <sz val="8"/>
            <color indexed="81"/>
            <rFont val="Tahoma"/>
            <family val="2"/>
          </rPr>
          <t>se calculo teniendo en cuenta los ingresos reales de jul-oct y el estimado nov-dic disminuyendo una cartera de $ 6.000.000</t>
        </r>
      </text>
    </comment>
    <comment ref="B32" authorId="2" shapeId="0">
      <text>
        <r>
          <rPr>
            <sz val="8"/>
            <color indexed="81"/>
            <rFont val="Tahoma"/>
            <family val="2"/>
          </rPr>
          <t>Intereses de mora V.A,sobrantes,aprovechamientos,ajuste pago imptos,diferencia en cambio,sanciones cheque devueltos</t>
        </r>
      </text>
    </comment>
    <comment ref="B33" authorId="2" shapeId="0">
      <text>
        <r>
          <rPr>
            <sz val="8"/>
            <color indexed="81"/>
            <rFont val="Tahoma"/>
            <family val="2"/>
          </rPr>
          <t>intereses de mora,diferencia en cambio,deudores,sobrantes,aprovechamientos,indemnizaciones,recuperaciones,ingresos extraordinarios</t>
        </r>
      </text>
    </comment>
    <comment ref="B34" authorId="2" shapeId="0">
      <text>
        <r>
          <rPr>
            <sz val="8"/>
            <color indexed="81"/>
            <rFont val="Tahoma"/>
            <family val="2"/>
          </rPr>
          <t>intereses deudores (años ant),asistencia fra,tarifas centro serv tecnicos,taller SENA, venta publicaciones,gastos de envio,otros ingresos extraordinarios</t>
        </r>
      </text>
    </comment>
  </commentList>
</comments>
</file>

<file path=xl/comments4.xml><?xml version="1.0" encoding="utf-8"?>
<comments xmlns="http://schemas.openxmlformats.org/spreadsheetml/2006/main">
  <authors>
    <author>Oscar Rubio</author>
  </authors>
  <commentList>
    <comment ref="S207" authorId="0" shapeId="0">
      <text>
        <r>
          <rPr>
            <b/>
            <sz val="9"/>
            <color indexed="81"/>
            <rFont val="Tahoma"/>
            <family val="2"/>
          </rPr>
          <t xml:space="preserve">se toma en el porcentaje la ejecución del Fondo de Emergencia </t>
        </r>
      </text>
    </comment>
  </commentList>
</comments>
</file>

<file path=xl/comments5.xml><?xml version="1.0" encoding="utf-8"?>
<comments xmlns="http://schemas.openxmlformats.org/spreadsheetml/2006/main">
  <authors>
    <author>Patricia Martinez</author>
    <author>Oscar Rubio</author>
  </authors>
  <commentList>
    <comment ref="B10" authorId="0" shapeId="0">
      <text>
        <r>
          <rPr>
            <sz val="9"/>
            <color indexed="81"/>
            <rFont val="Tahoma"/>
            <family val="2"/>
          </rPr>
          <t xml:space="preserve">Profesional G2 + Director/6 + Asistente/6
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>Coordinador asistencia técnica + Coordinador centro de servicios + Director/6 + Asistente/6</t>
        </r>
      </text>
    </comment>
    <comment ref="B12" authorId="0" shapeId="0">
      <text>
        <r>
          <rPr>
            <sz val="9"/>
            <color indexed="81"/>
            <rFont val="Tahoma"/>
            <family val="2"/>
          </rPr>
          <t>Coordinador de información +profesional grado II +Director/6 + Asistente/6</t>
        </r>
      </text>
    </comment>
    <comment ref="B14" authorId="0" shapeId="0">
      <text>
        <r>
          <rPr>
            <sz val="9"/>
            <color indexed="81"/>
            <rFont val="Tahoma"/>
            <family val="2"/>
          </rPr>
          <t>Coordinadores recaudo + Jefe recaudo + Jefe control regional + Director/6 + Asistente/6</t>
        </r>
      </text>
    </comment>
    <comment ref="B16" authorId="1" shapeId="0">
      <text>
        <r>
          <rPr>
            <sz val="9"/>
            <color indexed="81"/>
            <rFont val="Tahoma"/>
            <family val="2"/>
          </rPr>
          <t>DIRECTOR/6+ASISTENTE/6</t>
        </r>
      </text>
    </comment>
    <comment ref="B17" authorId="1" shapeId="0">
      <text>
        <r>
          <rPr>
            <sz val="9"/>
            <color indexed="81"/>
            <rFont val="Tahoma"/>
            <family val="2"/>
          </rPr>
          <t>DIRECTOR/6+ASISTENTE/6+COORDINADOR DE CALIDAD E INNOVACION</t>
        </r>
      </text>
    </comment>
    <comment ref="B18" authorId="1" shapeId="0">
      <text>
        <r>
          <rPr>
            <sz val="10"/>
            <color indexed="81"/>
            <rFont val="Tahoma"/>
            <family val="2"/>
          </rPr>
          <t>gastos generales+honorarios+dotacion</t>
        </r>
      </text>
    </comment>
    <comment ref="B39" authorId="1" shapeId="0">
      <text>
        <r>
          <rPr>
            <sz val="9"/>
            <color indexed="81"/>
            <rFont val="Tahoma"/>
            <family val="2"/>
          </rPr>
          <t>Director/3+coordinador t´ecnico/2+profesional técnico/3+asistente/3</t>
        </r>
      </text>
    </comment>
    <comment ref="B40" authorId="1" shapeId="0">
      <text>
        <r>
          <rPr>
            <sz val="9"/>
            <color indexed="81"/>
            <rFont val="Tahoma"/>
            <family val="2"/>
          </rPr>
          <t>Director/3+coordinador gestión ambiental+profesional técnico/3+asistente/3</t>
        </r>
      </text>
    </comment>
    <comment ref="B41" authorId="1" shapeId="0">
      <text>
        <r>
          <rPr>
            <sz val="9"/>
            <color indexed="81"/>
            <rFont val="Tahoma"/>
            <family val="2"/>
          </rPr>
          <t>Director/3+coordinador técnico/2+profesiona técnico/3+asistente/3</t>
        </r>
      </text>
    </comment>
    <comment ref="B57" authorId="0" shapeId="0">
      <text>
        <r>
          <rPr>
            <sz val="9"/>
            <color indexed="81"/>
            <rFont val="Tahoma"/>
            <family val="2"/>
          </rPr>
          <t xml:space="preserve">Director/3 + Profesional investigación + Asistente/3
</t>
        </r>
      </text>
    </comment>
    <comment ref="B58" authorId="0" shapeId="0">
      <text>
        <r>
          <rPr>
            <sz val="9"/>
            <color indexed="81"/>
            <rFont val="Tahoma"/>
            <family val="2"/>
          </rPr>
          <t xml:space="preserve">Director/3 + Profesional transferencia + Asistente/3
</t>
        </r>
      </text>
    </comment>
    <comment ref="B60" authorId="0" shapeId="0">
      <text>
        <r>
          <rPr>
            <sz val="9"/>
            <color indexed="81"/>
            <rFont val="Tahoma"/>
            <family val="2"/>
          </rPr>
          <t xml:space="preserve">Director/3 + jefe analisis diagnostico + Asistente/3
</t>
        </r>
      </text>
    </comment>
    <comment ref="B72" authorId="1" shapeId="0">
      <text>
        <r>
          <rPr>
            <sz val="9"/>
            <color indexed="81"/>
            <rFont val="Tahoma"/>
            <family val="2"/>
          </rPr>
          <t>profesional sanidad</t>
        </r>
      </text>
    </comment>
    <comment ref="B81" authorId="0" shapeId="0">
      <text>
        <r>
          <rPr>
            <sz val="9"/>
            <color indexed="81"/>
            <rFont val="Tahoma"/>
            <family val="2"/>
          </rPr>
          <t xml:space="preserve">Director/5 +Profesional de publicidad/5+ Asistente/5
</t>
        </r>
      </text>
    </comment>
    <comment ref="B82" authorId="0" shapeId="0">
      <text>
        <r>
          <rPr>
            <sz val="9"/>
            <color indexed="81"/>
            <rFont val="Tahoma"/>
            <family val="2"/>
          </rPr>
          <t xml:space="preserve">Director/5 + Coordinador Publicidad/2 +Profesional de publicidad+ Asistente/5
</t>
        </r>
      </text>
    </comment>
    <comment ref="B83" authorId="0" shapeId="0">
      <text>
        <r>
          <rPr>
            <sz val="9"/>
            <color indexed="81"/>
            <rFont val="Tahoma"/>
            <family val="2"/>
          </rPr>
          <t xml:space="preserve">Director/5  +Profesional de publicidad/5+ Asistente/5
</t>
        </r>
      </text>
    </comment>
    <comment ref="B84" authorId="0" shapeId="0">
      <text>
        <r>
          <rPr>
            <sz val="9"/>
            <color indexed="81"/>
            <rFont val="Tahoma"/>
            <family val="2"/>
          </rPr>
          <t xml:space="preserve">Director/5  +Profesional de publicidad/5+ Asistente/5+profesional estrategia digital
</t>
        </r>
      </text>
    </comment>
    <comment ref="B86" authorId="0" shapeId="0">
      <text>
        <r>
          <rPr>
            <sz val="9"/>
            <color indexed="81"/>
            <rFont val="Tahoma"/>
            <family val="2"/>
          </rPr>
          <t xml:space="preserve">Director/5 + Coordinador Publicidad/2 +Profesional de publicidad/5+ Asistente/5
</t>
        </r>
      </text>
    </comment>
    <comment ref="B106" authorId="0" shapeId="0">
      <text>
        <r>
          <rPr>
            <sz val="9"/>
            <color indexed="81"/>
            <rFont val="Tahoma"/>
            <family val="2"/>
          </rPr>
          <t xml:space="preserve">Director/5 + Asistente/5 + Asistente contable/5 + Jefe regional/2 + Coordinadores regionales + Subcoordinadores + Asistente despacho + Auxiliar bodega
</t>
        </r>
      </text>
    </comment>
    <comment ref="B107" authorId="0" shapeId="0">
      <text>
        <r>
          <rPr>
            <sz val="9"/>
            <color indexed="81"/>
            <rFont val="Tahoma"/>
            <family val="2"/>
          </rPr>
          <t xml:space="preserve">Director/5 + Asistente/5 + Asistente contable/5
</t>
        </r>
      </text>
    </comment>
    <comment ref="B108" authorId="0" shapeId="0">
      <text>
        <r>
          <rPr>
            <sz val="9"/>
            <color indexed="81"/>
            <rFont val="Tahoma"/>
            <family val="2"/>
          </rPr>
          <t>Director/5 + Asistente/5 + Asistente contable/5 + Jefe análisis</t>
        </r>
      </text>
    </comment>
    <comment ref="B109" authorId="0" shapeId="0">
      <text>
        <r>
          <rPr>
            <sz val="9"/>
            <color indexed="81"/>
            <rFont val="Tahoma"/>
            <family val="2"/>
          </rPr>
          <t xml:space="preserve">Director/5 + Asistente/5 + Asistente contable/5
</t>
        </r>
      </text>
    </comment>
    <comment ref="B110" authorId="0" shapeId="0">
      <text>
        <r>
          <rPr>
            <sz val="9"/>
            <color indexed="81"/>
            <rFont val="Tahoma"/>
            <family val="2"/>
          </rPr>
          <t xml:space="preserve">Director/5 + Asistente/5 + Asistente contable/5 + Jefe regional/2 
</t>
        </r>
      </text>
    </comment>
    <comment ref="B121" authorId="1" shapeId="0">
      <text>
        <r>
          <rPr>
            <sz val="9"/>
            <color indexed="81"/>
            <rFont val="Tahoma"/>
            <family val="2"/>
          </rPr>
          <t>Honorarios auditoria, examenes medicos</t>
        </r>
      </text>
    </comment>
    <comment ref="B122" authorId="1" shapeId="0">
      <text>
        <r>
          <rPr>
            <sz val="9"/>
            <color indexed="81"/>
            <rFont val="Tahoma"/>
            <family val="2"/>
          </rPr>
          <t>supervisor tesoreria,profesional tesoreria,supervisor presupuesto,profesional presupuesto</t>
        </r>
      </text>
    </comment>
    <comment ref="B124" authorId="1" shapeId="0">
      <text>
        <r>
          <rPr>
            <sz val="9"/>
            <color indexed="81"/>
            <rFont val="Tahoma"/>
            <family val="2"/>
          </rPr>
          <t xml:space="preserve">reserva FNP $75.343.448
reserva PPC $361.069.987
</t>
        </r>
      </text>
    </comment>
  </commentList>
</comments>
</file>

<file path=xl/comments6.xml><?xml version="1.0" encoding="utf-8"?>
<comments xmlns="http://schemas.openxmlformats.org/spreadsheetml/2006/main">
  <authors>
    <author>martinezp</author>
  </authors>
  <commentList>
    <comment ref="J7" authorId="0" shapeId="0">
      <text>
        <r>
          <rPr>
            <sz val="12"/>
            <color indexed="81"/>
            <rFont val="Tahoma"/>
            <family val="2"/>
          </rPr>
          <t xml:space="preserve">Participación por Departamento a 31 de agosto de 2012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Oscar Rubio</author>
  </authors>
  <commentList>
    <comment ref="M23" authorId="0" shapeId="0">
      <text>
        <r>
          <rPr>
            <sz val="8"/>
            <color indexed="81"/>
            <rFont val="Tahoma"/>
            <family val="2"/>
          </rPr>
          <t>Se tenia contemplado impresion de papeleria de recaudo, pero esta se hara hasta el IV trimestre,</t>
        </r>
      </text>
    </comment>
    <comment ref="M31" authorId="0" shapeId="0">
      <text>
        <r>
          <rPr>
            <sz val="8"/>
            <color indexed="81"/>
            <rFont val="Tahoma"/>
            <family val="2"/>
          </rPr>
          <t>En los meses de agosto y septiembre no se hizo uso de los auxilios legalizables debido a que los coordinadores estan dedicados a efectuar muestreo sanitario nacional,</t>
        </r>
      </text>
    </comment>
    <comment ref="M76" authorId="0" shapeId="0">
      <text>
        <r>
          <rPr>
            <sz val="8"/>
            <color indexed="81"/>
            <rFont val="Tahoma"/>
            <family val="2"/>
          </rPr>
          <t>Por temas de estacionalidad y aprovechamiento de pauta de marca, se extiende la recolección de información del estudio Brand Equity Traking paral  IV trimestre</t>
        </r>
      </text>
    </comment>
    <comment ref="M114" authorId="0" shapeId="0">
      <text>
        <r>
          <rPr>
            <sz val="8"/>
            <color indexed="81"/>
            <rFont val="Tahoma"/>
            <family val="2"/>
          </rPr>
          <t>Se contemplo la compra de equipos importados para la dotación del laboratorio en Cucutá, sin embargo no alcanzan a llegar en el III trimestre,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M121" authorId="0" shapeId="0">
      <text>
        <r>
          <rPr>
            <sz val="8"/>
            <color indexed="81"/>
            <rFont val="Tahoma"/>
            <family val="2"/>
          </rPr>
          <t xml:space="preserve">Inicialmante se tenia contemplado recurso para el censo nacional, sin embargo este recurso se esta ejecutando por el Convenio marco con MADR </t>
        </r>
      </text>
    </comment>
    <comment ref="M152" authorId="0" shapeId="0">
      <text>
        <r>
          <rPr>
            <sz val="8"/>
            <color indexed="81"/>
            <rFont val="Tahoma"/>
            <family val="2"/>
          </rPr>
          <t>Teniendo en cuenta que hasta el mes de octubre se tendran los resultados del estudio de frituras con Colciencias se hara divulgación de los resultados hasta el IV trimestre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</commentList>
</comments>
</file>

<file path=xl/comments8.xml><?xml version="1.0" encoding="utf-8"?>
<comments xmlns="http://schemas.openxmlformats.org/spreadsheetml/2006/main">
  <authors>
    <author>Oscar Rubio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valor contemplado por el costo de los equipos de datos y la banda ancha del FNP</t>
        </r>
      </text>
    </comment>
    <comment ref="P10" authorId="0" shapeId="0">
      <text>
        <r>
          <rPr>
            <sz val="9"/>
            <color indexed="81"/>
            <rFont val="Tahoma"/>
            <family val="2"/>
          </rPr>
          <t>Disminuyo en el área económica frbido a que el software de recaudo se adquirio en el año 2014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4" authorId="0" shapeId="0">
      <text>
        <r>
          <rPr>
            <sz val="9"/>
            <color indexed="81"/>
            <rFont val="Tahoma"/>
            <family val="2"/>
          </rPr>
          <t>Se incrementa el consumo de papeleria y toner en el Área PPC debido a la impresión de material otras enfermedades</t>
        </r>
      </text>
    </comment>
    <comment ref="P16" authorId="0" shapeId="0">
      <text>
        <r>
          <rPr>
            <sz val="9"/>
            <color indexed="81"/>
            <rFont val="Tahoma"/>
            <family val="2"/>
          </rPr>
          <t>se incrementa debido al incremento en  costo del mantenimiento de red y servidores</t>
        </r>
      </text>
    </comment>
    <comment ref="P18" authorId="0" shapeId="0">
      <text>
        <r>
          <rPr>
            <sz val="9"/>
            <color indexed="81"/>
            <rFont val="Tahoma"/>
            <family val="2"/>
          </rPr>
          <t>se incrementa los servicios del Área PPC por mayor cantidad de funcionarios en el área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P20" authorId="0" shapeId="0">
      <text>
        <r>
          <rPr>
            <sz val="9"/>
            <color indexed="81"/>
            <rFont val="Tahoma"/>
            <family val="2"/>
          </rPr>
          <t>se incrementa debido al costo de bodegaje de biologico, y que la bodega de almacenaje de mercadeo se habian contemplado nueve meses en el año 2014</t>
        </r>
      </text>
    </comment>
    <comment ref="P22" authorId="0" shapeId="0">
      <text>
        <r>
          <rPr>
            <sz val="9"/>
            <color indexed="81"/>
            <rFont val="Tahoma"/>
            <family val="2"/>
          </rPr>
          <t>se incrementa por la cantidad de actividades a desarrollar en las áreas PPC y Económica</t>
        </r>
      </text>
    </comment>
    <comment ref="P24" authorId="0" shapeId="0">
      <text>
        <r>
          <rPr>
            <sz val="9"/>
            <color indexed="81"/>
            <rFont val="Tahoma"/>
            <family val="2"/>
          </rPr>
          <t xml:space="preserve">se incrementa en las áreas PPC, Económica y Técnica debido a la impresión de nuevas publicaciones  y reimpresión de formatos 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26" authorId="0" shapeId="0">
      <text>
        <r>
          <rPr>
            <sz val="9"/>
            <color indexed="81"/>
            <rFont val="Tahoma"/>
            <family val="2"/>
          </rPr>
          <t xml:space="preserve">
1, se contempla mantenimiento correo electronico </t>
        </r>
      </text>
    </comment>
    <comment ref="P26" authorId="0" shapeId="0">
      <text>
        <r>
          <rPr>
            <sz val="9"/>
            <color indexed="81"/>
            <rFont val="Tahoma"/>
            <family val="2"/>
          </rPr>
          <t>se incrementa en el área de funcionamiento debido al costo de los correos electronicos por Gmail/ se disminuye la cantidad de envio contemplados por el área económica</t>
        </r>
      </text>
    </comment>
    <comment ref="P28" authorId="0" shapeId="0">
      <text>
        <r>
          <rPr>
            <sz val="9"/>
            <color indexed="81"/>
            <rFont val="Tahoma"/>
            <family val="2"/>
          </rPr>
          <t>se incrementa en el área PPC en un 39% debido a las actividades a contempladas a desarrollar en la vigenciad, el área económica disminuye un 33% en referencia al año 2014 debido a la optimización del recurso</t>
        </r>
      </text>
    </comment>
    <comment ref="P30" authorId="0" shapeId="0">
      <text>
        <r>
          <rPr>
            <sz val="9"/>
            <color indexed="81"/>
            <rFont val="Tahoma"/>
            <family val="2"/>
          </rPr>
          <t>se disminuye las áreas Técnica y Económica debido a las polizas contempladas en firma de convenios para el año 2015</t>
        </r>
      </text>
    </comment>
    <comment ref="P34" authorId="0" shapeId="0">
      <text>
        <r>
          <rPr>
            <sz val="9"/>
            <color indexed="81"/>
            <rFont val="Tahoma"/>
            <family val="2"/>
          </rPr>
          <t>No se incrementa en relación al año 2014, ya que se tiene contemplado en el 2015 efectuar los pagos por PC bancolombia lo que genera optimización del recurso en gastos bancarios</t>
        </r>
      </text>
    </comment>
    <comment ref="P36" authorId="0" shapeId="0">
      <text>
        <r>
          <rPr>
            <sz val="9"/>
            <color indexed="81"/>
            <rFont val="Tahoma"/>
            <family val="2"/>
          </rPr>
          <t>se disminuye el valor debido a que en el año 2014, la cuota de fiscalización fue por vr $38.322.783</t>
        </r>
      </text>
    </comment>
  </commentList>
</comments>
</file>

<file path=xl/comments9.xml><?xml version="1.0" encoding="utf-8"?>
<comments xmlns="http://schemas.openxmlformats.org/spreadsheetml/2006/main">
  <authors>
    <author>Oscar Rubio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se estimo un incremento del 3%</t>
        </r>
      </text>
    </comment>
  </commentList>
</comments>
</file>

<file path=xl/sharedStrings.xml><?xml version="1.0" encoding="utf-8"?>
<sst xmlns="http://schemas.openxmlformats.org/spreadsheetml/2006/main" count="1379" uniqueCount="860">
  <si>
    <t>Prima legal</t>
  </si>
  <si>
    <t>Vacaciones</t>
  </si>
  <si>
    <t>Seguros y/o fondos privados</t>
  </si>
  <si>
    <t>Aportes ICBF y SENA</t>
  </si>
  <si>
    <t>Cesantías</t>
  </si>
  <si>
    <t>Intereses de cesantías</t>
  </si>
  <si>
    <t>Caja de compensación</t>
  </si>
  <si>
    <t>Administración del programa</t>
  </si>
  <si>
    <t>FORMALIDAD E INTEGRACIÓN</t>
  </si>
  <si>
    <t>Fortalecimiento institucional</t>
  </si>
  <si>
    <t>COMERCIALIZACIÓN</t>
  </si>
  <si>
    <t>PRODUCTIVIDAD DE EMPRESA</t>
  </si>
  <si>
    <t>Capacitación y divulgación</t>
  </si>
  <si>
    <t>COORDINADORES REGIONALES</t>
  </si>
  <si>
    <t>SUB-COORDINADORES REGIONALES ANTIOQUIA</t>
  </si>
  <si>
    <t>ASISTENTE ADMINISTRATIVO</t>
  </si>
  <si>
    <t>SUPERÁVIT VIGENCIAS ANTERIORES</t>
  </si>
  <si>
    <t>GASTOS DE FUNCIONAMIENTO</t>
  </si>
  <si>
    <t>TOTAL PROGRAMAS Y PROYECTOS</t>
  </si>
  <si>
    <t>ANEXO 1</t>
  </si>
  <si>
    <t>PRACTICANTES SENA</t>
  </si>
  <si>
    <t>JEFE DE CONTROL REGIONAL</t>
  </si>
  <si>
    <t>ECONÓMICA</t>
  </si>
  <si>
    <t>MERCADEO</t>
  </si>
  <si>
    <t>TÉCNICA</t>
  </si>
  <si>
    <t>MINISTERIO DE AGRICULTURA  Y DESARROLLO RURAL</t>
  </si>
  <si>
    <t>Honorarios</t>
  </si>
  <si>
    <t>GASTOS GENERALES</t>
  </si>
  <si>
    <t xml:space="preserve">Mantenimiento </t>
  </si>
  <si>
    <t>Arriendos</t>
  </si>
  <si>
    <t>Correo</t>
  </si>
  <si>
    <t>TOTAL PRESUPUESTO</t>
  </si>
  <si>
    <t>CUENTAS</t>
  </si>
  <si>
    <t>Transportes, fletes y acarreos</t>
  </si>
  <si>
    <t>Muebles, equipos de oficina y software</t>
  </si>
  <si>
    <t>Aseo, vigilancia y cafetería</t>
  </si>
  <si>
    <t>Materiales y suministros</t>
  </si>
  <si>
    <t>Servicios públicos</t>
  </si>
  <si>
    <t>Seguros, impuestos y gastos legales</t>
  </si>
  <si>
    <t>Gastos comisión de fomento</t>
  </si>
  <si>
    <t>Comisiones y gastos bancarios</t>
  </si>
  <si>
    <t>Cuota auditaje CGR</t>
  </si>
  <si>
    <t>DIRECCIÓN DE PLANEACIÓN Y SEGUIMIENTO PRESUPUESTAL</t>
  </si>
  <si>
    <t>ERRADICACIÓN PPC</t>
  </si>
  <si>
    <t>MINISTERIO DE AGRICULTURA Y DESARROLLO RURAL</t>
  </si>
  <si>
    <t>Capacitación</t>
  </si>
  <si>
    <t>FONDO NACIONAL DE LA PORCICULTURA</t>
  </si>
  <si>
    <t>SUELDO</t>
  </si>
  <si>
    <t>TOTAL</t>
  </si>
  <si>
    <t>SERVICIOS GENERALES</t>
  </si>
  <si>
    <t>HONORARIOS</t>
  </si>
  <si>
    <t>IVA</t>
  </si>
  <si>
    <t>ASISTENTE CONTABILIDAD PPC</t>
  </si>
  <si>
    <t>ASISTENTE DE RECAUDO</t>
  </si>
  <si>
    <t>COSTO</t>
  </si>
  <si>
    <t>CUOTA VIGENCIAS ANTERIORES</t>
  </si>
  <si>
    <t>Repuestos</t>
  </si>
  <si>
    <t>Aseo y cafetería</t>
  </si>
  <si>
    <t>Fotocopias</t>
  </si>
  <si>
    <t>Papelería</t>
  </si>
  <si>
    <t>Teléfonos</t>
  </si>
  <si>
    <t>Celular</t>
  </si>
  <si>
    <t>Energía</t>
  </si>
  <si>
    <t>Acueducto</t>
  </si>
  <si>
    <t>Bodega</t>
  </si>
  <si>
    <t>Viajes</t>
  </si>
  <si>
    <t>Transporte Caja M.</t>
  </si>
  <si>
    <t>Acarreos</t>
  </si>
  <si>
    <t>Seguros</t>
  </si>
  <si>
    <t>Gastos Legales</t>
  </si>
  <si>
    <t>Pasajes</t>
  </si>
  <si>
    <t>Gastos</t>
  </si>
  <si>
    <t>TOTAL GASTOS GENERALES</t>
  </si>
  <si>
    <t>FNP</t>
  </si>
  <si>
    <t>Rendimientos Financieros FNP</t>
  </si>
  <si>
    <t>Rendimientos Financieros PPC</t>
  </si>
  <si>
    <t>Extraordinarios FNP</t>
  </si>
  <si>
    <t>Financieros FNP</t>
  </si>
  <si>
    <t>Financieros PPC</t>
  </si>
  <si>
    <t>EJECUCIÓN INGRESOS</t>
  </si>
  <si>
    <t>CHAPETAS</t>
  </si>
  <si>
    <t>Venta de publicaciones y videos de capacitación</t>
  </si>
  <si>
    <t>Regionalización</t>
  </si>
  <si>
    <t>Administración de la base de datos</t>
  </si>
  <si>
    <t>Sistemas de información de mercados</t>
  </si>
  <si>
    <t>CONTRATACIÓN LABORAL</t>
  </si>
  <si>
    <t xml:space="preserve">SEGUROS Y/O FONDOS PRIVADOS </t>
  </si>
  <si>
    <t>No.</t>
  </si>
  <si>
    <t>SALARIO BASE</t>
  </si>
  <si>
    <t xml:space="preserve">SUBSIDIO DE TRANSPORTE </t>
  </si>
  <si>
    <t>VALOR TOTAL A DEVENGAR MENSUAL</t>
  </si>
  <si>
    <t>RIESGOS PROFESIONALES 0,522%</t>
  </si>
  <si>
    <t>ICBF 3%</t>
  </si>
  <si>
    <t>SENA 2%</t>
  </si>
  <si>
    <t>ÁREA DE FUNCIONAMIENTO</t>
  </si>
  <si>
    <t>ÁREA PPC</t>
  </si>
  <si>
    <t>VALOR TOTAL DE LA NÓMINA</t>
  </si>
  <si>
    <t>PERSONAS</t>
  </si>
  <si>
    <t>CANTIDAD DOTACIONES/AÑO</t>
  </si>
  <si>
    <t>Fortalecimiento al recaudo</t>
  </si>
  <si>
    <t>AUDITORIA</t>
  </si>
  <si>
    <t>SALARIO INTEGRAL</t>
  </si>
  <si>
    <t>RESERVA</t>
  </si>
  <si>
    <t>VALOR MENSUAL</t>
  </si>
  <si>
    <t>DIRECTOR</t>
  </si>
  <si>
    <t>PRESUPUESTO</t>
  </si>
  <si>
    <t>CUOTA DE ADMINISTRACIÓN</t>
  </si>
  <si>
    <t>%</t>
  </si>
  <si>
    <t>INGRESOS OPERACIONALES</t>
  </si>
  <si>
    <t>Cuota de Fomento</t>
  </si>
  <si>
    <t>Cuota de Erradicación Peste Porcina Clásica</t>
  </si>
  <si>
    <t>Superavit Vigencias Anteriores</t>
  </si>
  <si>
    <t>INGRESOS NO OPERACIONALES</t>
  </si>
  <si>
    <t>INGRESOS FINANCIEROS</t>
  </si>
  <si>
    <t>OTROS INGRESOS</t>
  </si>
  <si>
    <t>Ventas Programa PPC</t>
  </si>
  <si>
    <t>TOTAL INGRESOS</t>
  </si>
  <si>
    <t>Investigación</t>
  </si>
  <si>
    <t>Muebles,  equipos  de oficina y software</t>
  </si>
  <si>
    <t>Impresos y publicaciones</t>
  </si>
  <si>
    <t>FUNCIONAMIENTO</t>
  </si>
  <si>
    <t>GASTOS</t>
  </si>
  <si>
    <t xml:space="preserve">Capacitación </t>
  </si>
  <si>
    <t>MODIFICADO</t>
  </si>
  <si>
    <t xml:space="preserve">RESERVA FUTURAS INVERSIONES Y GASTOS </t>
  </si>
  <si>
    <t>TENAZAS</t>
  </si>
  <si>
    <t>BULONES</t>
  </si>
  <si>
    <t>Servicios de personal</t>
  </si>
  <si>
    <t>PPC</t>
  </si>
  <si>
    <t>SUBTOTAL GASTOS PERSONAL</t>
  </si>
  <si>
    <t>SUBTOTAL GASTOS GENERALES</t>
  </si>
  <si>
    <t>TOTAL FUNCIONAMIENTO</t>
  </si>
  <si>
    <t>INGRESOS</t>
  </si>
  <si>
    <t>GRAN TOTAL</t>
  </si>
  <si>
    <t>PROGRAMAS ECONÓMICA</t>
  </si>
  <si>
    <t>PROGRAMAS TÉCNICA</t>
  </si>
  <si>
    <t>PROGRAMAS MERCADEO</t>
  </si>
  <si>
    <t>TOTAL INVERSIÓN</t>
  </si>
  <si>
    <t>GASTOS DE PERSONAL</t>
  </si>
  <si>
    <t xml:space="preserve">Dotación y suministro </t>
  </si>
  <si>
    <t>PROGRAMA PPC</t>
  </si>
  <si>
    <t>Sueldos</t>
  </si>
  <si>
    <t>SALUD 8,5%</t>
  </si>
  <si>
    <t>Item</t>
  </si>
  <si>
    <t>Programas y proyectos FNP</t>
  </si>
  <si>
    <t>programas y proyectos PPC</t>
  </si>
  <si>
    <t>CUOTA DE FOMENTO PORCICOLA</t>
  </si>
  <si>
    <t>EJECUCIÓN</t>
  </si>
  <si>
    <t>Gastos de viaje</t>
  </si>
  <si>
    <t>Impresos varios</t>
  </si>
  <si>
    <t>JEFE DE FORTALECIMIENTO AL RECAUDO</t>
  </si>
  <si>
    <t>COORDINADORES RECAUDO</t>
  </si>
  <si>
    <t>Hospedaje</t>
  </si>
  <si>
    <t>Alimentación</t>
  </si>
  <si>
    <t>Asoporcicultores</t>
  </si>
  <si>
    <t>COORDINADOR DE INFORMACIÓN</t>
  </si>
  <si>
    <t>COORDINADOR DE SANIDAD</t>
  </si>
  <si>
    <t>INICIO</t>
  </si>
  <si>
    <t>FINAL</t>
  </si>
  <si>
    <t>DÍAS</t>
  </si>
  <si>
    <t>Ciclos de vacunación</t>
  </si>
  <si>
    <t>Centro de servicios técnicos y financieros</t>
  </si>
  <si>
    <t>EXÁMENES INGRESO-SALIDA</t>
  </si>
  <si>
    <t>COORDINADOR  DE PUBLICIDAD</t>
  </si>
  <si>
    <t xml:space="preserve">CUOTA DE FOMENTO PORCÍCOLA </t>
  </si>
  <si>
    <t>Herramientas del Centro de servicios</t>
  </si>
  <si>
    <t>Asesorías a pequeños productores</t>
  </si>
  <si>
    <t>Asesorías a medianos y grandes productores y grupos</t>
  </si>
  <si>
    <t>Actualización de información</t>
  </si>
  <si>
    <t>Auxilios de movilización de los coordinadores de recaudo</t>
  </si>
  <si>
    <t>Recolección de desechos biológicos</t>
  </si>
  <si>
    <t>Cuota de fomento porcícola</t>
  </si>
  <si>
    <t>Cuota de erradicación Peste Porcina Clásica</t>
  </si>
  <si>
    <t>Integra Seguridad</t>
  </si>
  <si>
    <t>JEFE DE GESTIÓN AMBIENTAL</t>
  </si>
  <si>
    <t>TOTAL NÓMINA DE PROGRAMAS</t>
  </si>
  <si>
    <t>DOTACIÓN</t>
  </si>
  <si>
    <t>VR. DOTACIÓN</t>
  </si>
  <si>
    <t>CAJA DE COMPENSACIÓN  4%</t>
  </si>
  <si>
    <t>PERFIL</t>
  </si>
  <si>
    <t>PROFESIONAL GRADO 1</t>
  </si>
  <si>
    <t>ASISTENTE 1</t>
  </si>
  <si>
    <t>PRACTICANTE SENA</t>
  </si>
  <si>
    <t>JEFE DE PROGRAMA</t>
  </si>
  <si>
    <t>PROFESIONAL GRADO 2</t>
  </si>
  <si>
    <t>COORDINADOR REGIONAL</t>
  </si>
  <si>
    <t>DIRECTOR DE PROGRAMA</t>
  </si>
  <si>
    <t>COORDINADOR DE PROGRAMA</t>
  </si>
  <si>
    <t>SUBCOORDINADOR REGIONAL</t>
  </si>
  <si>
    <t>PROFESIONAL GRADO 1  PRESUPUESTO</t>
  </si>
  <si>
    <t>PENSIÓN 12%</t>
  </si>
  <si>
    <t xml:space="preserve">TOTAL GASTOS </t>
  </si>
  <si>
    <t>JEFE DE CONTROL DE PROYECTOS</t>
  </si>
  <si>
    <t>IPC APROX.</t>
  </si>
  <si>
    <t>Cuota Auditaje</t>
  </si>
  <si>
    <t>Alquiler de equipos visita</t>
  </si>
  <si>
    <t>fotocopias</t>
  </si>
  <si>
    <t>29 PASIVO</t>
  </si>
  <si>
    <t>INGRESOS EXTRAORDINARIOS FNP</t>
  </si>
  <si>
    <t>Impuestos</t>
  </si>
  <si>
    <t>Crecimiento Salario mínimo</t>
  </si>
  <si>
    <t>Incremento General</t>
  </si>
  <si>
    <t>Salario mínimo</t>
  </si>
  <si>
    <t xml:space="preserve">ASISTENTE DE CONTABILIDAD </t>
  </si>
  <si>
    <t>ASISTENTE DE PEDIDOS Y DESPACHOS</t>
  </si>
  <si>
    <t>Contratación de personal</t>
  </si>
  <si>
    <t>INGRESOS FNP</t>
  </si>
  <si>
    <t>INGRESOS PPC</t>
  </si>
  <si>
    <t>Campaña de fomento al consumo</t>
  </si>
  <si>
    <t>Divulgación sectorial</t>
  </si>
  <si>
    <t>DIGITADOR-CODIFICADOR</t>
  </si>
  <si>
    <t>DIGITADOR -CODIFICADOR</t>
  </si>
  <si>
    <t xml:space="preserve">DIRECTOR </t>
  </si>
  <si>
    <t>ANEXO 2</t>
  </si>
  <si>
    <t>ÁREA ECONÓMICA</t>
  </si>
  <si>
    <t>Aux. Transporte</t>
  </si>
  <si>
    <t>INGRESOS PROGRAMAS Y PROYECTOS FNP</t>
  </si>
  <si>
    <t>TOTAL EXTRAORDINARIOS FNP</t>
  </si>
  <si>
    <t>TOTAL  PROGRAMAS Y PROYECTOS FNP</t>
  </si>
  <si>
    <t>ENERO-JUNIO</t>
  </si>
  <si>
    <t>JULIO-DIC</t>
  </si>
  <si>
    <t>% EJECUCIÓN</t>
  </si>
  <si>
    <t>EJECUCIÓN INGRESOS FONDO NACIONAL DE LA PORCICULTURA</t>
  </si>
  <si>
    <t>EJECUCIÓN INGRESOS PESTE PORCINA CLÁSICA</t>
  </si>
  <si>
    <t>Ingresos Fondo Nacional de la Porcicultura</t>
  </si>
  <si>
    <t>Superavit FNP</t>
  </si>
  <si>
    <t>Superavit PPC</t>
  </si>
  <si>
    <t>Ingresos Peste Porcina Clásica</t>
  </si>
  <si>
    <t>Gastos Peste Porcina Clásica</t>
  </si>
  <si>
    <t>Gastos Fondo Nacional de la Porcicultura</t>
  </si>
  <si>
    <t>Licencias antivirus</t>
  </si>
  <si>
    <t xml:space="preserve">Cadena porcícola </t>
  </si>
  <si>
    <t>Seguimiento recaudo regional</t>
  </si>
  <si>
    <t>PROFESIONAL GRADO 1 ECONÓMICO</t>
  </si>
  <si>
    <t>JEFE DE ANÁLISIS EPIDEMIOLÓGICO</t>
  </si>
  <si>
    <t>COORDINADOR ASISTENCIA TÉCNICA</t>
  </si>
  <si>
    <t>COORDINADOR CENTRO DE  SERVICIOS</t>
  </si>
  <si>
    <t>AUXILIAR DE DESPACHOS</t>
  </si>
  <si>
    <t>AUXILIAR 2</t>
  </si>
  <si>
    <t xml:space="preserve">PROFESIONAL GRADO 2 </t>
  </si>
  <si>
    <t>Determinación de factores de riesgo</t>
  </si>
  <si>
    <t xml:space="preserve">Auxilios de comités de ganaderos </t>
  </si>
  <si>
    <t>TOTALES</t>
  </si>
  <si>
    <t>INCREMENTOS</t>
  </si>
  <si>
    <t>VALOR ANUAL 2006</t>
  </si>
  <si>
    <t>% INCREMENTO SUELDO</t>
  </si>
  <si>
    <t>% INCREMENTO ANUAL</t>
  </si>
  <si>
    <t>% SUELDO</t>
  </si>
  <si>
    <t>% ANUAL</t>
  </si>
  <si>
    <t xml:space="preserve"> % INCREMENTO TOTAL </t>
  </si>
  <si>
    <t>TOTAL NOMINA DE PROGRAMAS</t>
  </si>
  <si>
    <t>INCREMENTOS ANUALES</t>
  </si>
  <si>
    <t>incremento de personal</t>
  </si>
  <si>
    <t>Deprisa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</si>
  <si>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</si>
  <si>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</si>
  <si>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</si>
  <si>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</si>
  <si>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</si>
  <si>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</si>
  <si>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</si>
  <si>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</si>
  <si>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 xml:space="preserve">PROMEDIO </t>
  </si>
  <si>
    <t>INT. CTA. DE AHORRO  OCCIDENTE</t>
  </si>
  <si>
    <t>INT. CTA. DE AHORRO BANCOLOMBIA</t>
  </si>
  <si>
    <t>INGRESOS FINANCIEROS PPC</t>
  </si>
  <si>
    <t>PROMEDIO</t>
  </si>
  <si>
    <t>INTERESES DE MORA</t>
  </si>
  <si>
    <t>SOBRANTES</t>
  </si>
  <si>
    <t>APROVECHAMIENTOS</t>
  </si>
  <si>
    <t>AJUSTE PAGO IMPUESTOS</t>
  </si>
  <si>
    <t>AJUSTE POR DIFERENCIA EN CAMBIO</t>
  </si>
  <si>
    <t>INDEMNIZACIONES</t>
  </si>
  <si>
    <t>INT. CTA. DE AHORRO OCCIDENTE</t>
  </si>
  <si>
    <t>INGRESOS FINANCIEROS FNP</t>
  </si>
  <si>
    <t>REEMBOLSOS GASTOS DE ENVIO</t>
  </si>
  <si>
    <t xml:space="preserve">RENDIMIENTOS FINANCIEROS </t>
  </si>
  <si>
    <t xml:space="preserve">TOTAL RENDIMIENTOS FINANCIEROS </t>
  </si>
  <si>
    <t xml:space="preserve">TOTAL INGRESOS FINANCIEROS </t>
  </si>
  <si>
    <t>Intereses de mora recaudadores</t>
  </si>
  <si>
    <t>FORTALECER LA INSTITUCIONALIDAD SECTORIAL</t>
  </si>
  <si>
    <t>PROMOVER EL CONSUMO DE CARNE DE CERDO COLOMBIANA</t>
  </si>
  <si>
    <t>FORTALECER EL ESTATUS SANITARIO Y LA PRODUCCIÓN SOSTENIBLE DEL SECTOR PORCICOLA</t>
  </si>
  <si>
    <t>FORTALECER LA GESTIÓN EMPRESARIAL E INTEGRACIÓN DE LA CADENA CARNICA PORCICOLA</t>
  </si>
  <si>
    <t>PROMOVER EL ASEGURAMIENTO DE LA CALIDAD DE LA CADENA CÁRNICA PORCINA</t>
  </si>
  <si>
    <t>FORTALECER LOS SISTEMAS DE INFORMACIÓN Y GESTIONAR INTELIGENCIA DE MERCADOS</t>
  </si>
  <si>
    <t>FORTALECER EL BENEFICIO FORMAL</t>
  </si>
  <si>
    <t>GESTIONAR LA INVESTIGACIÓN Y DESARROLLO DE LA CADENA</t>
  </si>
  <si>
    <t>Control y monitoreo para la enfermedad de PRRS en granjas de Colombia</t>
  </si>
  <si>
    <t>Programa Nacional de Mejoramiento del Estatus Sanitario</t>
  </si>
  <si>
    <t>Aseguramiento de la calidad en gestión primaria</t>
  </si>
  <si>
    <t>ÁREA MERCADEO</t>
  </si>
  <si>
    <t>ÁREA TÉCNICA</t>
  </si>
  <si>
    <t>COORDINADOR DE CALIDAD E INNOVACIÓN</t>
  </si>
  <si>
    <t>ÁREA INVESTIGACIÒN</t>
  </si>
  <si>
    <t>TRANSFERENCIA</t>
  </si>
  <si>
    <t>SUPERVISOR CONTROL PRESUPUESTAL</t>
  </si>
  <si>
    <t>SUPERVISOR TESORERIA</t>
  </si>
  <si>
    <t xml:space="preserve">Monitoreo Precios de la Carne al Consumidor </t>
  </si>
  <si>
    <t>Promoción de exportaciones</t>
  </si>
  <si>
    <t>Jornadas de trabajo coordinadores</t>
  </si>
  <si>
    <t>Fortalecimiento de la infraestructura de beneficio</t>
  </si>
  <si>
    <t>Vigilancia epidemiológica</t>
  </si>
  <si>
    <t>INVESTIGACIÓN Y DESARROLLO</t>
  </si>
  <si>
    <t>TRANSFERENCIA DE TECNOLOGÍA</t>
  </si>
  <si>
    <t>Diagnóstico Rutinario</t>
  </si>
  <si>
    <t>Vigilancia de campo</t>
  </si>
  <si>
    <t>Equipos comunicación puestos control</t>
  </si>
  <si>
    <t>ERRADICACIÓN DE PPC</t>
  </si>
  <si>
    <t>MEJORAMIENTO DEL ESTATUS SANITARIO</t>
  </si>
  <si>
    <t>Investigación de mercados</t>
  </si>
  <si>
    <t>PROGRAMAS INVESTIGACIÓN Y TRANSFERENCIA DE TÉCNOLOGÍA</t>
  </si>
  <si>
    <t>Talleres y seminarios</t>
  </si>
  <si>
    <t>PROFESIONAL GRADO 1  TESORERÍA</t>
  </si>
  <si>
    <t>INVESTIGACIÒN Y TRANSFERENCIA</t>
  </si>
  <si>
    <t>EXTRAORDINARIOS</t>
  </si>
  <si>
    <t>AJUSTE DIFERENCIA EN CAMBIO</t>
  </si>
  <si>
    <t>SANCIONES</t>
  </si>
  <si>
    <t>IMPRESOS Y PUBLICACIONES</t>
  </si>
  <si>
    <t>EXTRAORDINARIO</t>
  </si>
  <si>
    <t>INGRESOS POR VENTAS TOTALES</t>
  </si>
  <si>
    <t>VARIABLE</t>
  </si>
  <si>
    <t>Ingresos por venta de bulones</t>
  </si>
  <si>
    <t xml:space="preserve">Precio de venta </t>
  </si>
  <si>
    <t>No bulones para la venta</t>
  </si>
  <si>
    <t>Utilidad</t>
  </si>
  <si>
    <t>Ingresos por ventas de tenazas</t>
  </si>
  <si>
    <t>Costo compras</t>
  </si>
  <si>
    <t>Precio venta con IVA</t>
  </si>
  <si>
    <t>Costo IVA tenazas venta</t>
  </si>
  <si>
    <t>Precio venta sin IVA</t>
  </si>
  <si>
    <t>Costo total tenazas</t>
  </si>
  <si>
    <t>Costo IVA Tenazas importación</t>
  </si>
  <si>
    <t xml:space="preserve">Precio de compra </t>
  </si>
  <si>
    <t>No de tenazas</t>
  </si>
  <si>
    <t>INVENTARIO</t>
  </si>
  <si>
    <t>CHAPETAS ZF BRIGADA</t>
  </si>
  <si>
    <t>CHAPETAS ZONA LIBRE</t>
  </si>
  <si>
    <t>INGRESOS POR VENTAS</t>
  </si>
  <si>
    <t>UTILIDAD</t>
  </si>
  <si>
    <t>UNIDADES</t>
  </si>
  <si>
    <t>PRECIO DE
VENTA IVA INCLUIDO</t>
  </si>
  <si>
    <t>PRECIO TOTAL 
COMPRA</t>
  </si>
  <si>
    <t>COSTO IVA</t>
  </si>
  <si>
    <t>PRECIO DE NETO
COMPRA</t>
  </si>
  <si>
    <t>DESCRIPCION</t>
  </si>
  <si>
    <t>UTILIDAD
 NETA</t>
  </si>
  <si>
    <t>PRECIO DE
VENTA</t>
  </si>
  <si>
    <t>PRECIO DE
COMPRA</t>
  </si>
  <si>
    <t>PRESENTACION</t>
  </si>
  <si>
    <t>PROYECTADO VENTAS</t>
  </si>
  <si>
    <t>PROYECTADO COMPRAS</t>
  </si>
  <si>
    <t>UNITARIOS</t>
  </si>
  <si>
    <t>BANCO DE VACUNA</t>
  </si>
  <si>
    <t>BRIGADAS</t>
  </si>
  <si>
    <t>Total chapetas Zona Frontera</t>
  </si>
  <si>
    <t>Total chapetas Zona Libre</t>
  </si>
  <si>
    <t>Total chapetas</t>
  </si>
  <si>
    <t>Banco de vacuna</t>
  </si>
  <si>
    <t>Proyección distribución normal</t>
  </si>
  <si>
    <t>Proyección brigadas</t>
  </si>
  <si>
    <t>Proyección dosis barrido</t>
  </si>
  <si>
    <t>Proyección total de dosis</t>
  </si>
  <si>
    <t>Presentación 10</t>
  </si>
  <si>
    <t>Participación por laboratorio brigadas</t>
  </si>
  <si>
    <t>Participación por presentación brigadas</t>
  </si>
  <si>
    <t>Participación por laboratorio barrido</t>
  </si>
  <si>
    <t>Participación por presentación</t>
  </si>
  <si>
    <t>Participación por laboratorio distribución</t>
  </si>
  <si>
    <t>Total biológico + chapeta barrido</t>
  </si>
  <si>
    <t>Total chapeta barrido + IVA</t>
  </si>
  <si>
    <t>IVA chapeta (16%)</t>
  </si>
  <si>
    <t>Precio de venta chapeta de barrido</t>
  </si>
  <si>
    <t>Precio venta dosis barrido</t>
  </si>
  <si>
    <t>Incremento anual biológico comités</t>
  </si>
  <si>
    <t>IVA Chapeta Zona Libre</t>
  </si>
  <si>
    <t>IVA Chapeta venta</t>
  </si>
  <si>
    <t>IVA Chapeta compra</t>
  </si>
  <si>
    <t>Precio venta chapeta</t>
  </si>
  <si>
    <t>Precio compra chapeta</t>
  </si>
  <si>
    <t>Precio venta asociación dosis 25</t>
  </si>
  <si>
    <t>Precio venta asociación dosis 10</t>
  </si>
  <si>
    <t>Incremento anual biológico y chapetas Asociación</t>
  </si>
  <si>
    <t>Incremento anual laboratorios</t>
  </si>
  <si>
    <t>Incremento anual precio compra chapetas</t>
  </si>
  <si>
    <t>SUPUESTOS CALCULO DE INGRESOS PPC</t>
  </si>
  <si>
    <t>Convenios con las Gobernaciones</t>
  </si>
  <si>
    <t xml:space="preserve">Evaluación de Infraestructura existente </t>
  </si>
  <si>
    <t>Estrategias en diferenciación</t>
  </si>
  <si>
    <t>INTERESES MORA RECAUDADORES VIG.ANTERIORES</t>
  </si>
  <si>
    <t>INTERES DE MORA RECAUDADORES VIG. ACTUAL</t>
  </si>
  <si>
    <t>ARRENDAMIENTOS</t>
  </si>
  <si>
    <t>Asistencia a productores</t>
  </si>
  <si>
    <t xml:space="preserve">Programa IAT </t>
  </si>
  <si>
    <t>AÑO 2014</t>
  </si>
  <si>
    <t>AÑO 2.014</t>
  </si>
  <si>
    <t>PRESUPUESTO DE GASTOS DE FUNCIONAMIENTO E INVERSIÓN 2.014</t>
  </si>
  <si>
    <t>OTROS</t>
  </si>
  <si>
    <t>DEUDORES</t>
  </si>
  <si>
    <t>RENDIMIENTOS INVERSIONES</t>
  </si>
  <si>
    <t>FONDO DE EMERGENCIA</t>
  </si>
  <si>
    <t>Precio compra Zoetis dosis 10</t>
  </si>
  <si>
    <t>Precio compra Zoetis dosis 25</t>
  </si>
  <si>
    <t>Zoetis</t>
  </si>
  <si>
    <t>Participación Zoetis</t>
  </si>
  <si>
    <t>Total chapetas Zona Erradicación</t>
  </si>
  <si>
    <t>LABORATORIO ZOETIS</t>
  </si>
  <si>
    <t>Subtotal Zoetis</t>
  </si>
  <si>
    <t>DOSIS DE 10 Zoetis</t>
  </si>
  <si>
    <t xml:space="preserve">DOSIS DE 10 </t>
  </si>
  <si>
    <t>CHAPETAS BRIGADA DE CHAPETAS ZE</t>
  </si>
  <si>
    <t xml:space="preserve">GRAN TOTAL </t>
  </si>
  <si>
    <t>Home Panel Nielsen</t>
  </si>
  <si>
    <t>Brand Equity and Tracking</t>
  </si>
  <si>
    <t>Eye Tracking</t>
  </si>
  <si>
    <t>Monitoreo de Medios</t>
  </si>
  <si>
    <t>Nutricionistas</t>
  </si>
  <si>
    <t>Eventos Feriales</t>
  </si>
  <si>
    <t>Capacitación anual contratistas</t>
  </si>
  <si>
    <t>Seguimiento e implementación otras ciudades</t>
  </si>
  <si>
    <t>Campaña de publicidad</t>
  </si>
  <si>
    <t>Desarrollo nuevas recetas</t>
  </si>
  <si>
    <t>Me encanta la canta de cerdo.com</t>
  </si>
  <si>
    <t>Club Gourmet de la Carne de Cerdo</t>
  </si>
  <si>
    <t>Pauta institucional</t>
  </si>
  <si>
    <t>Kit publicitario</t>
  </si>
  <si>
    <t>Compra de biológico, chapetas y tenazas</t>
  </si>
  <si>
    <t>Compra de materiales y dotaciones</t>
  </si>
  <si>
    <t>Pago de auxilios de frío, flete y movilizaciones</t>
  </si>
  <si>
    <t>Brigadas</t>
  </si>
  <si>
    <t>Reunión anual</t>
  </si>
  <si>
    <t>Talleres de formación PPC</t>
  </si>
  <si>
    <t>Asesoría internacional</t>
  </si>
  <si>
    <t>Divulgación</t>
  </si>
  <si>
    <t>Publicidad</t>
  </si>
  <si>
    <t>Contrapartida MADR</t>
  </si>
  <si>
    <t xml:space="preserve">Contrapartida FNP </t>
  </si>
  <si>
    <t>Afiliación ICONTEC</t>
  </si>
  <si>
    <t>Asesoría internacional en calidad</t>
  </si>
  <si>
    <t>Proyectos</t>
  </si>
  <si>
    <t>Capacitación anual</t>
  </si>
  <si>
    <t>Jornadas de divulgación resultados de investigación</t>
  </si>
  <si>
    <t>Capacitación en desposte de carne de cerdo</t>
  </si>
  <si>
    <t>Seminario Internacional</t>
  </si>
  <si>
    <t>Cuota de administración FNP</t>
  </si>
  <si>
    <t>Cuota de administración PPC</t>
  </si>
  <si>
    <t>VALOR ANUAL 2014</t>
  </si>
  <si>
    <t>INVESTIGACIÓN Y TRANSFERENCIA</t>
  </si>
  <si>
    <t>Seminario internacional(Investigación)</t>
  </si>
  <si>
    <t>Vinculación Tecnológica</t>
  </si>
  <si>
    <t>Estudios de infraestructura regional</t>
  </si>
  <si>
    <t>Estrategia Digital</t>
  </si>
  <si>
    <t>Eventos de incentivo al consumo</t>
  </si>
  <si>
    <t>Comsac</t>
  </si>
  <si>
    <t>Participación en Negociaciones Internacionales</t>
  </si>
  <si>
    <t>Tracking publicitario</t>
  </si>
  <si>
    <t>Día de la Carne de Cerdo</t>
  </si>
  <si>
    <t>Festival de la Carne de cerdo</t>
  </si>
  <si>
    <t>Concurso Sabor innovador</t>
  </si>
  <si>
    <t>Eventos al Sector</t>
  </si>
  <si>
    <t>Porciamericas</t>
  </si>
  <si>
    <t>Seguimiento magro</t>
  </si>
  <si>
    <t>Asesores Transición sello de respaldo</t>
  </si>
  <si>
    <t>Valor agregado a los cortes secundarios</t>
  </si>
  <si>
    <t>Gira técnica</t>
  </si>
  <si>
    <t>Capacitación a operarios de granja</t>
  </si>
  <si>
    <t>Mejore las finanzas</t>
  </si>
  <si>
    <t>Talleres para chef</t>
  </si>
  <si>
    <t>Capacitación HACCP avanzado</t>
  </si>
  <si>
    <t>Capacitación plantas de alimento balanceado</t>
  </si>
  <si>
    <t>Curso Premezcla y aditivos</t>
  </si>
  <si>
    <t>Material de apoyo</t>
  </si>
  <si>
    <t>Sensibilización de las bondades gastronómicas y nutricionales de la carne de cerdo</t>
  </si>
  <si>
    <t>Asesores Gastronómicos</t>
  </si>
  <si>
    <t>Viajes regionales equipo día de la Carne de Cerdo</t>
  </si>
  <si>
    <t>Consultoría MESA</t>
  </si>
  <si>
    <t>Gestión y seguimiento a eventos de mercadeo</t>
  </si>
  <si>
    <t>Activaciones y eventos meencantalacarnedecerdo.com,club     gourmet, Facebook , Twitter</t>
  </si>
  <si>
    <t xml:space="preserve">Seguimiento gestión HORECA </t>
  </si>
  <si>
    <t>Material Publicitario, Promoción y Divulgación</t>
  </si>
  <si>
    <t>Eventos Canal Institucional de capacitación y divulgación  (Horeca)</t>
  </si>
  <si>
    <t>Asesorías BPM y HACCP</t>
  </si>
  <si>
    <t>Consultoría nacional</t>
  </si>
  <si>
    <t>Gastos de viaje consultoría</t>
  </si>
  <si>
    <t>Diplomado en gerencia integral porcícola</t>
  </si>
  <si>
    <t>Mantenimiento red</t>
  </si>
  <si>
    <r>
      <t xml:space="preserve">RENDIMIENTOS ENCARGO FIDUCIARIO 1084136 </t>
    </r>
    <r>
      <rPr>
        <b/>
        <sz val="11"/>
        <rFont val="Times New Roman"/>
        <family val="1"/>
      </rPr>
      <t>PROM 3.31</t>
    </r>
  </si>
  <si>
    <t>Ingresos tarifas Centro de Servicios Técnicos y Financieros(Económica)</t>
  </si>
  <si>
    <t>Equipos computo y muebles</t>
  </si>
  <si>
    <t>Apoteosys</t>
  </si>
  <si>
    <t>Porcinino  2013(Mercadeo)</t>
  </si>
  <si>
    <t>Diagnóstico sanitario</t>
  </si>
  <si>
    <t>Capacitación para expendios</t>
  </si>
  <si>
    <t>Admisibilidad y normatividad sanitaria</t>
  </si>
  <si>
    <t>Trabajo con autoridades</t>
  </si>
  <si>
    <t>RENDIMIENTOS ENCARGO FIDUCIARIO</t>
  </si>
  <si>
    <t>Agencia Free Press</t>
  </si>
  <si>
    <t>Depuración, codificación y verificación de predios</t>
  </si>
  <si>
    <t>Precio venta total chapeta Zona en Erradicación</t>
  </si>
  <si>
    <t>Precio venta chapeta Zona Libre sin IVA</t>
  </si>
  <si>
    <t>Precio venta total Chapeta distribuidor Zona Libre</t>
  </si>
  <si>
    <t>Control al Contrabando</t>
  </si>
  <si>
    <t>Evaluación condición TGEV -PRCV en Colombia</t>
  </si>
  <si>
    <t>Incentivo al consumo de la carne de cerdo en el canal institucional (horeca)</t>
  </si>
  <si>
    <t>PROFESIONAL ESPECIALIZADO</t>
  </si>
  <si>
    <t xml:space="preserve">Manto Cableado </t>
  </si>
  <si>
    <t xml:space="preserve">Aseguramiento de la calidad en la cadena de transformación(HACCP-BPM) </t>
  </si>
  <si>
    <t>Administración Fiducia</t>
  </si>
  <si>
    <t>Informes de los mercados internacionales de Carne</t>
  </si>
  <si>
    <t>Ingesta de Carne de cerdo (Pacientes diabeticos y obesos) Fase III</t>
  </si>
  <si>
    <t>PRESUPUESTO DE INGRESOS VIGENCIA  2.015</t>
  </si>
  <si>
    <t>OTROS INGRESOS VIGENCIA  2.015</t>
  </si>
  <si>
    <t>SUPERAVIT PROYECTADO  AÑO 2014</t>
  </si>
  <si>
    <t>TOTAL SUPERAVIT 2014</t>
  </si>
  <si>
    <t>EJECUCIÓN PROYECTADA DE INGRESOS AÑO 2014</t>
  </si>
  <si>
    <t>INGRESOS 2014</t>
  </si>
  <si>
    <t>Comparativo 2014-2015</t>
  </si>
  <si>
    <t>% 15/14</t>
  </si>
  <si>
    <t>EJECUCIÓN DEFINITIVA 2014</t>
  </si>
  <si>
    <t>ACUERDO 6/14</t>
  </si>
  <si>
    <t>ACUERDO 9/14</t>
  </si>
  <si>
    <t>ACUERDO 12/14</t>
  </si>
  <si>
    <t>PRESUPUESTO DEFINITIVO AÑO 2014</t>
  </si>
  <si>
    <t>Programa Resolución 2640 (Divulgación e Implementación de BPP en granja)</t>
  </si>
  <si>
    <t xml:space="preserve">  Contrapartidas Gobernaciones</t>
  </si>
  <si>
    <t xml:space="preserve">  Gestión ambiental en producción primaria</t>
  </si>
  <si>
    <t xml:space="preserve">  Diseño Sistema de Certificación BPP</t>
  </si>
  <si>
    <t>Gastos legalizables coordinadores</t>
  </si>
  <si>
    <t>PEDv</t>
  </si>
  <si>
    <t>Fortalecimiento centros de formación SENA</t>
  </si>
  <si>
    <t>EJECUCION ENE-MAR 2014</t>
  </si>
  <si>
    <t>EJECUCION ABR - JUN  2014</t>
  </si>
  <si>
    <t>EJECUCIÓN  JUL-SEP 2014</t>
  </si>
  <si>
    <t>EJECUCIÓN  OCT-DIC 2014</t>
  </si>
  <si>
    <t>PRESUPUESTO INICIAL 2014</t>
  </si>
  <si>
    <t xml:space="preserve">   Contrapartida Gobernación Cundinamarca</t>
  </si>
  <si>
    <t xml:space="preserve">   Contrapartida Gobernación Antioquia</t>
  </si>
  <si>
    <t xml:space="preserve">   Contrapartida Gobernación Valle</t>
  </si>
  <si>
    <t xml:space="preserve">   Convenio Pereira</t>
  </si>
  <si>
    <t xml:space="preserve"> Contrapartidas FNP</t>
  </si>
  <si>
    <t xml:space="preserve">  Contrapartida Gobernación Cundinamarca</t>
  </si>
  <si>
    <t xml:space="preserve">  Contrapartida Gobernación Antioquia</t>
  </si>
  <si>
    <t xml:space="preserve">  Contrapartida Gobernación Valle</t>
  </si>
  <si>
    <t xml:space="preserve"> Seguimiento a Convenios</t>
  </si>
  <si>
    <t>Actividades CAAC Admisibilidad Corea</t>
  </si>
  <si>
    <t>ENE-MAR</t>
  </si>
  <si>
    <t>JUL-SEPT</t>
  </si>
  <si>
    <t>OCT-DIC</t>
  </si>
  <si>
    <t>PROFESIONAL DE PUBLICIDAD</t>
  </si>
  <si>
    <t>EJECUCIÓN GASTOS FONDO NACIONAL DE LA PORCICULTURA</t>
  </si>
  <si>
    <t>EJECUCIÓN GASTOS PESTE PORCINA CLÁSICA</t>
  </si>
  <si>
    <t>SEPTIEMBRE</t>
  </si>
  <si>
    <t>SALDO LIBROS FIDUPREVISORA FONDO DE EMERGENCIA 38379</t>
  </si>
  <si>
    <t>SALDO LIBROS CTA. AHORROS BANCOLOMBIA 8811</t>
  </si>
  <si>
    <t>SALDO LIBROS CTA. AHORROS OCCIDENTE 2572</t>
  </si>
  <si>
    <t>SALDO LIBROS CTA. AHORROS OCCIDENTE 3255</t>
  </si>
  <si>
    <t>SALDO LIBROS CTA. AHORROS BANCOLOMBIA 5695</t>
  </si>
  <si>
    <t>PROFESIONAL SANIDAD</t>
  </si>
  <si>
    <t>AÑO 2.015</t>
  </si>
  <si>
    <t>VALOR ANUAL 2015</t>
  </si>
  <si>
    <r>
      <t xml:space="preserve">CDT LEASING BANCOLDEX 36798 </t>
    </r>
    <r>
      <rPr>
        <b/>
        <sz val="11"/>
        <rFont val="Times New Roman"/>
        <family val="1"/>
      </rPr>
      <t>PROM.CADA 91 DIAS 4.40 RENDIMIENTOS</t>
    </r>
  </si>
  <si>
    <t>RENDIMIENTOS CDT 36798</t>
  </si>
  <si>
    <r>
      <t xml:space="preserve">CDT GNB SUDAMERIS 19729 </t>
    </r>
    <r>
      <rPr>
        <b/>
        <sz val="11"/>
        <rFont val="Times New Roman"/>
        <family val="1"/>
      </rPr>
      <t>PROM.CADA 91 DIAS 4.55 RENDIMIENTOS</t>
    </r>
  </si>
  <si>
    <t>RENDIMIENTOS CDT 19729</t>
  </si>
  <si>
    <t>ENCARGO FIDUCIARIO 8329</t>
  </si>
  <si>
    <t>SALDO LIBROS FIDUPREVISORA FNP 84136</t>
  </si>
  <si>
    <t>MOVIMIENTO FNP 2015</t>
  </si>
  <si>
    <t xml:space="preserve"> MOVIMIENTO PPC 2015</t>
  </si>
  <si>
    <t>M/to Fotocopiadora</t>
  </si>
  <si>
    <t>SALDO LIBROS FIDUPREVISORA ENCARGO  84359</t>
  </si>
  <si>
    <t>PROFESIONAL GRADO 1 ESTRATEGIA DIGITAL</t>
  </si>
  <si>
    <t>PROFESIONAL GRADO 2 INVESTIGACIÓN</t>
  </si>
  <si>
    <t>PROFESIONAL GRADO 2 TRANSFERENCIA</t>
  </si>
  <si>
    <t>SANIDAD</t>
  </si>
  <si>
    <t>COORDINADOR DE PROGRAMA REGIONALES</t>
  </si>
  <si>
    <t>COORDINADOR DE GESTIÓN AMBIENTAL</t>
  </si>
  <si>
    <t>Atención de Solicitudes (Asistencia a Productores)</t>
  </si>
  <si>
    <t>Convenios</t>
  </si>
  <si>
    <t>Divulgación Resolución 2640</t>
  </si>
  <si>
    <t>Monitoreo Precios de la Carne al Consumidor</t>
  </si>
  <si>
    <t>Actualización Información Nacional</t>
  </si>
  <si>
    <t>Seguimiento Mercados Internacionales</t>
  </si>
  <si>
    <t>Control al recaudo</t>
  </si>
  <si>
    <t>Seguimiento al recaudo regional</t>
  </si>
  <si>
    <t>Movilización coordinadores</t>
  </si>
  <si>
    <t>Promoción del sacrificio formal</t>
  </si>
  <si>
    <t>Movilización Jefe Coordinadores de recaudo</t>
  </si>
  <si>
    <t>Fortalecimiento Infraestructura</t>
  </si>
  <si>
    <t>Pago de Axilios de frío, flete y movilización</t>
  </si>
  <si>
    <t>Gastos de brigada</t>
  </si>
  <si>
    <t>Vigilancia Epidemiológica</t>
  </si>
  <si>
    <t>Adminisbilidad y normatividad sanitaria</t>
  </si>
  <si>
    <t>Control al contrabando</t>
  </si>
  <si>
    <t>Equipos de comunicación puestos de control</t>
  </si>
  <si>
    <t>Auxilios comités</t>
  </si>
  <si>
    <t>PROGRAMA SANIDAD</t>
  </si>
  <si>
    <t xml:space="preserve">PROGRAMA PPC </t>
  </si>
  <si>
    <t>TOTAL SANIDAD</t>
  </si>
  <si>
    <t>Control y monitoreo para la enfermedad de PRRS  en granjas de Colombia</t>
  </si>
  <si>
    <t>Apoyo programa PRRS</t>
  </si>
  <si>
    <t>Epidemiología de la enfermedad (Nacional)</t>
  </si>
  <si>
    <t>Sensibilización y divulgación</t>
  </si>
  <si>
    <t>Programa nacional de bioseguridad, sanidad y productividad-PNBSP</t>
  </si>
  <si>
    <t xml:space="preserve">Sostenibilidad y responsabilidad social empresarial en producción primaria </t>
  </si>
  <si>
    <t>Inocuidad y bienestar animal en producción primaria y transporte</t>
  </si>
  <si>
    <t>Investigación y desarrollo</t>
  </si>
  <si>
    <t>Transferencia de tecnología</t>
  </si>
  <si>
    <t>Curso Virtual. Montaje de puntos de venta de carne de cerdo</t>
  </si>
  <si>
    <t>Capacitación para expendedores</t>
  </si>
  <si>
    <t>Capacitación para operarios de granja</t>
  </si>
  <si>
    <t>Taller en manejo administrativo y financiero de las industrias de la cadena cárnica porcina</t>
  </si>
  <si>
    <t>Capacitación en manufactura de alimentos balanceados para porcinos</t>
  </si>
  <si>
    <t>Capacitación en Buenas Prácticas en la elaboración de alimentos balanceados para porcinos</t>
  </si>
  <si>
    <t>Diagnostico</t>
  </si>
  <si>
    <t>Diagnostico rutinario con laboratorios oficiales</t>
  </si>
  <si>
    <t xml:space="preserve">  Diagnostico rutinario</t>
  </si>
  <si>
    <t xml:space="preserve">  Diagnostico integrado</t>
  </si>
  <si>
    <t xml:space="preserve">  Diagnóstico PRRS (incluido IFA)</t>
  </si>
  <si>
    <t>Diagnostico rutinario con laboratorios privados</t>
  </si>
  <si>
    <t>Varias enfermedades</t>
  </si>
  <si>
    <t>PRRS</t>
  </si>
  <si>
    <t>Técnicas Moleculares (PCR - Secuenciación)</t>
  </si>
  <si>
    <t>Diagnosticos importados</t>
  </si>
  <si>
    <t>Promoción del diagnóstico</t>
  </si>
  <si>
    <t>Aseguramiento de la calidad</t>
  </si>
  <si>
    <t>Asesorias BPM y HACCP</t>
  </si>
  <si>
    <t>Sello de producto en la cadena de transformación</t>
  </si>
  <si>
    <t>Home panel de Nilsen</t>
  </si>
  <si>
    <t>Brand equity tracking</t>
  </si>
  <si>
    <t>Eye Trancking</t>
  </si>
  <si>
    <t>Tracking publicitario ( Neuro nilsen)</t>
  </si>
  <si>
    <t>Sensibilización de las bondades gastronomicas y nutricionales de la carne de cerdo</t>
  </si>
  <si>
    <t>Seguimiento gestión al equipo incentivo y sensibilizacion de las bondades de la carne de cerdo</t>
  </si>
  <si>
    <t>Viajes regionales equipo incentivo y sensibilizacion de las bondades de la carne de cerdo</t>
  </si>
  <si>
    <t xml:space="preserve">Material Publicitario, Promoción y Divulgación para el Incentivo y sensibilizacion </t>
  </si>
  <si>
    <t>Eventos especializados (Sector, gastronomicos , varios)</t>
  </si>
  <si>
    <t xml:space="preserve">Conceptos y artes </t>
  </si>
  <si>
    <t>Kit Publicitario</t>
  </si>
  <si>
    <t>Estrategia digital</t>
  </si>
  <si>
    <t>Me encanta la carne de cerdo.com</t>
  </si>
  <si>
    <t>Concurso innovador carne de cerdo</t>
  </si>
  <si>
    <t xml:space="preserve">Agroexpo </t>
  </si>
  <si>
    <t>Convenios con las Gobernaciones y alcaldias (Económica)</t>
  </si>
  <si>
    <t>Diagnóstico rutinario laboratorios oficiales (Investigación,Diagnostico)</t>
  </si>
  <si>
    <t>Diagnóstico importados(investigación)</t>
  </si>
  <si>
    <t>Incremento chapetas 2015</t>
  </si>
  <si>
    <t>Total chapetas venta tecnificados ZF</t>
  </si>
  <si>
    <t>Total chapetas brigadas ZL</t>
  </si>
  <si>
    <t>Total chapetas brigadas ZE</t>
  </si>
  <si>
    <t>CHAPETAS ZF VENTA  TECNIFICADOS</t>
  </si>
  <si>
    <t>CHAPETAS ZONA EN ERRADICACIÓN</t>
  </si>
  <si>
    <t>CHAPETAS BRIGADA DE CHAPETAS ZL</t>
  </si>
  <si>
    <t>Jornadas de trabajo con los coordinadores regionales (visita plantas)</t>
  </si>
  <si>
    <t>Jornadas de trabajo con los coordinadores regionales(trabajo con autoridades)</t>
  </si>
  <si>
    <t>PRESUPUESTO DE GASTOS DE FUNCIONAMIENTO E INVERSIÓN 2.015</t>
  </si>
  <si>
    <t>Diagnóstico Inocuidad</t>
  </si>
  <si>
    <t>Diagnóstico Ambiental</t>
  </si>
  <si>
    <t>GRAN TOTAL FINANCIEROS</t>
  </si>
  <si>
    <t>COORDINADOR TÉCNICO</t>
  </si>
  <si>
    <t>Suscripciones</t>
  </si>
  <si>
    <t xml:space="preserve">  Vinculación tecnologica</t>
  </si>
  <si>
    <t xml:space="preserve">  Talleres y seminarios</t>
  </si>
  <si>
    <t>COORDINADOR PROGRAMA</t>
  </si>
  <si>
    <t>ABRIL-JUN</t>
  </si>
  <si>
    <t>COORDINADOR CALIDAD E INNOVACIÓN</t>
  </si>
  <si>
    <t>PROFESIONAL  TRANSFERENCIA</t>
  </si>
  <si>
    <t>PROFESIONAL TÉCNICO</t>
  </si>
  <si>
    <t>PROFESIONAL ECONÓMICO</t>
  </si>
  <si>
    <t>PROFESIONAL  PRESUPUESTO</t>
  </si>
  <si>
    <t>PROFESIONAL TESORERIA</t>
  </si>
  <si>
    <t>PROFESIONAL ESTRATEGIA DIGITAL</t>
  </si>
  <si>
    <t>PROFESIONAL  INVESTIGACIÓN</t>
  </si>
  <si>
    <t>TOTAL 2015</t>
  </si>
  <si>
    <t>JEFE ANALISIS DIAGNOSTICO</t>
  </si>
  <si>
    <t>COORDINADOR VIGILANCIA EPIDEMIOLOGICA</t>
  </si>
  <si>
    <t>Capacitación y fortalecimiento de competencias</t>
  </si>
  <si>
    <t>Profesionales de acompañamiento    *(Sello de granja)</t>
  </si>
  <si>
    <t>Taller técnico de bioseguridad, sanidad y productividad</t>
  </si>
  <si>
    <t>Talleres de sensibilidad en bioseguridad, productividad  y economía de las enfermedades</t>
  </si>
  <si>
    <t>Benchmarking y análisis de productividad e impacto económico</t>
  </si>
  <si>
    <t>Reconocimiento a granjas categorizadas, medios</t>
  </si>
  <si>
    <t>Acompañamiento jurídico ambiental</t>
  </si>
  <si>
    <t xml:space="preserve">Profesionales de acompañamiento </t>
  </si>
  <si>
    <t xml:space="preserve">Granjas modelo y mesas de trabajo interinstitucionales </t>
  </si>
  <si>
    <t>Sensibilización y divulgación en P.I.G.A y R.S.E y Guía ambiental</t>
  </si>
  <si>
    <t>Estrategias de divulgación</t>
  </si>
  <si>
    <t>Determinación de la huella hídrica en el sector</t>
  </si>
  <si>
    <t>Profesional de acompañamiento</t>
  </si>
  <si>
    <t>Fortalecimiento de competencias</t>
  </si>
  <si>
    <t xml:space="preserve">Implementación del programa de P.A.C.I.P - granja y transporte </t>
  </si>
  <si>
    <t>Bienestar Animal</t>
  </si>
  <si>
    <t>TOTAL FUNCIONAMIENTO 2015</t>
  </si>
  <si>
    <t>JEFE FORTALECIMIENTO AL RECAUDO</t>
  </si>
  <si>
    <t>JEFE CONTROL REGIONAL</t>
  </si>
  <si>
    <t>JEFE ANÁLISIS EPIDEMIOLÓGICO</t>
  </si>
  <si>
    <t>Cuenta</t>
  </si>
  <si>
    <t>Gastos de personal 2014</t>
  </si>
  <si>
    <t>% variación</t>
  </si>
  <si>
    <t>Programa de estudios económicos</t>
  </si>
  <si>
    <t xml:space="preserve">Programa estudios técnicos </t>
  </si>
  <si>
    <t>Programa de estudios de mercadeo</t>
  </si>
  <si>
    <t>Programa Investigación y transf.</t>
  </si>
  <si>
    <t xml:space="preserve">Programa de PPC </t>
  </si>
  <si>
    <t>Área financiera y de auditoría</t>
  </si>
  <si>
    <t xml:space="preserve">Total gastos de personal </t>
  </si>
  <si>
    <t>Información obtenida hasta el acuerdo No 15 de 2014</t>
  </si>
  <si>
    <t>Gastos de personal 2015</t>
  </si>
  <si>
    <t>Programa Sanidad</t>
  </si>
  <si>
    <t>Banda Ancha</t>
  </si>
  <si>
    <t>REGIONALIZACIÓN DE LA INVERSIÓN</t>
  </si>
  <si>
    <t>ANEXO 4</t>
  </si>
  <si>
    <t>DEPARTAMENTO</t>
  </si>
  <si>
    <t>TOTAL PROGRAMAS</t>
  </si>
  <si>
    <t>% INVERSIÓN</t>
  </si>
  <si>
    <t>%  RECAUDO</t>
  </si>
  <si>
    <t>CENTRO ORIENTE</t>
  </si>
  <si>
    <t>BOYACÁ</t>
  </si>
  <si>
    <t>CUNDINAMARCA</t>
  </si>
  <si>
    <t>HUILA</t>
  </si>
  <si>
    <t>SANTANDER</t>
  </si>
  <si>
    <t>NORTE DE SANTANDER</t>
  </si>
  <si>
    <t>TOLIMA</t>
  </si>
  <si>
    <t>COSTA ATLÁNTICA</t>
  </si>
  <si>
    <t>ATLÁNTICO</t>
  </si>
  <si>
    <t>BOLÍVAR</t>
  </si>
  <si>
    <t>CESAR</t>
  </si>
  <si>
    <t>CÓRDOBA</t>
  </si>
  <si>
    <t>GUAJIRA</t>
  </si>
  <si>
    <t>MAGDALENA</t>
  </si>
  <si>
    <t>SUCRE</t>
  </si>
  <si>
    <t>SAN ANDRÉS</t>
  </si>
  <si>
    <t>OCCIDENTE</t>
  </si>
  <si>
    <t>ANTIOQUIA</t>
  </si>
  <si>
    <t>CALDAS</t>
  </si>
  <si>
    <t>CAUCA</t>
  </si>
  <si>
    <t>CHOCÓ</t>
  </si>
  <si>
    <t xml:space="preserve">NARIÑO </t>
  </si>
  <si>
    <t>QUINDIO</t>
  </si>
  <si>
    <t xml:space="preserve">RISARALDA </t>
  </si>
  <si>
    <t>VALLE DEL CAUCA</t>
  </si>
  <si>
    <t>AMAZONAS</t>
  </si>
  <si>
    <t>CAQUETÁ</t>
  </si>
  <si>
    <t>PUTUMAYO</t>
  </si>
  <si>
    <t>ORINOQUÍA</t>
  </si>
  <si>
    <t>ARAUCA</t>
  </si>
  <si>
    <t>CASANARE</t>
  </si>
  <si>
    <t>GUAINÍA</t>
  </si>
  <si>
    <t>GUAVIARE</t>
  </si>
  <si>
    <t>META</t>
  </si>
  <si>
    <t xml:space="preserve">VAUPÉS </t>
  </si>
  <si>
    <t>VICHADA</t>
  </si>
  <si>
    <t>PROYECTOS COBERTURA NACIONAL</t>
  </si>
  <si>
    <t>ÁREA INVESTIGACIÓN TRANSFERENCIA Y TECNOLOGIA</t>
  </si>
  <si>
    <t>ÁREA SANIDAD</t>
  </si>
  <si>
    <t>PRESUPUESTO VIGENCIA 2.015</t>
  </si>
  <si>
    <t>ANEXO 3</t>
  </si>
  <si>
    <t>PRESUPUESTO AÑO 2014</t>
  </si>
  <si>
    <t>% INCREMENTO</t>
  </si>
  <si>
    <t>PROGRAMA DE ESTUDIOS ECONÓMICOS</t>
  </si>
  <si>
    <t>OTROS SERVICIOS PERSONALES</t>
  </si>
  <si>
    <t>FORTALECIMIENTO INSTITUCIONAL</t>
  </si>
  <si>
    <t>CENTRO DE SERVICIOS TÉCNICOS Y FINANCIEROS</t>
  </si>
  <si>
    <t>SISTEMAS DE INFORMACIÓN DE MERCADOS</t>
  </si>
  <si>
    <t>PROMOCIÓN DE EXPORTACIONES</t>
  </si>
  <si>
    <t>FORTALECIMIENTO AL RECAUDO</t>
  </si>
  <si>
    <t>FORTALECIMIENTO DE LA INFRAESTRUCTURA DE BENEFICIO</t>
  </si>
  <si>
    <t>ESTUDIOS Y PROYECTOS</t>
  </si>
  <si>
    <t>PROGRAMA DE ESTUDIOS DE MERCADEO</t>
  </si>
  <si>
    <t>INVESTIGACIÓN DE MERCADOS</t>
  </si>
  <si>
    <t>SENSIBILIZACIÓN DE LAS BONDADES GASTRONÓMICAS</t>
  </si>
  <si>
    <t>CAMPAÑA DE FOMENTO AL CONSUMO</t>
  </si>
  <si>
    <t>ESTRATEGÍA DIGITAL</t>
  </si>
  <si>
    <t>DIVULGACIÓN SECTORIAL</t>
  </si>
  <si>
    <t>EVENTOS DE INCENTIVOS AL CONSUMO</t>
  </si>
  <si>
    <t>INCENTIVO AL CONSUMO DE LA CARNE DE CERDO EN EL CANAL INSTITUCIONAL (HORECA)</t>
  </si>
  <si>
    <t>HACCP Y BPM EN CADENA DE TRANSFORMACIÓN</t>
  </si>
  <si>
    <t>ESTRATEGIAS EN DIFERENCIACIÓN</t>
  </si>
  <si>
    <t>EVENTOS DE INCENTIVO AL CONSUMO</t>
  </si>
  <si>
    <t>HACCP Y BPM  EN CADENA DE TRANSFORMACIÓN</t>
  </si>
  <si>
    <t>PROGRAMA DE ESTUDIOS TÉCNICOS</t>
  </si>
  <si>
    <t>EVALUACIÓN CONDICIÓN DE AUJESKY, TGEC Y PRCV EN COLOMBIA</t>
  </si>
  <si>
    <t>CONTROL Y MONITOREO PARA LA ENFERMEDAD DE PRRS EN GRANJAS DE COLOMBIA</t>
  </si>
  <si>
    <t>DIAGNÓSTICO RUTINARIO</t>
  </si>
  <si>
    <t>PROGRAMA NACIONAL DE MEJORAMIENTO DEL ESTATUS SANITARIO</t>
  </si>
  <si>
    <t>ASEGURAMIENTO DE LA CALIDAD EN GESTIÓN PRIMARIA</t>
  </si>
  <si>
    <t>EVALUACIÓN CONDICIÓN DE AUJESKY EN EL PAIS</t>
  </si>
  <si>
    <t>PROGRAMA DE INVESTIGACIÓN Y TRANSFERENCIA DE TÉCNOLOGIA</t>
  </si>
  <si>
    <t>INVESTIGACIÒN</t>
  </si>
  <si>
    <t>VINCULACIÓN TECNOLÓGICA</t>
  </si>
  <si>
    <t>TALLERES Y SEMINARIOS</t>
  </si>
  <si>
    <t>PROGRAMA DE ESTUDIOS PPC</t>
  </si>
  <si>
    <t>REGIONALIZACIÓN</t>
  </si>
  <si>
    <t>CAPACITACIÓN Y DIVULGACIÓN</t>
  </si>
  <si>
    <t>ADMINISTRACIÓN DEL PROGRAMA</t>
  </si>
  <si>
    <t>CICLOS DE VACUNACIÓN</t>
  </si>
  <si>
    <t>GASTOS ÁREA FINANCIERA Y AUDITORÍA</t>
  </si>
  <si>
    <t>HONORARIOS PROFESIONALES</t>
  </si>
  <si>
    <t>CUOTA DE FOMENTO</t>
  </si>
  <si>
    <t>PRESUPUESTO GASTOS DE FUNCIONAMIENTO E INVERSIÓN 2.015</t>
  </si>
  <si>
    <t>PRESUPUESTO AÑO 2015</t>
  </si>
  <si>
    <t>PROMOCIÓN DEL SACRIFICIO FORMAL</t>
  </si>
  <si>
    <t>CONTROL AL RECAUDO</t>
  </si>
  <si>
    <t>ASEGURAMIENTO DE LA CALIDAD</t>
  </si>
  <si>
    <t>SENSIBILIZACIÓN DE LAS BONDADES GASTRONÓMICAS Y NUTRICIONALES DE LA CARNE DE CERDO</t>
  </si>
  <si>
    <t>PROGRAMA NACIONAL DE BIOSEGURIDAD,SANIDAD Y PRODUCTIVIDAD-PNBSP</t>
  </si>
  <si>
    <t xml:space="preserve">SOSTENIBILIDAD Y RESPONSABILIDAD SOCIAL EMPRESARIAL EN PRODUCCIÓN PRIMARIA </t>
  </si>
  <si>
    <t xml:space="preserve">INOCUIDAD Y BIENESTAR ANIMAL EN PRODUCCIÓN PRIMARIA Y TRANSPORTE </t>
  </si>
  <si>
    <t>PROGRAMA DE SANIDAD</t>
  </si>
  <si>
    <t>TRANSFERENCIA DE TECNÓLOGIA</t>
  </si>
  <si>
    <t>DIAGNOSTICO</t>
  </si>
  <si>
    <t>TRANSFERENCIA DE TÉCNOLOGIA</t>
  </si>
  <si>
    <t xml:space="preserve">VIGILANCIA EPIDEMIOLOGICA </t>
  </si>
  <si>
    <t>TOTAL ÁREA ECONÓMICA</t>
  </si>
  <si>
    <t>TOTAL ÁREA MERCADEO</t>
  </si>
  <si>
    <t>TOTAL ÁREA TÉCNICA</t>
  </si>
  <si>
    <t>TOTAL ÁREA INVESTIGACIÓN Y TRANSFERENCIA</t>
  </si>
  <si>
    <t>TOTAL ÁREA SANIDAD</t>
  </si>
  <si>
    <t>TOTAL ÁREA ERRADICACIÓN PPC</t>
  </si>
  <si>
    <t>DIAGNÓSTICO</t>
  </si>
  <si>
    <t>VIGILANCIA EPIDEMIOLOGICA</t>
  </si>
  <si>
    <t>TOTAL PPC</t>
  </si>
  <si>
    <t xml:space="preserve">TOTAL SANIDAD </t>
  </si>
  <si>
    <t xml:space="preserve">TOTAL ECONÓMICA </t>
  </si>
  <si>
    <t xml:space="preserve">TOTAL TÉCNICA </t>
  </si>
  <si>
    <t xml:space="preserve">TOTAL INVESTIGACIÓN </t>
  </si>
  <si>
    <t xml:space="preserve">TOTAL MERCADEO </t>
  </si>
  <si>
    <t>SUELDO TRIMESTRAL</t>
  </si>
  <si>
    <t>CESANTÍAS TRIMESTRALES 1SMMLV</t>
  </si>
  <si>
    <t>INT./CES. TRIMESTRALES (12%)</t>
  </si>
  <si>
    <t>PRIMA LEGAL TRIMESTRAL</t>
  </si>
  <si>
    <t>VAC. TRIMESTRALES</t>
  </si>
  <si>
    <t>CAJA DE COMPENSACIÓN TRIMESTRAL</t>
  </si>
  <si>
    <t>SEGUROS Y/O FONDOS PRIVADOS TRIMESTRAL</t>
  </si>
  <si>
    <t>ICBF Y SENA TRIMESTRAL</t>
  </si>
  <si>
    <t>VALOR TRIMESTRE 2015</t>
  </si>
  <si>
    <t>GASTOS FNP</t>
  </si>
  <si>
    <t>DIFERENCIA</t>
  </si>
  <si>
    <t>GASTOS PPC</t>
  </si>
  <si>
    <t>Acuerdos de Libre Comercio</t>
  </si>
  <si>
    <t xml:space="preserve">Cadena Carnica Porcína </t>
  </si>
  <si>
    <t xml:space="preserve">   Contrapartidas Gobernaciones y/o Alcaldias</t>
  </si>
  <si>
    <t xml:space="preserve">     Convenio Gobernacion de Cundinamarca</t>
  </si>
  <si>
    <t xml:space="preserve">     Convenio Pereira</t>
  </si>
  <si>
    <t xml:space="preserve">   Contrapartidas FNP</t>
  </si>
  <si>
    <t xml:space="preserve">     Convenio Gobernacion de Cundinamarca FNP</t>
  </si>
  <si>
    <t xml:space="preserve">     Convenio Pereira FNP</t>
  </si>
  <si>
    <t xml:space="preserve">  Seguimiento a convenios</t>
  </si>
  <si>
    <t>Determinació de factores de riesgo</t>
  </si>
  <si>
    <t>Convenio SENA</t>
  </si>
  <si>
    <t>Diagnostico MADR</t>
  </si>
  <si>
    <t>% PARTICIPACIÓN</t>
  </si>
  <si>
    <t>Convenio Cortolima</t>
  </si>
  <si>
    <t>PRESUPUESTO SOLICITADO JULIO-SEPTIEMBRE 2015</t>
  </si>
  <si>
    <t>PRESUPUESTO EJECUTADO JULIO-SEPTIEMBRE 2015</t>
  </si>
  <si>
    <t>ACUERDO 12/2015</t>
  </si>
  <si>
    <t>TOTAL EJECUTADO</t>
  </si>
  <si>
    <t>Convenio MADR</t>
  </si>
  <si>
    <t>EJECUCIÓN TRIMESTRE JULIO-SEPTIEMBRE</t>
  </si>
  <si>
    <t xml:space="preserve"> EJECUCIÓN TRIMESTRE JULIO-SEPTIEMBRE 2015</t>
  </si>
  <si>
    <t>ACUERDO 12/15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</si>
</sst>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6" formatCode="&quot;$&quot;\ #,##0_);[Red]\(&quot;$&quot;\ #,##0\)"/>
    <numFmt numFmtId="41" formatCode="_(* #,##0_);_(* \(#,##0\);_(* &quot;-&quot;_);_(@_)"/>
    <numFmt numFmtId="43" formatCode="_(* #,##0.00_);_(* \(#,##0.00\);_(* &quot;-&quot;??_);_(@_)"/>
    <numFmt numFmtId="170" formatCode="_-&quot;$&quot;* #,##0.00_-;\-&quot;$&quot;* #,##0.00_-;_-&quot;$&quot;* &quot;-&quot;??_-;_-@_-"/>
    <numFmt numFmtId="171" formatCode="_-* #,##0.00_-;\-* #,##0.00_-;_-* &quot;-&quot;??_-;_-@_-"/>
    <numFmt numFmtId="177" formatCode="_-&quot;$&quot;\ * #,##0.00_-;\-&quot;$&quot;\ * #,##0.00_-;_-&quot;$&quot;\ * &quot;-&quot;??_-;_-@_-"/>
    <numFmt numFmtId="179" formatCode="_ * #,##0_ ;_ * \-#,##0_ ;_ * &quot;-&quot;_ ;_ @_ "/>
    <numFmt numFmtId="180" formatCode="_ &quot;$&quot;\ * #,##0.00_ ;_ &quot;$&quot;\ * \-#,##0.00_ ;_ &quot;$&quot;\ * &quot;-&quot;??_ ;_ @_ "/>
    <numFmt numFmtId="181" formatCode="_ * #,##0.00_ ;_ * \-#,##0.00_ ;_ * &quot;-&quot;??_ ;_ @_ "/>
    <numFmt numFmtId="182" formatCode="_-* #,##0.00\ _€_-;\-* #,##0.00\ _€_-;_-* &quot;-&quot;??\ _€_-;_-@_-"/>
    <numFmt numFmtId="183" formatCode="_ * #,##0_ ;_ * \-#,##0_ ;_ * &quot;-&quot;??_ ;_ @_ "/>
    <numFmt numFmtId="184" formatCode="0.0%"/>
    <numFmt numFmtId="185" formatCode="_(* #,##0_);_(* \(#,##0\);_(* &quot;-&quot;??_);_(@_)"/>
    <numFmt numFmtId="186" formatCode="_(* #,##0.000_);_(* \(#,##0.000\);_(* &quot;-&quot;??_);_(@_)"/>
    <numFmt numFmtId="187" formatCode="&quot;$&quot;\ #,##0"/>
    <numFmt numFmtId="188" formatCode="_-* #,##0\ _€_-;\-* #,##0\ _€_-;_-* &quot;-&quot;??\ _€_-;_-@_-"/>
    <numFmt numFmtId="189" formatCode="_ &quot;$&quot;\ * #,##0_ ;_ &quot;$&quot;\ * \-#,##0_ ;_ &quot;$&quot;\ * &quot;-&quot;??_ ;_ @_ "/>
    <numFmt numFmtId="190" formatCode="[$$-240A]\ #,##0.00"/>
    <numFmt numFmtId="191" formatCode="0.0000"/>
    <numFmt numFmtId="192" formatCode="#,##0.00000"/>
    <numFmt numFmtId="193" formatCode="_ [$€-2]\ * #,##0.00_ ;_ [$€-2]\ * \-#,##0.00_ ;_ [$€-2]\ * &quot;-&quot;??_ "/>
    <numFmt numFmtId="194" formatCode="_-* #,##0_-;\-* #,##0_-;_-* &quot;-&quot;??_-;_-@_-"/>
    <numFmt numFmtId="195" formatCode="[$$-240A]\ #,##0"/>
    <numFmt numFmtId="196" formatCode="_-* #,##0.00\ &quot;Pts&quot;_-;\-* #,##0.00\ &quot;Pts&quot;_-;_-* &quot;-&quot;??\ &quot;Pts&quot;_-;_-@_-"/>
    <numFmt numFmtId="197" formatCode="#,##0.0"/>
    <numFmt numFmtId="199" formatCode="_-* #,##0.00\ &quot;€&quot;_-;\-* #,##0.00\ &quot;€&quot;_-;_-* &quot;-&quot;??\ &quot;€&quot;_-;_-@_-"/>
  </numFmts>
  <fonts count="113" x14ac:knownFonts="1">
    <font>
      <sz val="10"/>
      <name val="Arial"/>
    </font>
    <font>
      <sz val="10"/>
      <name val="Arial"/>
    </font>
    <font>
      <sz val="9"/>
      <name val="Times New Roman"/>
      <family val="1"/>
    </font>
    <font>
      <b/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u/>
      <sz val="10"/>
      <color indexed="12"/>
      <name val="Arial"/>
      <family val="2"/>
    </font>
    <font>
      <sz val="10"/>
      <name val="Comic Sans MS"/>
      <family val="4"/>
    </font>
    <font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name val="Comic Sans MS"/>
      <family val="4"/>
    </font>
    <font>
      <sz val="10"/>
      <color indexed="10"/>
      <name val="Comic Sans MS"/>
      <family val="4"/>
    </font>
    <font>
      <sz val="10"/>
      <color indexed="14"/>
      <name val="Arial"/>
      <family val="2"/>
    </font>
    <font>
      <sz val="10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charset val="186"/>
    </font>
    <font>
      <b/>
      <sz val="11"/>
      <color indexed="10"/>
      <name val="Arial"/>
      <family val="2"/>
      <charset val="186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color indexed="1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17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sz val="12"/>
      <color indexed="52"/>
      <name val="Calibri"/>
      <family val="2"/>
    </font>
    <font>
      <sz val="12"/>
      <color indexed="62"/>
      <name val="Calibri"/>
      <family val="2"/>
    </font>
    <font>
      <sz val="12"/>
      <color indexed="20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sz val="12"/>
      <color indexed="10"/>
      <name val="Calibri"/>
      <family val="2"/>
    </font>
    <font>
      <i/>
      <sz val="12"/>
      <color indexed="23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20"/>
      <color indexed="8"/>
      <name val="Times New Roman"/>
      <family val="1"/>
    </font>
    <font>
      <b/>
      <sz val="2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i/>
      <sz val="11"/>
      <name val="Times New Roman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9"/>
      <name val="Comic Sans MS"/>
      <family val="4"/>
    </font>
    <font>
      <b/>
      <sz val="12"/>
      <name val="Comic Sans MS"/>
      <family val="4"/>
    </font>
    <font>
      <sz val="11"/>
      <color indexed="9"/>
      <name val="Comic Sans MS"/>
      <family val="4"/>
    </font>
    <font>
      <sz val="12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rgb="FFFF0000"/>
      <name val="Arial"/>
      <family val="2"/>
      <charset val="186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  <charset val="186"/>
    </font>
    <font>
      <sz val="11"/>
      <color theme="0"/>
      <name val="Comic Sans MS"/>
      <family val="4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1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/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81">
    <xf numFmtId="0" fontId="0" fillId="0" borderId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57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57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57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57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57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57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57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57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57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57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57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57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0" borderId="0" applyNumberFormat="0" applyBorder="0" applyAlignment="0" applyProtection="0"/>
    <xf numFmtId="0" fontId="82" fillId="12" borderId="0" applyNumberFormat="0" applyBorder="0" applyAlignment="0" applyProtection="0"/>
    <xf numFmtId="0" fontId="82" fillId="9" borderId="0" applyNumberFormat="0" applyBorder="0" applyAlignment="0" applyProtection="0"/>
    <xf numFmtId="0" fontId="82" fillId="10" borderId="0" applyNumberFormat="0" applyBorder="0" applyAlignment="0" applyProtection="0"/>
    <xf numFmtId="0" fontId="82" fillId="13" borderId="0" applyNumberFormat="0" applyBorder="0" applyAlignment="0" applyProtection="0"/>
    <xf numFmtId="0" fontId="82" fillId="14" borderId="0" applyNumberFormat="0" applyBorder="0" applyAlignment="0" applyProtection="0"/>
    <xf numFmtId="0" fontId="82" fillId="15" borderId="0" applyNumberFormat="0" applyBorder="0" applyAlignment="0" applyProtection="0"/>
    <xf numFmtId="0" fontId="58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58" fillId="9" borderId="0" applyNumberFormat="0" applyBorder="0" applyAlignment="0" applyProtection="0"/>
    <xf numFmtId="0" fontId="82" fillId="9" borderId="0" applyNumberFormat="0" applyBorder="0" applyAlignment="0" applyProtection="0"/>
    <xf numFmtId="0" fontId="82" fillId="9" borderId="0" applyNumberFormat="0" applyBorder="0" applyAlignment="0" applyProtection="0"/>
    <xf numFmtId="0" fontId="82" fillId="9" borderId="0" applyNumberFormat="0" applyBorder="0" applyAlignment="0" applyProtection="0"/>
    <xf numFmtId="0" fontId="82" fillId="9" borderId="0" applyNumberFormat="0" applyBorder="0" applyAlignment="0" applyProtection="0"/>
    <xf numFmtId="0" fontId="82" fillId="9" borderId="0" applyNumberFormat="0" applyBorder="0" applyAlignment="0" applyProtection="0"/>
    <xf numFmtId="0" fontId="82" fillId="9" borderId="0" applyNumberFormat="0" applyBorder="0" applyAlignment="0" applyProtection="0"/>
    <xf numFmtId="0" fontId="58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58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58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58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6" borderId="0" applyNumberFormat="0" applyBorder="0" applyAlignment="0" applyProtection="0"/>
    <xf numFmtId="0" fontId="82" fillId="17" borderId="0" applyNumberFormat="0" applyBorder="0" applyAlignment="0" applyProtection="0"/>
    <xf numFmtId="0" fontId="82" fillId="18" borderId="0" applyNumberFormat="0" applyBorder="0" applyAlignment="0" applyProtection="0"/>
    <xf numFmtId="0" fontId="82" fillId="13" borderId="0" applyNumberFormat="0" applyBorder="0" applyAlignment="0" applyProtection="0"/>
    <xf numFmtId="0" fontId="82" fillId="14" borderId="0" applyNumberFormat="0" applyBorder="0" applyAlignment="0" applyProtection="0"/>
    <xf numFmtId="0" fontId="82" fillId="19" borderId="0" applyNumberFormat="0" applyBorder="0" applyAlignment="0" applyProtection="0"/>
    <xf numFmtId="0" fontId="88" fillId="3" borderId="0" applyNumberFormat="0" applyBorder="0" applyAlignment="0" applyProtection="0"/>
    <xf numFmtId="0" fontId="59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4" fillId="20" borderId="1" applyNumberFormat="0" applyAlignment="0" applyProtection="0"/>
    <xf numFmtId="0" fontId="60" fillId="20" borderId="1" applyNumberFormat="0" applyAlignment="0" applyProtection="0"/>
    <xf numFmtId="0" fontId="84" fillId="20" borderId="1" applyNumberFormat="0" applyAlignment="0" applyProtection="0"/>
    <xf numFmtId="0" fontId="84" fillId="20" borderId="1" applyNumberFormat="0" applyAlignment="0" applyProtection="0"/>
    <xf numFmtId="0" fontId="84" fillId="20" borderId="1" applyNumberFormat="0" applyAlignment="0" applyProtection="0"/>
    <xf numFmtId="0" fontId="84" fillId="20" borderId="1" applyNumberFormat="0" applyAlignment="0" applyProtection="0"/>
    <xf numFmtId="0" fontId="84" fillId="20" borderId="1" applyNumberFormat="0" applyAlignment="0" applyProtection="0"/>
    <xf numFmtId="0" fontId="84" fillId="20" borderId="1" applyNumberFormat="0" applyAlignment="0" applyProtection="0"/>
    <xf numFmtId="0" fontId="61" fillId="21" borderId="2" applyNumberFormat="0" applyAlignment="0" applyProtection="0"/>
    <xf numFmtId="0" fontId="85" fillId="21" borderId="2" applyNumberFormat="0" applyAlignment="0" applyProtection="0"/>
    <xf numFmtId="0" fontId="85" fillId="21" borderId="2" applyNumberFormat="0" applyAlignment="0" applyProtection="0"/>
    <xf numFmtId="0" fontId="85" fillId="21" borderId="2" applyNumberFormat="0" applyAlignment="0" applyProtection="0"/>
    <xf numFmtId="0" fontId="85" fillId="21" borderId="2" applyNumberFormat="0" applyAlignment="0" applyProtection="0"/>
    <xf numFmtId="0" fontId="85" fillId="21" borderId="2" applyNumberFormat="0" applyAlignment="0" applyProtection="0"/>
    <xf numFmtId="0" fontId="85" fillId="21" borderId="2" applyNumberFormat="0" applyAlignment="0" applyProtection="0"/>
    <xf numFmtId="0" fontId="62" fillId="0" borderId="3" applyNumberFormat="0" applyFill="0" applyAlignment="0" applyProtection="0"/>
    <xf numFmtId="0" fontId="86" fillId="0" borderId="3" applyNumberFormat="0" applyFill="0" applyAlignment="0" applyProtection="0"/>
    <xf numFmtId="0" fontId="86" fillId="0" borderId="3" applyNumberFormat="0" applyFill="0" applyAlignment="0" applyProtection="0"/>
    <xf numFmtId="0" fontId="86" fillId="0" borderId="3" applyNumberFormat="0" applyFill="0" applyAlignment="0" applyProtection="0"/>
    <xf numFmtId="0" fontId="86" fillId="0" borderId="3" applyNumberFormat="0" applyFill="0" applyAlignment="0" applyProtection="0"/>
    <xf numFmtId="0" fontId="86" fillId="0" borderId="3" applyNumberFormat="0" applyFill="0" applyAlignment="0" applyProtection="0"/>
    <xf numFmtId="0" fontId="86" fillId="0" borderId="3" applyNumberFormat="0" applyFill="0" applyAlignment="0" applyProtection="0"/>
    <xf numFmtId="0" fontId="85" fillId="21" borderId="2" applyNumberFormat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8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58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58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58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58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58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63" fillId="7" borderId="1" applyNumberFormat="0" applyAlignment="0" applyProtection="0"/>
    <xf numFmtId="0" fontId="87" fillId="7" borderId="1" applyNumberFormat="0" applyAlignment="0" applyProtection="0"/>
    <xf numFmtId="0" fontId="87" fillId="7" borderId="1" applyNumberFormat="0" applyAlignment="0" applyProtection="0"/>
    <xf numFmtId="0" fontId="87" fillId="7" borderId="1" applyNumberFormat="0" applyAlignment="0" applyProtection="0"/>
    <xf numFmtId="0" fontId="87" fillId="7" borderId="1" applyNumberFormat="0" applyAlignment="0" applyProtection="0"/>
    <xf numFmtId="0" fontId="87" fillId="7" borderId="1" applyNumberFormat="0" applyAlignment="0" applyProtection="0"/>
    <xf numFmtId="0" fontId="87" fillId="7" borderId="1" applyNumberFormat="0" applyAlignment="0" applyProtection="0"/>
    <xf numFmtId="193" fontId="38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9" fontId="10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83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2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64" fillId="3" borderId="0" applyNumberFormat="0" applyBorder="0" applyAlignment="0" applyProtection="0"/>
    <xf numFmtId="0" fontId="88" fillId="3" borderId="0" applyNumberFormat="0" applyBorder="0" applyAlignment="0" applyProtection="0"/>
    <xf numFmtId="0" fontId="88" fillId="3" borderId="0" applyNumberFormat="0" applyBorder="0" applyAlignment="0" applyProtection="0"/>
    <xf numFmtId="0" fontId="88" fillId="3" borderId="0" applyNumberFormat="0" applyBorder="0" applyAlignment="0" applyProtection="0"/>
    <xf numFmtId="0" fontId="88" fillId="3" borderId="0" applyNumberFormat="0" applyBorder="0" applyAlignment="0" applyProtection="0"/>
    <xf numFmtId="0" fontId="88" fillId="3" borderId="0" applyNumberFormat="0" applyBorder="0" applyAlignment="0" applyProtection="0"/>
    <xf numFmtId="0" fontId="88" fillId="3" borderId="0" applyNumberFormat="0" applyBorder="0" applyAlignment="0" applyProtection="0"/>
    <xf numFmtId="0" fontId="87" fillId="7" borderId="1" applyNumberFormat="0" applyAlignment="0" applyProtection="0"/>
    <xf numFmtId="0" fontId="86" fillId="0" borderId="3" applyNumberFormat="0" applyFill="0" applyAlignment="0" applyProtection="0"/>
    <xf numFmtId="181" fontId="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10" fillId="0" borderId="0" applyFont="0" applyFill="0" applyBorder="0" applyAlignment="0" applyProtection="0"/>
    <xf numFmtId="171" fontId="102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80" fillId="0" borderId="0" applyFont="0" applyFill="0" applyBorder="0" applyAlignment="0" applyProtection="0"/>
    <xf numFmtId="182" fontId="10" fillId="0" borderId="0" applyFont="0" applyFill="0" applyBorder="0" applyAlignment="0" applyProtection="0"/>
    <xf numFmtId="181" fontId="94" fillId="0" borderId="0" applyFont="0" applyFill="0" applyBorder="0" applyAlignment="0" applyProtection="0"/>
    <xf numFmtId="171" fontId="102" fillId="0" borderId="0" applyFont="0" applyFill="0" applyBorder="0" applyAlignment="0" applyProtection="0"/>
    <xf numFmtId="186" fontId="31" fillId="0" borderId="0" applyFont="0" applyFill="0" applyBorder="0" applyAlignment="0" applyProtection="0"/>
    <xf numFmtId="186" fontId="10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35" fillId="0" borderId="0" applyFont="0" applyFill="0" applyBorder="0" applyAlignment="0" applyProtection="0"/>
    <xf numFmtId="185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38" fillId="0" borderId="0" applyFont="0" applyFill="0" applyBorder="0" applyAlignment="0" applyProtection="0"/>
    <xf numFmtId="181" fontId="1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56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94" fillId="0" borderId="0" applyFont="0" applyFill="0" applyBorder="0" applyAlignment="0" applyProtection="0"/>
    <xf numFmtId="177" fontId="102" fillId="0" borderId="0" applyFont="0" applyFill="0" applyBorder="0" applyAlignment="0" applyProtection="0"/>
    <xf numFmtId="0" fontId="65" fillId="22" borderId="0" applyNumberFormat="0" applyBorder="0" applyAlignment="0" applyProtection="0"/>
    <xf numFmtId="0" fontId="89" fillId="22" borderId="0" applyNumberFormat="0" applyBorder="0" applyAlignment="0" applyProtection="0"/>
    <xf numFmtId="0" fontId="89" fillId="22" borderId="0" applyNumberFormat="0" applyBorder="0" applyAlignment="0" applyProtection="0"/>
    <xf numFmtId="0" fontId="89" fillId="22" borderId="0" applyNumberFormat="0" applyBorder="0" applyAlignment="0" applyProtection="0"/>
    <xf numFmtId="0" fontId="89" fillId="22" borderId="0" applyNumberFormat="0" applyBorder="0" applyAlignment="0" applyProtection="0"/>
    <xf numFmtId="0" fontId="89" fillId="22" borderId="0" applyNumberFormat="0" applyBorder="0" applyAlignment="0" applyProtection="0"/>
    <xf numFmtId="0" fontId="89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2" fillId="0" borderId="0"/>
    <xf numFmtId="0" fontId="10" fillId="0" borderId="0"/>
    <xf numFmtId="0" fontId="102" fillId="0" borderId="0"/>
    <xf numFmtId="0" fontId="102" fillId="0" borderId="0"/>
    <xf numFmtId="0" fontId="10" fillId="0" borderId="0"/>
    <xf numFmtId="0" fontId="10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2" fillId="0" borderId="0"/>
    <xf numFmtId="0" fontId="10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2" fillId="0" borderId="0"/>
    <xf numFmtId="0" fontId="39" fillId="0" borderId="0"/>
    <xf numFmtId="0" fontId="10" fillId="23" borderId="7" applyNumberFormat="0" applyFont="0" applyAlignment="0" applyProtection="0"/>
    <xf numFmtId="0" fontId="39" fillId="23" borderId="7" applyNumberFormat="0" applyFont="0" applyAlignment="0" applyProtection="0"/>
    <xf numFmtId="0" fontId="39" fillId="23" borderId="7" applyNumberFormat="0" applyFont="0" applyAlignment="0" applyProtection="0"/>
    <xf numFmtId="0" fontId="39" fillId="23" borderId="7" applyNumberFormat="0" applyFont="0" applyAlignment="0" applyProtection="0"/>
    <xf numFmtId="0" fontId="39" fillId="23" borderId="7" applyNumberFormat="0" applyFont="0" applyAlignment="0" applyProtection="0"/>
    <xf numFmtId="0" fontId="39" fillId="23" borderId="7" applyNumberFormat="0" applyFont="0" applyAlignment="0" applyProtection="0"/>
    <xf numFmtId="0" fontId="39" fillId="23" borderId="7" applyNumberFormat="0" applyFont="0" applyAlignment="0" applyProtection="0"/>
    <xf numFmtId="0" fontId="39" fillId="23" borderId="7" applyNumberFormat="0" applyFont="0" applyAlignment="0" applyProtection="0"/>
    <xf numFmtId="0" fontId="39" fillId="23" borderId="7" applyNumberFormat="0" applyFont="0" applyAlignment="0" applyProtection="0"/>
    <xf numFmtId="0" fontId="10" fillId="31" borderId="153" applyNumberFormat="0" applyFont="0" applyAlignment="0" applyProtection="0"/>
    <xf numFmtId="0" fontId="90" fillId="20" borderId="8" applyNumberFormat="0" applyAlignment="0" applyProtection="0"/>
    <xf numFmtId="9" fontId="1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6" fillId="20" borderId="8" applyNumberFormat="0" applyAlignment="0" applyProtection="0"/>
    <xf numFmtId="0" fontId="90" fillId="20" borderId="8" applyNumberFormat="0" applyAlignment="0" applyProtection="0"/>
    <xf numFmtId="0" fontId="90" fillId="20" borderId="8" applyNumberFormat="0" applyAlignment="0" applyProtection="0"/>
    <xf numFmtId="0" fontId="90" fillId="20" borderId="8" applyNumberFormat="0" applyAlignment="0" applyProtection="0"/>
    <xf numFmtId="0" fontId="90" fillId="20" borderId="8" applyNumberFormat="0" applyAlignment="0" applyProtection="0"/>
    <xf numFmtId="0" fontId="90" fillId="20" borderId="8" applyNumberFormat="0" applyAlignment="0" applyProtection="0"/>
    <xf numFmtId="0" fontId="90" fillId="20" borderId="8" applyNumberFormat="0" applyAlignment="0" applyProtection="0"/>
    <xf numFmtId="0" fontId="67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91" fillId="0" borderId="0" applyNumberFormat="0" applyFill="0" applyBorder="0" applyAlignment="0" applyProtection="0"/>
  </cellStyleXfs>
  <cellXfs count="1113">
    <xf numFmtId="0" fontId="0" fillId="0" borderId="0" xfId="0"/>
    <xf numFmtId="3" fontId="0" fillId="0" borderId="0" xfId="0" applyNumberFormat="1"/>
    <xf numFmtId="0" fontId="8" fillId="0" borderId="0" xfId="0" applyFont="1"/>
    <xf numFmtId="0" fontId="0" fillId="0" borderId="0" xfId="0" applyFill="1"/>
    <xf numFmtId="3" fontId="8" fillId="0" borderId="0" xfId="0" applyNumberFormat="1" applyFont="1"/>
    <xf numFmtId="0" fontId="2" fillId="0" borderId="0" xfId="0" applyFont="1" applyFill="1"/>
    <xf numFmtId="0" fontId="13" fillId="0" borderId="0" xfId="0" applyFont="1"/>
    <xf numFmtId="183" fontId="8" fillId="0" borderId="0" xfId="0" applyNumberFormat="1" applyFont="1"/>
    <xf numFmtId="0" fontId="13" fillId="0" borderId="0" xfId="0" applyFont="1" applyFill="1"/>
    <xf numFmtId="3" fontId="14" fillId="0" borderId="0" xfId="0" applyNumberFormat="1" applyFont="1"/>
    <xf numFmtId="0" fontId="14" fillId="0" borderId="0" xfId="0" applyFont="1"/>
    <xf numFmtId="0" fontId="13" fillId="0" borderId="0" xfId="0" applyFont="1" applyFill="1" applyBorder="1"/>
    <xf numFmtId="0" fontId="3" fillId="0" borderId="0" xfId="0" applyFont="1" applyBorder="1"/>
    <xf numFmtId="0" fontId="16" fillId="0" borderId="0" xfId="0" applyFont="1" applyFill="1" applyAlignment="1">
      <alignment horizontal="right"/>
    </xf>
    <xf numFmtId="0" fontId="17" fillId="0" borderId="0" xfId="0" applyFont="1"/>
    <xf numFmtId="183" fontId="18" fillId="24" borderId="10" xfId="0" applyNumberFormat="1" applyFont="1" applyFill="1" applyBorder="1"/>
    <xf numFmtId="3" fontId="20" fillId="0" borderId="11" xfId="0" applyNumberFormat="1" applyFont="1" applyFill="1" applyBorder="1" applyAlignment="1"/>
    <xf numFmtId="3" fontId="20" fillId="0" borderId="12" xfId="0" applyNumberFormat="1" applyFont="1" applyFill="1" applyBorder="1"/>
    <xf numFmtId="0" fontId="12" fillId="0" borderId="0" xfId="0" applyFont="1"/>
    <xf numFmtId="15" fontId="12" fillId="0" borderId="0" xfId="0" applyNumberFormat="1" applyFont="1"/>
    <xf numFmtId="0" fontId="19" fillId="0" borderId="13" xfId="0" applyFont="1" applyFill="1" applyBorder="1"/>
    <xf numFmtId="3" fontId="20" fillId="0" borderId="13" xfId="0" applyNumberFormat="1" applyFont="1" applyFill="1" applyBorder="1"/>
    <xf numFmtId="3" fontId="19" fillId="0" borderId="11" xfId="0" applyNumberFormat="1" applyFont="1" applyFill="1" applyBorder="1" applyAlignment="1"/>
    <xf numFmtId="3" fontId="19" fillId="0" borderId="13" xfId="0" applyNumberFormat="1" applyFont="1" applyFill="1" applyBorder="1"/>
    <xf numFmtId="0" fontId="19" fillId="0" borderId="11" xfId="0" applyFont="1" applyFill="1" applyBorder="1" applyAlignment="1"/>
    <xf numFmtId="37" fontId="20" fillId="0" borderId="11" xfId="0" applyNumberFormat="1" applyFont="1" applyFill="1" applyBorder="1" applyAlignment="1"/>
    <xf numFmtId="3" fontId="21" fillId="0" borderId="13" xfId="0" applyNumberFormat="1" applyFont="1" applyFill="1" applyBorder="1"/>
    <xf numFmtId="0" fontId="20" fillId="0" borderId="11" xfId="0" applyFont="1" applyFill="1" applyBorder="1" applyAlignment="1"/>
    <xf numFmtId="185" fontId="14" fillId="0" borderId="0" xfId="0" applyNumberFormat="1" applyFont="1"/>
    <xf numFmtId="0" fontId="0" fillId="0" borderId="0" xfId="0" applyFill="1" applyBorder="1"/>
    <xf numFmtId="183" fontId="14" fillId="0" borderId="0" xfId="0" applyNumberFormat="1" applyFont="1"/>
    <xf numFmtId="0" fontId="10" fillId="0" borderId="0" xfId="0" applyFont="1" applyFill="1"/>
    <xf numFmtId="0" fontId="21" fillId="0" borderId="0" xfId="0" applyFont="1" applyFill="1" applyBorder="1" applyAlignment="1">
      <alignment horizontal="center"/>
    </xf>
    <xf numFmtId="3" fontId="21" fillId="0" borderId="11" xfId="0" applyNumberFormat="1" applyFont="1" applyFill="1" applyBorder="1" applyAlignment="1"/>
    <xf numFmtId="0" fontId="22" fillId="0" borderId="0" xfId="0" applyFont="1" applyFill="1"/>
    <xf numFmtId="185" fontId="8" fillId="0" borderId="0" xfId="0" applyNumberFormat="1" applyFont="1"/>
    <xf numFmtId="0" fontId="16" fillId="0" borderId="0" xfId="0" applyFont="1"/>
    <xf numFmtId="0" fontId="26" fillId="0" borderId="0" xfId="0" applyFont="1" applyAlignment="1">
      <alignment horizontal="center"/>
    </xf>
    <xf numFmtId="0" fontId="16" fillId="0" borderId="0" xfId="0" applyFont="1" applyFill="1"/>
    <xf numFmtId="0" fontId="3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3" fillId="0" borderId="0" xfId="0" applyFont="1" applyFill="1" applyBorder="1" applyAlignment="1">
      <alignment horizontal="center" wrapText="1"/>
    </xf>
    <xf numFmtId="9" fontId="3" fillId="0" borderId="0" xfId="0" applyNumberFormat="1" applyFont="1" applyFill="1" applyBorder="1" applyAlignment="1">
      <alignment horizontal="center" wrapText="1"/>
    </xf>
    <xf numFmtId="10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justify" wrapText="1"/>
    </xf>
    <xf numFmtId="0" fontId="3" fillId="0" borderId="10" xfId="0" applyFont="1" applyFill="1" applyBorder="1" applyAlignment="1" applyProtection="1">
      <alignment horizontal="center"/>
      <protection locked="0"/>
    </xf>
    <xf numFmtId="183" fontId="16" fillId="0" borderId="10" xfId="275" applyNumberFormat="1" applyFont="1" applyFill="1" applyBorder="1" applyAlignment="1">
      <alignment horizontal="right"/>
    </xf>
    <xf numFmtId="183" fontId="16" fillId="0" borderId="0" xfId="0" applyNumberFormat="1" applyFont="1" applyFill="1" applyBorder="1"/>
    <xf numFmtId="3" fontId="16" fillId="0" borderId="0" xfId="0" applyNumberFormat="1" applyFont="1" applyFill="1" applyBorder="1"/>
    <xf numFmtId="3" fontId="3" fillId="24" borderId="10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 applyProtection="1">
      <alignment horizontal="center"/>
      <protection locked="0"/>
    </xf>
    <xf numFmtId="183" fontId="16" fillId="0" borderId="0" xfId="275" applyNumberFormat="1" applyFont="1" applyFill="1" applyBorder="1" applyAlignment="1">
      <alignment horizontal="right"/>
    </xf>
    <xf numFmtId="3" fontId="16" fillId="0" borderId="0" xfId="0" applyNumberFormat="1" applyFont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10" xfId="0" applyFont="1" applyBorder="1"/>
    <xf numFmtId="3" fontId="16" fillId="0" borderId="0" xfId="0" applyNumberFormat="1" applyFont="1"/>
    <xf numFmtId="15" fontId="16" fillId="0" borderId="0" xfId="0" applyNumberFormat="1" applyFont="1"/>
    <xf numFmtId="15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15" fontId="3" fillId="0" borderId="0" xfId="0" applyNumberFormat="1" applyFont="1" applyFill="1" applyBorder="1"/>
    <xf numFmtId="3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0" xfId="0" applyNumberFormat="1" applyFont="1" applyFill="1" applyBorder="1"/>
    <xf numFmtId="0" fontId="3" fillId="0" borderId="10" xfId="0" applyNumberFormat="1" applyFont="1" applyFill="1" applyBorder="1"/>
    <xf numFmtId="3" fontId="16" fillId="0" borderId="10" xfId="0" applyNumberFormat="1" applyFont="1" applyFill="1" applyBorder="1" applyAlignment="1" applyProtection="1">
      <alignment horizontal="left"/>
      <protection locked="0"/>
    </xf>
    <xf numFmtId="0" fontId="16" fillId="0" borderId="10" xfId="0" applyFont="1" applyFill="1" applyBorder="1"/>
    <xf numFmtId="0" fontId="27" fillId="0" borderId="0" xfId="0" applyFont="1" applyFill="1" applyBorder="1"/>
    <xf numFmtId="15" fontId="27" fillId="0" borderId="0" xfId="0" applyNumberFormat="1" applyFont="1" applyFill="1" applyBorder="1"/>
    <xf numFmtId="183" fontId="3" fillId="0" borderId="10" xfId="275" applyNumberFormat="1" applyFont="1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183" fontId="16" fillId="0" borderId="0" xfId="0" applyNumberFormat="1" applyFont="1" applyBorder="1"/>
    <xf numFmtId="181" fontId="16" fillId="0" borderId="0" xfId="275" applyFont="1" applyBorder="1"/>
    <xf numFmtId="181" fontId="16" fillId="0" borderId="0" xfId="0" applyNumberFormat="1" applyFont="1" applyBorder="1"/>
    <xf numFmtId="3" fontId="16" fillId="0" borderId="0" xfId="0" applyNumberFormat="1" applyFont="1" applyFill="1" applyAlignment="1">
      <alignment horizontal="right"/>
    </xf>
    <xf numFmtId="0" fontId="28" fillId="24" borderId="10" xfId="0" applyFont="1" applyFill="1" applyBorder="1" applyAlignment="1">
      <alignment horizontal="center"/>
    </xf>
    <xf numFmtId="3" fontId="3" fillId="0" borderId="10" xfId="0" applyNumberFormat="1" applyFont="1" applyFill="1" applyBorder="1" applyAlignment="1" applyProtection="1">
      <alignment horizontal="right"/>
      <protection locked="0"/>
    </xf>
    <xf numFmtId="3" fontId="3" fillId="24" borderId="10" xfId="0" applyNumberFormat="1" applyFont="1" applyFill="1" applyBorder="1" applyAlignment="1">
      <alignment horizontal="right" wrapText="1"/>
    </xf>
    <xf numFmtId="3" fontId="3" fillId="0" borderId="10" xfId="0" applyNumberFormat="1" applyFont="1" applyFill="1" applyBorder="1" applyAlignment="1">
      <alignment horizontal="left" vertical="center"/>
    </xf>
    <xf numFmtId="3" fontId="3" fillId="0" borderId="10" xfId="0" applyNumberFormat="1" applyFont="1" applyFill="1" applyBorder="1" applyAlignment="1">
      <alignment horizontal="left"/>
    </xf>
    <xf numFmtId="3" fontId="3" fillId="0" borderId="10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 vertical="center"/>
    </xf>
    <xf numFmtId="0" fontId="3" fillId="0" borderId="10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24" borderId="10" xfId="0" applyFont="1" applyFill="1" applyBorder="1"/>
    <xf numFmtId="0" fontId="3" fillId="0" borderId="0" xfId="0" applyFont="1"/>
    <xf numFmtId="0" fontId="3" fillId="24" borderId="14" xfId="0" applyFont="1" applyFill="1" applyBorder="1" applyAlignment="1">
      <alignment horizontal="center" wrapText="1"/>
    </xf>
    <xf numFmtId="0" fontId="3" fillId="24" borderId="14" xfId="0" applyFont="1" applyFill="1" applyBorder="1" applyAlignment="1">
      <alignment horizontal="center"/>
    </xf>
    <xf numFmtId="0" fontId="3" fillId="24" borderId="14" xfId="0" applyFont="1" applyFill="1" applyBorder="1"/>
    <xf numFmtId="15" fontId="16" fillId="0" borderId="0" xfId="0" applyNumberFormat="1" applyFont="1" applyBorder="1"/>
    <xf numFmtId="182" fontId="3" fillId="0" borderId="0" xfId="0" applyNumberFormat="1" applyFont="1" applyBorder="1"/>
    <xf numFmtId="0" fontId="3" fillId="0" borderId="15" xfId="0" applyFont="1" applyBorder="1"/>
    <xf numFmtId="9" fontId="16" fillId="0" borderId="0" xfId="391" applyFont="1"/>
    <xf numFmtId="0" fontId="29" fillId="0" borderId="0" xfId="0" applyFont="1"/>
    <xf numFmtId="0" fontId="20" fillId="0" borderId="0" xfId="0" applyFont="1" applyFill="1" applyBorder="1" applyAlignment="1">
      <alignment horizontal="center"/>
    </xf>
    <xf numFmtId="0" fontId="20" fillId="24" borderId="10" xfId="0" applyFont="1" applyFill="1" applyBorder="1" applyAlignment="1">
      <alignment horizontal="center"/>
    </xf>
    <xf numFmtId="0" fontId="3" fillId="0" borderId="0" xfId="0" applyFont="1" applyFill="1" applyBorder="1"/>
    <xf numFmtId="15" fontId="16" fillId="0" borderId="0" xfId="0" applyNumberFormat="1" applyFont="1" applyFill="1" applyBorder="1"/>
    <xf numFmtId="183" fontId="16" fillId="0" borderId="0" xfId="275" applyNumberFormat="1" applyFont="1"/>
    <xf numFmtId="0" fontId="20" fillId="0" borderId="16" xfId="0" applyFont="1" applyFill="1" applyBorder="1" applyAlignment="1">
      <alignment horizontal="center"/>
    </xf>
    <xf numFmtId="0" fontId="20" fillId="24" borderId="14" xfId="0" applyFont="1" applyFill="1" applyBorder="1" applyAlignment="1">
      <alignment horizontal="center"/>
    </xf>
    <xf numFmtId="183" fontId="18" fillId="24" borderId="14" xfId="0" applyNumberFormat="1" applyFont="1" applyFill="1" applyBorder="1"/>
    <xf numFmtId="0" fontId="3" fillId="0" borderId="17" xfId="0" applyFont="1" applyBorder="1"/>
    <xf numFmtId="43" fontId="0" fillId="0" borderId="0" xfId="0" applyNumberFormat="1" applyFill="1"/>
    <xf numFmtId="0" fontId="19" fillId="0" borderId="18" xfId="0" applyFont="1" applyFill="1" applyBorder="1"/>
    <xf numFmtId="0" fontId="10" fillId="0" borderId="10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left"/>
    </xf>
    <xf numFmtId="171" fontId="8" fillId="0" borderId="0" xfId="0" applyNumberFormat="1" applyFont="1"/>
    <xf numFmtId="181" fontId="24" fillId="0" borderId="0" xfId="275" applyFont="1" applyFill="1"/>
    <xf numFmtId="3" fontId="4" fillId="0" borderId="13" xfId="0" applyNumberFormat="1" applyFont="1" applyFill="1" applyBorder="1"/>
    <xf numFmtId="37" fontId="4" fillId="0" borderId="11" xfId="0" applyNumberFormat="1" applyFont="1" applyFill="1" applyBorder="1" applyAlignment="1"/>
    <xf numFmtId="180" fontId="8" fillId="0" borderId="0" xfId="319" applyFont="1"/>
    <xf numFmtId="0" fontId="10" fillId="0" borderId="10" xfId="0" applyNumberFormat="1" applyFont="1" applyFill="1" applyBorder="1"/>
    <xf numFmtId="3" fontId="10" fillId="0" borderId="10" xfId="0" applyNumberFormat="1" applyFont="1" applyFill="1" applyBorder="1" applyAlignment="1">
      <alignment horizontal="left"/>
    </xf>
    <xf numFmtId="183" fontId="0" fillId="0" borderId="0" xfId="0" applyNumberFormat="1"/>
    <xf numFmtId="0" fontId="16" fillId="0" borderId="0" xfId="0" applyFont="1" applyFill="1" applyBorder="1" applyAlignment="1">
      <alignment horizontal="right"/>
    </xf>
    <xf numFmtId="3" fontId="3" fillId="24" borderId="20" xfId="0" applyNumberFormat="1" applyFont="1" applyFill="1" applyBorder="1" applyAlignment="1">
      <alignment horizontal="right"/>
    </xf>
    <xf numFmtId="0" fontId="3" fillId="24" borderId="21" xfId="0" applyFont="1" applyFill="1" applyBorder="1"/>
    <xf numFmtId="0" fontId="3" fillId="24" borderId="15" xfId="0" applyFont="1" applyFill="1" applyBorder="1"/>
    <xf numFmtId="0" fontId="3" fillId="24" borderId="20" xfId="0" applyFont="1" applyFill="1" applyBorder="1" applyAlignment="1">
      <alignment horizontal="center"/>
    </xf>
    <xf numFmtId="183" fontId="10" fillId="0" borderId="0" xfId="275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181" fontId="10" fillId="0" borderId="0" xfId="275" applyFont="1" applyBorder="1"/>
    <xf numFmtId="0" fontId="0" fillId="25" borderId="0" xfId="0" applyFill="1"/>
    <xf numFmtId="0" fontId="10" fillId="25" borderId="10" xfId="0" applyFont="1" applyFill="1" applyBorder="1" applyAlignment="1">
      <alignment horizontal="left"/>
    </xf>
    <xf numFmtId="0" fontId="10" fillId="25" borderId="19" xfId="0" applyFont="1" applyFill="1" applyBorder="1" applyAlignment="1">
      <alignment horizontal="left"/>
    </xf>
    <xf numFmtId="0" fontId="10" fillId="0" borderId="0" xfId="0" applyFont="1" applyFill="1" applyBorder="1" applyAlignment="1" applyProtection="1">
      <alignment horizontal="center"/>
      <protection locked="0"/>
    </xf>
    <xf numFmtId="15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3" fontId="3" fillId="24" borderId="10" xfId="0" applyNumberFormat="1" applyFont="1" applyFill="1" applyBorder="1" applyAlignment="1">
      <alignment horizontal="left" vertical="center"/>
    </xf>
    <xf numFmtId="15" fontId="22" fillId="24" borderId="10" xfId="0" applyNumberFormat="1" applyFont="1" applyFill="1" applyBorder="1" applyAlignment="1">
      <alignment horizontal="center"/>
    </xf>
    <xf numFmtId="0" fontId="22" fillId="24" borderId="10" xfId="0" applyNumberFormat="1" applyFont="1" applyFill="1" applyBorder="1" applyAlignment="1">
      <alignment horizontal="center"/>
    </xf>
    <xf numFmtId="0" fontId="3" fillId="24" borderId="10" xfId="0" applyFont="1" applyFill="1" applyBorder="1" applyAlignment="1">
      <alignment horizontal="center" vertical="center"/>
    </xf>
    <xf numFmtId="183" fontId="3" fillId="24" borderId="10" xfId="0" applyNumberFormat="1" applyFont="1" applyFill="1" applyBorder="1" applyAlignment="1">
      <alignment horizontal="center" vertical="center"/>
    </xf>
    <xf numFmtId="0" fontId="20" fillId="25" borderId="0" xfId="0" applyFont="1" applyFill="1" applyBorder="1" applyAlignment="1">
      <alignment horizontal="right"/>
    </xf>
    <xf numFmtId="0" fontId="0" fillId="25" borderId="0" xfId="0" applyFill="1" applyBorder="1"/>
    <xf numFmtId="0" fontId="45" fillId="26" borderId="10" xfId="0" applyFont="1" applyFill="1" applyBorder="1"/>
    <xf numFmtId="183" fontId="45" fillId="26" borderId="10" xfId="275" applyNumberFormat="1" applyFont="1" applyFill="1" applyBorder="1"/>
    <xf numFmtId="10" fontId="45" fillId="26" borderId="10" xfId="0" applyNumberFormat="1" applyFont="1" applyFill="1" applyBorder="1"/>
    <xf numFmtId="0" fontId="4" fillId="0" borderId="0" xfId="0" applyFont="1" applyFill="1"/>
    <xf numFmtId="0" fontId="4" fillId="0" borderId="0" xfId="0" applyFont="1"/>
    <xf numFmtId="181" fontId="36" fillId="0" borderId="0" xfId="275" applyFont="1"/>
    <xf numFmtId="3" fontId="4" fillId="0" borderId="0" xfId="0" applyNumberFormat="1" applyFont="1" applyFill="1"/>
    <xf numFmtId="185" fontId="4" fillId="0" borderId="0" xfId="0" applyNumberFormat="1" applyFont="1"/>
    <xf numFmtId="0" fontId="21" fillId="0" borderId="0" xfId="0" applyFont="1" applyFill="1"/>
    <xf numFmtId="185" fontId="21" fillId="0" borderId="0" xfId="0" applyNumberFormat="1" applyFont="1"/>
    <xf numFmtId="185" fontId="4" fillId="0" borderId="0" xfId="0" applyNumberFormat="1" applyFont="1" applyFill="1"/>
    <xf numFmtId="181" fontId="4" fillId="0" borderId="0" xfId="275" applyFont="1" applyFill="1"/>
    <xf numFmtId="0" fontId="46" fillId="0" borderId="0" xfId="0" applyFont="1"/>
    <xf numFmtId="183" fontId="46" fillId="0" borderId="0" xfId="275" applyNumberFormat="1" applyFont="1"/>
    <xf numFmtId="181" fontId="28" fillId="0" borderId="0" xfId="275" applyFont="1" applyFill="1"/>
    <xf numFmtId="0" fontId="37" fillId="25" borderId="0" xfId="0" applyFont="1" applyFill="1"/>
    <xf numFmtId="183" fontId="4" fillId="0" borderId="0" xfId="0" applyNumberFormat="1" applyFont="1"/>
    <xf numFmtId="171" fontId="4" fillId="0" borderId="0" xfId="0" applyNumberFormat="1" applyFont="1"/>
    <xf numFmtId="187" fontId="28" fillId="25" borderId="22" xfId="0" applyNumberFormat="1" applyFont="1" applyFill="1" applyBorder="1" applyAlignment="1">
      <alignment horizontal="center"/>
    </xf>
    <xf numFmtId="187" fontId="28" fillId="25" borderId="23" xfId="0" applyNumberFormat="1" applyFont="1" applyFill="1" applyBorder="1" applyAlignment="1">
      <alignment horizontal="center"/>
    </xf>
    <xf numFmtId="187" fontId="28" fillId="24" borderId="24" xfId="0" applyNumberFormat="1" applyFont="1" applyFill="1" applyBorder="1" applyAlignment="1">
      <alignment horizontal="center"/>
    </xf>
    <xf numFmtId="189" fontId="18" fillId="24" borderId="25" xfId="319" applyNumberFormat="1" applyFont="1" applyFill="1" applyBorder="1"/>
    <xf numFmtId="0" fontId="19" fillId="25" borderId="0" xfId="0" applyFont="1" applyFill="1"/>
    <xf numFmtId="0" fontId="13" fillId="25" borderId="0" xfId="0" applyFont="1" applyFill="1"/>
    <xf numFmtId="3" fontId="22" fillId="25" borderId="0" xfId="0" applyNumberFormat="1" applyFont="1" applyFill="1" applyBorder="1" applyAlignment="1"/>
    <xf numFmtId="183" fontId="13" fillId="25" borderId="0" xfId="275" applyNumberFormat="1" applyFont="1" applyFill="1" applyBorder="1"/>
    <xf numFmtId="0" fontId="13" fillId="25" borderId="0" xfId="0" applyFont="1" applyFill="1" applyBorder="1"/>
    <xf numFmtId="183" fontId="13" fillId="25" borderId="0" xfId="0" applyNumberFormat="1" applyFont="1" applyFill="1" applyBorder="1"/>
    <xf numFmtId="180" fontId="18" fillId="27" borderId="25" xfId="319" applyFont="1" applyFill="1" applyBorder="1"/>
    <xf numFmtId="3" fontId="33" fillId="0" borderId="26" xfId="0" applyNumberFormat="1" applyFont="1" applyFill="1" applyBorder="1" applyAlignment="1">
      <alignment horizontal="centerContinuous"/>
    </xf>
    <xf numFmtId="0" fontId="20" fillId="0" borderId="26" xfId="0" applyFont="1" applyFill="1" applyBorder="1" applyAlignment="1">
      <alignment horizontal="centerContinuous"/>
    </xf>
    <xf numFmtId="0" fontId="33" fillId="0" borderId="26" xfId="0" applyFont="1" applyFill="1" applyBorder="1" applyAlignment="1">
      <alignment horizontal="centerContinuous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0" fillId="0" borderId="0" xfId="0" applyFill="1" applyAlignment="1">
      <alignment horizontal="center"/>
    </xf>
    <xf numFmtId="10" fontId="0" fillId="0" borderId="0" xfId="391" applyNumberFormat="1" applyFont="1" applyFill="1"/>
    <xf numFmtId="3" fontId="0" fillId="0" borderId="0" xfId="0" applyNumberFormat="1" applyFill="1"/>
    <xf numFmtId="10" fontId="2" fillId="0" borderId="0" xfId="0" applyNumberFormat="1" applyFont="1" applyFill="1"/>
    <xf numFmtId="3" fontId="2" fillId="0" borderId="0" xfId="0" applyNumberFormat="1" applyFont="1" applyFill="1"/>
    <xf numFmtId="0" fontId="19" fillId="0" borderId="30" xfId="0" applyFont="1" applyFill="1" applyBorder="1" applyAlignment="1"/>
    <xf numFmtId="0" fontId="19" fillId="0" borderId="12" xfId="0" applyFont="1" applyFill="1" applyBorder="1"/>
    <xf numFmtId="0" fontId="19" fillId="0" borderId="31" xfId="0" applyFont="1" applyFill="1" applyBorder="1"/>
    <xf numFmtId="0" fontId="2" fillId="0" borderId="0" xfId="0" applyFont="1" applyFill="1" applyAlignment="1"/>
    <xf numFmtId="181" fontId="2" fillId="0" borderId="0" xfId="275" applyFont="1" applyFill="1"/>
    <xf numFmtId="9" fontId="2" fillId="0" borderId="0" xfId="391" applyFont="1" applyFill="1"/>
    <xf numFmtId="0" fontId="24" fillId="0" borderId="0" xfId="0" applyFont="1" applyFill="1"/>
    <xf numFmtId="0" fontId="25" fillId="0" borderId="0" xfId="0" applyFont="1" applyFill="1" applyAlignment="1">
      <alignment horizontal="center"/>
    </xf>
    <xf numFmtId="3" fontId="25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/>
    <xf numFmtId="3" fontId="24" fillId="0" borderId="0" xfId="0" applyNumberFormat="1" applyFont="1" applyFill="1"/>
    <xf numFmtId="3" fontId="24" fillId="0" borderId="26" xfId="0" applyNumberFormat="1" applyFont="1" applyFill="1" applyBorder="1"/>
    <xf numFmtId="10" fontId="2" fillId="0" borderId="0" xfId="391" applyNumberFormat="1" applyFont="1" applyFill="1"/>
    <xf numFmtId="183" fontId="0" fillId="25" borderId="0" xfId="0" applyNumberFormat="1" applyFill="1"/>
    <xf numFmtId="0" fontId="0" fillId="25" borderId="0" xfId="0" applyFill="1" applyAlignment="1">
      <alignment horizontal="right"/>
    </xf>
    <xf numFmtId="0" fontId="3" fillId="25" borderId="0" xfId="0" applyFont="1" applyFill="1" applyBorder="1" applyAlignment="1">
      <alignment horizontal="center" wrapText="1"/>
    </xf>
    <xf numFmtId="183" fontId="48" fillId="0" borderId="0" xfId="275" applyNumberFormat="1" applyFont="1" applyFill="1" applyBorder="1" applyAlignment="1">
      <alignment horizontal="right"/>
    </xf>
    <xf numFmtId="183" fontId="49" fillId="0" borderId="0" xfId="0" applyNumberFormat="1" applyFont="1" applyFill="1" applyBorder="1"/>
    <xf numFmtId="0" fontId="49" fillId="0" borderId="0" xfId="0" applyFont="1" applyFill="1" applyBorder="1"/>
    <xf numFmtId="183" fontId="13" fillId="25" borderId="0" xfId="275" applyNumberFormat="1" applyFont="1" applyFill="1"/>
    <xf numFmtId="183" fontId="22" fillId="25" borderId="0" xfId="275" applyNumberFormat="1" applyFont="1" applyFill="1" applyBorder="1" applyAlignment="1"/>
    <xf numFmtId="183" fontId="38" fillId="25" borderId="0" xfId="275" applyNumberFormat="1" applyFont="1" applyFill="1"/>
    <xf numFmtId="0" fontId="3" fillId="0" borderId="0" xfId="0" applyFont="1" applyFill="1"/>
    <xf numFmtId="0" fontId="0" fillId="25" borderId="0" xfId="0" applyFill="1" applyBorder="1" applyAlignment="1">
      <alignment horizontal="left"/>
    </xf>
    <xf numFmtId="183" fontId="35" fillId="25" borderId="0" xfId="275" applyNumberFormat="1" applyFont="1" applyFill="1" applyBorder="1"/>
    <xf numFmtId="0" fontId="3" fillId="25" borderId="0" xfId="0" applyFont="1" applyFill="1" applyBorder="1"/>
    <xf numFmtId="183" fontId="0" fillId="25" borderId="0" xfId="0" applyNumberFormat="1" applyFill="1" applyBorder="1"/>
    <xf numFmtId="0" fontId="8" fillId="0" borderId="0" xfId="0" applyFont="1" applyFill="1"/>
    <xf numFmtId="0" fontId="3" fillId="24" borderId="16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3" fillId="24" borderId="32" xfId="0" applyFont="1" applyFill="1" applyBorder="1" applyAlignment="1">
      <alignment horizontal="center" wrapText="1"/>
    </xf>
    <xf numFmtId="183" fontId="3" fillId="24" borderId="10" xfId="311" applyNumberFormat="1" applyFont="1" applyFill="1" applyBorder="1"/>
    <xf numFmtId="183" fontId="3" fillId="25" borderId="0" xfId="311" applyNumberFormat="1" applyFont="1" applyFill="1" applyBorder="1"/>
    <xf numFmtId="0" fontId="3" fillId="24" borderId="10" xfId="0" applyFont="1" applyFill="1" applyBorder="1" applyAlignment="1">
      <alignment horizontal="center"/>
    </xf>
    <xf numFmtId="0" fontId="10" fillId="25" borderId="0" xfId="0" applyFont="1" applyFill="1" applyBorder="1"/>
    <xf numFmtId="0" fontId="3" fillId="25" borderId="10" xfId="0" applyFont="1" applyFill="1" applyBorder="1" applyAlignment="1">
      <alignment horizontal="left"/>
    </xf>
    <xf numFmtId="0" fontId="3" fillId="25" borderId="10" xfId="0" applyFont="1" applyFill="1" applyBorder="1" applyAlignment="1" applyProtection="1">
      <alignment horizontal="center"/>
      <protection locked="0"/>
    </xf>
    <xf numFmtId="183" fontId="3" fillId="25" borderId="10" xfId="0" applyNumberFormat="1" applyFont="1" applyFill="1" applyBorder="1"/>
    <xf numFmtId="10" fontId="3" fillId="0" borderId="10" xfId="412" applyNumberFormat="1" applyFont="1" applyBorder="1"/>
    <xf numFmtId="183" fontId="10" fillId="0" borderId="10" xfId="311" applyNumberFormat="1" applyFont="1" applyFill="1" applyBorder="1" applyAlignment="1">
      <alignment horizontal="right"/>
    </xf>
    <xf numFmtId="183" fontId="10" fillId="25" borderId="0" xfId="0" applyNumberFormat="1" applyFont="1" applyFill="1" applyBorder="1"/>
    <xf numFmtId="183" fontId="10" fillId="0" borderId="0" xfId="311" applyNumberFormat="1" applyFont="1" applyFill="1" applyBorder="1" applyAlignment="1">
      <alignment horizontal="right"/>
    </xf>
    <xf numFmtId="183" fontId="3" fillId="0" borderId="0" xfId="311" applyNumberFormat="1" applyFont="1" applyFill="1" applyBorder="1"/>
    <xf numFmtId="0" fontId="3" fillId="25" borderId="10" xfId="0" applyFont="1" applyFill="1" applyBorder="1" applyAlignment="1">
      <alignment horizontal="center"/>
    </xf>
    <xf numFmtId="183" fontId="3" fillId="25" borderId="10" xfId="311" applyNumberFormat="1" applyFont="1" applyFill="1" applyBorder="1"/>
    <xf numFmtId="183" fontId="3" fillId="24" borderId="10" xfId="0" applyNumberFormat="1" applyFont="1" applyFill="1" applyBorder="1"/>
    <xf numFmtId="3" fontId="10" fillId="25" borderId="1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0" fontId="3" fillId="24" borderId="16" xfId="0" applyFont="1" applyFill="1" applyBorder="1"/>
    <xf numFmtId="3" fontId="3" fillId="25" borderId="0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83" fontId="16" fillId="25" borderId="0" xfId="275" applyNumberFormat="1" applyFont="1" applyFill="1" applyBorder="1" applyAlignment="1">
      <alignment horizontal="right"/>
    </xf>
    <xf numFmtId="10" fontId="21" fillId="27" borderId="34" xfId="391" applyNumberFormat="1" applyFont="1" applyFill="1" applyBorder="1"/>
    <xf numFmtId="3" fontId="19" fillId="25" borderId="13" xfId="0" applyNumberFormat="1" applyFont="1" applyFill="1" applyBorder="1"/>
    <xf numFmtId="3" fontId="20" fillId="25" borderId="13" xfId="0" applyNumberFormat="1" applyFont="1" applyFill="1" applyBorder="1"/>
    <xf numFmtId="3" fontId="23" fillId="25" borderId="13" xfId="0" applyNumberFormat="1" applyFont="1" applyFill="1" applyBorder="1"/>
    <xf numFmtId="0" fontId="21" fillId="25" borderId="0" xfId="0" applyFont="1" applyFill="1"/>
    <xf numFmtId="0" fontId="3" fillId="24" borderId="0" xfId="0" applyFont="1" applyFill="1" applyBorder="1"/>
    <xf numFmtId="3" fontId="28" fillId="0" borderId="0" xfId="0" applyNumberFormat="1" applyFont="1"/>
    <xf numFmtId="3" fontId="21" fillId="32" borderId="13" xfId="0" applyNumberFormat="1" applyFont="1" applyFill="1" applyBorder="1"/>
    <xf numFmtId="3" fontId="20" fillId="32" borderId="13" xfId="0" applyNumberFormat="1" applyFont="1" applyFill="1" applyBorder="1"/>
    <xf numFmtId="3" fontId="4" fillId="32" borderId="13" xfId="0" applyNumberFormat="1" applyFont="1" applyFill="1" applyBorder="1"/>
    <xf numFmtId="3" fontId="19" fillId="32" borderId="13" xfId="0" applyNumberFormat="1" applyFont="1" applyFill="1" applyBorder="1"/>
    <xf numFmtId="3" fontId="19" fillId="0" borderId="12" xfId="0" applyNumberFormat="1" applyFont="1" applyFill="1" applyBorder="1"/>
    <xf numFmtId="183" fontId="10" fillId="0" borderId="10" xfId="275" applyNumberFormat="1" applyFont="1" applyFill="1" applyBorder="1" applyAlignment="1">
      <alignment horizontal="right"/>
    </xf>
    <xf numFmtId="183" fontId="16" fillId="0" borderId="10" xfId="275" applyNumberFormat="1" applyFont="1" applyFill="1" applyBorder="1"/>
    <xf numFmtId="0" fontId="10" fillId="0" borderId="10" xfId="0" applyFont="1" applyFill="1" applyBorder="1"/>
    <xf numFmtId="0" fontId="20" fillId="33" borderId="11" xfId="0" applyFont="1" applyFill="1" applyBorder="1" applyAlignment="1">
      <alignment wrapText="1"/>
    </xf>
    <xf numFmtId="3" fontId="20" fillId="33" borderId="13" xfId="0" applyNumberFormat="1" applyFont="1" applyFill="1" applyBorder="1"/>
    <xf numFmtId="37" fontId="20" fillId="32" borderId="11" xfId="0" applyNumberFormat="1" applyFont="1" applyFill="1" applyBorder="1" applyAlignment="1"/>
    <xf numFmtId="3" fontId="0" fillId="32" borderId="0" xfId="0" applyNumberFormat="1" applyFill="1"/>
    <xf numFmtId="0" fontId="0" fillId="32" borderId="0" xfId="0" applyFill="1"/>
    <xf numFmtId="0" fontId="10" fillId="32" borderId="10" xfId="0" applyFont="1" applyFill="1" applyBorder="1" applyAlignment="1">
      <alignment horizontal="left"/>
    </xf>
    <xf numFmtId="183" fontId="24" fillId="0" borderId="0" xfId="275" applyNumberFormat="1" applyFont="1" applyFill="1"/>
    <xf numFmtId="183" fontId="24" fillId="0" borderId="26" xfId="275" applyNumberFormat="1" applyFont="1" applyFill="1" applyBorder="1"/>
    <xf numFmtId="10" fontId="10" fillId="32" borderId="10" xfId="412" applyNumberFormat="1" applyFont="1" applyFill="1" applyBorder="1"/>
    <xf numFmtId="0" fontId="28" fillId="24" borderId="10" xfId="0" applyFont="1" applyFill="1" applyBorder="1" applyAlignment="1">
      <alignment horizontal="left" vertical="center" wrapText="1"/>
    </xf>
    <xf numFmtId="3" fontId="10" fillId="32" borderId="10" xfId="0" applyNumberFormat="1" applyFont="1" applyFill="1" applyBorder="1" applyAlignment="1">
      <alignment horizontal="left"/>
    </xf>
    <xf numFmtId="0" fontId="16" fillId="32" borderId="0" xfId="0" applyFont="1" applyFill="1" applyBorder="1" applyAlignment="1">
      <alignment horizontal="left"/>
    </xf>
    <xf numFmtId="0" fontId="10" fillId="32" borderId="10" xfId="0" applyFont="1" applyFill="1" applyBorder="1" applyAlignment="1" applyProtection="1">
      <alignment horizontal="center"/>
      <protection locked="0"/>
    </xf>
    <xf numFmtId="183" fontId="10" fillId="32" borderId="10" xfId="311" applyNumberFormat="1" applyFont="1" applyFill="1" applyBorder="1"/>
    <xf numFmtId="0" fontId="10" fillId="32" borderId="10" xfId="0" applyFont="1" applyFill="1" applyBorder="1" applyAlignment="1">
      <alignment horizontal="center"/>
    </xf>
    <xf numFmtId="183" fontId="10" fillId="32" borderId="0" xfId="311" applyNumberFormat="1" applyFont="1" applyFill="1" applyBorder="1"/>
    <xf numFmtId="0" fontId="0" fillId="32" borderId="0" xfId="0" applyFill="1" applyBorder="1"/>
    <xf numFmtId="183" fontId="3" fillId="32" borderId="10" xfId="311" applyNumberFormat="1" applyFont="1" applyFill="1" applyBorder="1"/>
    <xf numFmtId="183" fontId="0" fillId="32" borderId="0" xfId="0" applyNumberFormat="1" applyFill="1" applyBorder="1"/>
    <xf numFmtId="0" fontId="10" fillId="32" borderId="0" xfId="0" applyFont="1" applyFill="1" applyBorder="1"/>
    <xf numFmtId="0" fontId="3" fillId="32" borderId="10" xfId="0" applyFont="1" applyFill="1" applyBorder="1" applyAlignment="1">
      <alignment horizontal="center"/>
    </xf>
    <xf numFmtId="183" fontId="3" fillId="32" borderId="10" xfId="0" applyNumberFormat="1" applyFont="1" applyFill="1" applyBorder="1"/>
    <xf numFmtId="3" fontId="3" fillId="32" borderId="10" xfId="0" applyNumberFormat="1" applyFont="1" applyFill="1" applyBorder="1" applyAlignment="1">
      <alignment horizontal="left"/>
    </xf>
    <xf numFmtId="10" fontId="3" fillId="32" borderId="10" xfId="412" applyNumberFormat="1" applyFont="1" applyFill="1" applyBorder="1"/>
    <xf numFmtId="0" fontId="10" fillId="32" borderId="0" xfId="0" applyFont="1" applyFill="1"/>
    <xf numFmtId="183" fontId="3" fillId="32" borderId="0" xfId="0" applyNumberFormat="1" applyFont="1" applyFill="1" applyBorder="1"/>
    <xf numFmtId="0" fontId="0" fillId="32" borderId="10" xfId="0" applyFill="1" applyBorder="1" applyAlignment="1">
      <alignment horizontal="center"/>
    </xf>
    <xf numFmtId="0" fontId="10" fillId="32" borderId="0" xfId="0" applyFont="1" applyFill="1" applyBorder="1" applyAlignment="1">
      <alignment horizontal="left"/>
    </xf>
    <xf numFmtId="183" fontId="3" fillId="32" borderId="10" xfId="311" applyNumberFormat="1" applyFont="1" applyFill="1" applyBorder="1" applyAlignment="1">
      <alignment horizontal="right"/>
    </xf>
    <xf numFmtId="0" fontId="3" fillId="32" borderId="10" xfId="0" applyFont="1" applyFill="1" applyBorder="1"/>
    <xf numFmtId="0" fontId="3" fillId="32" borderId="19" xfId="0" applyFont="1" applyFill="1" applyBorder="1" applyAlignment="1">
      <alignment horizontal="center"/>
    </xf>
    <xf numFmtId="183" fontId="3" fillId="32" borderId="0" xfId="311" applyNumberFormat="1" applyFont="1" applyFill="1" applyBorder="1"/>
    <xf numFmtId="183" fontId="10" fillId="32" borderId="10" xfId="311" applyNumberFormat="1" applyFont="1" applyFill="1" applyBorder="1" applyAlignment="1">
      <alignment horizontal="right"/>
    </xf>
    <xf numFmtId="3" fontId="3" fillId="32" borderId="10" xfId="0" applyNumberFormat="1" applyFont="1" applyFill="1" applyBorder="1" applyAlignment="1">
      <alignment horizontal="right"/>
    </xf>
    <xf numFmtId="0" fontId="10" fillId="32" borderId="10" xfId="0" applyFont="1" applyFill="1" applyBorder="1"/>
    <xf numFmtId="3" fontId="10" fillId="32" borderId="0" xfId="0" applyNumberFormat="1" applyFont="1" applyFill="1" applyBorder="1"/>
    <xf numFmtId="181" fontId="10" fillId="32" borderId="0" xfId="311" applyFont="1" applyFill="1" applyBorder="1"/>
    <xf numFmtId="0" fontId="3" fillId="32" borderId="0" xfId="0" applyFont="1" applyFill="1" applyBorder="1"/>
    <xf numFmtId="0" fontId="3" fillId="32" borderId="0" xfId="0" applyFont="1" applyFill="1" applyBorder="1" applyAlignment="1">
      <alignment horizontal="center"/>
    </xf>
    <xf numFmtId="183" fontId="3" fillId="32" borderId="0" xfId="0" applyNumberFormat="1" applyFont="1" applyFill="1" applyBorder="1" applyAlignment="1">
      <alignment horizontal="right"/>
    </xf>
    <xf numFmtId="192" fontId="0" fillId="32" borderId="0" xfId="0" applyNumberFormat="1" applyFill="1"/>
    <xf numFmtId="183" fontId="0" fillId="32" borderId="0" xfId="0" applyNumberFormat="1" applyFill="1"/>
    <xf numFmtId="171" fontId="0" fillId="32" borderId="0" xfId="0" applyNumberFormat="1" applyFill="1"/>
    <xf numFmtId="0" fontId="10" fillId="32" borderId="0" xfId="0" applyFont="1" applyFill="1" applyBorder="1" applyAlignment="1">
      <alignment horizontal="center"/>
    </xf>
    <xf numFmtId="0" fontId="3" fillId="32" borderId="0" xfId="0" applyFont="1" applyFill="1" applyBorder="1" applyAlignment="1">
      <alignment horizontal="center" wrapText="1"/>
    </xf>
    <xf numFmtId="37" fontId="4" fillId="32" borderId="11" xfId="0" applyNumberFormat="1" applyFont="1" applyFill="1" applyBorder="1" applyAlignment="1">
      <alignment horizontal="left"/>
    </xf>
    <xf numFmtId="37" fontId="20" fillId="32" borderId="11" xfId="0" applyNumberFormat="1" applyFont="1" applyFill="1" applyBorder="1" applyAlignment="1">
      <alignment horizontal="left"/>
    </xf>
    <xf numFmtId="37" fontId="19" fillId="32" borderId="11" xfId="0" applyNumberFormat="1" applyFont="1" applyFill="1" applyBorder="1" applyAlignment="1">
      <alignment horizontal="left"/>
    </xf>
    <xf numFmtId="37" fontId="4" fillId="32" borderId="11" xfId="0" applyNumberFormat="1" applyFont="1" applyFill="1" applyBorder="1" applyAlignment="1"/>
    <xf numFmtId="37" fontId="21" fillId="32" borderId="11" xfId="0" applyNumberFormat="1" applyFont="1" applyFill="1" applyBorder="1" applyAlignment="1"/>
    <xf numFmtId="0" fontId="20" fillId="32" borderId="11" xfId="0" applyFont="1" applyFill="1" applyBorder="1" applyAlignment="1"/>
    <xf numFmtId="3" fontId="20" fillId="32" borderId="11" xfId="0" applyNumberFormat="1" applyFont="1" applyFill="1" applyBorder="1" applyAlignment="1"/>
    <xf numFmtId="0" fontId="4" fillId="32" borderId="11" xfId="0" applyFont="1" applyFill="1" applyBorder="1" applyAlignment="1"/>
    <xf numFmtId="0" fontId="10" fillId="0" borderId="10" xfId="0" applyFont="1" applyFill="1" applyBorder="1" applyAlignment="1" applyProtection="1">
      <alignment horizontal="center"/>
      <protection locked="0"/>
    </xf>
    <xf numFmtId="0" fontId="10" fillId="0" borderId="0" xfId="347"/>
    <xf numFmtId="3" fontId="10" fillId="0" borderId="0" xfId="347" applyNumberFormat="1"/>
    <xf numFmtId="0" fontId="10" fillId="0" borderId="0" xfId="347" applyFont="1"/>
    <xf numFmtId="0" fontId="5" fillId="0" borderId="14" xfId="347" applyFont="1" applyBorder="1" applyAlignment="1">
      <alignment horizontal="center"/>
    </xf>
    <xf numFmtId="0" fontId="5" fillId="0" borderId="15" xfId="347" applyFont="1" applyBorder="1" applyAlignment="1">
      <alignment horizontal="center"/>
    </xf>
    <xf numFmtId="0" fontId="5" fillId="0" borderId="35" xfId="347" applyFont="1" applyBorder="1"/>
    <xf numFmtId="0" fontId="6" fillId="0" borderId="23" xfId="347" applyFont="1" applyBorder="1" applyAlignment="1">
      <alignment horizontal="center" vertical="center" wrapText="1"/>
    </xf>
    <xf numFmtId="0" fontId="6" fillId="0" borderId="36" xfId="347" applyFont="1" applyBorder="1" applyAlignment="1">
      <alignment horizontal="center" wrapText="1"/>
    </xf>
    <xf numFmtId="4" fontId="5" fillId="0" borderId="14" xfId="347" applyNumberFormat="1" applyFont="1" applyBorder="1" applyAlignment="1">
      <alignment horizontal="center"/>
    </xf>
    <xf numFmtId="3" fontId="5" fillId="0" borderId="14" xfId="347" applyNumberFormat="1" applyFont="1" applyBorder="1" applyAlignment="1">
      <alignment horizontal="center"/>
    </xf>
    <xf numFmtId="4" fontId="41" fillId="0" borderId="14" xfId="347" applyNumberFormat="1" applyFont="1" applyBorder="1" applyAlignment="1">
      <alignment horizontal="center"/>
    </xf>
    <xf numFmtId="3" fontId="41" fillId="0" borderId="14" xfId="347" applyNumberFormat="1" applyFont="1" applyBorder="1" applyAlignment="1">
      <alignment horizontal="center"/>
    </xf>
    <xf numFmtId="0" fontId="41" fillId="0" borderId="14" xfId="347" applyFont="1" applyBorder="1" applyAlignment="1">
      <alignment horizontal="center"/>
    </xf>
    <xf numFmtId="3" fontId="41" fillId="0" borderId="37" xfId="347" applyNumberFormat="1" applyFont="1" applyBorder="1" applyAlignment="1"/>
    <xf numFmtId="43" fontId="4" fillId="0" borderId="0" xfId="0" applyNumberFormat="1" applyFont="1" applyFill="1"/>
    <xf numFmtId="185" fontId="28" fillId="0" borderId="0" xfId="0" applyNumberFormat="1" applyFont="1"/>
    <xf numFmtId="0" fontId="10" fillId="0" borderId="0" xfId="347" applyAlignment="1">
      <alignment horizontal="justify" vertical="top" wrapText="1"/>
    </xf>
    <xf numFmtId="0" fontId="10" fillId="0" borderId="0" xfId="347" applyFill="1"/>
    <xf numFmtId="187" fontId="3" fillId="26" borderId="10" xfId="347" applyNumberFormat="1" applyFont="1" applyFill="1" applyBorder="1"/>
    <xf numFmtId="0" fontId="3" fillId="26" borderId="10" xfId="347" applyFont="1" applyFill="1" applyBorder="1"/>
    <xf numFmtId="187" fontId="10" fillId="0" borderId="10" xfId="347" applyNumberFormat="1" applyFill="1" applyBorder="1"/>
    <xf numFmtId="0" fontId="10" fillId="0" borderId="10" xfId="347" applyBorder="1"/>
    <xf numFmtId="187" fontId="3" fillId="0" borderId="10" xfId="347" applyNumberFormat="1" applyFont="1" applyBorder="1"/>
    <xf numFmtId="0" fontId="3" fillId="0" borderId="10" xfId="347" applyFont="1" applyBorder="1"/>
    <xf numFmtId="187" fontId="10" fillId="0" borderId="10" xfId="347" applyNumberFormat="1" applyBorder="1"/>
    <xf numFmtId="0" fontId="10" fillId="0" borderId="10" xfId="347" applyFont="1" applyBorder="1"/>
    <xf numFmtId="3" fontId="10" fillId="0" borderId="10" xfId="347" applyNumberFormat="1" applyBorder="1"/>
    <xf numFmtId="0" fontId="3" fillId="0" borderId="10" xfId="347" applyFont="1" applyBorder="1" applyAlignment="1">
      <alignment horizontal="center"/>
    </xf>
    <xf numFmtId="0" fontId="3" fillId="0" borderId="10" xfId="347" applyFont="1" applyFill="1" applyBorder="1" applyAlignment="1">
      <alignment horizontal="center"/>
    </xf>
    <xf numFmtId="183" fontId="10" fillId="0" borderId="0" xfId="347" applyNumberFormat="1" applyFill="1"/>
    <xf numFmtId="0" fontId="3" fillId="25" borderId="0" xfId="347" applyFont="1" applyFill="1" applyBorder="1" applyAlignment="1"/>
    <xf numFmtId="183" fontId="10" fillId="0" borderId="0" xfId="347" applyNumberFormat="1"/>
    <xf numFmtId="190" fontId="10" fillId="0" borderId="0" xfId="347" applyNumberFormat="1"/>
    <xf numFmtId="0" fontId="10" fillId="0" borderId="0" xfId="347" applyBorder="1"/>
    <xf numFmtId="183" fontId="10" fillId="34" borderId="10" xfId="347" applyNumberFormat="1" applyFill="1" applyBorder="1"/>
    <xf numFmtId="0" fontId="10" fillId="35" borderId="10" xfId="347" applyFill="1" applyBorder="1" applyAlignment="1"/>
    <xf numFmtId="183" fontId="10" fillId="35" borderId="10" xfId="347" applyNumberFormat="1" applyFill="1" applyBorder="1" applyAlignment="1"/>
    <xf numFmtId="183" fontId="10" fillId="35" borderId="10" xfId="347" applyNumberFormat="1" applyFill="1" applyBorder="1"/>
    <xf numFmtId="190" fontId="10" fillId="36" borderId="10" xfId="347" applyNumberFormat="1" applyFill="1" applyBorder="1"/>
    <xf numFmtId="0" fontId="10" fillId="35" borderId="10" xfId="347" applyFill="1" applyBorder="1"/>
    <xf numFmtId="190" fontId="10" fillId="35" borderId="10" xfId="347" applyNumberFormat="1" applyFill="1" applyBorder="1"/>
    <xf numFmtId="0" fontId="10" fillId="35" borderId="10" xfId="347" applyFont="1" applyFill="1" applyBorder="1"/>
    <xf numFmtId="190" fontId="10" fillId="34" borderId="0" xfId="347" applyNumberFormat="1" applyFill="1" applyBorder="1"/>
    <xf numFmtId="183" fontId="3" fillId="25" borderId="10" xfId="347" applyNumberFormat="1" applyFont="1" applyFill="1" applyBorder="1" applyAlignment="1">
      <alignment horizontal="right"/>
    </xf>
    <xf numFmtId="183" fontId="3" fillId="25" borderId="10" xfId="293" applyNumberFormat="1" applyFont="1" applyFill="1" applyBorder="1" applyAlignment="1">
      <alignment horizontal="right"/>
    </xf>
    <xf numFmtId="190" fontId="10" fillId="36" borderId="10" xfId="347" applyNumberFormat="1" applyFill="1" applyBorder="1" applyAlignment="1">
      <alignment horizontal="right"/>
    </xf>
    <xf numFmtId="190" fontId="10" fillId="25" borderId="10" xfId="347" applyNumberFormat="1" applyFill="1" applyBorder="1" applyAlignment="1">
      <alignment horizontal="right"/>
    </xf>
    <xf numFmtId="0" fontId="10" fillId="25" borderId="10" xfId="347" applyFont="1" applyFill="1" applyBorder="1"/>
    <xf numFmtId="183" fontId="3" fillId="34" borderId="10" xfId="293" applyNumberFormat="1" applyFont="1" applyFill="1" applyBorder="1" applyAlignment="1">
      <alignment horizontal="right"/>
    </xf>
    <xf numFmtId="190" fontId="10" fillId="37" borderId="10" xfId="347" applyNumberFormat="1" applyFill="1" applyBorder="1" applyAlignment="1">
      <alignment horizontal="right"/>
    </xf>
    <xf numFmtId="195" fontId="10" fillId="34" borderId="0" xfId="347" applyNumberFormat="1" applyFill="1" applyBorder="1"/>
    <xf numFmtId="0" fontId="3" fillId="34" borderId="38" xfId="347" applyFont="1" applyFill="1" applyBorder="1" applyAlignment="1">
      <alignment horizontal="center" vertical="top" wrapText="1"/>
    </xf>
    <xf numFmtId="0" fontId="3" fillId="25" borderId="10" xfId="347" applyFont="1" applyFill="1" applyBorder="1" applyAlignment="1">
      <alignment horizontal="center" vertical="center" wrapText="1"/>
    </xf>
    <xf numFmtId="0" fontId="3" fillId="36" borderId="10" xfId="347" applyFont="1" applyFill="1" applyBorder="1" applyAlignment="1">
      <alignment horizontal="center" vertical="center" wrapText="1"/>
    </xf>
    <xf numFmtId="0" fontId="3" fillId="25" borderId="10" xfId="347" applyFont="1" applyFill="1" applyBorder="1" applyAlignment="1">
      <alignment horizontal="center" vertical="center"/>
    </xf>
    <xf numFmtId="0" fontId="3" fillId="0" borderId="0" xfId="347" applyFont="1" applyFill="1" applyAlignment="1">
      <alignment horizontal="center"/>
    </xf>
    <xf numFmtId="0" fontId="3" fillId="0" borderId="0" xfId="347" applyFont="1" applyFill="1" applyBorder="1" applyAlignment="1">
      <alignment horizontal="center"/>
    </xf>
    <xf numFmtId="0" fontId="3" fillId="29" borderId="0" xfId="347" applyFont="1" applyFill="1" applyAlignment="1">
      <alignment horizontal="left"/>
    </xf>
    <xf numFmtId="190" fontId="10" fillId="0" borderId="0" xfId="347" applyNumberFormat="1" applyBorder="1"/>
    <xf numFmtId="183" fontId="3" fillId="0" borderId="0" xfId="347" applyNumberFormat="1" applyFont="1" applyBorder="1" applyAlignment="1">
      <alignment horizontal="justify" vertical="top" wrapText="1"/>
    </xf>
    <xf numFmtId="183" fontId="3" fillId="25" borderId="0" xfId="293" applyNumberFormat="1" applyFont="1" applyFill="1" applyBorder="1" applyAlignment="1">
      <alignment horizontal="center" vertical="center"/>
    </xf>
    <xf numFmtId="0" fontId="10" fillId="0" borderId="0" xfId="347" applyBorder="1" applyAlignment="1">
      <alignment horizontal="center" vertical="center"/>
    </xf>
    <xf numFmtId="0" fontId="10" fillId="25" borderId="0" xfId="347" applyFill="1"/>
    <xf numFmtId="0" fontId="3" fillId="25" borderId="0" xfId="347" applyFont="1" applyFill="1" applyAlignment="1">
      <alignment horizontal="center"/>
    </xf>
    <xf numFmtId="183" fontId="3" fillId="0" borderId="0" xfId="347" applyNumberFormat="1" applyFont="1" applyFill="1" applyBorder="1" applyAlignment="1">
      <alignment horizontal="justify" vertical="top" wrapText="1"/>
    </xf>
    <xf numFmtId="183" fontId="3" fillId="0" borderId="0" xfId="293" applyNumberFormat="1" applyFont="1" applyFill="1" applyBorder="1" applyAlignment="1">
      <alignment horizontal="center" vertical="center"/>
    </xf>
    <xf numFmtId="0" fontId="10" fillId="0" borderId="0" xfId="347" applyFill="1" applyBorder="1" applyAlignment="1">
      <alignment horizontal="center" vertical="center"/>
    </xf>
    <xf numFmtId="0" fontId="10" fillId="0" borderId="0" xfId="347" applyFill="1" applyBorder="1"/>
    <xf numFmtId="183" fontId="3" fillId="28" borderId="10" xfId="293" applyNumberFormat="1" applyFont="1" applyFill="1" applyBorder="1" applyAlignment="1">
      <alignment horizontal="center" vertical="center"/>
    </xf>
    <xf numFmtId="0" fontId="10" fillId="28" borderId="10" xfId="347" applyFill="1" applyBorder="1" applyAlignment="1">
      <alignment horizontal="center" vertical="center"/>
    </xf>
    <xf numFmtId="0" fontId="10" fillId="28" borderId="10" xfId="347" applyFill="1" applyBorder="1"/>
    <xf numFmtId="0" fontId="3" fillId="28" borderId="10" xfId="347" applyFont="1" applyFill="1" applyBorder="1" applyAlignment="1">
      <alignment horizontal="center"/>
    </xf>
    <xf numFmtId="190" fontId="10" fillId="24" borderId="10" xfId="347" applyNumberFormat="1" applyFill="1" applyBorder="1" applyAlignment="1"/>
    <xf numFmtId="3" fontId="10" fillId="24" borderId="10" xfId="347" applyNumberFormat="1" applyFill="1" applyBorder="1" applyAlignment="1"/>
    <xf numFmtId="0" fontId="3" fillId="24" borderId="10" xfId="347" applyFont="1" applyFill="1" applyBorder="1" applyAlignment="1"/>
    <xf numFmtId="183" fontId="10" fillId="25" borderId="10" xfId="293" applyNumberFormat="1" applyFill="1" applyBorder="1" applyAlignment="1"/>
    <xf numFmtId="183" fontId="10" fillId="32" borderId="10" xfId="293" applyNumberFormat="1" applyFill="1" applyBorder="1" applyAlignment="1"/>
    <xf numFmtId="190" fontId="10" fillId="32" borderId="10" xfId="347" applyNumberFormat="1" applyFill="1" applyBorder="1" applyAlignment="1"/>
    <xf numFmtId="0" fontId="10" fillId="32" borderId="10" xfId="347" applyFill="1" applyBorder="1" applyAlignment="1"/>
    <xf numFmtId="0" fontId="3" fillId="25" borderId="10" xfId="347" applyFont="1" applyFill="1" applyBorder="1" applyAlignment="1">
      <alignment horizontal="left" vertical="center"/>
    </xf>
    <xf numFmtId="0" fontId="3" fillId="25" borderId="10" xfId="347" applyFont="1" applyFill="1" applyBorder="1"/>
    <xf numFmtId="0" fontId="3" fillId="29" borderId="0" xfId="347" applyFont="1" applyFill="1" applyAlignment="1">
      <alignment horizontal="center"/>
    </xf>
    <xf numFmtId="190" fontId="10" fillId="25" borderId="0" xfId="347" applyNumberFormat="1" applyFill="1" applyBorder="1" applyAlignment="1">
      <alignment horizontal="center"/>
    </xf>
    <xf numFmtId="183" fontId="10" fillId="25" borderId="0" xfId="293" applyNumberFormat="1" applyFill="1" applyBorder="1"/>
    <xf numFmtId="0" fontId="3" fillId="25" borderId="0" xfId="347" applyFont="1" applyFill="1" applyBorder="1" applyAlignment="1">
      <alignment horizontal="center" vertical="center" wrapText="1"/>
    </xf>
    <xf numFmtId="190" fontId="10" fillId="0" borderId="0" xfId="347" applyNumberFormat="1" applyBorder="1" applyAlignment="1">
      <alignment horizontal="center" vertical="center"/>
    </xf>
    <xf numFmtId="0" fontId="10" fillId="0" borderId="0" xfId="347" applyAlignment="1">
      <alignment horizontal="center"/>
    </xf>
    <xf numFmtId="3" fontId="10" fillId="37" borderId="10" xfId="347" applyNumberFormat="1" applyFill="1" applyBorder="1"/>
    <xf numFmtId="0" fontId="10" fillId="37" borderId="10" xfId="347" applyFill="1" applyBorder="1"/>
    <xf numFmtId="0" fontId="10" fillId="37" borderId="10" xfId="347" applyFont="1" applyFill="1" applyBorder="1"/>
    <xf numFmtId="3" fontId="3" fillId="0" borderId="10" xfId="347" applyNumberFormat="1" applyFont="1" applyBorder="1"/>
    <xf numFmtId="9" fontId="10" fillId="0" borderId="10" xfId="347" applyNumberFormat="1" applyBorder="1"/>
    <xf numFmtId="0" fontId="10" fillId="0" borderId="10" xfId="347" applyFont="1" applyBorder="1" applyAlignment="1">
      <alignment horizontal="left" indent="1"/>
    </xf>
    <xf numFmtId="9" fontId="3" fillId="0" borderId="10" xfId="347" applyNumberFormat="1" applyFont="1" applyBorder="1"/>
    <xf numFmtId="0" fontId="71" fillId="0" borderId="10" xfId="347" applyFont="1" applyBorder="1" applyAlignment="1">
      <alignment horizontal="left" indent="2"/>
    </xf>
    <xf numFmtId="190" fontId="10" fillId="0" borderId="10" xfId="347" applyNumberFormat="1" applyBorder="1"/>
    <xf numFmtId="9" fontId="10" fillId="0" borderId="10" xfId="347" applyNumberFormat="1" applyFont="1" applyBorder="1"/>
    <xf numFmtId="0" fontId="10" fillId="0" borderId="0" xfId="347" applyFill="1" applyAlignment="1">
      <alignment horizontal="justify" vertical="top" wrapText="1"/>
    </xf>
    <xf numFmtId="10" fontId="10" fillId="0" borderId="10" xfId="347" applyNumberFormat="1" applyBorder="1"/>
    <xf numFmtId="0" fontId="10" fillId="0" borderId="0" xfId="347" applyFill="1" applyBorder="1" applyAlignment="1">
      <alignment horizontal="justify" vertical="top" wrapText="1"/>
    </xf>
    <xf numFmtId="195" fontId="10" fillId="0" borderId="0" xfId="347" applyNumberFormat="1" applyFill="1" applyBorder="1"/>
    <xf numFmtId="190" fontId="3" fillId="0" borderId="0" xfId="347" applyNumberFormat="1" applyFont="1" applyFill="1" applyBorder="1"/>
    <xf numFmtId="190" fontId="10" fillId="0" borderId="39" xfId="347" applyNumberFormat="1" applyFill="1" applyBorder="1"/>
    <xf numFmtId="2" fontId="10" fillId="0" borderId="39" xfId="347" applyNumberFormat="1" applyBorder="1"/>
    <xf numFmtId="2" fontId="10" fillId="0" borderId="10" xfId="347" applyNumberFormat="1" applyBorder="1"/>
    <xf numFmtId="9" fontId="10" fillId="0" borderId="39" xfId="347" applyNumberFormat="1" applyBorder="1"/>
    <xf numFmtId="0" fontId="10" fillId="0" borderId="0" xfId="347" applyBorder="1" applyAlignment="1">
      <alignment horizontal="justify" vertical="top" wrapText="1"/>
    </xf>
    <xf numFmtId="195" fontId="10" fillId="0" borderId="10" xfId="347" applyNumberFormat="1" applyFill="1" applyBorder="1"/>
    <xf numFmtId="190" fontId="10" fillId="0" borderId="39" xfId="347" applyNumberFormat="1" applyBorder="1"/>
    <xf numFmtId="195" fontId="10" fillId="0" borderId="10" xfId="347" applyNumberFormat="1" applyBorder="1"/>
    <xf numFmtId="190" fontId="10" fillId="25" borderId="0" xfId="347" applyNumberFormat="1" applyFill="1" applyBorder="1"/>
    <xf numFmtId="0" fontId="10" fillId="0" borderId="0" xfId="347" applyFont="1" applyBorder="1"/>
    <xf numFmtId="184" fontId="10" fillId="0" borderId="39" xfId="347" applyNumberFormat="1" applyBorder="1"/>
    <xf numFmtId="0" fontId="10" fillId="0" borderId="10" xfId="347" applyFont="1" applyBorder="1" applyAlignment="1">
      <alignment horizontal="left"/>
    </xf>
    <xf numFmtId="37" fontId="21" fillId="32" borderId="11" xfId="0" applyNumberFormat="1" applyFont="1" applyFill="1" applyBorder="1" applyAlignment="1">
      <alignment horizontal="left"/>
    </xf>
    <xf numFmtId="3" fontId="20" fillId="0" borderId="26" xfId="0" applyNumberFormat="1" applyFont="1" applyFill="1" applyBorder="1" applyAlignment="1">
      <alignment horizontal="centerContinuous"/>
    </xf>
    <xf numFmtId="0" fontId="21" fillId="0" borderId="11" xfId="0" applyFont="1" applyFill="1" applyBorder="1" applyAlignment="1"/>
    <xf numFmtId="187" fontId="0" fillId="25" borderId="0" xfId="0" applyNumberFormat="1" applyFill="1"/>
    <xf numFmtId="0" fontId="19" fillId="32" borderId="11" xfId="0" applyFont="1" applyFill="1" applyBorder="1" applyAlignment="1"/>
    <xf numFmtId="0" fontId="20" fillId="38" borderId="14" xfId="0" applyFont="1" applyFill="1" applyBorder="1" applyAlignment="1">
      <alignment horizontal="center"/>
    </xf>
    <xf numFmtId="0" fontId="21" fillId="0" borderId="11" xfId="0" applyFont="1" applyFill="1" applyBorder="1"/>
    <xf numFmtId="3" fontId="20" fillId="32" borderId="11" xfId="0" applyNumberFormat="1" applyFont="1" applyFill="1" applyBorder="1"/>
    <xf numFmtId="0" fontId="5" fillId="39" borderId="14" xfId="347" applyFont="1" applyFill="1" applyBorder="1" applyAlignment="1">
      <alignment horizontal="left"/>
    </xf>
    <xf numFmtId="0" fontId="10" fillId="0" borderId="10" xfId="0" applyFont="1" applyFill="1" applyBorder="1" applyAlignment="1">
      <alignment horizontal="center"/>
    </xf>
    <xf numFmtId="183" fontId="10" fillId="0" borderId="10" xfId="311" applyNumberFormat="1" applyFont="1" applyFill="1" applyBorder="1"/>
    <xf numFmtId="185" fontId="21" fillId="32" borderId="40" xfId="318" applyNumberFormat="1" applyFont="1" applyFill="1" applyBorder="1" applyAlignment="1">
      <alignment horizontal="center"/>
    </xf>
    <xf numFmtId="185" fontId="21" fillId="32" borderId="36" xfId="318" applyNumberFormat="1" applyFont="1" applyFill="1" applyBorder="1" applyAlignment="1">
      <alignment horizontal="center"/>
    </xf>
    <xf numFmtId="185" fontId="21" fillId="32" borderId="34" xfId="318" applyNumberFormat="1" applyFont="1" applyFill="1" applyBorder="1" applyAlignment="1">
      <alignment horizontal="center"/>
    </xf>
    <xf numFmtId="185" fontId="21" fillId="25" borderId="40" xfId="318" applyNumberFormat="1" applyFont="1" applyFill="1" applyBorder="1" applyAlignment="1">
      <alignment horizontal="center" wrapText="1"/>
    </xf>
    <xf numFmtId="183" fontId="22" fillId="0" borderId="41" xfId="317" applyNumberFormat="1" applyFont="1" applyFill="1" applyBorder="1" applyAlignment="1">
      <alignment wrapText="1"/>
    </xf>
    <xf numFmtId="183" fontId="22" fillId="25" borderId="41" xfId="317" applyNumberFormat="1" applyFont="1" applyFill="1" applyBorder="1" applyAlignment="1">
      <alignment wrapText="1"/>
    </xf>
    <xf numFmtId="0" fontId="21" fillId="0" borderId="15" xfId="0" applyFont="1" applyFill="1" applyBorder="1" applyAlignment="1">
      <alignment wrapText="1"/>
    </xf>
    <xf numFmtId="183" fontId="21" fillId="25" borderId="14" xfId="0" applyNumberFormat="1" applyFont="1" applyFill="1" applyBorder="1" applyAlignment="1">
      <alignment wrapText="1"/>
    </xf>
    <xf numFmtId="0" fontId="104" fillId="0" borderId="26" xfId="0" applyFont="1" applyFill="1" applyBorder="1" applyAlignment="1">
      <alignment horizontal="centerContinuous"/>
    </xf>
    <xf numFmtId="0" fontId="0" fillId="0" borderId="0" xfId="0" applyAlignment="1">
      <alignment vertical="center"/>
    </xf>
    <xf numFmtId="37" fontId="21" fillId="0" borderId="11" xfId="0" applyNumberFormat="1" applyFont="1" applyFill="1" applyBorder="1" applyAlignment="1"/>
    <xf numFmtId="37" fontId="4" fillId="0" borderId="11" xfId="0" applyNumberFormat="1" applyFont="1" applyFill="1" applyBorder="1" applyAlignment="1">
      <alignment horizontal="left"/>
    </xf>
    <xf numFmtId="0" fontId="105" fillId="0" borderId="0" xfId="0" applyFont="1" applyAlignment="1">
      <alignment horizontal="center"/>
    </xf>
    <xf numFmtId="0" fontId="106" fillId="0" borderId="0" xfId="0" applyFont="1"/>
    <xf numFmtId="0" fontId="5" fillId="0" borderId="14" xfId="347" applyFont="1" applyBorder="1"/>
    <xf numFmtId="0" fontId="6" fillId="0" borderId="42" xfId="347" applyFont="1" applyBorder="1"/>
    <xf numFmtId="0" fontId="5" fillId="40" borderId="42" xfId="347" applyFont="1" applyFill="1" applyBorder="1"/>
    <xf numFmtId="41" fontId="6" fillId="0" borderId="23" xfId="347" applyNumberFormat="1" applyFont="1" applyBorder="1" applyAlignment="1"/>
    <xf numFmtId="41" fontId="5" fillId="0" borderId="23" xfId="347" applyNumberFormat="1" applyFont="1" applyBorder="1" applyAlignment="1">
      <alignment horizontal="right"/>
    </xf>
    <xf numFmtId="41" fontId="6" fillId="0" borderId="0" xfId="347" applyNumberFormat="1" applyFont="1" applyBorder="1" applyAlignment="1"/>
    <xf numFmtId="41" fontId="6" fillId="0" borderId="23" xfId="347" applyNumberFormat="1" applyFont="1" applyBorder="1"/>
    <xf numFmtId="41" fontId="6" fillId="0" borderId="43" xfId="347" applyNumberFormat="1" applyFont="1" applyBorder="1" applyAlignment="1">
      <alignment horizontal="right"/>
    </xf>
    <xf numFmtId="41" fontId="5" fillId="39" borderId="14" xfId="347" applyNumberFormat="1" applyFont="1" applyFill="1" applyBorder="1" applyAlignment="1">
      <alignment horizontal="right"/>
    </xf>
    <xf numFmtId="41" fontId="5" fillId="40" borderId="23" xfId="347" applyNumberFormat="1" applyFont="1" applyFill="1" applyBorder="1"/>
    <xf numFmtId="41" fontId="5" fillId="40" borderId="10" xfId="347" applyNumberFormat="1" applyFont="1" applyFill="1" applyBorder="1"/>
    <xf numFmtId="41" fontId="6" fillId="41" borderId="10" xfId="347" applyNumberFormat="1" applyFont="1" applyFill="1" applyBorder="1"/>
    <xf numFmtId="41" fontId="5" fillId="0" borderId="23" xfId="347" applyNumberFormat="1" applyFont="1" applyFill="1" applyBorder="1" applyAlignment="1">
      <alignment horizontal="right"/>
    </xf>
    <xf numFmtId="41" fontId="5" fillId="0" borderId="0" xfId="347" applyNumberFormat="1" applyFont="1" applyFill="1" applyBorder="1" applyAlignment="1">
      <alignment horizontal="right"/>
    </xf>
    <xf numFmtId="41" fontId="6" fillId="0" borderId="0" xfId="347" applyNumberFormat="1" applyFont="1" applyFill="1" applyBorder="1" applyAlignment="1">
      <alignment horizontal="right"/>
    </xf>
    <xf numFmtId="0" fontId="10" fillId="0" borderId="0" xfId="347" applyFont="1" applyFill="1"/>
    <xf numFmtId="0" fontId="3" fillId="0" borderId="0" xfId="347" applyFont="1"/>
    <xf numFmtId="0" fontId="5" fillId="41" borderId="44" xfId="347" applyFont="1" applyFill="1" applyBorder="1"/>
    <xf numFmtId="0" fontId="41" fillId="0" borderId="45" xfId="347" applyFont="1" applyBorder="1"/>
    <xf numFmtId="3" fontId="42" fillId="0" borderId="0" xfId="347" applyNumberFormat="1" applyFont="1" applyBorder="1"/>
    <xf numFmtId="3" fontId="42" fillId="0" borderId="46" xfId="347" applyNumberFormat="1" applyFont="1" applyBorder="1"/>
    <xf numFmtId="0" fontId="6" fillId="0" borderId="45" xfId="347" applyFont="1" applyBorder="1"/>
    <xf numFmtId="41" fontId="5" fillId="0" borderId="46" xfId="347" applyNumberFormat="1" applyFont="1" applyBorder="1" applyAlignment="1">
      <alignment horizontal="center"/>
    </xf>
    <xf numFmtId="0" fontId="10" fillId="0" borderId="45" xfId="347" applyFont="1" applyBorder="1"/>
    <xf numFmtId="0" fontId="10" fillId="0" borderId="46" xfId="347" applyFont="1" applyBorder="1"/>
    <xf numFmtId="41" fontId="10" fillId="0" borderId="0" xfId="347" applyNumberFormat="1" applyFont="1" applyBorder="1"/>
    <xf numFmtId="41" fontId="10" fillId="0" borderId="46" xfId="347" applyNumberFormat="1" applyFont="1" applyBorder="1"/>
    <xf numFmtId="0" fontId="5" fillId="0" borderId="45" xfId="347" applyFont="1" applyFill="1" applyBorder="1" applyAlignment="1">
      <alignment horizontal="left"/>
    </xf>
    <xf numFmtId="41" fontId="5" fillId="0" borderId="46" xfId="347" applyNumberFormat="1" applyFont="1" applyFill="1" applyBorder="1" applyAlignment="1">
      <alignment horizontal="center"/>
    </xf>
    <xf numFmtId="41" fontId="5" fillId="0" borderId="46" xfId="347" applyNumberFormat="1" applyFont="1" applyFill="1" applyBorder="1" applyAlignment="1">
      <alignment horizontal="right"/>
    </xf>
    <xf numFmtId="0" fontId="6" fillId="0" borderId="45" xfId="347" applyFont="1" applyFill="1" applyBorder="1" applyAlignment="1">
      <alignment horizontal="left"/>
    </xf>
    <xf numFmtId="41" fontId="6" fillId="0" borderId="46" xfId="347" applyNumberFormat="1" applyFont="1" applyFill="1" applyBorder="1" applyAlignment="1">
      <alignment horizontal="center"/>
    </xf>
    <xf numFmtId="3" fontId="6" fillId="0" borderId="0" xfId="347" applyNumberFormat="1" applyFont="1" applyBorder="1"/>
    <xf numFmtId="3" fontId="6" fillId="0" borderId="46" xfId="347" applyNumberFormat="1" applyFont="1" applyBorder="1"/>
    <xf numFmtId="0" fontId="6" fillId="0" borderId="47" xfId="347" applyFont="1" applyFill="1" applyBorder="1"/>
    <xf numFmtId="0" fontId="107" fillId="0" borderId="0" xfId="347" applyFont="1" applyBorder="1"/>
    <xf numFmtId="0" fontId="10" fillId="0" borderId="45" xfId="347" applyBorder="1"/>
    <xf numFmtId="0" fontId="10" fillId="0" borderId="46" xfId="347" applyBorder="1"/>
    <xf numFmtId="0" fontId="5" fillId="0" borderId="45" xfId="347" applyFont="1" applyFill="1" applyBorder="1"/>
    <xf numFmtId="41" fontId="3" fillId="0" borderId="0" xfId="347" applyNumberFormat="1" applyFont="1" applyBorder="1"/>
    <xf numFmtId="41" fontId="3" fillId="0" borderId="46" xfId="347" applyNumberFormat="1" applyFont="1" applyBorder="1"/>
    <xf numFmtId="41" fontId="10" fillId="0" borderId="0" xfId="347" applyNumberFormat="1" applyBorder="1"/>
    <xf numFmtId="0" fontId="5" fillId="40" borderId="44" xfId="347" applyFont="1" applyFill="1" applyBorder="1"/>
    <xf numFmtId="0" fontId="26" fillId="32" borderId="0" xfId="0" applyFont="1" applyFill="1" applyAlignment="1">
      <alignment horizontal="center"/>
    </xf>
    <xf numFmtId="197" fontId="10" fillId="0" borderId="0" xfId="347" applyNumberFormat="1" applyBorder="1"/>
    <xf numFmtId="183" fontId="3" fillId="29" borderId="0" xfId="347" applyNumberFormat="1" applyFont="1" applyFill="1" applyBorder="1" applyAlignment="1">
      <alignment horizontal="justify" vertical="top" wrapText="1"/>
    </xf>
    <xf numFmtId="0" fontId="3" fillId="25" borderId="0" xfId="347" applyFont="1" applyFill="1" applyBorder="1" applyAlignment="1">
      <alignment horizontal="center" vertical="center"/>
    </xf>
    <xf numFmtId="183" fontId="17" fillId="0" borderId="10" xfId="275" applyNumberFormat="1" applyFont="1" applyFill="1" applyBorder="1" applyAlignment="1">
      <alignment vertical="center"/>
    </xf>
    <xf numFmtId="170" fontId="16" fillId="0" borderId="0" xfId="0" applyNumberFormat="1" applyFont="1"/>
    <xf numFmtId="9" fontId="16" fillId="0" borderId="0" xfId="0" applyNumberFormat="1" applyFont="1"/>
    <xf numFmtId="183" fontId="10" fillId="32" borderId="10" xfId="316" applyNumberFormat="1" applyFont="1" applyFill="1" applyBorder="1"/>
    <xf numFmtId="183" fontId="10" fillId="32" borderId="10" xfId="316" applyNumberFormat="1" applyFont="1" applyFill="1" applyBorder="1" applyAlignment="1">
      <alignment horizontal="right"/>
    </xf>
    <xf numFmtId="10" fontId="10" fillId="32" borderId="0" xfId="412" applyNumberFormat="1" applyFont="1" applyFill="1" applyBorder="1"/>
    <xf numFmtId="183" fontId="10" fillId="0" borderId="10" xfId="282" applyNumberFormat="1" applyFont="1" applyFill="1" applyBorder="1" applyAlignment="1">
      <alignment horizontal="right"/>
    </xf>
    <xf numFmtId="181" fontId="10" fillId="32" borderId="0" xfId="316" applyFont="1" applyFill="1"/>
    <xf numFmtId="171" fontId="5" fillId="40" borderId="23" xfId="347" applyNumberFormat="1" applyFont="1" applyFill="1" applyBorder="1"/>
    <xf numFmtId="171" fontId="5" fillId="40" borderId="48" xfId="347" applyNumberFormat="1" applyFont="1" applyFill="1" applyBorder="1" applyAlignment="1">
      <alignment horizontal="right"/>
    </xf>
    <xf numFmtId="171" fontId="5" fillId="0" borderId="23" xfId="347" applyNumberFormat="1" applyFont="1" applyFill="1" applyBorder="1" applyAlignment="1">
      <alignment horizontal="right"/>
    </xf>
    <xf numFmtId="3" fontId="19" fillId="0" borderId="13" xfId="275" applyNumberFormat="1" applyFont="1" applyFill="1" applyBorder="1"/>
    <xf numFmtId="3" fontId="21" fillId="0" borderId="13" xfId="275" applyNumberFormat="1" applyFont="1" applyFill="1" applyBorder="1"/>
    <xf numFmtId="3" fontId="20" fillId="32" borderId="13" xfId="293" applyNumberFormat="1" applyFont="1" applyFill="1" applyBorder="1"/>
    <xf numFmtId="3" fontId="19" fillId="32" borderId="13" xfId="293" applyNumberFormat="1" applyFont="1" applyFill="1" applyBorder="1"/>
    <xf numFmtId="3" fontId="21" fillId="32" borderId="13" xfId="293" applyNumberFormat="1" applyFont="1" applyFill="1" applyBorder="1"/>
    <xf numFmtId="3" fontId="19" fillId="0" borderId="13" xfId="293" applyNumberFormat="1" applyFont="1" applyFill="1" applyBorder="1"/>
    <xf numFmtId="3" fontId="21" fillId="32" borderId="49" xfId="318" applyNumberFormat="1" applyFont="1" applyFill="1" applyBorder="1" applyAlignment="1">
      <alignment horizontal="center"/>
    </xf>
    <xf numFmtId="3" fontId="21" fillId="32" borderId="49" xfId="318" applyNumberFormat="1" applyFont="1" applyFill="1" applyBorder="1"/>
    <xf numFmtId="3" fontId="4" fillId="32" borderId="49" xfId="318" applyNumberFormat="1" applyFont="1" applyFill="1" applyBorder="1"/>
    <xf numFmtId="37" fontId="4" fillId="32" borderId="11" xfId="0" applyNumberFormat="1" applyFont="1" applyFill="1" applyBorder="1" applyAlignment="1">
      <alignment horizontal="left" wrapText="1"/>
    </xf>
    <xf numFmtId="183" fontId="0" fillId="0" borderId="0" xfId="275" applyNumberFormat="1" applyFont="1"/>
    <xf numFmtId="183" fontId="26" fillId="0" borderId="0" xfId="275" applyNumberFormat="1" applyFont="1" applyAlignment="1">
      <alignment horizontal="center"/>
    </xf>
    <xf numFmtId="183" fontId="3" fillId="0" borderId="0" xfId="275" applyNumberFormat="1" applyFont="1" applyFill="1" applyBorder="1" applyAlignment="1">
      <alignment horizontal="center" wrapText="1"/>
    </xf>
    <xf numFmtId="183" fontId="47" fillId="0" borderId="0" xfId="275" applyNumberFormat="1" applyFont="1" applyFill="1" applyBorder="1" applyAlignment="1">
      <alignment horizontal="center" wrapText="1"/>
    </xf>
    <xf numFmtId="183" fontId="49" fillId="0" borderId="0" xfId="275" applyNumberFormat="1" applyFont="1" applyFill="1" applyBorder="1" applyAlignment="1">
      <alignment horizontal="right" wrapText="1"/>
    </xf>
    <xf numFmtId="183" fontId="48" fillId="0" borderId="0" xfId="275" applyNumberFormat="1" applyFont="1" applyBorder="1"/>
    <xf numFmtId="183" fontId="48" fillId="0" borderId="0" xfId="275" applyNumberFormat="1" applyFont="1"/>
    <xf numFmtId="183" fontId="21" fillId="0" borderId="41" xfId="317" applyNumberFormat="1" applyFont="1" applyFill="1" applyBorder="1" applyAlignment="1">
      <alignment wrapText="1"/>
    </xf>
    <xf numFmtId="183" fontId="22" fillId="0" borderId="50" xfId="317" applyNumberFormat="1" applyFont="1" applyFill="1" applyBorder="1" applyAlignment="1">
      <alignment wrapText="1"/>
    </xf>
    <xf numFmtId="183" fontId="17" fillId="0" borderId="10" xfId="275" applyNumberFormat="1" applyFont="1" applyFill="1" applyBorder="1"/>
    <xf numFmtId="3" fontId="21" fillId="0" borderId="49" xfId="318" applyNumberFormat="1" applyFont="1" applyFill="1" applyBorder="1"/>
    <xf numFmtId="3" fontId="21" fillId="0" borderId="49" xfId="318" applyNumberFormat="1" applyFont="1" applyFill="1" applyBorder="1" applyAlignment="1">
      <alignment horizontal="center"/>
    </xf>
    <xf numFmtId="3" fontId="4" fillId="0" borderId="49" xfId="318" applyNumberFormat="1" applyFont="1" applyFill="1" applyBorder="1"/>
    <xf numFmtId="0" fontId="21" fillId="32" borderId="11" xfId="0" applyFont="1" applyFill="1" applyBorder="1" applyAlignment="1"/>
    <xf numFmtId="37" fontId="20" fillId="32" borderId="11" xfId="0" applyNumberFormat="1" applyFont="1" applyFill="1" applyBorder="1" applyAlignment="1">
      <alignment horizontal="left" vertical="center" wrapText="1"/>
    </xf>
    <xf numFmtId="3" fontId="25" fillId="0" borderId="0" xfId="0" applyNumberFormat="1" applyFont="1" applyFill="1" applyAlignment="1"/>
    <xf numFmtId="188" fontId="25" fillId="0" borderId="0" xfId="0" applyNumberFormat="1" applyFont="1" applyFill="1" applyAlignment="1"/>
    <xf numFmtId="3" fontId="10" fillId="0" borderId="10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/>
    <xf numFmtId="189" fontId="3" fillId="0" borderId="0" xfId="319" applyNumberFormat="1" applyFont="1"/>
    <xf numFmtId="0" fontId="3" fillId="24" borderId="14" xfId="0" applyFont="1" applyFill="1" applyBorder="1" applyAlignment="1">
      <alignment horizontal="center" vertical="center"/>
    </xf>
    <xf numFmtId="0" fontId="3" fillId="24" borderId="34" xfId="0" applyFont="1" applyFill="1" applyBorder="1" applyAlignment="1">
      <alignment horizontal="center" vertical="center"/>
    </xf>
    <xf numFmtId="0" fontId="3" fillId="24" borderId="34" xfId="0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 wrapText="1"/>
    </xf>
    <xf numFmtId="9" fontId="3" fillId="24" borderId="15" xfId="0" applyNumberFormat="1" applyFont="1" applyFill="1" applyBorder="1" applyAlignment="1">
      <alignment horizontal="center" vertical="center" wrapText="1"/>
    </xf>
    <xf numFmtId="10" fontId="3" fillId="24" borderId="20" xfId="0" applyNumberFormat="1" applyFont="1" applyFill="1" applyBorder="1" applyAlignment="1">
      <alignment horizontal="center" vertical="center" wrapText="1"/>
    </xf>
    <xf numFmtId="10" fontId="3" fillId="24" borderId="51" xfId="0" applyNumberFormat="1" applyFont="1" applyFill="1" applyBorder="1" applyAlignment="1">
      <alignment horizontal="center" vertical="center" wrapText="1"/>
    </xf>
    <xf numFmtId="10" fontId="3" fillId="24" borderId="25" xfId="0" applyNumberFormat="1" applyFont="1" applyFill="1" applyBorder="1" applyAlignment="1">
      <alignment horizontal="center" vertical="center" wrapText="1"/>
    </xf>
    <xf numFmtId="10" fontId="3" fillId="24" borderId="14" xfId="0" applyNumberFormat="1" applyFont="1" applyFill="1" applyBorder="1" applyAlignment="1">
      <alignment horizontal="center" vertical="center" wrapText="1"/>
    </xf>
    <xf numFmtId="0" fontId="3" fillId="24" borderId="33" xfId="0" applyFont="1" applyFill="1" applyBorder="1" applyAlignment="1">
      <alignment horizontal="center" vertical="center" wrapText="1"/>
    </xf>
    <xf numFmtId="183" fontId="16" fillId="0" borderId="0" xfId="275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37" fontId="2" fillId="0" borderId="0" xfId="0" applyNumberFormat="1" applyFont="1" applyFill="1"/>
    <xf numFmtId="37" fontId="0" fillId="0" borderId="0" xfId="0" applyNumberFormat="1" applyFill="1"/>
    <xf numFmtId="185" fontId="21" fillId="32" borderId="40" xfId="318" applyNumberFormat="1" applyFont="1" applyFill="1" applyBorder="1" applyAlignment="1">
      <alignment horizontal="center" wrapText="1"/>
    </xf>
    <xf numFmtId="0" fontId="20" fillId="0" borderId="52" xfId="0" applyFont="1" applyFill="1" applyBorder="1" applyAlignment="1"/>
    <xf numFmtId="3" fontId="20" fillId="0" borderId="53" xfId="0" applyNumberFormat="1" applyFont="1" applyFill="1" applyBorder="1"/>
    <xf numFmtId="0" fontId="26" fillId="32" borderId="0" xfId="0" applyFont="1" applyFill="1" applyAlignment="1">
      <alignment horizontal="center"/>
    </xf>
    <xf numFmtId="15" fontId="4" fillId="0" borderId="10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183" fontId="10" fillId="0" borderId="0" xfId="0" applyNumberFormat="1" applyFont="1" applyFill="1" applyBorder="1"/>
    <xf numFmtId="0" fontId="10" fillId="0" borderId="0" xfId="0" applyFont="1" applyFill="1" applyBorder="1"/>
    <xf numFmtId="3" fontId="10" fillId="0" borderId="0" xfId="0" applyNumberFormat="1" applyFont="1" applyFill="1" applyBorder="1"/>
    <xf numFmtId="181" fontId="10" fillId="0" borderId="0" xfId="275" applyFont="1" applyFill="1" applyBorder="1"/>
    <xf numFmtId="183" fontId="10" fillId="0" borderId="0" xfId="275" applyNumberFormat="1" applyFont="1" applyFill="1" applyBorder="1"/>
    <xf numFmtId="183" fontId="10" fillId="0" borderId="0" xfId="0" applyNumberFormat="1" applyFont="1" applyFill="1"/>
    <xf numFmtId="181" fontId="10" fillId="0" borderId="0" xfId="275" applyFont="1" applyFill="1"/>
    <xf numFmtId="43" fontId="10" fillId="0" borderId="0" xfId="0" applyNumberFormat="1" applyFont="1" applyFill="1"/>
    <xf numFmtId="0" fontId="19" fillId="0" borderId="54" xfId="0" applyFont="1" applyFill="1" applyBorder="1" applyAlignment="1"/>
    <xf numFmtId="3" fontId="19" fillId="0" borderId="55" xfId="0" applyNumberFormat="1" applyFont="1" applyFill="1" applyBorder="1"/>
    <xf numFmtId="0" fontId="20" fillId="0" borderId="56" xfId="0" applyFont="1" applyFill="1" applyBorder="1" applyAlignment="1"/>
    <xf numFmtId="3" fontId="20" fillId="0" borderId="57" xfId="0" applyNumberFormat="1" applyFont="1" applyFill="1" applyBorder="1"/>
    <xf numFmtId="3" fontId="21" fillId="0" borderId="57" xfId="275" applyNumberFormat="1" applyFont="1" applyFill="1" applyBorder="1"/>
    <xf numFmtId="3" fontId="21" fillId="0" borderId="58" xfId="318" applyNumberFormat="1" applyFont="1" applyFill="1" applyBorder="1"/>
    <xf numFmtId="3" fontId="4" fillId="0" borderId="49" xfId="317" applyNumberFormat="1" applyFont="1" applyFill="1" applyBorder="1"/>
    <xf numFmtId="3" fontId="21" fillId="0" borderId="49" xfId="317" applyNumberFormat="1" applyFont="1" applyFill="1" applyBorder="1"/>
    <xf numFmtId="3" fontId="4" fillId="0" borderId="49" xfId="391" applyNumberFormat="1" applyFont="1" applyFill="1" applyBorder="1"/>
    <xf numFmtId="0" fontId="4" fillId="0" borderId="11" xfId="0" applyFont="1" applyFill="1" applyBorder="1" applyAlignment="1"/>
    <xf numFmtId="183" fontId="21" fillId="0" borderId="59" xfId="317" applyNumberFormat="1" applyFont="1" applyFill="1" applyBorder="1" applyAlignment="1">
      <alignment wrapText="1"/>
    </xf>
    <xf numFmtId="183" fontId="28" fillId="24" borderId="14" xfId="275" applyNumberFormat="1" applyFont="1" applyFill="1" applyBorder="1"/>
    <xf numFmtId="2" fontId="0" fillId="0" borderId="0" xfId="0" applyNumberFormat="1" applyFill="1"/>
    <xf numFmtId="0" fontId="20" fillId="0" borderId="60" xfId="0" applyFont="1" applyFill="1" applyBorder="1" applyAlignment="1">
      <alignment horizontal="center" vertical="center" wrapText="1"/>
    </xf>
    <xf numFmtId="0" fontId="19" fillId="0" borderId="61" xfId="0" applyFont="1" applyFill="1" applyBorder="1"/>
    <xf numFmtId="3" fontId="21" fillId="0" borderId="62" xfId="0" applyNumberFormat="1" applyFont="1" applyFill="1" applyBorder="1"/>
    <xf numFmtId="3" fontId="19" fillId="0" borderId="62" xfId="0" applyNumberFormat="1" applyFont="1" applyFill="1" applyBorder="1"/>
    <xf numFmtId="3" fontId="20" fillId="0" borderId="62" xfId="0" applyNumberFormat="1" applyFont="1" applyFill="1" applyBorder="1"/>
    <xf numFmtId="3" fontId="19" fillId="0" borderId="13" xfId="284" applyNumberFormat="1" applyFont="1" applyFill="1" applyBorder="1"/>
    <xf numFmtId="3" fontId="19" fillId="25" borderId="13" xfId="284" applyNumberFormat="1" applyFont="1" applyFill="1" applyBorder="1"/>
    <xf numFmtId="3" fontId="21" fillId="0" borderId="13" xfId="284" applyNumberFormat="1" applyFont="1" applyFill="1" applyBorder="1"/>
    <xf numFmtId="3" fontId="21" fillId="0" borderId="57" xfId="284" applyNumberFormat="1" applyFont="1" applyFill="1" applyBorder="1"/>
    <xf numFmtId="3" fontId="20" fillId="0" borderId="63" xfId="0" applyNumberFormat="1" applyFont="1" applyFill="1" applyBorder="1"/>
    <xf numFmtId="3" fontId="19" fillId="0" borderId="64" xfId="0" applyNumberFormat="1" applyFont="1" applyFill="1" applyBorder="1"/>
    <xf numFmtId="3" fontId="20" fillId="0" borderId="65" xfId="0" applyNumberFormat="1" applyFont="1" applyFill="1" applyBorder="1"/>
    <xf numFmtId="3" fontId="20" fillId="33" borderId="62" xfId="0" applyNumberFormat="1" applyFont="1" applyFill="1" applyBorder="1"/>
    <xf numFmtId="3" fontId="20" fillId="32" borderId="62" xfId="0" applyNumberFormat="1" applyFont="1" applyFill="1" applyBorder="1"/>
    <xf numFmtId="3" fontId="4" fillId="32" borderId="62" xfId="0" applyNumberFormat="1" applyFont="1" applyFill="1" applyBorder="1"/>
    <xf numFmtId="3" fontId="4" fillId="0" borderId="62" xfId="0" applyNumberFormat="1" applyFont="1" applyFill="1" applyBorder="1"/>
    <xf numFmtId="3" fontId="20" fillId="32" borderId="13" xfId="284" applyNumberFormat="1" applyFont="1" applyFill="1" applyBorder="1"/>
    <xf numFmtId="3" fontId="21" fillId="32" borderId="13" xfId="284" applyNumberFormat="1" applyFont="1" applyFill="1" applyBorder="1"/>
    <xf numFmtId="3" fontId="21" fillId="32" borderId="62" xfId="0" applyNumberFormat="1" applyFont="1" applyFill="1" applyBorder="1"/>
    <xf numFmtId="3" fontId="19" fillId="32" borderId="13" xfId="284" applyNumberFormat="1" applyFont="1" applyFill="1" applyBorder="1"/>
    <xf numFmtId="3" fontId="19" fillId="32" borderId="62" xfId="0" applyNumberFormat="1" applyFont="1" applyFill="1" applyBorder="1"/>
    <xf numFmtId="3" fontId="20" fillId="32" borderId="62" xfId="293" applyNumberFormat="1" applyFont="1" applyFill="1" applyBorder="1"/>
    <xf numFmtId="3" fontId="21" fillId="32" borderId="62" xfId="293" applyNumberFormat="1" applyFont="1" applyFill="1" applyBorder="1"/>
    <xf numFmtId="3" fontId="19" fillId="32" borderId="62" xfId="293" applyNumberFormat="1" applyFont="1" applyFill="1" applyBorder="1"/>
    <xf numFmtId="3" fontId="19" fillId="0" borderId="62" xfId="293" applyNumberFormat="1" applyFont="1" applyFill="1" applyBorder="1"/>
    <xf numFmtId="2" fontId="2" fillId="0" borderId="0" xfId="0" applyNumberFormat="1" applyFont="1" applyFill="1"/>
    <xf numFmtId="10" fontId="2" fillId="0" borderId="0" xfId="407" applyNumberFormat="1" applyFont="1" applyFill="1"/>
    <xf numFmtId="0" fontId="20" fillId="0" borderId="30" xfId="0" applyFont="1" applyFill="1" applyBorder="1" applyAlignment="1"/>
    <xf numFmtId="3" fontId="20" fillId="0" borderId="66" xfId="0" applyNumberFormat="1" applyFont="1" applyFill="1" applyBorder="1"/>
    <xf numFmtId="183" fontId="21" fillId="25" borderId="67" xfId="316" applyNumberFormat="1" applyFont="1" applyFill="1" applyBorder="1" applyAlignment="1">
      <alignment horizontal="center"/>
    </xf>
    <xf numFmtId="183" fontId="21" fillId="25" borderId="10" xfId="316" applyNumberFormat="1" applyFont="1" applyFill="1" applyBorder="1" applyAlignment="1">
      <alignment horizontal="center"/>
    </xf>
    <xf numFmtId="183" fontId="21" fillId="32" borderId="10" xfId="316" applyNumberFormat="1" applyFont="1" applyFill="1" applyBorder="1" applyAlignment="1">
      <alignment horizontal="center"/>
    </xf>
    <xf numFmtId="183" fontId="4" fillId="25" borderId="67" xfId="316" applyNumberFormat="1" applyFont="1" applyFill="1" applyBorder="1"/>
    <xf numFmtId="183" fontId="4" fillId="25" borderId="10" xfId="316" applyNumberFormat="1" applyFont="1" applyFill="1" applyBorder="1"/>
    <xf numFmtId="183" fontId="4" fillId="32" borderId="10" xfId="316" applyNumberFormat="1" applyFont="1" applyFill="1" applyBorder="1"/>
    <xf numFmtId="183" fontId="21" fillId="25" borderId="67" xfId="316" applyNumberFormat="1" applyFont="1" applyFill="1" applyBorder="1"/>
    <xf numFmtId="183" fontId="21" fillId="25" borderId="10" xfId="316" applyNumberFormat="1" applyFont="1" applyFill="1" applyBorder="1"/>
    <xf numFmtId="183" fontId="21" fillId="32" borderId="10" xfId="316" applyNumberFormat="1" applyFont="1" applyFill="1" applyBorder="1"/>
    <xf numFmtId="183" fontId="19" fillId="0" borderId="34" xfId="275" applyNumberFormat="1" applyFont="1" applyFill="1" applyBorder="1"/>
    <xf numFmtId="183" fontId="19" fillId="0" borderId="68" xfId="275" applyNumberFormat="1" applyFont="1" applyFill="1" applyBorder="1"/>
    <xf numFmtId="183" fontId="26" fillId="0" borderId="0" xfId="0" applyNumberFormat="1" applyFont="1" applyAlignment="1">
      <alignment horizontal="center"/>
    </xf>
    <xf numFmtId="0" fontId="21" fillId="0" borderId="0" xfId="347" applyFont="1"/>
    <xf numFmtId="183" fontId="5" fillId="24" borderId="33" xfId="419" applyNumberFormat="1" applyFont="1" applyFill="1" applyBorder="1" applyAlignment="1"/>
    <xf numFmtId="9" fontId="0" fillId="0" borderId="0" xfId="391" applyFont="1" applyFill="1"/>
    <xf numFmtId="181" fontId="0" fillId="0" borderId="0" xfId="0" applyNumberFormat="1" applyFill="1"/>
    <xf numFmtId="0" fontId="5" fillId="41" borderId="14" xfId="347" applyFont="1" applyFill="1" applyBorder="1" applyAlignment="1">
      <alignment horizontal="left"/>
    </xf>
    <xf numFmtId="41" fontId="5" fillId="41" borderId="14" xfId="347" applyNumberFormat="1" applyFont="1" applyFill="1" applyBorder="1" applyAlignment="1">
      <alignment horizontal="right"/>
    </xf>
    <xf numFmtId="41" fontId="5" fillId="41" borderId="14" xfId="347" applyNumberFormat="1" applyFont="1" applyFill="1" applyBorder="1" applyAlignment="1">
      <alignment horizontal="center"/>
    </xf>
    <xf numFmtId="181" fontId="5" fillId="39" borderId="14" xfId="347" applyNumberFormat="1" applyFont="1" applyFill="1" applyBorder="1" applyAlignment="1">
      <alignment horizontal="right"/>
    </xf>
    <xf numFmtId="0" fontId="6" fillId="0" borderId="36" xfId="347" applyFont="1" applyFill="1" applyBorder="1" applyAlignment="1">
      <alignment horizontal="center" wrapText="1"/>
    </xf>
    <xf numFmtId="41" fontId="6" fillId="0" borderId="36" xfId="347" applyNumberFormat="1" applyFont="1" applyFill="1" applyBorder="1" applyAlignment="1">
      <alignment horizontal="right"/>
    </xf>
    <xf numFmtId="171" fontId="6" fillId="0" borderId="22" xfId="347" applyNumberFormat="1" applyFont="1" applyFill="1" applyBorder="1" applyAlignment="1">
      <alignment horizontal="right"/>
    </xf>
    <xf numFmtId="0" fontId="6" fillId="0" borderId="23" xfId="347" applyFont="1" applyFill="1" applyBorder="1" applyAlignment="1">
      <alignment horizontal="center" vertical="center" wrapText="1"/>
    </xf>
    <xf numFmtId="41" fontId="6" fillId="0" borderId="23" xfId="347" applyNumberFormat="1" applyFont="1" applyFill="1" applyBorder="1" applyAlignment="1"/>
    <xf numFmtId="171" fontId="6" fillId="0" borderId="23" xfId="347" applyNumberFormat="1" applyFont="1" applyFill="1" applyBorder="1" applyAlignment="1">
      <alignment horizontal="right"/>
    </xf>
    <xf numFmtId="41" fontId="6" fillId="0" borderId="23" xfId="379" applyNumberFormat="1" applyFont="1" applyFill="1" applyBorder="1" applyAlignment="1"/>
    <xf numFmtId="0" fontId="6" fillId="0" borderId="40" xfId="347" applyFont="1" applyFill="1" applyBorder="1"/>
    <xf numFmtId="41" fontId="6" fillId="0" borderId="22" xfId="347" applyNumberFormat="1" applyFont="1" applyFill="1" applyBorder="1"/>
    <xf numFmtId="0" fontId="6" fillId="0" borderId="23" xfId="347" applyFont="1" applyFill="1" applyBorder="1"/>
    <xf numFmtId="41" fontId="6" fillId="0" borderId="23" xfId="347" applyNumberFormat="1" applyFont="1" applyFill="1" applyBorder="1"/>
    <xf numFmtId="0" fontId="6" fillId="0" borderId="42" xfId="347" applyFont="1" applyFill="1" applyBorder="1"/>
    <xf numFmtId="3" fontId="6" fillId="0" borderId="22" xfId="347" applyNumberFormat="1" applyFont="1" applyFill="1" applyBorder="1"/>
    <xf numFmtId="41" fontId="6" fillId="0" borderId="22" xfId="347" applyNumberFormat="1" applyFont="1" applyFill="1" applyBorder="1" applyAlignment="1"/>
    <xf numFmtId="171" fontId="6" fillId="0" borderId="40" xfId="347" applyNumberFormat="1" applyFont="1" applyFill="1" applyBorder="1" applyAlignment="1">
      <alignment horizontal="right"/>
    </xf>
    <xf numFmtId="3" fontId="6" fillId="0" borderId="43" xfId="347" applyNumberFormat="1" applyFont="1" applyFill="1" applyBorder="1"/>
    <xf numFmtId="41" fontId="6" fillId="0" borderId="36" xfId="347" applyNumberFormat="1" applyFont="1" applyFill="1" applyBorder="1" applyAlignment="1"/>
    <xf numFmtId="41" fontId="6" fillId="0" borderId="43" xfId="347" applyNumberFormat="1" applyFont="1" applyFill="1" applyBorder="1"/>
    <xf numFmtId="41" fontId="6" fillId="0" borderId="43" xfId="347" applyNumberFormat="1" applyFont="1" applyFill="1" applyBorder="1" applyAlignment="1"/>
    <xf numFmtId="3" fontId="6" fillId="0" borderId="23" xfId="347" applyNumberFormat="1" applyFont="1" applyFill="1" applyBorder="1"/>
    <xf numFmtId="3" fontId="6" fillId="0" borderId="34" xfId="347" applyNumberFormat="1" applyFont="1" applyFill="1" applyBorder="1"/>
    <xf numFmtId="41" fontId="6" fillId="0" borderId="34" xfId="347" applyNumberFormat="1" applyFont="1" applyFill="1" applyBorder="1"/>
    <xf numFmtId="41" fontId="6" fillId="0" borderId="34" xfId="347" applyNumberFormat="1" applyFont="1" applyFill="1" applyBorder="1" applyAlignment="1"/>
    <xf numFmtId="0" fontId="6" fillId="0" borderId="23" xfId="347" applyFont="1" applyFill="1" applyBorder="1" applyAlignment="1">
      <alignment horizontal="left" vertical="center" wrapText="1"/>
    </xf>
    <xf numFmtId="181" fontId="5" fillId="0" borderId="23" xfId="347" applyNumberFormat="1" applyFont="1" applyFill="1" applyBorder="1" applyAlignment="1">
      <alignment horizontal="right"/>
    </xf>
    <xf numFmtId="190" fontId="10" fillId="0" borderId="0" xfId="347" applyNumberFormat="1" applyBorder="1" applyAlignment="1">
      <alignment horizontal="center"/>
    </xf>
    <xf numFmtId="0" fontId="10" fillId="0" borderId="0" xfId="347" applyBorder="1" applyAlignment="1">
      <alignment horizontal="center"/>
    </xf>
    <xf numFmtId="183" fontId="10" fillId="0" borderId="10" xfId="284" applyNumberFormat="1" applyFont="1" applyFill="1" applyBorder="1" applyAlignment="1">
      <alignment horizontal="right"/>
    </xf>
    <xf numFmtId="183" fontId="3" fillId="0" borderId="0" xfId="284" applyNumberFormat="1" applyFont="1" applyFill="1" applyBorder="1" applyAlignment="1">
      <alignment horizontal="center" wrapText="1"/>
    </xf>
    <xf numFmtId="0" fontId="0" fillId="32" borderId="0" xfId="0" applyFill="1" applyBorder="1" applyAlignment="1">
      <alignment horizontal="center"/>
    </xf>
    <xf numFmtId="183" fontId="10" fillId="0" borderId="0" xfId="282" applyNumberFormat="1" applyFont="1" applyFill="1" applyBorder="1" applyAlignment="1">
      <alignment horizontal="right"/>
    </xf>
    <xf numFmtId="181" fontId="3" fillId="0" borderId="0" xfId="275" applyFont="1" applyFill="1"/>
    <xf numFmtId="0" fontId="10" fillId="42" borderId="10" xfId="347" applyFont="1" applyFill="1" applyBorder="1"/>
    <xf numFmtId="195" fontId="10" fillId="42" borderId="10" xfId="347" applyNumberFormat="1" applyFill="1" applyBorder="1"/>
    <xf numFmtId="184" fontId="10" fillId="42" borderId="39" xfId="394" applyNumberFormat="1" applyFont="1" applyFill="1" applyBorder="1"/>
    <xf numFmtId="180" fontId="10" fillId="0" borderId="39" xfId="321" applyFont="1" applyBorder="1"/>
    <xf numFmtId="184" fontId="10" fillId="0" borderId="0" xfId="394" applyNumberFormat="1" applyFont="1" applyFill="1" applyBorder="1"/>
    <xf numFmtId="0" fontId="10" fillId="37" borderId="10" xfId="347" applyFill="1" applyBorder="1" applyAlignment="1">
      <alignment horizontal="center" vertical="center"/>
    </xf>
    <xf numFmtId="0" fontId="70" fillId="0" borderId="10" xfId="340" applyFont="1" applyFill="1" applyBorder="1" applyAlignment="1">
      <alignment horizontal="center"/>
    </xf>
    <xf numFmtId="0" fontId="70" fillId="34" borderId="10" xfId="340" applyFont="1" applyFill="1" applyBorder="1" applyAlignment="1">
      <alignment horizontal="center"/>
    </xf>
    <xf numFmtId="180" fontId="10" fillId="0" borderId="0" xfId="321" applyFont="1" applyFill="1"/>
    <xf numFmtId="0" fontId="10" fillId="0" borderId="10" xfId="340" applyBorder="1"/>
    <xf numFmtId="180" fontId="10" fillId="34" borderId="0" xfId="321" applyFont="1" applyFill="1"/>
    <xf numFmtId="181" fontId="20" fillId="0" borderId="13" xfId="275" applyFont="1" applyFill="1" applyBorder="1"/>
    <xf numFmtId="181" fontId="4" fillId="0" borderId="13" xfId="275" applyFont="1" applyFill="1" applyBorder="1"/>
    <xf numFmtId="37" fontId="21" fillId="0" borderId="11" xfId="0" applyNumberFormat="1" applyFont="1" applyFill="1" applyBorder="1" applyAlignment="1">
      <alignment horizontal="left"/>
    </xf>
    <xf numFmtId="183" fontId="19" fillId="0" borderId="34" xfId="275" applyNumberFormat="1" applyFont="1" applyFill="1" applyBorder="1" applyAlignment="1">
      <alignment horizontal="center"/>
    </xf>
    <xf numFmtId="0" fontId="20" fillId="0" borderId="40" xfId="0" applyFont="1" applyFill="1" applyBorder="1" applyAlignment="1">
      <alignment horizontal="center"/>
    </xf>
    <xf numFmtId="0" fontId="19" fillId="0" borderId="34" xfId="0" applyFont="1" applyFill="1" applyBorder="1"/>
    <xf numFmtId="0" fontId="20" fillId="0" borderId="40" xfId="0" applyFont="1" applyFill="1" applyBorder="1"/>
    <xf numFmtId="183" fontId="4" fillId="0" borderId="40" xfId="275" applyNumberFormat="1" applyFont="1" applyFill="1" applyBorder="1" applyAlignment="1">
      <alignment horizontal="center"/>
    </xf>
    <xf numFmtId="0" fontId="19" fillId="0" borderId="40" xfId="0" applyFont="1" applyFill="1" applyBorder="1"/>
    <xf numFmtId="3" fontId="19" fillId="0" borderId="34" xfId="0" applyNumberFormat="1" applyFont="1" applyFill="1" applyBorder="1"/>
    <xf numFmtId="171" fontId="93" fillId="41" borderId="23" xfId="347" applyNumberFormat="1" applyFont="1" applyFill="1" applyBorder="1" applyAlignment="1">
      <alignment horizontal="right"/>
    </xf>
    <xf numFmtId="181" fontId="0" fillId="0" borderId="0" xfId="275" applyFont="1" applyFill="1"/>
    <xf numFmtId="183" fontId="3" fillId="0" borderId="0" xfId="275" applyNumberFormat="1" applyFont="1" applyFill="1"/>
    <xf numFmtId="10" fontId="3" fillId="0" borderId="0" xfId="391" applyNumberFormat="1" applyFont="1" applyFill="1"/>
    <xf numFmtId="183" fontId="21" fillId="25" borderId="0" xfId="0" applyNumberFormat="1" applyFont="1" applyFill="1"/>
    <xf numFmtId="181" fontId="0" fillId="25" borderId="0" xfId="275" applyFont="1" applyFill="1"/>
    <xf numFmtId="0" fontId="3" fillId="0" borderId="1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3" fontId="23" fillId="0" borderId="13" xfId="0" applyNumberFormat="1" applyFont="1" applyFill="1" applyBorder="1"/>
    <xf numFmtId="3" fontId="22" fillId="0" borderId="13" xfId="0" applyNumberFormat="1" applyFont="1" applyFill="1" applyBorder="1"/>
    <xf numFmtId="3" fontId="21" fillId="0" borderId="13" xfId="293" applyNumberFormat="1" applyFont="1" applyFill="1" applyBorder="1"/>
    <xf numFmtId="3" fontId="21" fillId="0" borderId="62" xfId="293" applyNumberFormat="1" applyFont="1" applyFill="1" applyBorder="1"/>
    <xf numFmtId="0" fontId="20" fillId="0" borderId="69" xfId="0" applyFont="1" applyFill="1" applyBorder="1" applyAlignment="1">
      <alignment horizontal="center"/>
    </xf>
    <xf numFmtId="0" fontId="20" fillId="0" borderId="36" xfId="0" applyFont="1" applyFill="1" applyBorder="1" applyAlignment="1">
      <alignment horizontal="center"/>
    </xf>
    <xf numFmtId="0" fontId="20" fillId="0" borderId="36" xfId="0" applyFont="1" applyFill="1" applyBorder="1" applyAlignment="1">
      <alignment horizontal="center" vertical="center" wrapText="1"/>
    </xf>
    <xf numFmtId="183" fontId="19" fillId="0" borderId="34" xfId="0" applyNumberFormat="1" applyFont="1" applyFill="1" applyBorder="1"/>
    <xf numFmtId="10" fontId="19" fillId="0" borderId="34" xfId="391" applyNumberFormat="1" applyFont="1" applyFill="1" applyBorder="1"/>
    <xf numFmtId="0" fontId="19" fillId="0" borderId="69" xfId="0" applyFont="1" applyFill="1" applyBorder="1"/>
    <xf numFmtId="0" fontId="20" fillId="0" borderId="40" xfId="0" applyFont="1" applyFill="1" applyBorder="1" applyAlignment="1">
      <alignment horizontal="left"/>
    </xf>
    <xf numFmtId="0" fontId="20" fillId="0" borderId="70" xfId="0" applyFont="1" applyFill="1" applyBorder="1" applyAlignment="1">
      <alignment horizontal="center"/>
    </xf>
    <xf numFmtId="183" fontId="19" fillId="0" borderId="40" xfId="275" applyNumberFormat="1" applyFont="1" applyFill="1" applyBorder="1"/>
    <xf numFmtId="9" fontId="108" fillId="0" borderId="40" xfId="391" applyNumberFormat="1" applyFont="1" applyFill="1" applyBorder="1"/>
    <xf numFmtId="183" fontId="0" fillId="0" borderId="0" xfId="0" applyNumberFormat="1" applyFill="1"/>
    <xf numFmtId="9" fontId="19" fillId="0" borderId="40" xfId="391" applyNumberFormat="1" applyFont="1" applyFill="1" applyBorder="1"/>
    <xf numFmtId="0" fontId="19" fillId="0" borderId="37" xfId="0" applyFont="1" applyFill="1" applyBorder="1"/>
    <xf numFmtId="183" fontId="20" fillId="0" borderId="40" xfId="275" applyNumberFormat="1" applyFont="1" applyFill="1" applyBorder="1" applyAlignment="1">
      <alignment horizontal="center"/>
    </xf>
    <xf numFmtId="0" fontId="19" fillId="0" borderId="71" xfId="0" applyFont="1" applyFill="1" applyBorder="1"/>
    <xf numFmtId="183" fontId="19" fillId="0" borderId="37" xfId="275" applyNumberFormat="1" applyFont="1" applyFill="1" applyBorder="1"/>
    <xf numFmtId="10" fontId="108" fillId="0" borderId="34" xfId="391" applyNumberFormat="1" applyFont="1" applyFill="1" applyBorder="1"/>
    <xf numFmtId="0" fontId="20" fillId="0" borderId="72" xfId="0" applyFont="1" applyFill="1" applyBorder="1" applyAlignment="1">
      <alignment horizontal="center"/>
    </xf>
    <xf numFmtId="0" fontId="19" fillId="0" borderId="70" xfId="0" applyFont="1" applyFill="1" applyBorder="1"/>
    <xf numFmtId="183" fontId="19" fillId="0" borderId="40" xfId="0" applyNumberFormat="1" applyFont="1" applyFill="1" applyBorder="1"/>
    <xf numFmtId="0" fontId="32" fillId="0" borderId="40" xfId="0" applyFont="1" applyFill="1" applyBorder="1" applyAlignment="1">
      <alignment horizontal="center"/>
    </xf>
    <xf numFmtId="0" fontId="20" fillId="0" borderId="46" xfId="0" applyFont="1" applyFill="1" applyBorder="1" applyAlignment="1">
      <alignment horizontal="center"/>
    </xf>
    <xf numFmtId="183" fontId="19" fillId="0" borderId="68" xfId="275" applyNumberFormat="1" applyFont="1" applyFill="1" applyBorder="1" applyAlignment="1">
      <alignment horizontal="center"/>
    </xf>
    <xf numFmtId="0" fontId="19" fillId="0" borderId="68" xfId="0" applyFont="1" applyFill="1" applyBorder="1"/>
    <xf numFmtId="0" fontId="20" fillId="0" borderId="72" xfId="0" applyFont="1" applyFill="1" applyBorder="1"/>
    <xf numFmtId="183" fontId="4" fillId="0" borderId="72" xfId="275" applyNumberFormat="1" applyFont="1" applyFill="1" applyBorder="1" applyAlignment="1">
      <alignment horizontal="center"/>
    </xf>
    <xf numFmtId="0" fontId="19" fillId="0" borderId="72" xfId="0" applyFont="1" applyFill="1" applyBorder="1"/>
    <xf numFmtId="3" fontId="19" fillId="0" borderId="68" xfId="0" applyNumberFormat="1" applyFont="1" applyFill="1" applyBorder="1"/>
    <xf numFmtId="0" fontId="21" fillId="29" borderId="73" xfId="0" applyFont="1" applyFill="1" applyBorder="1"/>
    <xf numFmtId="191" fontId="21" fillId="29" borderId="73" xfId="0" applyNumberFormat="1" applyFont="1" applyFill="1" applyBorder="1" applyAlignment="1">
      <alignment horizontal="center"/>
    </xf>
    <xf numFmtId="183" fontId="19" fillId="25" borderId="0" xfId="0" applyNumberFormat="1" applyFont="1" applyFill="1"/>
    <xf numFmtId="188" fontId="3" fillId="0" borderId="10" xfId="0" applyNumberFormat="1" applyFont="1" applyBorder="1" applyAlignment="1"/>
    <xf numFmtId="10" fontId="20" fillId="0" borderId="29" xfId="0" applyNumberFormat="1" applyFont="1" applyFill="1" applyBorder="1" applyAlignment="1">
      <alignment horizontal="center" vertical="center" wrapText="1"/>
    </xf>
    <xf numFmtId="10" fontId="19" fillId="0" borderId="18" xfId="0" applyNumberFormat="1" applyFont="1" applyFill="1" applyBorder="1"/>
    <xf numFmtId="10" fontId="21" fillId="0" borderId="18" xfId="0" applyNumberFormat="1" applyFont="1" applyFill="1" applyBorder="1"/>
    <xf numFmtId="10" fontId="19" fillId="25" borderId="18" xfId="0" applyNumberFormat="1" applyFont="1" applyFill="1" applyBorder="1"/>
    <xf numFmtId="10" fontId="20" fillId="25" borderId="18" xfId="0" applyNumberFormat="1" applyFont="1" applyFill="1" applyBorder="1"/>
    <xf numFmtId="10" fontId="20" fillId="0" borderId="18" xfId="0" applyNumberFormat="1" applyFont="1" applyFill="1" applyBorder="1"/>
    <xf numFmtId="10" fontId="20" fillId="0" borderId="74" xfId="0" applyNumberFormat="1" applyFont="1" applyFill="1" applyBorder="1"/>
    <xf numFmtId="10" fontId="19" fillId="0" borderId="75" xfId="0" applyNumberFormat="1" applyFont="1" applyFill="1" applyBorder="1"/>
    <xf numFmtId="10" fontId="20" fillId="0" borderId="76" xfId="0" applyNumberFormat="1" applyFont="1" applyFill="1" applyBorder="1"/>
    <xf numFmtId="10" fontId="20" fillId="33" borderId="18" xfId="0" applyNumberFormat="1" applyFont="1" applyFill="1" applyBorder="1"/>
    <xf numFmtId="10" fontId="20" fillId="32" borderId="18" xfId="0" applyNumberFormat="1" applyFont="1" applyFill="1" applyBorder="1"/>
    <xf numFmtId="10" fontId="4" fillId="32" borderId="18" xfId="0" applyNumberFormat="1" applyFont="1" applyFill="1" applyBorder="1"/>
    <xf numFmtId="10" fontId="4" fillId="0" borderId="18" xfId="0" applyNumberFormat="1" applyFont="1" applyFill="1" applyBorder="1"/>
    <xf numFmtId="10" fontId="21" fillId="32" borderId="18" xfId="0" applyNumberFormat="1" applyFont="1" applyFill="1" applyBorder="1"/>
    <xf numFmtId="10" fontId="19" fillId="32" borderId="18" xfId="0" applyNumberFormat="1" applyFont="1" applyFill="1" applyBorder="1"/>
    <xf numFmtId="10" fontId="21" fillId="32" borderId="18" xfId="293" applyNumberFormat="1" applyFont="1" applyFill="1" applyBorder="1"/>
    <xf numFmtId="10" fontId="19" fillId="32" borderId="18" xfId="293" applyNumberFormat="1" applyFont="1" applyFill="1" applyBorder="1"/>
    <xf numFmtId="10" fontId="19" fillId="0" borderId="18" xfId="293" applyNumberFormat="1" applyFont="1" applyFill="1" applyBorder="1"/>
    <xf numFmtId="10" fontId="21" fillId="0" borderId="18" xfId="293" applyNumberFormat="1" applyFont="1" applyFill="1" applyBorder="1"/>
    <xf numFmtId="10" fontId="20" fillId="0" borderId="31" xfId="0" applyNumberFormat="1" applyFont="1" applyFill="1" applyBorder="1"/>
    <xf numFmtId="0" fontId="10" fillId="0" borderId="0" xfId="340" applyFont="1"/>
    <xf numFmtId="0" fontId="10" fillId="0" borderId="0" xfId="340"/>
    <xf numFmtId="0" fontId="5" fillId="0" borderId="14" xfId="340" applyFont="1" applyBorder="1" applyAlignment="1">
      <alignment horizontal="center" vertical="center" wrapText="1"/>
    </xf>
    <xf numFmtId="0" fontId="5" fillId="0" borderId="25" xfId="340" applyFont="1" applyBorder="1" applyAlignment="1">
      <alignment horizontal="center" vertical="center" wrapText="1"/>
    </xf>
    <xf numFmtId="0" fontId="6" fillId="0" borderId="34" xfId="340" applyFont="1" applyBorder="1" applyAlignment="1">
      <alignment horizontal="justify" vertical="center" wrapText="1"/>
    </xf>
    <xf numFmtId="6" fontId="6" fillId="0" borderId="68" xfId="340" applyNumberFormat="1" applyFont="1" applyBorder="1" applyAlignment="1">
      <alignment horizontal="right" vertical="center" wrapText="1"/>
    </xf>
    <xf numFmtId="10" fontId="0" fillId="0" borderId="14" xfId="394" applyNumberFormat="1" applyFont="1" applyBorder="1"/>
    <xf numFmtId="6" fontId="5" fillId="0" borderId="68" xfId="340" applyNumberFormat="1" applyFont="1" applyBorder="1" applyAlignment="1">
      <alignment horizontal="right" vertical="center" wrapText="1"/>
    </xf>
    <xf numFmtId="10" fontId="3" fillId="0" borderId="14" xfId="394" applyNumberFormat="1" applyFont="1" applyBorder="1"/>
    <xf numFmtId="9" fontId="0" fillId="0" borderId="14" xfId="391" applyFont="1" applyBorder="1"/>
    <xf numFmtId="0" fontId="3" fillId="0" borderId="10" xfId="0" applyFont="1" applyFill="1" applyBorder="1"/>
    <xf numFmtId="181" fontId="21" fillId="32" borderId="0" xfId="311" applyFont="1" applyFill="1" applyAlignment="1">
      <alignment horizontal="centerContinuous"/>
    </xf>
    <xf numFmtId="183" fontId="21" fillId="32" borderId="0" xfId="311" applyNumberFormat="1" applyFont="1" applyFill="1" applyAlignment="1">
      <alignment horizontal="centerContinuous"/>
    </xf>
    <xf numFmtId="0" fontId="10" fillId="32" borderId="0" xfId="340" applyFill="1"/>
    <xf numFmtId="181" fontId="21" fillId="32" borderId="0" xfId="311" applyFont="1" applyFill="1" applyBorder="1" applyAlignment="1">
      <alignment horizontal="centerContinuous"/>
    </xf>
    <xf numFmtId="183" fontId="21" fillId="32" borderId="0" xfId="311" applyNumberFormat="1" applyFont="1" applyFill="1" applyBorder="1" applyAlignment="1">
      <alignment horizontal="centerContinuous"/>
    </xf>
    <xf numFmtId="0" fontId="10" fillId="32" borderId="0" xfId="340" applyFill="1" applyAlignment="1">
      <alignment vertical="center"/>
    </xf>
    <xf numFmtId="0" fontId="10" fillId="0" borderId="0" xfId="340" applyAlignment="1">
      <alignment vertical="center"/>
    </xf>
    <xf numFmtId="10" fontId="21" fillId="32" borderId="10" xfId="417" applyNumberFormat="1" applyFont="1" applyFill="1" applyBorder="1"/>
    <xf numFmtId="183" fontId="6" fillId="32" borderId="10" xfId="304" applyNumberFormat="1" applyFont="1" applyFill="1" applyBorder="1"/>
    <xf numFmtId="10" fontId="4" fillId="32" borderId="10" xfId="417" applyNumberFormat="1" applyFont="1" applyFill="1" applyBorder="1"/>
    <xf numFmtId="183" fontId="5" fillId="32" borderId="10" xfId="304" applyNumberFormat="1" applyFont="1" applyFill="1" applyBorder="1"/>
    <xf numFmtId="10" fontId="10" fillId="32" borderId="0" xfId="340" applyNumberFormat="1" applyFill="1"/>
    <xf numFmtId="183" fontId="5" fillId="32" borderId="10" xfId="311" applyNumberFormat="1" applyFont="1" applyFill="1" applyBorder="1"/>
    <xf numFmtId="181" fontId="6" fillId="32" borderId="10" xfId="311" applyFont="1" applyFill="1" applyBorder="1"/>
    <xf numFmtId="9" fontId="21" fillId="32" borderId="10" xfId="417" applyFont="1" applyFill="1" applyBorder="1"/>
    <xf numFmtId="181" fontId="96" fillId="0" borderId="0" xfId="311" applyFont="1" applyFill="1"/>
    <xf numFmtId="181" fontId="97" fillId="0" borderId="0" xfId="311" applyFont="1" applyFill="1"/>
    <xf numFmtId="183" fontId="97" fillId="0" borderId="0" xfId="311" applyNumberFormat="1" applyFont="1" applyFill="1"/>
    <xf numFmtId="181" fontId="109" fillId="0" borderId="0" xfId="311" applyFont="1" applyFill="1"/>
    <xf numFmtId="181" fontId="98" fillId="32" borderId="0" xfId="311" applyFont="1" applyFill="1"/>
    <xf numFmtId="0" fontId="27" fillId="25" borderId="0" xfId="340" applyFont="1" applyFill="1"/>
    <xf numFmtId="181" fontId="13" fillId="0" borderId="0" xfId="311" applyFont="1" applyFill="1" applyAlignment="1">
      <alignment horizontal="left"/>
    </xf>
    <xf numFmtId="181" fontId="13" fillId="0" borderId="0" xfId="311" applyFont="1" applyFill="1"/>
    <xf numFmtId="183" fontId="13" fillId="0" borderId="0" xfId="311" applyNumberFormat="1" applyFont="1" applyFill="1"/>
    <xf numFmtId="181" fontId="98" fillId="0" borderId="0" xfId="311" applyFont="1" applyFill="1"/>
    <xf numFmtId="0" fontId="27" fillId="0" borderId="0" xfId="340" applyFont="1"/>
    <xf numFmtId="183" fontId="13" fillId="32" borderId="0" xfId="311" applyNumberFormat="1" applyFont="1" applyFill="1"/>
    <xf numFmtId="183" fontId="10" fillId="32" borderId="0" xfId="340" applyNumberFormat="1" applyFill="1"/>
    <xf numFmtId="183" fontId="10" fillId="0" borderId="0" xfId="340" applyNumberFormat="1"/>
    <xf numFmtId="181" fontId="13" fillId="32" borderId="0" xfId="311" applyFont="1" applyFill="1"/>
    <xf numFmtId="0" fontId="13" fillId="0" borderId="0" xfId="340" applyFont="1" applyFill="1"/>
    <xf numFmtId="183" fontId="13" fillId="0" borderId="0" xfId="340" applyNumberFormat="1" applyFont="1" applyFill="1"/>
    <xf numFmtId="194" fontId="3" fillId="36" borderId="0" xfId="340" applyNumberFormat="1" applyFont="1" applyFill="1"/>
    <xf numFmtId="181" fontId="0" fillId="0" borderId="0" xfId="316" applyFont="1"/>
    <xf numFmtId="10" fontId="0" fillId="0" borderId="0" xfId="394" applyNumberFormat="1" applyFont="1"/>
    <xf numFmtId="0" fontId="10" fillId="0" borderId="0" xfId="340" applyFont="1" applyAlignment="1">
      <alignment horizontal="right"/>
    </xf>
    <xf numFmtId="0" fontId="4" fillId="32" borderId="77" xfId="340" applyFont="1" applyFill="1" applyBorder="1" applyAlignment="1" applyProtection="1"/>
    <xf numFmtId="194" fontId="21" fillId="32" borderId="78" xfId="340" applyNumberFormat="1" applyFont="1" applyFill="1" applyBorder="1" applyAlignment="1" applyProtection="1"/>
    <xf numFmtId="37" fontId="21" fillId="32" borderId="77" xfId="340" applyNumberFormat="1" applyFont="1" applyFill="1" applyBorder="1" applyAlignment="1" applyProtection="1"/>
    <xf numFmtId="3" fontId="21" fillId="32" borderId="79" xfId="340" applyNumberFormat="1" applyFont="1" applyFill="1" applyBorder="1" applyAlignment="1" applyProtection="1"/>
    <xf numFmtId="194" fontId="4" fillId="32" borderId="78" xfId="340" applyNumberFormat="1" applyFont="1" applyFill="1" applyBorder="1" applyAlignment="1" applyProtection="1"/>
    <xf numFmtId="3" fontId="4" fillId="32" borderId="79" xfId="340" applyNumberFormat="1" applyFont="1" applyFill="1" applyBorder="1" applyAlignment="1" applyProtection="1"/>
    <xf numFmtId="3" fontId="4" fillId="32" borderId="80" xfId="340" applyNumberFormat="1" applyFont="1" applyFill="1" applyBorder="1" applyAlignment="1" applyProtection="1"/>
    <xf numFmtId="37" fontId="4" fillId="32" borderId="77" xfId="340" applyNumberFormat="1" applyFont="1" applyFill="1" applyBorder="1" applyAlignment="1" applyProtection="1"/>
    <xf numFmtId="179" fontId="10" fillId="0" borderId="0" xfId="340" applyNumberFormat="1"/>
    <xf numFmtId="179" fontId="8" fillId="0" borderId="0" xfId="312" applyNumberFormat="1" applyFont="1" applyFill="1"/>
    <xf numFmtId="0" fontId="4" fillId="32" borderId="81" xfId="340" applyFont="1" applyFill="1" applyBorder="1" applyAlignment="1" applyProtection="1"/>
    <xf numFmtId="10" fontId="21" fillId="32" borderId="82" xfId="419" applyNumberFormat="1" applyFont="1" applyFill="1" applyBorder="1" applyAlignment="1" applyProtection="1">
      <alignment horizontal="right"/>
    </xf>
    <xf numFmtId="3" fontId="4" fillId="32" borderId="83" xfId="340" applyNumberFormat="1" applyFont="1" applyFill="1" applyBorder="1"/>
    <xf numFmtId="37" fontId="4" fillId="32" borderId="84" xfId="340" applyNumberFormat="1" applyFont="1" applyFill="1" applyBorder="1" applyAlignment="1"/>
    <xf numFmtId="0" fontId="4" fillId="32" borderId="83" xfId="340" applyFont="1" applyFill="1" applyBorder="1" applyAlignment="1"/>
    <xf numFmtId="0" fontId="4" fillId="32" borderId="83" xfId="340" applyFont="1" applyFill="1" applyBorder="1"/>
    <xf numFmtId="0" fontId="21" fillId="32" borderId="81" xfId="340" applyFont="1" applyFill="1" applyBorder="1" applyAlignment="1" applyProtection="1"/>
    <xf numFmtId="194" fontId="8" fillId="32" borderId="82" xfId="311" applyNumberFormat="1" applyFont="1" applyFill="1" applyBorder="1"/>
    <xf numFmtId="0" fontId="4" fillId="0" borderId="81" xfId="340" applyFont="1" applyFill="1" applyBorder="1" applyAlignment="1" applyProtection="1">
      <alignment horizontal="left"/>
    </xf>
    <xf numFmtId="3" fontId="4" fillId="0" borderId="82" xfId="340" applyNumberFormat="1" applyFont="1" applyFill="1" applyBorder="1" applyAlignment="1" applyProtection="1"/>
    <xf numFmtId="9" fontId="0" fillId="0" borderId="0" xfId="394" applyFont="1"/>
    <xf numFmtId="37" fontId="4" fillId="32" borderId="84" xfId="340" applyNumberFormat="1" applyFont="1" applyFill="1" applyBorder="1" applyAlignment="1">
      <alignment horizontal="left"/>
    </xf>
    <xf numFmtId="37" fontId="4" fillId="0" borderId="84" xfId="340" applyNumberFormat="1" applyFont="1" applyFill="1" applyBorder="1" applyAlignment="1">
      <alignment horizontal="left"/>
    </xf>
    <xf numFmtId="37" fontId="4" fillId="32" borderId="83" xfId="340" applyNumberFormat="1" applyFont="1" applyFill="1" applyBorder="1" applyAlignment="1">
      <alignment horizontal="left"/>
    </xf>
    <xf numFmtId="37" fontId="4" fillId="0" borderId="83" xfId="340" applyNumberFormat="1" applyFont="1" applyFill="1" applyBorder="1" applyAlignment="1">
      <alignment horizontal="left"/>
    </xf>
    <xf numFmtId="194" fontId="4" fillId="32" borderId="82" xfId="311" applyNumberFormat="1" applyFont="1" applyFill="1" applyBorder="1" applyAlignment="1" applyProtection="1"/>
    <xf numFmtId="194" fontId="4" fillId="0" borderId="82" xfId="311" applyNumberFormat="1" applyFont="1" applyFill="1" applyBorder="1" applyAlignment="1" applyProtection="1"/>
    <xf numFmtId="37" fontId="4" fillId="0" borderId="83" xfId="340" applyNumberFormat="1" applyFont="1" applyFill="1" applyBorder="1" applyAlignment="1"/>
    <xf numFmtId="194" fontId="21" fillId="32" borderId="82" xfId="312" applyNumberFormat="1" applyFont="1" applyFill="1" applyBorder="1" applyAlignment="1" applyProtection="1"/>
    <xf numFmtId="37" fontId="4" fillId="32" borderId="81" xfId="340" applyNumberFormat="1" applyFont="1" applyFill="1" applyBorder="1" applyAlignment="1" applyProtection="1">
      <alignment horizontal="left" indent="1"/>
    </xf>
    <xf numFmtId="194" fontId="21" fillId="32" borderId="82" xfId="311" applyNumberFormat="1" applyFont="1" applyFill="1" applyBorder="1" applyAlignment="1" applyProtection="1"/>
    <xf numFmtId="37" fontId="21" fillId="32" borderId="82" xfId="311" applyNumberFormat="1" applyFont="1" applyFill="1" applyBorder="1" applyAlignment="1" applyProtection="1"/>
    <xf numFmtId="194" fontId="3" fillId="0" borderId="0" xfId="340" applyNumberFormat="1" applyFont="1"/>
    <xf numFmtId="37" fontId="21" fillId="32" borderId="81" xfId="340" applyNumberFormat="1" applyFont="1" applyFill="1" applyBorder="1" applyAlignment="1" applyProtection="1"/>
    <xf numFmtId="3" fontId="10" fillId="0" borderId="0" xfId="340" applyNumberFormat="1"/>
    <xf numFmtId="3" fontId="4" fillId="32" borderId="82" xfId="340" applyNumberFormat="1" applyFont="1" applyFill="1" applyBorder="1" applyAlignment="1" applyProtection="1"/>
    <xf numFmtId="0" fontId="110" fillId="0" borderId="0" xfId="340" applyFont="1"/>
    <xf numFmtId="37" fontId="4" fillId="32" borderId="83" xfId="340" applyNumberFormat="1" applyFont="1" applyFill="1" applyBorder="1" applyAlignment="1"/>
    <xf numFmtId="194" fontId="0" fillId="0" borderId="0" xfId="394" applyNumberFormat="1" applyFont="1"/>
    <xf numFmtId="194" fontId="4" fillId="32" borderId="82" xfId="340" applyNumberFormat="1" applyFont="1" applyFill="1" applyBorder="1" applyAlignment="1" applyProtection="1"/>
    <xf numFmtId="194" fontId="4" fillId="0" borderId="82" xfId="340" applyNumberFormat="1" applyFont="1" applyFill="1" applyBorder="1" applyAlignment="1" applyProtection="1"/>
    <xf numFmtId="37" fontId="4" fillId="32" borderId="81" xfId="340" applyNumberFormat="1" applyFont="1" applyFill="1" applyBorder="1" applyAlignment="1" applyProtection="1"/>
    <xf numFmtId="43" fontId="10" fillId="0" borderId="0" xfId="340" applyNumberFormat="1"/>
    <xf numFmtId="181" fontId="0" fillId="0" borderId="0" xfId="279" applyFont="1"/>
    <xf numFmtId="3" fontId="21" fillId="32" borderId="82" xfId="340" applyNumberFormat="1" applyFont="1" applyFill="1" applyBorder="1" applyAlignment="1" applyProtection="1"/>
    <xf numFmtId="0" fontId="21" fillId="32" borderId="81" xfId="340" applyFont="1" applyFill="1" applyBorder="1" applyAlignment="1" applyProtection="1">
      <alignment horizontal="left"/>
    </xf>
    <xf numFmtId="194" fontId="21" fillId="32" borderId="82" xfId="340" applyNumberFormat="1" applyFont="1" applyFill="1" applyBorder="1" applyAlignment="1" applyProtection="1"/>
    <xf numFmtId="3" fontId="21" fillId="32" borderId="85" xfId="340" applyNumberFormat="1" applyFont="1" applyFill="1" applyBorder="1" applyAlignment="1" applyProtection="1"/>
    <xf numFmtId="0" fontId="4" fillId="32" borderId="81" xfId="340" applyFont="1" applyFill="1" applyBorder="1" applyAlignment="1" applyProtection="1">
      <alignment horizontal="left"/>
    </xf>
    <xf numFmtId="194" fontId="10" fillId="0" borderId="0" xfId="340" applyNumberFormat="1"/>
    <xf numFmtId="194" fontId="21" fillId="32" borderId="86" xfId="340" applyNumberFormat="1" applyFont="1" applyFill="1" applyBorder="1" applyAlignment="1" applyProtection="1">
      <alignment horizontal="right"/>
    </xf>
    <xf numFmtId="3" fontId="21" fillId="32" borderId="87" xfId="340" applyNumberFormat="1" applyFont="1" applyFill="1" applyBorder="1" applyAlignment="1" applyProtection="1">
      <alignment horizontal="right"/>
    </xf>
    <xf numFmtId="0" fontId="21" fillId="32" borderId="88" xfId="340" applyFont="1" applyFill="1" applyBorder="1" applyAlignment="1" applyProtection="1">
      <alignment horizontal="left"/>
    </xf>
    <xf numFmtId="0" fontId="10" fillId="0" borderId="0" xfId="340" applyNumberFormat="1"/>
    <xf numFmtId="3" fontId="4" fillId="0" borderId="0" xfId="340" applyNumberFormat="1" applyFont="1" applyAlignment="1" applyProtection="1">
      <alignment horizontal="centerContinuous" vertical="top"/>
    </xf>
    <xf numFmtId="194" fontId="4" fillId="0" borderId="0" xfId="340" applyNumberFormat="1" applyFont="1" applyAlignment="1" applyProtection="1">
      <alignment horizontal="centerContinuous" vertical="top"/>
    </xf>
    <xf numFmtId="3" fontId="4" fillId="0" borderId="0" xfId="340" applyNumberFormat="1" applyFont="1" applyFill="1" applyAlignment="1" applyProtection="1">
      <alignment horizontal="centerContinuous" vertical="top"/>
    </xf>
    <xf numFmtId="0" fontId="21" fillId="0" borderId="0" xfId="340" applyFont="1" applyAlignment="1" applyProtection="1">
      <alignment horizontal="centerContinuous" vertical="top"/>
    </xf>
    <xf numFmtId="183" fontId="21" fillId="32" borderId="10" xfId="311" applyNumberFormat="1" applyFont="1" applyFill="1" applyBorder="1"/>
    <xf numFmtId="183" fontId="4" fillId="32" borderId="10" xfId="311" applyNumberFormat="1" applyFont="1" applyFill="1" applyBorder="1"/>
    <xf numFmtId="183" fontId="6" fillId="32" borderId="10" xfId="311" applyNumberFormat="1" applyFont="1" applyFill="1" applyBorder="1"/>
    <xf numFmtId="0" fontId="26" fillId="32" borderId="0" xfId="0" applyFont="1" applyFill="1" applyAlignment="1">
      <alignment horizontal="center"/>
    </xf>
    <xf numFmtId="3" fontId="21" fillId="0" borderId="82" xfId="340" applyNumberFormat="1" applyFont="1" applyFill="1" applyBorder="1" applyAlignment="1" applyProtection="1"/>
    <xf numFmtId="0" fontId="2" fillId="0" borderId="89" xfId="0" applyFont="1" applyFill="1" applyBorder="1" applyAlignment="1"/>
    <xf numFmtId="3" fontId="2" fillId="0" borderId="0" xfId="0" applyNumberFormat="1" applyFont="1" applyFill="1" applyBorder="1"/>
    <xf numFmtId="37" fontId="0" fillId="0" borderId="0" xfId="0" applyNumberFormat="1" applyFill="1" applyBorder="1"/>
    <xf numFmtId="181" fontId="2" fillId="0" borderId="0" xfId="284" applyFont="1" applyFill="1" applyBorder="1"/>
    <xf numFmtId="9" fontId="0" fillId="0" borderId="0" xfId="391" applyFont="1" applyFill="1" applyBorder="1"/>
    <xf numFmtId="0" fontId="0" fillId="0" borderId="75" xfId="0" applyFill="1" applyBorder="1"/>
    <xf numFmtId="183" fontId="5" fillId="24" borderId="90" xfId="419" applyNumberFormat="1" applyFont="1" applyFill="1" applyBorder="1" applyAlignment="1"/>
    <xf numFmtId="4" fontId="21" fillId="24" borderId="91" xfId="347" applyNumberFormat="1" applyFont="1" applyFill="1" applyBorder="1"/>
    <xf numFmtId="0" fontId="6" fillId="0" borderId="89" xfId="347" applyFont="1" applyFill="1" applyBorder="1" applyAlignment="1"/>
    <xf numFmtId="3" fontId="6" fillId="0" borderId="0" xfId="347" applyNumberFormat="1" applyFont="1" applyFill="1" applyBorder="1"/>
    <xf numFmtId="0" fontId="6" fillId="0" borderId="0" xfId="347" applyFont="1" applyFill="1" applyBorder="1"/>
    <xf numFmtId="0" fontId="5" fillId="0" borderId="0" xfId="347" applyFont="1" applyFill="1" applyBorder="1" applyAlignment="1">
      <alignment horizontal="center"/>
    </xf>
    <xf numFmtId="3" fontId="5" fillId="0" borderId="0" xfId="347" applyNumberFormat="1" applyFont="1" applyFill="1" applyBorder="1" applyAlignment="1">
      <alignment horizontal="center"/>
    </xf>
    <xf numFmtId="183" fontId="6" fillId="0" borderId="0" xfId="419" applyNumberFormat="1" applyFont="1" applyFill="1" applyBorder="1"/>
    <xf numFmtId="0" fontId="6" fillId="0" borderId="75" xfId="347" applyFont="1" applyFill="1" applyBorder="1"/>
    <xf numFmtId="183" fontId="5" fillId="24" borderId="92" xfId="419" applyNumberFormat="1" applyFont="1" applyFill="1" applyBorder="1" applyAlignment="1">
      <alignment wrapText="1"/>
    </xf>
    <xf numFmtId="183" fontId="5" fillId="24" borderId="93" xfId="419" applyNumberFormat="1" applyFont="1" applyFill="1" applyBorder="1" applyAlignment="1">
      <alignment wrapText="1"/>
    </xf>
    <xf numFmtId="4" fontId="21" fillId="24" borderId="94" xfId="347" applyNumberFormat="1" applyFont="1" applyFill="1" applyBorder="1"/>
    <xf numFmtId="0" fontId="4" fillId="0" borderId="89" xfId="0" applyFont="1" applyFill="1" applyBorder="1"/>
    <xf numFmtId="0" fontId="4" fillId="0" borderId="0" xfId="0" applyFont="1" applyBorder="1"/>
    <xf numFmtId="3" fontId="4" fillId="0" borderId="0" xfId="0" applyNumberFormat="1" applyFont="1" applyBorder="1" applyAlignment="1">
      <alignment horizontal="center"/>
    </xf>
    <xf numFmtId="0" fontId="4" fillId="0" borderId="0" xfId="0" applyFont="1" applyFill="1" applyBorder="1"/>
    <xf numFmtId="185" fontId="46" fillId="0" borderId="0" xfId="0" applyNumberFormat="1" applyFont="1" applyFill="1" applyBorder="1"/>
    <xf numFmtId="0" fontId="4" fillId="0" borderId="75" xfId="0" applyFont="1" applyBorder="1"/>
    <xf numFmtId="185" fontId="4" fillId="0" borderId="0" xfId="0" applyNumberFormat="1" applyFont="1" applyBorder="1"/>
    <xf numFmtId="3" fontId="4" fillId="0" borderId="0" xfId="0" applyNumberFormat="1" applyFont="1" applyFill="1" applyBorder="1"/>
    <xf numFmtId="0" fontId="21" fillId="32" borderId="95" xfId="0" applyFont="1" applyFill="1" applyBorder="1" applyAlignment="1">
      <alignment horizontal="center"/>
    </xf>
    <xf numFmtId="185" fontId="21" fillId="32" borderId="96" xfId="318" applyNumberFormat="1" applyFont="1" applyFill="1" applyBorder="1" applyAlignment="1">
      <alignment horizontal="center"/>
    </xf>
    <xf numFmtId="0" fontId="21" fillId="32" borderId="97" xfId="0" applyFont="1" applyFill="1" applyBorder="1" applyAlignment="1">
      <alignment horizontal="center"/>
    </xf>
    <xf numFmtId="185" fontId="21" fillId="32" borderId="98" xfId="318" applyNumberFormat="1" applyFont="1" applyFill="1" applyBorder="1" applyAlignment="1">
      <alignment horizontal="center"/>
    </xf>
    <xf numFmtId="0" fontId="21" fillId="32" borderId="99" xfId="0" applyFont="1" applyFill="1" applyBorder="1" applyAlignment="1">
      <alignment horizontal="center"/>
    </xf>
    <xf numFmtId="185" fontId="21" fillId="32" borderId="100" xfId="318" applyNumberFormat="1" applyFont="1" applyFill="1" applyBorder="1" applyAlignment="1">
      <alignment horizontal="center"/>
    </xf>
    <xf numFmtId="0" fontId="21" fillId="32" borderId="101" xfId="0" applyFont="1" applyFill="1" applyBorder="1" applyAlignment="1"/>
    <xf numFmtId="9" fontId="21" fillId="32" borderId="102" xfId="391" applyNumberFormat="1" applyFont="1" applyFill="1" applyBorder="1" applyAlignment="1">
      <alignment horizontal="right"/>
    </xf>
    <xf numFmtId="0" fontId="21" fillId="32" borderId="103" xfId="0" applyFont="1" applyFill="1" applyBorder="1" applyAlignment="1">
      <alignment horizontal="center"/>
    </xf>
    <xf numFmtId="9" fontId="21" fillId="32" borderId="104" xfId="318" applyNumberFormat="1" applyFont="1" applyFill="1" applyBorder="1" applyAlignment="1">
      <alignment horizontal="center"/>
    </xf>
    <xf numFmtId="0" fontId="21" fillId="32" borderId="103" xfId="0" applyFont="1" applyFill="1" applyBorder="1"/>
    <xf numFmtId="9" fontId="21" fillId="32" borderId="104" xfId="391" applyNumberFormat="1" applyFont="1" applyFill="1" applyBorder="1"/>
    <xf numFmtId="0" fontId="4" fillId="32" borderId="103" xfId="0" applyFont="1" applyFill="1" applyBorder="1"/>
    <xf numFmtId="9" fontId="4" fillId="32" borderId="104" xfId="391" applyNumberFormat="1" applyFont="1" applyFill="1" applyBorder="1"/>
    <xf numFmtId="9" fontId="4" fillId="0" borderId="104" xfId="391" applyNumberFormat="1" applyFont="1" applyFill="1" applyBorder="1"/>
    <xf numFmtId="9" fontId="4" fillId="32" borderId="104" xfId="391" applyFont="1" applyFill="1" applyBorder="1"/>
    <xf numFmtId="0" fontId="21" fillId="32" borderId="105" xfId="0" applyFont="1" applyFill="1" applyBorder="1"/>
    <xf numFmtId="3" fontId="21" fillId="0" borderId="106" xfId="0" applyNumberFormat="1" applyFont="1" applyFill="1" applyBorder="1"/>
    <xf numFmtId="3" fontId="21" fillId="0" borderId="106" xfId="318" applyNumberFormat="1" applyFont="1" applyFill="1" applyBorder="1"/>
    <xf numFmtId="3" fontId="21" fillId="32" borderId="106" xfId="318" applyNumberFormat="1" applyFont="1" applyFill="1" applyBorder="1"/>
    <xf numFmtId="10" fontId="21" fillId="32" borderId="107" xfId="391" applyNumberFormat="1" applyFont="1" applyFill="1" applyBorder="1"/>
    <xf numFmtId="0" fontId="21" fillId="25" borderId="108" xfId="340" applyNumberFormat="1" applyFont="1" applyFill="1" applyBorder="1" applyAlignment="1" applyProtection="1">
      <alignment horizontal="center" vertical="center" wrapText="1"/>
    </xf>
    <xf numFmtId="0" fontId="21" fillId="25" borderId="109" xfId="340" applyNumberFormat="1" applyFont="1" applyFill="1" applyBorder="1" applyAlignment="1" applyProtection="1">
      <alignment horizontal="center" vertical="center" wrapText="1"/>
    </xf>
    <xf numFmtId="0" fontId="21" fillId="25" borderId="109" xfId="340" applyNumberFormat="1" applyFont="1" applyFill="1" applyBorder="1" applyAlignment="1" applyProtection="1">
      <alignment horizontal="center" vertical="center"/>
    </xf>
    <xf numFmtId="0" fontId="3" fillId="25" borderId="110" xfId="340" applyNumberFormat="1" applyFont="1" applyFill="1" applyBorder="1" applyAlignment="1" applyProtection="1">
      <alignment horizontal="center" vertical="center" wrapText="1"/>
    </xf>
    <xf numFmtId="0" fontId="21" fillId="32" borderId="111" xfId="340" applyFont="1" applyFill="1" applyBorder="1" applyAlignment="1" applyProtection="1">
      <alignment horizontal="left"/>
    </xf>
    <xf numFmtId="10" fontId="21" fillId="32" borderId="112" xfId="419" applyNumberFormat="1" applyFont="1" applyFill="1" applyBorder="1" applyAlignment="1" applyProtection="1">
      <alignment horizontal="right"/>
    </xf>
    <xf numFmtId="0" fontId="4" fillId="32" borderId="113" xfId="340" applyFont="1" applyFill="1" applyBorder="1" applyAlignment="1" applyProtection="1">
      <alignment horizontal="left"/>
    </xf>
    <xf numFmtId="10" fontId="21" fillId="32" borderId="114" xfId="419" applyNumberFormat="1" applyFont="1" applyFill="1" applyBorder="1" applyAlignment="1" applyProtection="1">
      <alignment horizontal="right"/>
    </xf>
    <xf numFmtId="0" fontId="21" fillId="32" borderId="113" xfId="340" applyFont="1" applyFill="1" applyBorder="1" applyAlignment="1" applyProtection="1">
      <alignment horizontal="left"/>
    </xf>
    <xf numFmtId="37" fontId="4" fillId="32" borderId="113" xfId="340" applyNumberFormat="1" applyFont="1" applyFill="1" applyBorder="1" applyAlignment="1" applyProtection="1"/>
    <xf numFmtId="10" fontId="4" fillId="32" borderId="114" xfId="419" applyNumberFormat="1" applyFont="1" applyFill="1" applyBorder="1" applyAlignment="1" applyProtection="1">
      <alignment horizontal="right"/>
    </xf>
    <xf numFmtId="37" fontId="4" fillId="32" borderId="11" xfId="340" applyNumberFormat="1" applyFont="1" applyFill="1" applyBorder="1" applyAlignment="1"/>
    <xf numFmtId="37" fontId="21" fillId="32" borderId="113" xfId="340" applyNumberFormat="1" applyFont="1" applyFill="1" applyBorder="1" applyAlignment="1" applyProtection="1"/>
    <xf numFmtId="0" fontId="21" fillId="32" borderId="113" xfId="340" applyFont="1" applyFill="1" applyBorder="1" applyAlignment="1" applyProtection="1"/>
    <xf numFmtId="0" fontId="4" fillId="32" borderId="11" xfId="340" applyFont="1" applyFill="1" applyBorder="1"/>
    <xf numFmtId="0" fontId="4" fillId="32" borderId="11" xfId="340" applyFont="1" applyFill="1" applyBorder="1" applyAlignment="1"/>
    <xf numFmtId="37" fontId="4" fillId="0" borderId="103" xfId="340" applyNumberFormat="1" applyFont="1" applyFill="1" applyBorder="1" applyAlignment="1"/>
    <xf numFmtId="3" fontId="4" fillId="32" borderId="11" xfId="340" applyNumberFormat="1" applyFont="1" applyFill="1" applyBorder="1"/>
    <xf numFmtId="37" fontId="4" fillId="32" borderId="103" xfId="340" applyNumberFormat="1" applyFont="1" applyFill="1" applyBorder="1" applyAlignment="1"/>
    <xf numFmtId="10" fontId="21" fillId="32" borderId="18" xfId="419" applyNumberFormat="1" applyFont="1" applyFill="1" applyBorder="1" applyAlignment="1" applyProtection="1">
      <alignment horizontal="right"/>
    </xf>
    <xf numFmtId="0" fontId="21" fillId="32" borderId="103" xfId="340" applyFont="1" applyFill="1" applyBorder="1" applyAlignment="1" applyProtection="1"/>
    <xf numFmtId="37" fontId="4" fillId="32" borderId="113" xfId="340" applyNumberFormat="1" applyFont="1" applyFill="1" applyBorder="1" applyAlignment="1" applyProtection="1">
      <alignment horizontal="left" indent="1"/>
    </xf>
    <xf numFmtId="37" fontId="4" fillId="0" borderId="11" xfId="340" applyNumberFormat="1" applyFont="1" applyFill="1" applyBorder="1" applyAlignment="1"/>
    <xf numFmtId="37" fontId="4" fillId="0" borderId="11" xfId="340" applyNumberFormat="1" applyFont="1" applyFill="1" applyBorder="1" applyAlignment="1">
      <alignment horizontal="left"/>
    </xf>
    <xf numFmtId="37" fontId="4" fillId="0" borderId="103" xfId="340" applyNumberFormat="1" applyFont="1" applyFill="1" applyBorder="1" applyAlignment="1">
      <alignment horizontal="left"/>
    </xf>
    <xf numFmtId="37" fontId="4" fillId="32" borderId="11" xfId="340" applyNumberFormat="1" applyFont="1" applyFill="1" applyBorder="1" applyAlignment="1">
      <alignment horizontal="left"/>
    </xf>
    <xf numFmtId="0" fontId="4" fillId="0" borderId="113" xfId="340" applyFont="1" applyFill="1" applyBorder="1" applyAlignment="1" applyProtection="1">
      <alignment horizontal="left"/>
    </xf>
    <xf numFmtId="37" fontId="111" fillId="0" borderId="103" xfId="340" applyNumberFormat="1" applyFont="1" applyFill="1" applyBorder="1" applyAlignment="1">
      <alignment horizontal="left"/>
    </xf>
    <xf numFmtId="0" fontId="4" fillId="32" borderId="113" xfId="340" applyFont="1" applyFill="1" applyBorder="1" applyAlignment="1" applyProtection="1"/>
    <xf numFmtId="37" fontId="4" fillId="32" borderId="115" xfId="340" applyNumberFormat="1" applyFont="1" applyFill="1" applyBorder="1" applyAlignment="1" applyProtection="1"/>
    <xf numFmtId="10" fontId="4" fillId="32" borderId="116" xfId="419" applyNumberFormat="1" applyFont="1" applyFill="1" applyBorder="1" applyAlignment="1" applyProtection="1">
      <alignment horizontal="right"/>
    </xf>
    <xf numFmtId="0" fontId="4" fillId="32" borderId="115" xfId="340" applyFont="1" applyFill="1" applyBorder="1" applyAlignment="1" applyProtection="1"/>
    <xf numFmtId="10" fontId="21" fillId="32" borderId="116" xfId="417" applyNumberFormat="1" applyFont="1" applyFill="1" applyBorder="1" applyAlignment="1" applyProtection="1">
      <alignment horizontal="right"/>
    </xf>
    <xf numFmtId="3" fontId="21" fillId="33" borderId="30" xfId="340" applyNumberFormat="1" applyFont="1" applyFill="1" applyBorder="1"/>
    <xf numFmtId="3" fontId="21" fillId="33" borderId="12" xfId="340" applyNumberFormat="1" applyFont="1" applyFill="1" applyBorder="1"/>
    <xf numFmtId="10" fontId="21" fillId="33" borderId="117" xfId="394" applyNumberFormat="1" applyFont="1" applyFill="1" applyBorder="1"/>
    <xf numFmtId="181" fontId="21" fillId="0" borderId="118" xfId="311" applyFont="1" applyFill="1" applyBorder="1"/>
    <xf numFmtId="10" fontId="21" fillId="0" borderId="119" xfId="417" applyNumberFormat="1" applyFont="1" applyFill="1" applyBorder="1"/>
    <xf numFmtId="181" fontId="4" fillId="0" borderId="118" xfId="311" applyFont="1" applyFill="1" applyBorder="1"/>
    <xf numFmtId="10" fontId="4" fillId="0" borderId="119" xfId="417" applyNumberFormat="1" applyFont="1" applyFill="1" applyBorder="1"/>
    <xf numFmtId="181" fontId="21" fillId="0" borderId="118" xfId="311" applyFont="1" applyFill="1" applyBorder="1" applyAlignment="1">
      <alignment horizontal="left" vertical="center" wrapText="1"/>
    </xf>
    <xf numFmtId="181" fontId="21" fillId="0" borderId="120" xfId="311" applyFont="1" applyFill="1" applyBorder="1"/>
    <xf numFmtId="183" fontId="5" fillId="0" borderId="121" xfId="311" applyNumberFormat="1" applyFont="1" applyFill="1" applyBorder="1"/>
    <xf numFmtId="183" fontId="21" fillId="0" borderId="121" xfId="311" applyNumberFormat="1" applyFont="1" applyFill="1" applyBorder="1"/>
    <xf numFmtId="183" fontId="21" fillId="0" borderId="121" xfId="305" applyNumberFormat="1" applyFont="1" applyFill="1" applyBorder="1"/>
    <xf numFmtId="183" fontId="5" fillId="0" borderId="121" xfId="305" applyNumberFormat="1" applyFont="1" applyFill="1" applyBorder="1"/>
    <xf numFmtId="183" fontId="21" fillId="32" borderId="121" xfId="311" applyNumberFormat="1" applyFont="1" applyFill="1" applyBorder="1"/>
    <xf numFmtId="9" fontId="21" fillId="32" borderId="121" xfId="417" applyFont="1" applyFill="1" applyBorder="1"/>
    <xf numFmtId="10" fontId="21" fillId="0" borderId="122" xfId="417" applyNumberFormat="1" applyFont="1" applyFill="1" applyBorder="1"/>
    <xf numFmtId="10" fontId="4" fillId="32" borderId="85" xfId="419" applyNumberFormat="1" applyFont="1" applyFill="1" applyBorder="1" applyAlignment="1" applyProtection="1">
      <alignment horizontal="right"/>
    </xf>
    <xf numFmtId="0" fontId="21" fillId="0" borderId="69" xfId="0" applyFont="1" applyFill="1" applyBorder="1" applyAlignment="1">
      <alignment horizontal="left" wrapText="1"/>
    </xf>
    <xf numFmtId="0" fontId="22" fillId="0" borderId="123" xfId="0" applyFont="1" applyFill="1" applyBorder="1" applyAlignment="1">
      <alignment wrapText="1"/>
    </xf>
    <xf numFmtId="0" fontId="21" fillId="0" borderId="124" xfId="0" applyFont="1" applyFill="1" applyBorder="1" applyAlignment="1">
      <alignment wrapText="1"/>
    </xf>
    <xf numFmtId="0" fontId="21" fillId="0" borderId="123" xfId="0" applyFont="1" applyFill="1" applyBorder="1" applyAlignment="1">
      <alignment wrapText="1"/>
    </xf>
    <xf numFmtId="0" fontId="22" fillId="0" borderId="125" xfId="0" applyFont="1" applyFill="1" applyBorder="1" applyAlignment="1">
      <alignment wrapText="1"/>
    </xf>
    <xf numFmtId="185" fontId="21" fillId="0" borderId="59" xfId="318" applyNumberFormat="1" applyFont="1" applyFill="1" applyBorder="1" applyAlignment="1">
      <alignment wrapText="1"/>
    </xf>
    <xf numFmtId="183" fontId="22" fillId="0" borderId="126" xfId="317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1" fillId="0" borderId="0" xfId="0" applyFont="1" applyFill="1" applyAlignment="1"/>
    <xf numFmtId="2" fontId="0" fillId="0" borderId="0" xfId="391" applyNumberFormat="1" applyFont="1" applyFill="1"/>
    <xf numFmtId="3" fontId="112" fillId="0" borderId="13" xfId="0" applyNumberFormat="1" applyFont="1" applyFill="1" applyBorder="1"/>
    <xf numFmtId="3" fontId="104" fillId="0" borderId="13" xfId="0" applyNumberFormat="1" applyFont="1" applyFill="1" applyBorder="1"/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183" fontId="19" fillId="0" borderId="34" xfId="275" applyNumberFormat="1" applyFont="1" applyFill="1" applyBorder="1" applyAlignment="1">
      <alignment wrapText="1"/>
    </xf>
    <xf numFmtId="183" fontId="22" fillId="0" borderId="41" xfId="391" applyNumberFormat="1" applyFont="1" applyFill="1" applyBorder="1" applyAlignment="1">
      <alignment wrapText="1"/>
    </xf>
    <xf numFmtId="183" fontId="8" fillId="0" borderId="0" xfId="0" applyNumberFormat="1" applyFont="1" applyFill="1"/>
    <xf numFmtId="185" fontId="21" fillId="25" borderId="46" xfId="318" applyNumberFormat="1" applyFont="1" applyFill="1" applyBorder="1" applyAlignment="1">
      <alignment horizontal="center" wrapText="1"/>
    </xf>
    <xf numFmtId="183" fontId="22" fillId="25" borderId="127" xfId="317" applyNumberFormat="1" applyFont="1" applyFill="1" applyBorder="1" applyAlignment="1">
      <alignment wrapText="1"/>
    </xf>
    <xf numFmtId="185" fontId="21" fillId="0" borderId="128" xfId="318" applyNumberFormat="1" applyFont="1" applyFill="1" applyBorder="1" applyAlignment="1">
      <alignment wrapText="1"/>
    </xf>
    <xf numFmtId="183" fontId="22" fillId="0" borderId="127" xfId="317" applyNumberFormat="1" applyFont="1" applyFill="1" applyBorder="1" applyAlignment="1">
      <alignment wrapText="1"/>
    </xf>
    <xf numFmtId="183" fontId="21" fillId="0" borderId="127" xfId="317" applyNumberFormat="1" applyFont="1" applyFill="1" applyBorder="1" applyAlignment="1">
      <alignment wrapText="1"/>
    </xf>
    <xf numFmtId="183" fontId="21" fillId="0" borderId="128" xfId="317" applyNumberFormat="1" applyFont="1" applyFill="1" applyBorder="1" applyAlignment="1">
      <alignment wrapText="1"/>
    </xf>
    <xf numFmtId="183" fontId="22" fillId="0" borderId="127" xfId="391" applyNumberFormat="1" applyFont="1" applyFill="1" applyBorder="1" applyAlignment="1">
      <alignment wrapText="1"/>
    </xf>
    <xf numFmtId="183" fontId="22" fillId="0" borderId="129" xfId="317" applyNumberFormat="1" applyFont="1" applyFill="1" applyBorder="1" applyAlignment="1">
      <alignment wrapText="1"/>
    </xf>
    <xf numFmtId="183" fontId="24" fillId="0" borderId="0" xfId="275" applyNumberFormat="1" applyFont="1" applyFill="1" applyBorder="1"/>
    <xf numFmtId="9" fontId="21" fillId="0" borderId="18" xfId="391" applyNumberFormat="1" applyFont="1" applyFill="1" applyBorder="1"/>
    <xf numFmtId="9" fontId="4" fillId="0" borderId="18" xfId="391" applyNumberFormat="1" applyFont="1" applyFill="1" applyBorder="1"/>
    <xf numFmtId="9" fontId="21" fillId="0" borderId="74" xfId="391" applyNumberFormat="1" applyFont="1" applyFill="1" applyBorder="1"/>
    <xf numFmtId="9" fontId="21" fillId="0" borderId="75" xfId="391" applyNumberFormat="1" applyFont="1" applyFill="1" applyBorder="1"/>
    <xf numFmtId="9" fontId="21" fillId="0" borderId="76" xfId="391" applyNumberFormat="1" applyFont="1" applyFill="1" applyBorder="1"/>
    <xf numFmtId="9" fontId="21" fillId="0" borderId="130" xfId="391" applyNumberFormat="1" applyFont="1" applyFill="1" applyBorder="1" applyAlignment="1">
      <alignment wrapText="1"/>
    </xf>
    <xf numFmtId="9" fontId="4" fillId="0" borderId="130" xfId="391" applyNumberFormat="1" applyFont="1" applyFill="1" applyBorder="1" applyAlignment="1">
      <alignment wrapText="1"/>
    </xf>
    <xf numFmtId="9" fontId="4" fillId="0" borderId="127" xfId="391" applyNumberFormat="1" applyFont="1" applyFill="1" applyBorder="1" applyAlignment="1">
      <alignment wrapText="1"/>
    </xf>
    <xf numFmtId="9" fontId="21" fillId="0" borderId="14" xfId="391" applyNumberFormat="1" applyFont="1" applyFill="1" applyBorder="1" applyAlignment="1">
      <alignment wrapText="1"/>
    </xf>
    <xf numFmtId="37" fontId="21" fillId="0" borderId="11" xfId="0" applyNumberFormat="1" applyFont="1" applyFill="1" applyBorder="1" applyAlignment="1">
      <alignment horizontal="left" wrapText="1"/>
    </xf>
    <xf numFmtId="0" fontId="21" fillId="32" borderId="131" xfId="0" applyFont="1" applyFill="1" applyBorder="1" applyAlignment="1">
      <alignment horizontal="center" wrapText="1"/>
    </xf>
    <xf numFmtId="0" fontId="21" fillId="32" borderId="132" xfId="0" applyFont="1" applyFill="1" applyBorder="1" applyAlignment="1">
      <alignment horizontal="center" wrapText="1"/>
    </xf>
    <xf numFmtId="0" fontId="21" fillId="32" borderId="133" xfId="0" applyFont="1" applyFill="1" applyBorder="1" applyAlignment="1">
      <alignment horizontal="center" wrapText="1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5" fillId="32" borderId="40" xfId="0" applyFont="1" applyFill="1" applyBorder="1" applyAlignment="1">
      <alignment horizontal="center" vertical="center" wrapText="1"/>
    </xf>
    <xf numFmtId="0" fontId="5" fillId="32" borderId="36" xfId="0" applyFont="1" applyFill="1" applyBorder="1" applyAlignment="1">
      <alignment horizontal="center" vertical="center" wrapText="1"/>
    </xf>
    <xf numFmtId="0" fontId="5" fillId="32" borderId="3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17" fillId="0" borderId="39" xfId="0" applyFont="1" applyFill="1" applyBorder="1" applyAlignment="1">
      <alignment horizontal="left" vertical="center" wrapText="1"/>
    </xf>
    <xf numFmtId="0" fontId="17" fillId="0" borderId="67" xfId="0" applyFont="1" applyFill="1" applyBorder="1" applyAlignment="1">
      <alignment horizontal="left" vertical="center" wrapText="1"/>
    </xf>
    <xf numFmtId="0" fontId="3" fillId="26" borderId="39" xfId="0" applyFont="1" applyFill="1" applyBorder="1" applyAlignment="1">
      <alignment horizontal="center" vertical="center" wrapText="1"/>
    </xf>
    <xf numFmtId="0" fontId="3" fillId="26" borderId="67" xfId="0" applyFont="1" applyFill="1" applyBorder="1" applyAlignment="1">
      <alignment horizontal="center" vertical="center" wrapText="1"/>
    </xf>
    <xf numFmtId="0" fontId="18" fillId="24" borderId="10" xfId="0" applyFont="1" applyFill="1" applyBorder="1" applyAlignment="1">
      <alignment horizontal="center" vertical="center" wrapText="1"/>
    </xf>
    <xf numFmtId="0" fontId="20" fillId="25" borderId="0" xfId="0" applyFont="1" applyFill="1" applyBorder="1" applyAlignment="1">
      <alignment horizontal="right"/>
    </xf>
    <xf numFmtId="0" fontId="17" fillId="0" borderId="39" xfId="0" applyFont="1" applyFill="1" applyBorder="1" applyAlignment="1">
      <alignment horizontal="left" wrapText="1"/>
    </xf>
    <xf numFmtId="0" fontId="17" fillId="0" borderId="67" xfId="0" applyFont="1" applyFill="1" applyBorder="1" applyAlignment="1">
      <alignment horizontal="left" wrapText="1"/>
    </xf>
    <xf numFmtId="0" fontId="18" fillId="24" borderId="39" xfId="0" applyFont="1" applyFill="1" applyBorder="1" applyAlignment="1">
      <alignment horizontal="center" vertical="center" wrapText="1"/>
    </xf>
    <xf numFmtId="0" fontId="18" fillId="24" borderId="67" xfId="0" applyFont="1" applyFill="1" applyBorder="1" applyAlignment="1">
      <alignment horizontal="center" vertical="center" wrapText="1"/>
    </xf>
    <xf numFmtId="0" fontId="3" fillId="26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wrapText="1"/>
    </xf>
    <xf numFmtId="3" fontId="73" fillId="43" borderId="45" xfId="347" applyNumberFormat="1" applyFont="1" applyFill="1" applyBorder="1" applyAlignment="1">
      <alignment horizontal="center"/>
    </xf>
    <xf numFmtId="3" fontId="73" fillId="43" borderId="0" xfId="347" applyNumberFormat="1" applyFont="1" applyFill="1" applyBorder="1" applyAlignment="1">
      <alignment horizontal="center"/>
    </xf>
    <xf numFmtId="3" fontId="73" fillId="43" borderId="46" xfId="347" applyNumberFormat="1" applyFont="1" applyFill="1" applyBorder="1" applyAlignment="1">
      <alignment horizontal="center"/>
    </xf>
    <xf numFmtId="3" fontId="74" fillId="43" borderId="45" xfId="347" applyNumberFormat="1" applyFont="1" applyFill="1" applyBorder="1" applyAlignment="1">
      <alignment horizontal="center"/>
    </xf>
    <xf numFmtId="3" fontId="74" fillId="43" borderId="0" xfId="347" applyNumberFormat="1" applyFont="1" applyFill="1" applyBorder="1" applyAlignment="1">
      <alignment horizontal="center"/>
    </xf>
    <xf numFmtId="3" fontId="74" fillId="43" borderId="46" xfId="347" applyNumberFormat="1" applyFont="1" applyFill="1" applyBorder="1" applyAlignment="1">
      <alignment horizontal="center"/>
    </xf>
    <xf numFmtId="0" fontId="3" fillId="29" borderId="0" xfId="347" applyFont="1" applyFill="1" applyBorder="1" applyAlignment="1">
      <alignment horizontal="center"/>
    </xf>
    <xf numFmtId="0" fontId="3" fillId="30" borderId="39" xfId="347" applyFont="1" applyFill="1" applyBorder="1" applyAlignment="1">
      <alignment horizontal="center"/>
    </xf>
    <xf numFmtId="0" fontId="3" fillId="30" borderId="67" xfId="347" applyFont="1" applyFill="1" applyBorder="1" applyAlignment="1">
      <alignment horizontal="center"/>
    </xf>
    <xf numFmtId="0" fontId="3" fillId="30" borderId="10" xfId="347" applyFont="1" applyFill="1" applyBorder="1" applyAlignment="1">
      <alignment horizontal="center"/>
    </xf>
    <xf numFmtId="0" fontId="70" fillId="35" borderId="134" xfId="340" applyFont="1" applyFill="1" applyBorder="1" applyAlignment="1">
      <alignment horizontal="center"/>
    </xf>
    <xf numFmtId="0" fontId="70" fillId="35" borderId="38" xfId="340" applyFont="1" applyFill="1" applyBorder="1" applyAlignment="1">
      <alignment horizontal="center"/>
    </xf>
    <xf numFmtId="0" fontId="3" fillId="0" borderId="0" xfId="347" applyFont="1" applyFill="1" applyBorder="1" applyAlignment="1">
      <alignment horizontal="center" vertical="center"/>
    </xf>
    <xf numFmtId="0" fontId="3" fillId="30" borderId="10" xfId="347" applyFont="1" applyFill="1" applyBorder="1" applyAlignment="1">
      <alignment horizontal="center" vertical="center"/>
    </xf>
    <xf numFmtId="0" fontId="3" fillId="25" borderId="10" xfId="347" applyFont="1" applyFill="1" applyBorder="1" applyAlignment="1">
      <alignment horizontal="center" vertical="center" wrapText="1"/>
    </xf>
    <xf numFmtId="0" fontId="10" fillId="0" borderId="0" xfId="347" applyFont="1" applyBorder="1" applyAlignment="1">
      <alignment horizontal="center" vertical="center"/>
    </xf>
    <xf numFmtId="190" fontId="10" fillId="0" borderId="0" xfId="347" applyNumberFormat="1" applyBorder="1" applyAlignment="1">
      <alignment horizontal="center" vertical="center"/>
    </xf>
    <xf numFmtId="190" fontId="10" fillId="0" borderId="0" xfId="347" applyNumberFormat="1" applyBorder="1" applyAlignment="1">
      <alignment horizontal="center"/>
    </xf>
    <xf numFmtId="0" fontId="10" fillId="0" borderId="0" xfId="347" applyBorder="1" applyAlignment="1">
      <alignment horizontal="center" vertical="center"/>
    </xf>
    <xf numFmtId="0" fontId="3" fillId="0" borderId="0" xfId="347" applyFont="1" applyFill="1" applyBorder="1" applyAlignment="1">
      <alignment horizontal="center"/>
    </xf>
    <xf numFmtId="0" fontId="7" fillId="29" borderId="10" xfId="263" applyFill="1" applyBorder="1" applyAlignment="1" applyProtection="1">
      <alignment horizontal="center"/>
    </xf>
    <xf numFmtId="0" fontId="10" fillId="0" borderId="0" xfId="347" applyBorder="1" applyAlignment="1">
      <alignment horizontal="center"/>
    </xf>
    <xf numFmtId="0" fontId="21" fillId="24" borderId="135" xfId="0" applyFont="1" applyFill="1" applyBorder="1" applyAlignment="1">
      <alignment horizontal="center"/>
    </xf>
    <xf numFmtId="0" fontId="21" fillId="24" borderId="136" xfId="0" applyFont="1" applyFill="1" applyBorder="1" applyAlignment="1">
      <alignment horizontal="center"/>
    </xf>
    <xf numFmtId="0" fontId="21" fillId="24" borderId="137" xfId="0" applyFont="1" applyFill="1" applyBorder="1" applyAlignment="1">
      <alignment horizontal="center"/>
    </xf>
    <xf numFmtId="0" fontId="21" fillId="24" borderId="138" xfId="0" applyFont="1" applyFill="1" applyBorder="1" applyAlignment="1">
      <alignment horizontal="center"/>
    </xf>
    <xf numFmtId="0" fontId="21" fillId="24" borderId="37" xfId="0" applyFont="1" applyFill="1" applyBorder="1" applyAlignment="1">
      <alignment horizontal="center"/>
    </xf>
    <xf numFmtId="0" fontId="21" fillId="24" borderId="139" xfId="0" applyFont="1" applyFill="1" applyBorder="1" applyAlignment="1">
      <alignment horizontal="center"/>
    </xf>
    <xf numFmtId="0" fontId="21" fillId="24" borderId="16" xfId="0" applyFont="1" applyFill="1" applyBorder="1" applyAlignment="1">
      <alignment horizontal="center"/>
    </xf>
    <xf numFmtId="0" fontId="21" fillId="24" borderId="33" xfId="0" applyFont="1" applyFill="1" applyBorder="1" applyAlignment="1">
      <alignment horizontal="center"/>
    </xf>
    <xf numFmtId="183" fontId="21" fillId="24" borderId="140" xfId="316" applyNumberFormat="1" applyFont="1" applyFill="1" applyBorder="1" applyAlignment="1">
      <alignment horizontal="center"/>
    </xf>
    <xf numFmtId="183" fontId="21" fillId="24" borderId="67" xfId="316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 wrapText="1"/>
    </xf>
    <xf numFmtId="0" fontId="28" fillId="25" borderId="141" xfId="0" applyFont="1" applyFill="1" applyBorder="1" applyAlignment="1">
      <alignment horizontal="center"/>
    </xf>
    <xf numFmtId="0" fontId="28" fillId="25" borderId="142" xfId="0" applyFont="1" applyFill="1" applyBorder="1" applyAlignment="1">
      <alignment horizontal="center"/>
    </xf>
    <xf numFmtId="0" fontId="28" fillId="25" borderId="143" xfId="0" applyFont="1" applyFill="1" applyBorder="1" applyAlignment="1">
      <alignment horizontal="center"/>
    </xf>
    <xf numFmtId="0" fontId="21" fillId="25" borderId="16" xfId="0" applyFont="1" applyFill="1" applyBorder="1" applyAlignment="1">
      <alignment horizontal="center"/>
    </xf>
    <xf numFmtId="0" fontId="21" fillId="25" borderId="33" xfId="0" applyFont="1" applyFill="1" applyBorder="1" applyAlignment="1">
      <alignment horizontal="center"/>
    </xf>
    <xf numFmtId="0" fontId="21" fillId="25" borderId="25" xfId="0" applyFont="1" applyFill="1" applyBorder="1" applyAlignment="1">
      <alignment horizontal="center"/>
    </xf>
    <xf numFmtId="0" fontId="37" fillId="25" borderId="35" xfId="0" applyFont="1" applyFill="1" applyBorder="1" applyAlignment="1">
      <alignment horizontal="center"/>
    </xf>
    <xf numFmtId="0" fontId="37" fillId="25" borderId="144" xfId="0" applyFont="1" applyFill="1" applyBorder="1" applyAlignment="1">
      <alignment horizontal="center"/>
    </xf>
    <xf numFmtId="0" fontId="37" fillId="25" borderId="145" xfId="0" applyFont="1" applyFill="1" applyBorder="1" applyAlignment="1">
      <alignment horizontal="center"/>
    </xf>
    <xf numFmtId="0" fontId="37" fillId="25" borderId="44" xfId="0" applyFont="1" applyFill="1" applyBorder="1" applyAlignment="1">
      <alignment horizontal="center"/>
    </xf>
    <xf numFmtId="0" fontId="37" fillId="25" borderId="10" xfId="0" applyFont="1" applyFill="1" applyBorder="1" applyAlignment="1">
      <alignment horizontal="center"/>
    </xf>
    <xf numFmtId="0" fontId="37" fillId="25" borderId="48" xfId="0" applyFont="1" applyFill="1" applyBorder="1" applyAlignment="1">
      <alignment horizontal="center"/>
    </xf>
    <xf numFmtId="0" fontId="21" fillId="0" borderId="0" xfId="340" applyFont="1" applyAlignment="1" applyProtection="1">
      <alignment horizontal="center"/>
    </xf>
    <xf numFmtId="0" fontId="21" fillId="0" borderId="0" xfId="340" applyFont="1" applyAlignment="1" applyProtection="1">
      <alignment horizontal="center" vertical="top"/>
    </xf>
    <xf numFmtId="183" fontId="21" fillId="32" borderId="146" xfId="311" applyNumberFormat="1" applyFont="1" applyFill="1" applyBorder="1" applyAlignment="1">
      <alignment horizontal="center" vertical="center" wrapText="1"/>
    </xf>
    <xf numFmtId="183" fontId="21" fillId="32" borderId="19" xfId="311" applyNumberFormat="1" applyFont="1" applyFill="1" applyBorder="1" applyAlignment="1">
      <alignment horizontal="center" vertical="center" wrapText="1"/>
    </xf>
    <xf numFmtId="181" fontId="21" fillId="32" borderId="146" xfId="311" applyFont="1" applyFill="1" applyBorder="1" applyAlignment="1">
      <alignment horizontal="center" vertical="center" wrapText="1"/>
    </xf>
    <xf numFmtId="181" fontId="21" fillId="32" borderId="19" xfId="311" applyFont="1" applyFill="1" applyBorder="1" applyAlignment="1">
      <alignment horizontal="center" vertical="center" wrapText="1"/>
    </xf>
    <xf numFmtId="181" fontId="21" fillId="0" borderId="147" xfId="311" applyFont="1" applyFill="1" applyBorder="1" applyAlignment="1">
      <alignment horizontal="center" vertical="center" wrapText="1"/>
    </xf>
    <xf numFmtId="181" fontId="21" fillId="0" borderId="148" xfId="311" applyFont="1" applyFill="1" applyBorder="1" applyAlignment="1">
      <alignment horizontal="center" vertical="center" wrapText="1"/>
    </xf>
    <xf numFmtId="181" fontId="21" fillId="0" borderId="146" xfId="311" applyFont="1" applyFill="1" applyBorder="1" applyAlignment="1">
      <alignment horizontal="center" vertical="center" wrapText="1"/>
    </xf>
    <xf numFmtId="181" fontId="21" fillId="0" borderId="19" xfId="311" applyFont="1" applyFill="1" applyBorder="1" applyAlignment="1">
      <alignment horizontal="center" vertical="center" wrapText="1"/>
    </xf>
    <xf numFmtId="181" fontId="21" fillId="0" borderId="149" xfId="311" applyFont="1" applyFill="1" applyBorder="1" applyAlignment="1">
      <alignment horizontal="center" vertical="center" wrapText="1"/>
    </xf>
    <xf numFmtId="181" fontId="21" fillId="0" borderId="150" xfId="311" applyFont="1" applyFill="1" applyBorder="1" applyAlignment="1">
      <alignment horizontal="center" vertical="center" wrapText="1"/>
    </xf>
    <xf numFmtId="0" fontId="21" fillId="0" borderId="19" xfId="340" applyFont="1" applyFill="1" applyBorder="1" applyAlignment="1">
      <alignment horizontal="center" vertical="center" wrapText="1"/>
    </xf>
    <xf numFmtId="0" fontId="20" fillId="24" borderId="40" xfId="0" applyFont="1" applyFill="1" applyBorder="1" applyAlignment="1">
      <alignment horizontal="center" wrapText="1"/>
    </xf>
    <xf numFmtId="0" fontId="20" fillId="24" borderId="34" xfId="0" applyFont="1" applyFill="1" applyBorder="1" applyAlignment="1">
      <alignment horizontal="center" wrapText="1"/>
    </xf>
    <xf numFmtId="0" fontId="20" fillId="24" borderId="40" xfId="0" applyFont="1" applyFill="1" applyBorder="1" applyAlignment="1">
      <alignment horizontal="center"/>
    </xf>
    <xf numFmtId="0" fontId="20" fillId="24" borderId="34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4" borderId="69" xfId="0" applyFont="1" applyFill="1" applyBorder="1" applyAlignment="1">
      <alignment horizontal="center" vertical="center" wrapText="1"/>
    </xf>
    <xf numFmtId="0" fontId="20" fillId="24" borderId="70" xfId="0" applyFont="1" applyFill="1" applyBorder="1" applyAlignment="1">
      <alignment horizontal="center" vertical="center" wrapText="1"/>
    </xf>
    <xf numFmtId="0" fontId="20" fillId="24" borderId="72" xfId="0" applyFont="1" applyFill="1" applyBorder="1" applyAlignment="1">
      <alignment horizontal="center" vertical="center" wrapText="1"/>
    </xf>
    <xf numFmtId="0" fontId="20" fillId="24" borderId="71" xfId="0" applyFont="1" applyFill="1" applyBorder="1" applyAlignment="1">
      <alignment horizontal="center" vertical="center" wrapText="1"/>
    </xf>
    <xf numFmtId="0" fontId="20" fillId="24" borderId="37" xfId="0" applyFont="1" applyFill="1" applyBorder="1" applyAlignment="1">
      <alignment horizontal="center" vertical="center" wrapText="1"/>
    </xf>
    <xf numFmtId="0" fontId="20" fillId="24" borderId="68" xfId="0" applyFont="1" applyFill="1" applyBorder="1" applyAlignment="1">
      <alignment horizontal="center" vertical="center" wrapText="1"/>
    </xf>
    <xf numFmtId="0" fontId="20" fillId="24" borderId="72" xfId="0" applyFont="1" applyFill="1" applyBorder="1" applyAlignment="1">
      <alignment horizontal="center" wrapText="1"/>
    </xf>
    <xf numFmtId="0" fontId="20" fillId="24" borderId="68" xfId="0" applyFont="1" applyFill="1" applyBorder="1" applyAlignment="1">
      <alignment horizontal="center" wrapText="1"/>
    </xf>
    <xf numFmtId="0" fontId="20" fillId="35" borderId="16" xfId="0" applyFont="1" applyFill="1" applyBorder="1" applyAlignment="1">
      <alignment horizontal="center"/>
    </xf>
    <xf numFmtId="0" fontId="20" fillId="35" borderId="33" xfId="0" applyFont="1" applyFill="1" applyBorder="1" applyAlignment="1">
      <alignment horizontal="center"/>
    </xf>
    <xf numFmtId="0" fontId="20" fillId="35" borderId="25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180" fontId="3" fillId="24" borderId="69" xfId="319" applyFont="1" applyFill="1" applyBorder="1" applyAlignment="1">
      <alignment horizontal="center"/>
    </xf>
    <xf numFmtId="180" fontId="3" fillId="24" borderId="72" xfId="319" applyFont="1" applyFill="1" applyBorder="1" applyAlignment="1">
      <alignment horizontal="center"/>
    </xf>
    <xf numFmtId="180" fontId="3" fillId="24" borderId="71" xfId="319" applyFont="1" applyFill="1" applyBorder="1" applyAlignment="1">
      <alignment horizontal="center"/>
    </xf>
    <xf numFmtId="180" fontId="3" fillId="24" borderId="68" xfId="319" applyFont="1" applyFill="1" applyBorder="1" applyAlignment="1">
      <alignment horizontal="center"/>
    </xf>
    <xf numFmtId="0" fontId="3" fillId="24" borderId="40" xfId="0" applyFont="1" applyFill="1" applyBorder="1" applyAlignment="1">
      <alignment horizontal="center" vertical="center" wrapText="1"/>
    </xf>
    <xf numFmtId="0" fontId="3" fillId="24" borderId="34" xfId="0" applyFont="1" applyFill="1" applyBorder="1" applyAlignment="1">
      <alignment horizontal="center" vertical="center" wrapText="1"/>
    </xf>
    <xf numFmtId="0" fontId="3" fillId="24" borderId="16" xfId="0" applyFont="1" applyFill="1" applyBorder="1" applyAlignment="1">
      <alignment horizontal="center" vertical="center" wrapText="1"/>
    </xf>
    <xf numFmtId="0" fontId="3" fillId="24" borderId="33" xfId="0" applyFont="1" applyFill="1" applyBorder="1" applyAlignment="1">
      <alignment horizontal="center" vertical="center" wrapText="1"/>
    </xf>
    <xf numFmtId="0" fontId="3" fillId="24" borderId="25" xfId="0" applyFont="1" applyFill="1" applyBorder="1" applyAlignment="1">
      <alignment horizontal="center" vertical="center" wrapText="1"/>
    </xf>
    <xf numFmtId="183" fontId="3" fillId="0" borderId="20" xfId="0" applyNumberFormat="1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24" borderId="22" xfId="0" applyFont="1" applyFill="1" applyBorder="1" applyAlignment="1">
      <alignment horizontal="center" vertical="center" wrapText="1"/>
    </xf>
    <xf numFmtId="0" fontId="3" fillId="24" borderId="24" xfId="0" applyFont="1" applyFill="1" applyBorder="1" applyAlignment="1">
      <alignment horizontal="center" vertical="center" wrapText="1"/>
    </xf>
    <xf numFmtId="0" fontId="3" fillId="24" borderId="16" xfId="0" applyFont="1" applyFill="1" applyBorder="1" applyAlignment="1">
      <alignment horizontal="center"/>
    </xf>
    <xf numFmtId="0" fontId="3" fillId="24" borderId="25" xfId="0" applyFont="1" applyFill="1" applyBorder="1" applyAlignment="1">
      <alignment horizontal="center"/>
    </xf>
    <xf numFmtId="0" fontId="3" fillId="24" borderId="151" xfId="0" applyFont="1" applyFill="1" applyBorder="1" applyAlignment="1">
      <alignment horizontal="center"/>
    </xf>
    <xf numFmtId="0" fontId="3" fillId="24" borderId="152" xfId="0" applyFont="1" applyFill="1" applyBorder="1" applyAlignment="1">
      <alignment horizontal="center"/>
    </xf>
    <xf numFmtId="3" fontId="3" fillId="24" borderId="16" xfId="0" applyNumberFormat="1" applyFont="1" applyFill="1" applyBorder="1" applyAlignment="1">
      <alignment horizontal="center"/>
    </xf>
    <xf numFmtId="3" fontId="3" fillId="24" borderId="25" xfId="0" applyNumberFormat="1" applyFont="1" applyFill="1" applyBorder="1" applyAlignment="1">
      <alignment horizontal="center"/>
    </xf>
    <xf numFmtId="10" fontId="3" fillId="0" borderId="35" xfId="412" applyNumberFormat="1" applyFont="1" applyBorder="1" applyAlignment="1">
      <alignment horizontal="center" vertical="center" wrapText="1"/>
    </xf>
    <xf numFmtId="10" fontId="3" fillId="0" borderId="145" xfId="412" applyNumberFormat="1" applyFont="1" applyBorder="1" applyAlignment="1">
      <alignment horizontal="center" vertical="center" wrapText="1"/>
    </xf>
    <xf numFmtId="10" fontId="3" fillId="0" borderId="44" xfId="412" applyNumberFormat="1" applyFont="1" applyBorder="1" applyAlignment="1">
      <alignment horizontal="center" vertical="center" wrapText="1"/>
    </xf>
    <xf numFmtId="10" fontId="3" fillId="0" borderId="48" xfId="412" applyNumberFormat="1" applyFont="1" applyBorder="1" applyAlignment="1">
      <alignment horizontal="center" vertical="center" wrapText="1"/>
    </xf>
    <xf numFmtId="10" fontId="3" fillId="0" borderId="141" xfId="412" applyNumberFormat="1" applyFont="1" applyBorder="1" applyAlignment="1">
      <alignment horizontal="center" vertical="center" wrapText="1"/>
    </xf>
    <xf numFmtId="10" fontId="3" fillId="0" borderId="143" xfId="412" applyNumberFormat="1" applyFont="1" applyBorder="1" applyAlignment="1">
      <alignment horizontal="center" vertical="center" wrapText="1"/>
    </xf>
    <xf numFmtId="183" fontId="3" fillId="24" borderId="39" xfId="0" applyNumberFormat="1" applyFont="1" applyFill="1" applyBorder="1" applyAlignment="1">
      <alignment horizontal="right"/>
    </xf>
    <xf numFmtId="183" fontId="3" fillId="24" borderId="67" xfId="0" applyNumberFormat="1" applyFont="1" applyFill="1" applyBorder="1" applyAlignment="1">
      <alignment horizontal="right"/>
    </xf>
    <xf numFmtId="0" fontId="3" fillId="24" borderId="39" xfId="0" applyFont="1" applyFill="1" applyBorder="1" applyAlignment="1">
      <alignment horizontal="right"/>
    </xf>
    <xf numFmtId="0" fontId="3" fillId="24" borderId="67" xfId="0" applyFont="1" applyFill="1" applyBorder="1" applyAlignment="1">
      <alignment horizontal="right"/>
    </xf>
    <xf numFmtId="0" fontId="3" fillId="24" borderId="10" xfId="0" applyFont="1" applyFill="1" applyBorder="1" applyAlignment="1">
      <alignment horizontal="right"/>
    </xf>
    <xf numFmtId="0" fontId="3" fillId="24" borderId="73" xfId="0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6" fillId="32" borderId="0" xfId="0" applyFont="1" applyFill="1" applyAlignment="1">
      <alignment horizontal="center"/>
    </xf>
  </cellXfs>
  <cellStyles count="481">
    <cellStyle name="20% - Accent1" xfId="1"/>
    <cellStyle name="20% - Accent1 2" xfId="2"/>
    <cellStyle name="20% - Accent2" xfId="3"/>
    <cellStyle name="20% - Accent2 2" xfId="4"/>
    <cellStyle name="20% - Accent3" xfId="5"/>
    <cellStyle name="20% - Accent3 2" xfId="6"/>
    <cellStyle name="20% - Accent4" xfId="7"/>
    <cellStyle name="20% - Accent4 2" xfId="8"/>
    <cellStyle name="20% - Accent5" xfId="9"/>
    <cellStyle name="20% - Accent5 2" xfId="10"/>
    <cellStyle name="20% - Accent6" xfId="11"/>
    <cellStyle name="20% - Accent6 2" xfId="12"/>
    <cellStyle name="20% - Énfasis1 2" xfId="13"/>
    <cellStyle name="20% - Énfasis1 2 2" xfId="14"/>
    <cellStyle name="20% - Énfasis1 3" xfId="15"/>
    <cellStyle name="20% - Énfasis1 4" xfId="16"/>
    <cellStyle name="20% - Énfasis1 5" xfId="17"/>
    <cellStyle name="20% - Énfasis1 6" xfId="18"/>
    <cellStyle name="20% - Énfasis1 7" xfId="19"/>
    <cellStyle name="20% - Énfasis2 2" xfId="20"/>
    <cellStyle name="20% - Énfasis2 2 2" xfId="21"/>
    <cellStyle name="20% - Énfasis2 3" xfId="22"/>
    <cellStyle name="20% - Énfasis2 4" xfId="23"/>
    <cellStyle name="20% - Énfasis2 5" xfId="24"/>
    <cellStyle name="20% - Énfasis2 6" xfId="25"/>
    <cellStyle name="20% - Énfasis2 7" xfId="26"/>
    <cellStyle name="20% - Énfasis3 2" xfId="27"/>
    <cellStyle name="20% - Énfasis3 2 2" xfId="28"/>
    <cellStyle name="20% - Énfasis3 3" xfId="29"/>
    <cellStyle name="20% - Énfasis3 4" xfId="30"/>
    <cellStyle name="20% - Énfasis3 5" xfId="31"/>
    <cellStyle name="20% - Énfasis3 6" xfId="32"/>
    <cellStyle name="20% - Énfasis3 7" xfId="33"/>
    <cellStyle name="20% - Énfasis4 2" xfId="34"/>
    <cellStyle name="20% - Énfasis4 2 2" xfId="35"/>
    <cellStyle name="20% - Énfasis4 3" xfId="36"/>
    <cellStyle name="20% - Énfasis4 4" xfId="37"/>
    <cellStyle name="20% - Énfasis4 5" xfId="38"/>
    <cellStyle name="20% - Énfasis4 6" xfId="39"/>
    <cellStyle name="20% - Énfasis4 7" xfId="40"/>
    <cellStyle name="20% - Énfasis5 2" xfId="41"/>
    <cellStyle name="20% - Énfasis5 2 2" xfId="42"/>
    <cellStyle name="20% - Énfasis5 3" xfId="43"/>
    <cellStyle name="20% - Énfasis5 4" xfId="44"/>
    <cellStyle name="20% - Énfasis5 5" xfId="45"/>
    <cellStyle name="20% - Énfasis5 6" xfId="46"/>
    <cellStyle name="20% - Énfasis5 7" xfId="47"/>
    <cellStyle name="20% - Énfasis6 2" xfId="48"/>
    <cellStyle name="20% - Énfasis6 2 2" xfId="49"/>
    <cellStyle name="20% - Énfasis6 3" xfId="50"/>
    <cellStyle name="20% - Énfasis6 4" xfId="51"/>
    <cellStyle name="20% - Énfasis6 5" xfId="52"/>
    <cellStyle name="20% - Énfasis6 6" xfId="53"/>
    <cellStyle name="20% - Énfasis6 7" xfId="54"/>
    <cellStyle name="40% - Accent1" xfId="55"/>
    <cellStyle name="40% - Accent1 2" xfId="56"/>
    <cellStyle name="40% - Accent2" xfId="57"/>
    <cellStyle name="40% - Accent2 2" xfId="58"/>
    <cellStyle name="40% - Accent3" xfId="59"/>
    <cellStyle name="40% - Accent3 2" xfId="60"/>
    <cellStyle name="40% - Accent4" xfId="61"/>
    <cellStyle name="40% - Accent4 2" xfId="62"/>
    <cellStyle name="40% - Accent5" xfId="63"/>
    <cellStyle name="40% - Accent5 2" xfId="64"/>
    <cellStyle name="40% - Accent6" xfId="65"/>
    <cellStyle name="40% - Accent6 2" xfId="66"/>
    <cellStyle name="40% - Énfasis1 2" xfId="67"/>
    <cellStyle name="40% - Énfasis1 2 2" xfId="68"/>
    <cellStyle name="40% - Énfasis1 3" xfId="69"/>
    <cellStyle name="40% - Énfasis1 4" xfId="70"/>
    <cellStyle name="40% - Énfasis1 5" xfId="71"/>
    <cellStyle name="40% - Énfasis1 6" xfId="72"/>
    <cellStyle name="40% - Énfasis1 7" xfId="73"/>
    <cellStyle name="40% - Énfasis2 2" xfId="74"/>
    <cellStyle name="40% - Énfasis2 2 2" xfId="75"/>
    <cellStyle name="40% - Énfasis2 3" xfId="76"/>
    <cellStyle name="40% - Énfasis2 4" xfId="77"/>
    <cellStyle name="40% - Énfasis2 5" xfId="78"/>
    <cellStyle name="40% - Énfasis2 6" xfId="79"/>
    <cellStyle name="40% - Énfasis2 7" xfId="80"/>
    <cellStyle name="40% - Énfasis3 2" xfId="81"/>
    <cellStyle name="40% - Énfasis3 2 2" xfId="82"/>
    <cellStyle name="40% - Énfasis3 3" xfId="83"/>
    <cellStyle name="40% - Énfasis3 4" xfId="84"/>
    <cellStyle name="40% - Énfasis3 5" xfId="85"/>
    <cellStyle name="40% - Énfasis3 6" xfId="86"/>
    <cellStyle name="40% - Énfasis3 7" xfId="87"/>
    <cellStyle name="40% - Énfasis4 2" xfId="88"/>
    <cellStyle name="40% - Énfasis4 2 2" xfId="89"/>
    <cellStyle name="40% - Énfasis4 3" xfId="90"/>
    <cellStyle name="40% - Énfasis4 4" xfId="91"/>
    <cellStyle name="40% - Énfasis4 5" xfId="92"/>
    <cellStyle name="40% - Énfasis4 6" xfId="93"/>
    <cellStyle name="40% - Énfasis4 7" xfId="94"/>
    <cellStyle name="40% - Énfasis5 2" xfId="95"/>
    <cellStyle name="40% - Énfasis5 2 2" xfId="96"/>
    <cellStyle name="40% - Énfasis5 3" xfId="97"/>
    <cellStyle name="40% - Énfasis5 4" xfId="98"/>
    <cellStyle name="40% - Énfasis5 5" xfId="99"/>
    <cellStyle name="40% - Énfasis5 6" xfId="100"/>
    <cellStyle name="40% - Énfasis5 7" xfId="101"/>
    <cellStyle name="40% - Énfasis6 2" xfId="102"/>
    <cellStyle name="40% - Énfasis6 2 2" xfId="103"/>
    <cellStyle name="40% - Énfasis6 3" xfId="104"/>
    <cellStyle name="40% - Énfasis6 4" xfId="105"/>
    <cellStyle name="40% - Énfasis6 5" xfId="106"/>
    <cellStyle name="40% - Énfasis6 6" xfId="107"/>
    <cellStyle name="40% - Énfasis6 7" xfId="108"/>
    <cellStyle name="40% - Énfšsis3" xfId="109"/>
    <cellStyle name="60% - Accent1" xfId="110"/>
    <cellStyle name="60% - Accent2" xfId="111"/>
    <cellStyle name="60% - Accent3" xfId="112"/>
    <cellStyle name="60% - Accent4" xfId="113"/>
    <cellStyle name="60% - Accent5" xfId="114"/>
    <cellStyle name="60% - Accent6" xfId="115"/>
    <cellStyle name="60% - Énfasis1 2" xfId="116"/>
    <cellStyle name="60% - Énfasis1 2 2" xfId="117"/>
    <cellStyle name="60% - Énfasis1 3" xfId="118"/>
    <cellStyle name="60% - Énfasis1 4" xfId="119"/>
    <cellStyle name="60% - Énfasis1 5" xfId="120"/>
    <cellStyle name="60% - Énfasis1 6" xfId="121"/>
    <cellStyle name="60% - Énfasis1 7" xfId="122"/>
    <cellStyle name="60% - Énfasis2 2" xfId="123"/>
    <cellStyle name="60% - Énfasis2 2 2" xfId="124"/>
    <cellStyle name="60% - Énfasis2 3" xfId="125"/>
    <cellStyle name="60% - Énfasis2 4" xfId="126"/>
    <cellStyle name="60% - Énfasis2 5" xfId="127"/>
    <cellStyle name="60% - Énfasis2 6" xfId="128"/>
    <cellStyle name="60% - Énfasis2 7" xfId="129"/>
    <cellStyle name="60% - Énfasis3 2" xfId="130"/>
    <cellStyle name="60% - Énfasis3 2 2" xfId="131"/>
    <cellStyle name="60% - Énfasis3 3" xfId="132"/>
    <cellStyle name="60% - Énfasis3 4" xfId="133"/>
    <cellStyle name="60% - Énfasis3 5" xfId="134"/>
    <cellStyle name="60% - Énfasis3 6" xfId="135"/>
    <cellStyle name="60% - Énfasis3 7" xfId="136"/>
    <cellStyle name="60% - Énfasis4 2" xfId="137"/>
    <cellStyle name="60% - Énfasis4 2 2" xfId="138"/>
    <cellStyle name="60% - Énfasis4 3" xfId="139"/>
    <cellStyle name="60% - Énfasis4 4" xfId="140"/>
    <cellStyle name="60% - Énfasis4 5" xfId="141"/>
    <cellStyle name="60% - Énfasis4 6" xfId="142"/>
    <cellStyle name="60% - Énfasis4 7" xfId="143"/>
    <cellStyle name="60% - Énfasis5 2" xfId="144"/>
    <cellStyle name="60% - Énfasis5 2 2" xfId="145"/>
    <cellStyle name="60% - Énfasis5 3" xfId="146"/>
    <cellStyle name="60% - Énfasis5 4" xfId="147"/>
    <cellStyle name="60% - Énfasis5 5" xfId="148"/>
    <cellStyle name="60% - Énfasis5 6" xfId="149"/>
    <cellStyle name="60% - Énfasis5 7" xfId="150"/>
    <cellStyle name="60% - Énfasis6 2" xfId="151"/>
    <cellStyle name="60% - Énfasis6 2 2" xfId="152"/>
    <cellStyle name="60% - Énfasis6 3" xfId="153"/>
    <cellStyle name="60% - Énfasis6 4" xfId="154"/>
    <cellStyle name="60% - Énfasis6 5" xfId="155"/>
    <cellStyle name="60% - Énfasis6 6" xfId="156"/>
    <cellStyle name="60% - Énfasis6 7" xfId="157"/>
    <cellStyle name="Accent1" xfId="158"/>
    <cellStyle name="Accent2" xfId="159"/>
    <cellStyle name="Accent3" xfId="160"/>
    <cellStyle name="Accent4" xfId="161"/>
    <cellStyle name="Accent5" xfId="162"/>
    <cellStyle name="Accent6" xfId="163"/>
    <cellStyle name="Bad" xfId="164"/>
    <cellStyle name="Buena 2" xfId="165"/>
    <cellStyle name="Buena 2 2" xfId="166"/>
    <cellStyle name="Buena 3" xfId="167"/>
    <cellStyle name="Buena 4" xfId="168"/>
    <cellStyle name="Buena 5" xfId="169"/>
    <cellStyle name="Buena 6" xfId="170"/>
    <cellStyle name="Buena 7" xfId="171"/>
    <cellStyle name="Calculation" xfId="172"/>
    <cellStyle name="Cálculo 2" xfId="173"/>
    <cellStyle name="Cálculo 2 2" xfId="174"/>
    <cellStyle name="Cálculo 3" xfId="175"/>
    <cellStyle name="Cálculo 4" xfId="176"/>
    <cellStyle name="Cálculo 5" xfId="177"/>
    <cellStyle name="Cálculo 6" xfId="178"/>
    <cellStyle name="Cálculo 7" xfId="179"/>
    <cellStyle name="Celda de comprobación 2" xfId="180"/>
    <cellStyle name="Celda de comprobación 2 2" xfId="181"/>
    <cellStyle name="Celda de comprobación 3" xfId="182"/>
    <cellStyle name="Celda de comprobación 4" xfId="183"/>
    <cellStyle name="Celda de comprobación 5" xfId="184"/>
    <cellStyle name="Celda de comprobación 6" xfId="185"/>
    <cellStyle name="Celda de comprobación 7" xfId="186"/>
    <cellStyle name="Celda vinculada 2" xfId="187"/>
    <cellStyle name="Celda vinculada 2 2" xfId="188"/>
    <cellStyle name="Celda vinculada 3" xfId="189"/>
    <cellStyle name="Celda vinculada 4" xfId="190"/>
    <cellStyle name="Celda vinculada 5" xfId="191"/>
    <cellStyle name="Celda vinculada 6" xfId="192"/>
    <cellStyle name="Celda vinculada 7" xfId="193"/>
    <cellStyle name="Check Cell" xfId="194"/>
    <cellStyle name="Encabezado 4 2" xfId="195"/>
    <cellStyle name="Encabezado 4 2 2" xfId="196"/>
    <cellStyle name="Encabezado 4 3" xfId="197"/>
    <cellStyle name="Encabezado 4 4" xfId="198"/>
    <cellStyle name="Encabezado 4 5" xfId="199"/>
    <cellStyle name="Encabezado 4 6" xfId="200"/>
    <cellStyle name="Encabezado 4 7" xfId="201"/>
    <cellStyle name="Énfasis1 2" xfId="202"/>
    <cellStyle name="Énfasis1 2 2" xfId="203"/>
    <cellStyle name="Énfasis1 3" xfId="204"/>
    <cellStyle name="Énfasis1 4" xfId="205"/>
    <cellStyle name="Énfasis1 5" xfId="206"/>
    <cellStyle name="Énfasis1 6" xfId="207"/>
    <cellStyle name="Énfasis1 7" xfId="208"/>
    <cellStyle name="Énfasis2 2" xfId="209"/>
    <cellStyle name="Énfasis2 2 2" xfId="210"/>
    <cellStyle name="Énfasis2 3" xfId="211"/>
    <cellStyle name="Énfasis2 4" xfId="212"/>
    <cellStyle name="Énfasis2 5" xfId="213"/>
    <cellStyle name="Énfasis2 6" xfId="214"/>
    <cellStyle name="Énfasis2 7" xfId="215"/>
    <cellStyle name="Énfasis3 2" xfId="216"/>
    <cellStyle name="Énfasis3 2 2" xfId="217"/>
    <cellStyle name="Énfasis3 3" xfId="218"/>
    <cellStyle name="Énfasis3 4" xfId="219"/>
    <cellStyle name="Énfasis3 5" xfId="220"/>
    <cellStyle name="Énfasis3 6" xfId="221"/>
    <cellStyle name="Énfasis3 7" xfId="222"/>
    <cellStyle name="Énfasis4 2" xfId="223"/>
    <cellStyle name="Énfasis4 2 2" xfId="224"/>
    <cellStyle name="Énfasis4 3" xfId="225"/>
    <cellStyle name="Énfasis4 4" xfId="226"/>
    <cellStyle name="Énfasis4 5" xfId="227"/>
    <cellStyle name="Énfasis4 6" xfId="228"/>
    <cellStyle name="Énfasis4 7" xfId="229"/>
    <cellStyle name="Énfasis5 2" xfId="230"/>
    <cellStyle name="Énfasis5 2 2" xfId="231"/>
    <cellStyle name="Énfasis5 3" xfId="232"/>
    <cellStyle name="Énfasis5 4" xfId="233"/>
    <cellStyle name="Énfasis5 5" xfId="234"/>
    <cellStyle name="Énfasis5 6" xfId="235"/>
    <cellStyle name="Énfasis5 7" xfId="236"/>
    <cellStyle name="Énfasis6 2" xfId="237"/>
    <cellStyle name="Énfasis6 2 2" xfId="238"/>
    <cellStyle name="Énfasis6 3" xfId="239"/>
    <cellStyle name="Énfasis6 4" xfId="240"/>
    <cellStyle name="Énfasis6 5" xfId="241"/>
    <cellStyle name="Énfasis6 6" xfId="242"/>
    <cellStyle name="Énfasis6 7" xfId="243"/>
    <cellStyle name="Entrada 2" xfId="244"/>
    <cellStyle name="Entrada 2 2" xfId="245"/>
    <cellStyle name="Entrada 3" xfId="246"/>
    <cellStyle name="Entrada 4" xfId="247"/>
    <cellStyle name="Entrada 5" xfId="248"/>
    <cellStyle name="Entrada 6" xfId="249"/>
    <cellStyle name="Entrada 7" xfId="250"/>
    <cellStyle name="Euro" xfId="251"/>
    <cellStyle name="Euro 2" xfId="252"/>
    <cellStyle name="Euro 3" xfId="253"/>
    <cellStyle name="Euro 4" xfId="254"/>
    <cellStyle name="Euro 5" xfId="255"/>
    <cellStyle name="Euro_HUILA" xfId="256"/>
    <cellStyle name="Explanatory Text" xfId="257"/>
    <cellStyle name="Good" xfId="258"/>
    <cellStyle name="Heading 1" xfId="259"/>
    <cellStyle name="Heading 2" xfId="260"/>
    <cellStyle name="Heading 3" xfId="261"/>
    <cellStyle name="Heading 4" xfId="262"/>
    <cellStyle name="Hipervínculo" xfId="263" builtinId="8"/>
    <cellStyle name="Hipervínculo 2" xfId="264"/>
    <cellStyle name="Hipervínculo 2 2" xfId="265"/>
    <cellStyle name="Incorrecto 2" xfId="266"/>
    <cellStyle name="Incorrecto 2 2" xfId="267"/>
    <cellStyle name="Incorrecto 3" xfId="268"/>
    <cellStyle name="Incorrecto 4" xfId="269"/>
    <cellStyle name="Incorrecto 5" xfId="270"/>
    <cellStyle name="Incorrecto 6" xfId="271"/>
    <cellStyle name="Incorrecto 7" xfId="272"/>
    <cellStyle name="Input" xfId="273"/>
    <cellStyle name="Linked Cell" xfId="274"/>
    <cellStyle name="Millares" xfId="275" builtinId="3"/>
    <cellStyle name="Millares 10" xfId="276"/>
    <cellStyle name="Millares 10 2" xfId="277"/>
    <cellStyle name="Millares 10 3" xfId="278"/>
    <cellStyle name="Millares 11" xfId="279"/>
    <cellStyle name="Millares 11 2" xfId="280"/>
    <cellStyle name="Millares 12" xfId="281"/>
    <cellStyle name="Millares 12 2" xfId="282"/>
    <cellStyle name="Millares 13" xfId="283"/>
    <cellStyle name="Millares 14" xfId="284"/>
    <cellStyle name="Millares 14 2" xfId="285"/>
    <cellStyle name="Millares 15" xfId="286"/>
    <cellStyle name="Millares 15 2" xfId="287"/>
    <cellStyle name="Millares 16" xfId="288"/>
    <cellStyle name="Millares 17" xfId="289"/>
    <cellStyle name="Millares 18" xfId="290"/>
    <cellStyle name="Millares 19" xfId="291"/>
    <cellStyle name="Millares 2" xfId="292"/>
    <cellStyle name="Millares 2 2" xfId="293"/>
    <cellStyle name="Millares 20" xfId="294"/>
    <cellStyle name="Millares 21" xfId="295"/>
    <cellStyle name="Millares 22" xfId="296"/>
    <cellStyle name="Millares 22 2" xfId="297"/>
    <cellStyle name="Millares 23" xfId="298"/>
    <cellStyle name="Millares 24" xfId="299"/>
    <cellStyle name="Millares 3" xfId="300"/>
    <cellStyle name="Millares 3 2" xfId="301"/>
    <cellStyle name="Millares 4" xfId="302"/>
    <cellStyle name="Millares 4 2" xfId="303"/>
    <cellStyle name="Millares 4 2 2" xfId="304"/>
    <cellStyle name="Millares 5" xfId="305"/>
    <cellStyle name="Millares 5 2" xfId="306"/>
    <cellStyle name="Millares 6" xfId="307"/>
    <cellStyle name="Millares 6 2" xfId="308"/>
    <cellStyle name="Millares 6 3" xfId="309"/>
    <cellStyle name="Millares 7" xfId="310"/>
    <cellStyle name="Millares 7 2" xfId="311"/>
    <cellStyle name="Millares 8" xfId="312"/>
    <cellStyle name="Millares 8 2" xfId="313"/>
    <cellStyle name="Millares 8 3" xfId="314"/>
    <cellStyle name="Millares 9" xfId="315"/>
    <cellStyle name="Millares 9 2" xfId="316"/>
    <cellStyle name="Millares_Formato Presupuesto Minagricultura" xfId="317"/>
    <cellStyle name="Millares_INGRESOS 2005" xfId="318"/>
    <cellStyle name="Moneda" xfId="319" builtinId="4"/>
    <cellStyle name="Moneda 2" xfId="320"/>
    <cellStyle name="Moneda 2 2" xfId="321"/>
    <cellStyle name="Moneda 3" xfId="322"/>
    <cellStyle name="Moneda 3 2" xfId="323"/>
    <cellStyle name="Moneda 4" xfId="324"/>
    <cellStyle name="Moneda 5" xfId="325"/>
    <cellStyle name="Moneda 5 2" xfId="326"/>
    <cellStyle name="Moneda 6" xfId="327"/>
    <cellStyle name="Moneda 6 2" xfId="328"/>
    <cellStyle name="Moneda 7" xfId="329"/>
    <cellStyle name="Moneda 7 2" xfId="330"/>
    <cellStyle name="Moneda 8" xfId="331"/>
    <cellStyle name="Moneda 9" xfId="332"/>
    <cellStyle name="Neutral 2" xfId="333"/>
    <cellStyle name="Neutral 2 2" xfId="334"/>
    <cellStyle name="Neutral 3" xfId="335"/>
    <cellStyle name="Neutral 4" xfId="336"/>
    <cellStyle name="Neutral 5" xfId="337"/>
    <cellStyle name="Neutral 6" xfId="338"/>
    <cellStyle name="Neutral 7" xfId="339"/>
    <cellStyle name="Normal" xfId="0" builtinId="0"/>
    <cellStyle name="Normal 10" xfId="340"/>
    <cellStyle name="Normal 11" xfId="341"/>
    <cellStyle name="Normal 11 2" xfId="342"/>
    <cellStyle name="Normal 11 3" xfId="343"/>
    <cellStyle name="Normal 15" xfId="344"/>
    <cellStyle name="Normal 15 2" xfId="345"/>
    <cellStyle name="Normal 16" xfId="346"/>
    <cellStyle name="Normal 2" xfId="347"/>
    <cellStyle name="Normal 2 2" xfId="348"/>
    <cellStyle name="Normal 2 2 10" xfId="349"/>
    <cellStyle name="Normal 2 2_HUILA" xfId="350"/>
    <cellStyle name="Normal 2 3" xfId="351"/>
    <cellStyle name="Normal 2 3 2" xfId="352"/>
    <cellStyle name="Normal 2 4" xfId="353"/>
    <cellStyle name="Normal 2 5" xfId="354"/>
    <cellStyle name="Normal 2_ANTIOQUIA" xfId="355"/>
    <cellStyle name="Normal 3" xfId="356"/>
    <cellStyle name="Normal 3 2" xfId="357"/>
    <cellStyle name="Normal 4" xfId="358"/>
    <cellStyle name="Normal 4 2" xfId="359"/>
    <cellStyle name="Normal 4 2 2" xfId="360"/>
    <cellStyle name="Normal 4 2 3" xfId="361"/>
    <cellStyle name="Normal 4 3" xfId="362"/>
    <cellStyle name="Normal 4 4" xfId="363"/>
    <cellStyle name="Normal 5" xfId="364"/>
    <cellStyle name="Normal 5 2" xfId="365"/>
    <cellStyle name="Normal 5 3" xfId="366"/>
    <cellStyle name="Normal 5 4" xfId="367"/>
    <cellStyle name="Normal 5 5" xfId="368"/>
    <cellStyle name="Normal 5_ANTIOQUIA" xfId="369"/>
    <cellStyle name="Normal 6" xfId="370"/>
    <cellStyle name="Normal 6 2" xfId="371"/>
    <cellStyle name="Normal 6 3" xfId="372"/>
    <cellStyle name="Normal 6 4" xfId="373"/>
    <cellStyle name="Normal 7" xfId="374"/>
    <cellStyle name="Normal 7 2" xfId="375"/>
    <cellStyle name="Normal 7 3" xfId="376"/>
    <cellStyle name="Normal 8" xfId="377"/>
    <cellStyle name="Normal 9" xfId="378"/>
    <cellStyle name="Normal_Hoja1" xfId="379"/>
    <cellStyle name="Notas 2" xfId="380"/>
    <cellStyle name="Notas 2 2" xfId="381"/>
    <cellStyle name="Notas 3" xfId="382"/>
    <cellStyle name="Notas 4" xfId="383"/>
    <cellStyle name="Notas 5" xfId="384"/>
    <cellStyle name="Notas 6" xfId="385"/>
    <cellStyle name="Notas 7" xfId="386"/>
    <cellStyle name="Note" xfId="387"/>
    <cellStyle name="Note 2" xfId="388"/>
    <cellStyle name="Note_NTE DA SANTANDER" xfId="389"/>
    <cellStyle name="Output" xfId="390"/>
    <cellStyle name="Porcentaje" xfId="391" builtinId="5"/>
    <cellStyle name="Porcentaje 10" xfId="392"/>
    <cellStyle name="Porcentaje 11" xfId="393"/>
    <cellStyle name="Porcentaje 2" xfId="394"/>
    <cellStyle name="Porcentaje 2 2" xfId="395"/>
    <cellStyle name="Porcentaje 2 3" xfId="396"/>
    <cellStyle name="Porcentaje 3" xfId="397"/>
    <cellStyle name="Porcentaje 4" xfId="398"/>
    <cellStyle name="Porcentaje 5" xfId="399"/>
    <cellStyle name="Porcentaje 5 2" xfId="400"/>
    <cellStyle name="Porcentaje 6" xfId="401"/>
    <cellStyle name="Porcentaje 6 2" xfId="402"/>
    <cellStyle name="Porcentaje 7" xfId="403"/>
    <cellStyle name="Porcentaje 7 2" xfId="404"/>
    <cellStyle name="Porcentaje 8" xfId="405"/>
    <cellStyle name="Porcentaje 8 2" xfId="406"/>
    <cellStyle name="Porcentaje 9" xfId="407"/>
    <cellStyle name="Porcentaje 9 2" xfId="408"/>
    <cellStyle name="Porcentual 2" xfId="409"/>
    <cellStyle name="Porcentual 2 2" xfId="410"/>
    <cellStyle name="Porcentual 3" xfId="411"/>
    <cellStyle name="Porcentual 3 2" xfId="412"/>
    <cellStyle name="Porcentual 4" xfId="413"/>
    <cellStyle name="Porcentual 5" xfId="414"/>
    <cellStyle name="Porcentual 5 2" xfId="415"/>
    <cellStyle name="Porcentual 6" xfId="416"/>
    <cellStyle name="Porcentual 6 2" xfId="417"/>
    <cellStyle name="Porcentual 7" xfId="418"/>
    <cellStyle name="Porcentual 7 2" xfId="419"/>
    <cellStyle name="Porcentual 8" xfId="420"/>
    <cellStyle name="Porcentual 8 2" xfId="421"/>
    <cellStyle name="Porcentual 9" xfId="422"/>
    <cellStyle name="Salida 2" xfId="423"/>
    <cellStyle name="Salida 2 2" xfId="424"/>
    <cellStyle name="Salida 3" xfId="425"/>
    <cellStyle name="Salida 4" xfId="426"/>
    <cellStyle name="Salida 5" xfId="427"/>
    <cellStyle name="Salida 6" xfId="428"/>
    <cellStyle name="Salida 7" xfId="429"/>
    <cellStyle name="Texto de advertencia 2" xfId="430"/>
    <cellStyle name="Texto de advertencia 2 2" xfId="431"/>
    <cellStyle name="Texto de advertencia 3" xfId="432"/>
    <cellStyle name="Texto de advertencia 4" xfId="433"/>
    <cellStyle name="Texto de advertencia 5" xfId="434"/>
    <cellStyle name="Texto de advertencia 6" xfId="435"/>
    <cellStyle name="Texto de advertencia 7" xfId="436"/>
    <cellStyle name="Texto explicativo 2" xfId="437"/>
    <cellStyle name="Texto explicativo 2 2" xfId="438"/>
    <cellStyle name="Texto explicativo 3" xfId="439"/>
    <cellStyle name="Texto explicativo 4" xfId="440"/>
    <cellStyle name="Texto explicativo 5" xfId="441"/>
    <cellStyle name="Texto explicativo 6" xfId="442"/>
    <cellStyle name="Texto explicativo 7" xfId="443"/>
    <cellStyle name="Title" xfId="444"/>
    <cellStyle name="Título 1 2" xfId="445"/>
    <cellStyle name="Título 1 2 2" xfId="446"/>
    <cellStyle name="Título 1 3" xfId="447"/>
    <cellStyle name="Título 1 4" xfId="448"/>
    <cellStyle name="Título 1 5" xfId="449"/>
    <cellStyle name="Título 1 6" xfId="450"/>
    <cellStyle name="Título 1 7" xfId="451"/>
    <cellStyle name="Título 2 2" xfId="452"/>
    <cellStyle name="Título 2 2 2" xfId="453"/>
    <cellStyle name="Título 2 3" xfId="454"/>
    <cellStyle name="Título 2 4" xfId="455"/>
    <cellStyle name="Título 2 5" xfId="456"/>
    <cellStyle name="Título 2 6" xfId="457"/>
    <cellStyle name="Título 2 7" xfId="458"/>
    <cellStyle name="Título 3 2" xfId="459"/>
    <cellStyle name="Título 3 2 2" xfId="460"/>
    <cellStyle name="Título 3 3" xfId="461"/>
    <cellStyle name="Título 3 4" xfId="462"/>
    <cellStyle name="Título 3 5" xfId="463"/>
    <cellStyle name="Título 3 6" xfId="464"/>
    <cellStyle name="Título 3 7" xfId="465"/>
    <cellStyle name="Título 4" xfId="466"/>
    <cellStyle name="Título 4 2" xfId="467"/>
    <cellStyle name="Título 5" xfId="468"/>
    <cellStyle name="Título 6" xfId="469"/>
    <cellStyle name="Título 7" xfId="470"/>
    <cellStyle name="Título 8" xfId="471"/>
    <cellStyle name="Título 9" xfId="472"/>
    <cellStyle name="Total 2" xfId="473"/>
    <cellStyle name="Total 2 2" xfId="474"/>
    <cellStyle name="Total 3" xfId="475"/>
    <cellStyle name="Total 4" xfId="476"/>
    <cellStyle name="Total 5" xfId="477"/>
    <cellStyle name="Total 6" xfId="478"/>
    <cellStyle name="Total 7" xfId="479"/>
    <cellStyle name="Warning Text" xfId="48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Copia%20de%20PRESUPUESTO%2012%201a%20%20versi&#243;n%20(3)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09\MANEJO%20PPTO%202009\PRESUPUESTO%2009%207a%20%20versi&#243;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desagregado%20ppc%2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1/Presentaciones/COMITES%20PPC/DESPACHOS%20BIOLOGICO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ta%20PPC/A&#241;o%202009/Presupuesto%202009/Presupuesto%20PPC%202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ta%20PPC/A&#241;o%202009/Presupuesto%202009/nomina%202009%20pp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JefeControlRegional/Presupuesto%202008/Presupuesto%20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5/ANEXO%20ACUERDO%2012-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4/PRESUPUESTO%202014/PRESUPUESTO%202014%20V.3/Presupuesto%202014%20version%2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DESAGREGADOS/Desagregado%20PP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torppc/AppData/Local/Microsoft/Windows/Temporary%20Internet%20Files/Content.IE5/68SX2PI0/Desagregado%20&#193;rea%20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Ortiz/Desktop/PPC2013/PRESUPUESTO%202014/PRESUPUESTO%20DEFINITIVO%202014%20NOV/Desagregado%20PPC%202014%20%20definitiv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4/PRESUPUESTO%202014/PRESUPUESTO%202014%20V.4/Presupuesto%202014%20version%2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SOLICITUD%20&#193;REAS/III%20TRIMESTRE/PRESUPUESTO%20PPC%20III%202015%20(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SOLICITUD%20&#193;REAS/III%20TRIMESTRE/Solicitud%20III%20trimestre%20A%20Econ&#243;mica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SOLICITUD%20&#193;REAS/III%20TRIMESTRE/T&#233;cnica%202015,%20estimado%20ejecuci&#243;n%20II%20tri%20y%20solicitud%20III%20270515%20(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SOLICITUD%20&#193;REAS/III%20TRIMESTRE/Presupuesto%20I%20y%20T%20Tercer%20Trimestre%202015%20Final%20(1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SOLICITUD%20&#193;REAS/III%20TRIMESTRE/MatrizSolicitudIIITrimestreMercadeo2015.xl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Rendimientos"/>
      <sheetName val="Escenario PPC "/>
      <sheetName val="Ejecución ingresos 2011"/>
      <sheetName val="Ejecución gastos 2011"/>
      <sheetName val="Superavit 2011"/>
      <sheetName val="Anexo 2 "/>
      <sheetName val="Anexo 3 "/>
      <sheetName val="Anexo 4"/>
      <sheetName val="Funcionamiento"/>
      <sheetName val="Nómina y honorarios 2012"/>
      <sheetName val="Comparativo nómina 2011-2012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15">
          <cell r="D15">
            <v>2622228091.3500004</v>
          </cell>
        </row>
        <row r="21">
          <cell r="B21">
            <v>1373137059.4702625</v>
          </cell>
          <cell r="C21">
            <v>1275499721.4702625</v>
          </cell>
        </row>
        <row r="32">
          <cell r="D32">
            <v>183641923.54000002</v>
          </cell>
        </row>
        <row r="46">
          <cell r="C46">
            <v>2824915.8000000003</v>
          </cell>
        </row>
        <row r="53">
          <cell r="C53">
            <v>2784.75</v>
          </cell>
        </row>
        <row r="54">
          <cell r="C54">
            <v>928.25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5">
          <cell r="C35" t="e">
            <v>#REF!</v>
          </cell>
        </row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  <row r="86">
          <cell r="B86">
            <v>117000000</v>
          </cell>
        </row>
      </sheetData>
      <sheetData sheetId="16"/>
      <sheetData sheetId="17"/>
      <sheetData sheetId="18">
        <row r="5">
          <cell r="E5" t="str">
            <v xml:space="preserve">FECHA </v>
          </cell>
          <cell r="H5" t="str">
            <v>DIAS</v>
          </cell>
          <cell r="I5" t="str">
            <v>SIN AUMENTO</v>
          </cell>
          <cell r="L5" t="str">
            <v>VAC</v>
          </cell>
          <cell r="M5" t="str">
            <v>DIAS REALES</v>
          </cell>
          <cell r="N5" t="str">
            <v>CON AUMENTO</v>
          </cell>
          <cell r="O5" t="str">
            <v>TOTAL SUELDO</v>
          </cell>
          <cell r="P5" t="str">
            <v>SUELDO MENOS</v>
          </cell>
        </row>
        <row r="6">
          <cell r="E6" t="str">
            <v>INGRESO</v>
          </cell>
          <cell r="N6" t="str">
            <v>SUELDO</v>
          </cell>
          <cell r="P6" t="str">
            <v>VACACIONES</v>
          </cell>
        </row>
        <row r="8">
          <cell r="L8">
            <v>0</v>
          </cell>
          <cell r="M8">
            <v>360</v>
          </cell>
          <cell r="N8" t="e">
            <v>#REF!</v>
          </cell>
          <cell r="O8" t="e">
            <v>#REF!</v>
          </cell>
          <cell r="P8" t="e">
            <v>#REF!</v>
          </cell>
        </row>
        <row r="9">
          <cell r="L9">
            <v>0</v>
          </cell>
          <cell r="M9">
            <v>360</v>
          </cell>
          <cell r="N9" t="e">
            <v>#REF!</v>
          </cell>
          <cell r="O9" t="e">
            <v>#REF!</v>
          </cell>
          <cell r="P9" t="e">
            <v>#REF!</v>
          </cell>
        </row>
        <row r="11">
          <cell r="L11">
            <v>0</v>
          </cell>
          <cell r="M11">
            <v>360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L12">
            <v>0</v>
          </cell>
          <cell r="M12">
            <v>360</v>
          </cell>
          <cell r="N12" t="e">
            <v>#REF!</v>
          </cell>
          <cell r="O12" t="e">
            <v>#REF!</v>
          </cell>
          <cell r="P12" t="e">
            <v>#REF!</v>
          </cell>
        </row>
        <row r="14">
          <cell r="C14" t="str">
            <v>*</v>
          </cell>
          <cell r="L14">
            <v>0</v>
          </cell>
          <cell r="M14">
            <v>360</v>
          </cell>
          <cell r="N14" t="e">
            <v>#REF!</v>
          </cell>
          <cell r="O14" t="e">
            <v>#REF!</v>
          </cell>
          <cell r="P14" t="e">
            <v>#REF!</v>
          </cell>
        </row>
        <row r="16">
          <cell r="C16" t="str">
            <v>*</v>
          </cell>
          <cell r="L16">
            <v>0</v>
          </cell>
          <cell r="M16">
            <v>360</v>
          </cell>
          <cell r="N16" t="e">
            <v>#REF!</v>
          </cell>
          <cell r="O16" t="e">
            <v>#REF!</v>
          </cell>
          <cell r="P16" t="e">
            <v>#REF!</v>
          </cell>
        </row>
        <row r="17">
          <cell r="C17" t="str">
            <v xml:space="preserve"> </v>
          </cell>
          <cell r="L17">
            <v>0</v>
          </cell>
          <cell r="M17">
            <v>360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C18" t="str">
            <v>*</v>
          </cell>
          <cell r="L18">
            <v>0</v>
          </cell>
          <cell r="M18">
            <v>360</v>
          </cell>
          <cell r="N18" t="e">
            <v>#REF!</v>
          </cell>
          <cell r="O18" t="e">
            <v>#REF!</v>
          </cell>
          <cell r="P18" t="e">
            <v>#REF!</v>
          </cell>
        </row>
        <row r="20">
          <cell r="L20">
            <v>0</v>
          </cell>
          <cell r="M20">
            <v>360</v>
          </cell>
          <cell r="N20" t="e">
            <v>#REF!</v>
          </cell>
          <cell r="O20" t="e">
            <v>#REF!</v>
          </cell>
          <cell r="P20" t="e">
            <v>#REF!</v>
          </cell>
        </row>
        <row r="21">
          <cell r="L21">
            <v>0</v>
          </cell>
          <cell r="M21">
            <v>1800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N22" t="e">
            <v>#REF!</v>
          </cell>
          <cell r="O22" t="e">
            <v>#REF!</v>
          </cell>
          <cell r="P22" t="e">
            <v>#REF!</v>
          </cell>
        </row>
      </sheetData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 "/>
      <sheetName val="Superávit 2008"/>
      <sheetName val="Ejecucion gastos 2008"/>
      <sheetName val="Anexo 2 "/>
      <sheetName val="Anexo 3"/>
      <sheetName val="Anexo 4"/>
      <sheetName val="RECAUDO"/>
      <sheetName val="Funcionamiento"/>
      <sheetName val="Distrib. gasto"/>
      <sheetName val="Nómina y honorarios 2009"/>
      <sheetName val="Comparativo nómina 2008-2009"/>
      <sheetName val="Inversión total en programas"/>
      <sheetName val="MODELO CONTRATISTAS"/>
      <sheetName val="Servicios personal 2005"/>
      <sheetName val="Nómina 2004"/>
    </sheetNames>
    <sheetDataSet>
      <sheetData sheetId="0">
        <row r="15">
          <cell r="D15">
            <v>1879936344.6475291</v>
          </cell>
        </row>
        <row r="21">
          <cell r="B21">
            <v>3824510363.1700001</v>
          </cell>
          <cell r="C21">
            <v>3827160976.1700001</v>
          </cell>
        </row>
        <row r="32">
          <cell r="D32">
            <v>3946232500</v>
          </cell>
        </row>
        <row r="46">
          <cell r="C46">
            <v>2269769.2057320001</v>
          </cell>
        </row>
        <row r="53">
          <cell r="C53">
            <v>2484.75</v>
          </cell>
        </row>
        <row r="54">
          <cell r="C54">
            <v>828.25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5">
          <cell r="C35" t="e">
            <v>#REF!</v>
          </cell>
        </row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  <row r="86">
          <cell r="B86">
            <v>117000000</v>
          </cell>
        </row>
      </sheetData>
      <sheetData sheetId="16"/>
      <sheetData sheetId="17"/>
      <sheetData sheetId="18">
        <row r="5">
          <cell r="E5" t="str">
            <v xml:space="preserve">FECHA </v>
          </cell>
          <cell r="H5" t="str">
            <v>DIAS</v>
          </cell>
          <cell r="I5" t="str">
            <v>SIN AUMENTO</v>
          </cell>
          <cell r="L5" t="str">
            <v>VAC</v>
          </cell>
          <cell r="M5" t="str">
            <v>DIAS REALES</v>
          </cell>
          <cell r="N5" t="str">
            <v>CON AUMENTO</v>
          </cell>
          <cell r="O5" t="str">
            <v>TOTAL SUELDO</v>
          </cell>
          <cell r="P5" t="str">
            <v>SUELDO MENOS</v>
          </cell>
        </row>
        <row r="6">
          <cell r="E6" t="str">
            <v>INGRESO</v>
          </cell>
          <cell r="N6" t="str">
            <v>SUELDO</v>
          </cell>
          <cell r="P6" t="str">
            <v>VACACIONES</v>
          </cell>
        </row>
        <row r="8">
          <cell r="L8">
            <v>0</v>
          </cell>
          <cell r="M8">
            <v>360</v>
          </cell>
          <cell r="N8" t="e">
            <v>#REF!</v>
          </cell>
          <cell r="O8" t="e">
            <v>#REF!</v>
          </cell>
          <cell r="P8" t="e">
            <v>#REF!</v>
          </cell>
        </row>
        <row r="9">
          <cell r="L9">
            <v>0</v>
          </cell>
          <cell r="M9">
            <v>360</v>
          </cell>
          <cell r="N9" t="e">
            <v>#REF!</v>
          </cell>
          <cell r="O9" t="e">
            <v>#REF!</v>
          </cell>
          <cell r="P9" t="e">
            <v>#REF!</v>
          </cell>
        </row>
        <row r="11">
          <cell r="L11">
            <v>0</v>
          </cell>
          <cell r="M11">
            <v>360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L12">
            <v>0</v>
          </cell>
          <cell r="M12">
            <v>360</v>
          </cell>
          <cell r="N12" t="e">
            <v>#REF!</v>
          </cell>
          <cell r="O12" t="e">
            <v>#REF!</v>
          </cell>
          <cell r="P12" t="e">
            <v>#REF!</v>
          </cell>
        </row>
        <row r="14">
          <cell r="C14" t="str">
            <v>*</v>
          </cell>
          <cell r="L14">
            <v>0</v>
          </cell>
          <cell r="M14">
            <v>360</v>
          </cell>
          <cell r="N14" t="e">
            <v>#REF!</v>
          </cell>
          <cell r="O14" t="e">
            <v>#REF!</v>
          </cell>
          <cell r="P14" t="e">
            <v>#REF!</v>
          </cell>
        </row>
        <row r="16">
          <cell r="C16" t="str">
            <v>*</v>
          </cell>
          <cell r="L16">
            <v>0</v>
          </cell>
          <cell r="M16">
            <v>360</v>
          </cell>
          <cell r="N16" t="e">
            <v>#REF!</v>
          </cell>
          <cell r="O16" t="e">
            <v>#REF!</v>
          </cell>
          <cell r="P16" t="e">
            <v>#REF!</v>
          </cell>
        </row>
        <row r="17">
          <cell r="C17" t="str">
            <v xml:space="preserve"> </v>
          </cell>
          <cell r="L17">
            <v>0</v>
          </cell>
          <cell r="M17">
            <v>360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C18" t="str">
            <v>*</v>
          </cell>
          <cell r="L18">
            <v>0</v>
          </cell>
          <cell r="M18">
            <v>360</v>
          </cell>
          <cell r="N18" t="e">
            <v>#REF!</v>
          </cell>
          <cell r="O18" t="e">
            <v>#REF!</v>
          </cell>
          <cell r="P18" t="e">
            <v>#REF!</v>
          </cell>
        </row>
        <row r="20">
          <cell r="L20">
            <v>0</v>
          </cell>
          <cell r="M20">
            <v>360</v>
          </cell>
          <cell r="N20" t="e">
            <v>#REF!</v>
          </cell>
          <cell r="O20" t="e">
            <v>#REF!</v>
          </cell>
          <cell r="P20" t="e">
            <v>#REF!</v>
          </cell>
        </row>
        <row r="21">
          <cell r="L21">
            <v>0</v>
          </cell>
          <cell r="M21">
            <v>1800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N22" t="e">
            <v>#REF!</v>
          </cell>
          <cell r="O22" t="e">
            <v>#REF!</v>
          </cell>
          <cell r="P22" t="e">
            <v>#REF!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Superávit 2007"/>
      <sheetName val="Ejecución gastos 2007"/>
      <sheetName val="Anexo 2 "/>
      <sheetName val="Anexo 3"/>
      <sheetName val="Anexo 4"/>
      <sheetName val="RECAUDO"/>
      <sheetName val="Funcionamiento"/>
      <sheetName val="Nómina y honorarios 2008"/>
      <sheetName val="Comparativo Nomina"/>
      <sheetName val="Nómina 2007-2008"/>
      <sheetName val="Perfil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17"/>
      <sheetData sheetId="18"/>
      <sheetData sheetId="19">
        <row r="5">
          <cell r="E5" t="str">
            <v xml:space="preserve">FECHA </v>
          </cell>
          <cell r="H5" t="str">
            <v>DIAS</v>
          </cell>
          <cell r="I5" t="str">
            <v>SIN AUMENTO</v>
          </cell>
          <cell r="L5" t="str">
            <v>VAC</v>
          </cell>
          <cell r="M5" t="str">
            <v>DIAS REALES</v>
          </cell>
          <cell r="N5" t="str">
            <v>CON AUMENTO</v>
          </cell>
          <cell r="O5" t="str">
            <v>TOTAL SUELDO</v>
          </cell>
          <cell r="P5" t="str">
            <v>SUELDO MENOS</v>
          </cell>
        </row>
        <row r="6">
          <cell r="E6" t="str">
            <v>INGRESO</v>
          </cell>
          <cell r="N6" t="str">
            <v>SUELDO</v>
          </cell>
          <cell r="P6" t="str">
            <v>VACACIONES</v>
          </cell>
        </row>
        <row r="8">
          <cell r="L8">
            <v>0</v>
          </cell>
          <cell r="M8">
            <v>360</v>
          </cell>
          <cell r="N8" t="e">
            <v>#REF!</v>
          </cell>
          <cell r="O8" t="e">
            <v>#REF!</v>
          </cell>
          <cell r="P8" t="e">
            <v>#REF!</v>
          </cell>
        </row>
        <row r="9">
          <cell r="L9">
            <v>0</v>
          </cell>
          <cell r="M9">
            <v>360</v>
          </cell>
          <cell r="N9" t="e">
            <v>#REF!</v>
          </cell>
          <cell r="O9" t="e">
            <v>#REF!</v>
          </cell>
          <cell r="P9" t="e">
            <v>#REF!</v>
          </cell>
        </row>
        <row r="11">
          <cell r="L11">
            <v>0</v>
          </cell>
          <cell r="M11">
            <v>360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L12">
            <v>0</v>
          </cell>
          <cell r="M12">
            <v>360</v>
          </cell>
          <cell r="N12" t="e">
            <v>#REF!</v>
          </cell>
          <cell r="O12" t="e">
            <v>#REF!</v>
          </cell>
          <cell r="P12" t="e">
            <v>#REF!</v>
          </cell>
        </row>
        <row r="14">
          <cell r="C14" t="str">
            <v>*</v>
          </cell>
          <cell r="L14">
            <v>0</v>
          </cell>
          <cell r="M14">
            <v>360</v>
          </cell>
          <cell r="N14" t="e">
            <v>#REF!</v>
          </cell>
          <cell r="O14" t="e">
            <v>#REF!</v>
          </cell>
          <cell r="P14" t="e">
            <v>#REF!</v>
          </cell>
        </row>
        <row r="16">
          <cell r="C16" t="str">
            <v>*</v>
          </cell>
          <cell r="L16">
            <v>0</v>
          </cell>
          <cell r="M16">
            <v>360</v>
          </cell>
          <cell r="N16" t="e">
            <v>#REF!</v>
          </cell>
          <cell r="O16" t="e">
            <v>#REF!</v>
          </cell>
          <cell r="P16" t="e">
            <v>#REF!</v>
          </cell>
        </row>
        <row r="17">
          <cell r="C17" t="str">
            <v xml:space="preserve"> </v>
          </cell>
          <cell r="L17">
            <v>0</v>
          </cell>
          <cell r="M17">
            <v>360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C18" t="str">
            <v>*</v>
          </cell>
          <cell r="L18">
            <v>0</v>
          </cell>
          <cell r="M18">
            <v>360</v>
          </cell>
          <cell r="N18" t="e">
            <v>#REF!</v>
          </cell>
          <cell r="O18" t="e">
            <v>#REF!</v>
          </cell>
          <cell r="P18" t="e">
            <v>#REF!</v>
          </cell>
        </row>
        <row r="20">
          <cell r="L20">
            <v>0</v>
          </cell>
          <cell r="M20">
            <v>360</v>
          </cell>
          <cell r="N20" t="e">
            <v>#REF!</v>
          </cell>
          <cell r="O20" t="e">
            <v>#REF!</v>
          </cell>
          <cell r="P20" t="e">
            <v>#REF!</v>
          </cell>
        </row>
        <row r="21">
          <cell r="L21">
            <v>0</v>
          </cell>
          <cell r="M21">
            <v>1800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N22" t="e">
            <v>#REF!</v>
          </cell>
          <cell r="O22" t="e">
            <v>#REF!</v>
          </cell>
          <cell r="P22" t="e">
            <v>#REF!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Anexo 2 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INGRESOS"/>
      <sheetName val="Otros ingresos"/>
      <sheetName val="Rendimientos "/>
      <sheetName val="Escenario PPC"/>
      <sheetName val="Ejecución ingresos 2013"/>
      <sheetName val="Ejecucion de gastos  2013"/>
      <sheetName val="Superavit 2013"/>
      <sheetName val="Anexo 2 "/>
      <sheetName val="Anexo 3"/>
      <sheetName val="Anexo 4"/>
      <sheetName val="Funcionamiento"/>
      <sheetName val="Nómina y honorarios 2014"/>
      <sheetName val="Comparativo nómina 2013-201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PPC "/>
      <sheetName val="2014 vs 2015"/>
      <sheetName val="justificacion formulada"/>
      <sheetName val="Vigilancia Epidemiologica"/>
      <sheetName val="Progra vigilancia otras enf"/>
      <sheetName val="anexo impresos y publicaciones"/>
      <sheetName val="Ingresos 2015"/>
      <sheetName val="Escenario PPC"/>
      <sheetName val="NOMINA HONORARIOS 2015"/>
      <sheetName val="Recolección desechos y archivo"/>
      <sheetName val="Aux distribuidores"/>
      <sheetName val="Aux comités"/>
      <sheetName val="Barridos 2015"/>
      <sheetName val="Admon BD"/>
      <sheetName val="Verificación predios"/>
      <sheetName val="Anexo comunicaciones"/>
      <sheetName val="REUNIÓNES"/>
      <sheetName val="BRIGADAS"/>
      <sheetName val="Anexo materiales y dotaciones"/>
      <sheetName val="Correo"/>
      <sheetName val="Aux Coord y Gastos de Viaje"/>
      <sheetName val="Arriendos"/>
      <sheetName val="NOMINA HONORARIOS 2013"/>
      <sheetName val="Participación x dosis"/>
      <sheetName val="SIMULACROS"/>
      <sheetName val="BIOLÓGICO 2015"/>
      <sheetName val="Chapetas ZL"/>
      <sheetName val="Chapetas ZE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Superavit 2013"/>
      <sheetName val="Ejecución ingresos 2013"/>
      <sheetName val="Ejecucion de gastos  2013"/>
      <sheetName val="Anexo 2 "/>
      <sheetName val="Anexo 3"/>
      <sheetName val="Anexo 4"/>
      <sheetName val="Funcionamiento"/>
      <sheetName val="Nómina y honorarios 2014"/>
      <sheetName val="Comparativo nómina 2013-2014"/>
      <sheetName val="Comparativo gastos personal "/>
    </sheetNames>
    <sheetDataSet>
      <sheetData sheetId="0">
        <row r="46">
          <cell r="C46">
            <v>3001930</v>
          </cell>
        </row>
        <row r="53">
          <cell r="C53">
            <v>4106.8</v>
          </cell>
        </row>
        <row r="54">
          <cell r="C54">
            <v>2464.08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 (2)"/>
      <sheetName val="Consolidado área PPC "/>
      <sheetName val="III TRE PPC"/>
      <sheetName val="Ingresos 2015"/>
      <sheetName val="Escenario PPC"/>
      <sheetName val="CONSOLIDADO SANIDAD"/>
      <sheetName val="III SANIDAD"/>
      <sheetName val="Anexo 2 "/>
    </sheetNames>
    <sheetDataSet>
      <sheetData sheetId="0"/>
      <sheetData sheetId="1"/>
      <sheetData sheetId="2">
        <row r="7">
          <cell r="B7">
            <v>3000000</v>
          </cell>
        </row>
        <row r="8">
          <cell r="B8">
            <v>81000000</v>
          </cell>
        </row>
        <row r="16">
          <cell r="B16">
            <v>3000000</v>
          </cell>
        </row>
        <row r="17">
          <cell r="B17">
            <v>63000000</v>
          </cell>
        </row>
        <row r="18">
          <cell r="B18">
            <v>750000</v>
          </cell>
        </row>
        <row r="19">
          <cell r="B19">
            <v>3500000</v>
          </cell>
        </row>
        <row r="21">
          <cell r="B21">
            <v>2320000</v>
          </cell>
        </row>
        <row r="26">
          <cell r="B26">
            <v>397000000</v>
          </cell>
        </row>
        <row r="29">
          <cell r="B29">
            <v>20000000</v>
          </cell>
        </row>
        <row r="43">
          <cell r="B43">
            <v>14000000</v>
          </cell>
        </row>
        <row r="47">
          <cell r="B47">
            <v>75000000</v>
          </cell>
        </row>
        <row r="51">
          <cell r="B51">
            <v>100000000</v>
          </cell>
        </row>
        <row r="55">
          <cell r="B55">
            <v>40000000</v>
          </cell>
        </row>
        <row r="68">
          <cell r="B68">
            <v>40000000</v>
          </cell>
        </row>
        <row r="69">
          <cell r="B69">
            <v>611000000</v>
          </cell>
        </row>
        <row r="70">
          <cell r="B70">
            <v>30000000</v>
          </cell>
        </row>
        <row r="71">
          <cell r="B71">
            <v>30400000</v>
          </cell>
        </row>
        <row r="72">
          <cell r="B72">
            <v>18000000</v>
          </cell>
        </row>
        <row r="73">
          <cell r="B73">
            <v>1560000</v>
          </cell>
        </row>
        <row r="75">
          <cell r="B75">
            <v>44700000</v>
          </cell>
        </row>
        <row r="80">
          <cell r="B80">
            <v>168000000</v>
          </cell>
        </row>
        <row r="82">
          <cell r="B82">
            <v>1250000000</v>
          </cell>
        </row>
        <row r="85">
          <cell r="B85">
            <v>21651000</v>
          </cell>
        </row>
        <row r="88">
          <cell r="B88">
            <v>17000000</v>
          </cell>
        </row>
      </sheetData>
      <sheetData sheetId="3"/>
      <sheetData sheetId="4"/>
      <sheetData sheetId="5"/>
      <sheetData sheetId="6">
        <row r="5">
          <cell r="D5">
            <v>2400000</v>
          </cell>
        </row>
        <row r="6">
          <cell r="D6">
            <v>3000000</v>
          </cell>
        </row>
        <row r="7">
          <cell r="D7">
            <v>300000</v>
          </cell>
        </row>
        <row r="8">
          <cell r="D8">
            <v>375000</v>
          </cell>
        </row>
        <row r="13">
          <cell r="D13">
            <v>18000000</v>
          </cell>
        </row>
        <row r="16">
          <cell r="D16">
            <v>14000000</v>
          </cell>
        </row>
        <row r="25">
          <cell r="D25">
            <v>13000000</v>
          </cell>
        </row>
      </sheetData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Económica"/>
    </sheetNames>
    <sheetDataSet>
      <sheetData sheetId="0">
        <row r="6">
          <cell r="E6">
            <v>32235000</v>
          </cell>
        </row>
        <row r="10">
          <cell r="E10">
            <v>3000000</v>
          </cell>
        </row>
        <row r="11">
          <cell r="E11">
            <v>12000000</v>
          </cell>
        </row>
        <row r="12">
          <cell r="E12">
            <v>700000</v>
          </cell>
        </row>
        <row r="15">
          <cell r="E15">
            <v>4500000</v>
          </cell>
        </row>
        <row r="17">
          <cell r="E17">
            <v>750000</v>
          </cell>
        </row>
        <row r="24">
          <cell r="E24">
            <v>9923250</v>
          </cell>
        </row>
        <row r="25">
          <cell r="E25">
            <v>9319156</v>
          </cell>
        </row>
        <row r="26">
          <cell r="E26">
            <v>19641818.946000002</v>
          </cell>
        </row>
        <row r="28">
          <cell r="E28">
            <v>62314000</v>
          </cell>
        </row>
        <row r="31">
          <cell r="E31">
            <v>51457150</v>
          </cell>
        </row>
        <row r="32">
          <cell r="E32">
            <v>101048113</v>
          </cell>
        </row>
        <row r="34">
          <cell r="E34">
            <v>37000000</v>
          </cell>
        </row>
        <row r="35">
          <cell r="E35">
            <v>59300000</v>
          </cell>
        </row>
        <row r="36">
          <cell r="E36">
            <v>10300000</v>
          </cell>
        </row>
        <row r="37">
          <cell r="E37">
            <v>105600000</v>
          </cell>
        </row>
        <row r="39">
          <cell r="E39">
            <v>23341246</v>
          </cell>
        </row>
        <row r="40">
          <cell r="E40">
            <v>4063117</v>
          </cell>
        </row>
        <row r="41">
          <cell r="E41">
            <v>35850000</v>
          </cell>
        </row>
        <row r="43">
          <cell r="E43">
            <v>41777253</v>
          </cell>
        </row>
        <row r="44">
          <cell r="E44">
            <v>42978978</v>
          </cell>
        </row>
        <row r="47">
          <cell r="E47">
            <v>6800000</v>
          </cell>
        </row>
        <row r="48">
          <cell r="E48">
            <v>29600000</v>
          </cell>
        </row>
        <row r="49">
          <cell r="E49">
            <v>12200000</v>
          </cell>
        </row>
        <row r="52">
          <cell r="E52">
            <v>57093000</v>
          </cell>
        </row>
        <row r="53">
          <cell r="E53">
            <v>13000000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cnica"/>
    </sheetNames>
    <sheetDataSet>
      <sheetData sheetId="0">
        <row r="5">
          <cell r="H5">
            <v>2000000</v>
          </cell>
        </row>
        <row r="7">
          <cell r="H7">
            <v>2643237.5</v>
          </cell>
        </row>
        <row r="8">
          <cell r="H8">
            <v>4087624.52085</v>
          </cell>
        </row>
        <row r="9">
          <cell r="H9">
            <v>638441.93999999994</v>
          </cell>
        </row>
        <row r="10">
          <cell r="H10">
            <v>500000</v>
          </cell>
        </row>
        <row r="17">
          <cell r="H17">
            <v>64600000</v>
          </cell>
        </row>
        <row r="32">
          <cell r="H32">
            <v>5000000</v>
          </cell>
        </row>
        <row r="35">
          <cell r="H35">
            <v>3000000</v>
          </cell>
        </row>
        <row r="37">
          <cell r="H37">
            <v>5000000</v>
          </cell>
        </row>
        <row r="43">
          <cell r="H43">
            <v>12000000</v>
          </cell>
        </row>
        <row r="45">
          <cell r="H45">
            <v>123415000</v>
          </cell>
        </row>
        <row r="63">
          <cell r="H63">
            <v>30300000</v>
          </cell>
        </row>
        <row r="66">
          <cell r="H66">
            <v>5000000</v>
          </cell>
        </row>
        <row r="69">
          <cell r="H69">
            <v>3000000</v>
          </cell>
        </row>
        <row r="72">
          <cell r="H72">
            <v>12360000</v>
          </cell>
        </row>
        <row r="74">
          <cell r="H74">
            <v>10000000</v>
          </cell>
        </row>
        <row r="77">
          <cell r="H77">
            <v>11000000</v>
          </cell>
        </row>
        <row r="81">
          <cell r="H81">
            <v>20161600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AÑO 1ER TRIMESTRE"/>
      <sheetName val="SOLICITUD III TRIMESTRE"/>
      <sheetName val="Proyectado ejecucion"/>
    </sheetNames>
    <sheetDataSet>
      <sheetData sheetId="0"/>
      <sheetData sheetId="1">
        <row r="24">
          <cell r="G24">
            <v>1929613</v>
          </cell>
        </row>
        <row r="25">
          <cell r="G25">
            <v>1586000</v>
          </cell>
        </row>
        <row r="26">
          <cell r="G26">
            <v>1000000</v>
          </cell>
        </row>
        <row r="27">
          <cell r="G27">
            <v>513250</v>
          </cell>
        </row>
        <row r="38">
          <cell r="G38">
            <v>97461900</v>
          </cell>
        </row>
        <row r="39">
          <cell r="G39">
            <v>2002391</v>
          </cell>
        </row>
        <row r="40">
          <cell r="G40">
            <v>15000000</v>
          </cell>
        </row>
        <row r="43">
          <cell r="G43">
            <v>20000000</v>
          </cell>
        </row>
        <row r="44">
          <cell r="G44">
            <v>10000000</v>
          </cell>
        </row>
        <row r="49">
          <cell r="G49">
            <v>30000000</v>
          </cell>
        </row>
        <row r="51">
          <cell r="G51">
            <v>27000000</v>
          </cell>
        </row>
        <row r="54">
          <cell r="G54">
            <v>27500000</v>
          </cell>
        </row>
        <row r="57">
          <cell r="G57">
            <v>146400</v>
          </cell>
        </row>
        <row r="58">
          <cell r="G58">
            <v>2230000</v>
          </cell>
        </row>
        <row r="59">
          <cell r="G59">
            <v>5442000</v>
          </cell>
        </row>
        <row r="61">
          <cell r="G61">
            <v>7913400</v>
          </cell>
        </row>
        <row r="62">
          <cell r="G62">
            <v>35000000</v>
          </cell>
        </row>
        <row r="64">
          <cell r="G64">
            <v>2940000</v>
          </cell>
        </row>
        <row r="65">
          <cell r="G65">
            <v>5000000</v>
          </cell>
        </row>
        <row r="66">
          <cell r="G66">
            <v>57680000</v>
          </cell>
        </row>
        <row r="67">
          <cell r="G67">
            <v>5000000</v>
          </cell>
        </row>
        <row r="68">
          <cell r="G68">
            <v>1495628725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 "/>
    </sheetNames>
    <sheetDataSet>
      <sheetData sheetId="0">
        <row r="16">
          <cell r="H16">
            <v>2499655</v>
          </cell>
        </row>
        <row r="17">
          <cell r="H17">
            <v>602658</v>
          </cell>
        </row>
        <row r="22">
          <cell r="H22">
            <v>4000000</v>
          </cell>
        </row>
        <row r="25">
          <cell r="H25">
            <v>4000000</v>
          </cell>
        </row>
        <row r="62">
          <cell r="H62">
            <v>78244469</v>
          </cell>
        </row>
        <row r="64">
          <cell r="H64">
            <v>6539247</v>
          </cell>
        </row>
        <row r="67">
          <cell r="H67">
            <v>15860000</v>
          </cell>
        </row>
        <row r="68">
          <cell r="H68">
            <v>57600000</v>
          </cell>
        </row>
        <row r="69">
          <cell r="H69">
            <v>46680000</v>
          </cell>
        </row>
        <row r="70">
          <cell r="H70">
            <v>13750000</v>
          </cell>
        </row>
        <row r="71">
          <cell r="H71">
            <v>24660000</v>
          </cell>
        </row>
        <row r="73">
          <cell r="H73">
            <v>30000000</v>
          </cell>
        </row>
        <row r="74">
          <cell r="H74">
            <v>70000000</v>
          </cell>
        </row>
        <row r="75">
          <cell r="H75">
            <v>25000000</v>
          </cell>
        </row>
        <row r="83">
          <cell r="H83">
            <v>60501000</v>
          </cell>
        </row>
        <row r="84">
          <cell r="H84">
            <v>60000000</v>
          </cell>
        </row>
        <row r="86">
          <cell r="H86">
            <v>313758330</v>
          </cell>
        </row>
        <row r="87">
          <cell r="H87">
            <v>90047200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J46"/>
  <sheetViews>
    <sheetView tabSelected="1" view="pageBreakPreview" zoomScale="80" zoomScaleNormal="100" zoomScaleSheetLayoutView="80" workbookViewId="0">
      <pane xSplit="1" ySplit="10" topLeftCell="B11" activePane="bottomRight" state="frozen"/>
      <selection activeCell="X27" sqref="X27"/>
      <selection pane="topRight" activeCell="X27" sqref="X27"/>
      <selection pane="bottomLeft" activeCell="X27" sqref="X27"/>
      <selection pane="bottomRight" activeCell="A8" sqref="A8:A10"/>
    </sheetView>
  </sheetViews>
  <sheetFormatPr baseColWidth="10" defaultRowHeight="15" outlineLevelRow="1" x14ac:dyDescent="0.3"/>
  <cols>
    <col min="1" max="1" width="35.5703125" style="2" customWidth="1"/>
    <col min="2" max="2" width="23.140625" style="2" customWidth="1"/>
    <col min="3" max="3" width="20.5703125" style="2" customWidth="1"/>
    <col min="4" max="4" width="20.7109375" style="2" customWidth="1"/>
    <col min="5" max="5" width="14.140625" style="2" customWidth="1"/>
    <col min="6" max="6" width="23" style="2" customWidth="1"/>
    <col min="7" max="7" width="18" style="2" bestFit="1" customWidth="1"/>
    <col min="8" max="8" width="12.5703125" style="2" bestFit="1" customWidth="1"/>
    <col min="9" max="9" width="16.140625" style="2" bestFit="1" customWidth="1"/>
    <col min="10" max="10" width="12" style="2" bestFit="1" customWidth="1"/>
    <col min="11" max="11" width="11.85546875" style="2" bestFit="1" customWidth="1"/>
    <col min="12" max="12" width="12" style="2" bestFit="1" customWidth="1"/>
    <col min="13" max="16384" width="11.42578125" style="2"/>
  </cols>
  <sheetData>
    <row r="1" spans="1:10" ht="15.75" x14ac:dyDescent="0.3">
      <c r="A1" s="34"/>
      <c r="B1" s="34"/>
      <c r="C1" s="34"/>
      <c r="D1" s="34"/>
      <c r="E1" s="34"/>
    </row>
    <row r="2" spans="1:10" ht="15.75" x14ac:dyDescent="0.3">
      <c r="A2" s="985" t="s">
        <v>44</v>
      </c>
      <c r="B2" s="985"/>
      <c r="C2" s="985"/>
      <c r="D2" s="985"/>
      <c r="E2" s="985"/>
    </row>
    <row r="3" spans="1:10" ht="15.75" x14ac:dyDescent="0.3">
      <c r="A3" s="985" t="s">
        <v>42</v>
      </c>
      <c r="B3" s="985"/>
      <c r="C3" s="985"/>
      <c r="D3" s="985"/>
      <c r="E3" s="985"/>
    </row>
    <row r="4" spans="1:10" ht="15.75" x14ac:dyDescent="0.3">
      <c r="A4" s="985" t="s">
        <v>510</v>
      </c>
      <c r="B4" s="985"/>
      <c r="C4" s="985"/>
      <c r="D4" s="985"/>
      <c r="E4" s="985"/>
      <c r="F4" s="207"/>
      <c r="G4" s="114"/>
    </row>
    <row r="5" spans="1:10" ht="15.75" x14ac:dyDescent="0.3">
      <c r="A5" s="985" t="s">
        <v>857</v>
      </c>
      <c r="B5" s="985"/>
      <c r="C5" s="985"/>
      <c r="D5" s="985"/>
      <c r="E5" s="985"/>
      <c r="F5" s="954"/>
      <c r="G5" s="954"/>
    </row>
    <row r="6" spans="1:10" ht="15.75" x14ac:dyDescent="0.3">
      <c r="A6" s="986" t="s">
        <v>19</v>
      </c>
      <c r="B6" s="986"/>
      <c r="C6" s="986"/>
      <c r="D6" s="986"/>
      <c r="E6" s="986"/>
      <c r="F6" s="207"/>
    </row>
    <row r="7" spans="1:10" ht="16.5" thickBot="1" x14ac:dyDescent="0.35">
      <c r="A7" s="32"/>
      <c r="B7" s="32"/>
      <c r="C7" s="32"/>
      <c r="D7" s="32"/>
      <c r="E7" s="32"/>
      <c r="F7" s="207"/>
    </row>
    <row r="8" spans="1:10" ht="17.25" customHeight="1" x14ac:dyDescent="0.3">
      <c r="A8" s="982" t="s">
        <v>32</v>
      </c>
      <c r="B8" s="987" t="s">
        <v>852</v>
      </c>
      <c r="C8" s="987" t="s">
        <v>853</v>
      </c>
      <c r="D8" s="987" t="s">
        <v>854</v>
      </c>
      <c r="E8" s="987" t="s">
        <v>221</v>
      </c>
    </row>
    <row r="9" spans="1:10" ht="15" customHeight="1" x14ac:dyDescent="0.3">
      <c r="A9" s="983"/>
      <c r="B9" s="988"/>
      <c r="C9" s="988"/>
      <c r="D9" s="988"/>
      <c r="E9" s="988" t="s">
        <v>850</v>
      </c>
    </row>
    <row r="10" spans="1:10" ht="26.25" customHeight="1" thickBot="1" x14ac:dyDescent="0.35">
      <c r="A10" s="984"/>
      <c r="B10" s="989"/>
      <c r="C10" s="989"/>
      <c r="D10" s="989"/>
      <c r="E10" s="989"/>
    </row>
    <row r="11" spans="1:10" ht="15.75" customHeight="1" x14ac:dyDescent="0.3">
      <c r="A11" s="946" t="s">
        <v>108</v>
      </c>
      <c r="B11" s="432">
        <f>+B13+B17+B21</f>
        <v>8737849021</v>
      </c>
      <c r="C11" s="963">
        <f>+C13+C17+C21</f>
        <v>7326849693</v>
      </c>
      <c r="D11" s="968">
        <f>+C11-B11</f>
        <v>-1410999328</v>
      </c>
      <c r="E11" s="977">
        <f>+C11/B11</f>
        <v>0.83851868753867309</v>
      </c>
    </row>
    <row r="12" spans="1:10" ht="13.5" customHeight="1" x14ac:dyDescent="0.3">
      <c r="A12" s="947"/>
      <c r="B12" s="434"/>
      <c r="C12" s="964"/>
      <c r="D12" s="964"/>
      <c r="E12" s="977"/>
    </row>
    <row r="13" spans="1:10" ht="30.75" x14ac:dyDescent="0.3">
      <c r="A13" s="948" t="s">
        <v>164</v>
      </c>
      <c r="B13" s="951">
        <f>+B14+B15</f>
        <v>5980809270</v>
      </c>
      <c r="C13" s="965">
        <f>+C14+C15</f>
        <v>6591279128</v>
      </c>
      <c r="D13" s="968">
        <f t="shared" ref="D13:D37" si="0">+C13-B13</f>
        <v>610469858</v>
      </c>
      <c r="E13" s="977">
        <f t="shared" ref="E13:E37" si="1">+C13/B13</f>
        <v>1.1020714472641928</v>
      </c>
      <c r="H13" s="7"/>
    </row>
    <row r="14" spans="1:10" ht="15.75" x14ac:dyDescent="0.3">
      <c r="A14" s="947" t="s">
        <v>109</v>
      </c>
      <c r="B14" s="433">
        <f>+(299216+287787+288152)*(6834*62.5%)</f>
        <v>3738005793.75</v>
      </c>
      <c r="C14" s="966">
        <v>4119549454.75</v>
      </c>
      <c r="D14" s="966">
        <f t="shared" si="0"/>
        <v>381543661</v>
      </c>
      <c r="E14" s="978">
        <f t="shared" si="1"/>
        <v>1.1020714471973121</v>
      </c>
      <c r="G14" s="35"/>
      <c r="J14" s="7"/>
    </row>
    <row r="15" spans="1:10" ht="30" x14ac:dyDescent="0.3">
      <c r="A15" s="947" t="s">
        <v>110</v>
      </c>
      <c r="B15" s="433">
        <f>+(299216+287787+288152)*(6834*37.5%)</f>
        <v>2242803476.25</v>
      </c>
      <c r="C15" s="966">
        <v>2471729673.25</v>
      </c>
      <c r="D15" s="966">
        <f t="shared" si="0"/>
        <v>228926197</v>
      </c>
      <c r="E15" s="978">
        <f t="shared" si="1"/>
        <v>1.1020714473756603</v>
      </c>
      <c r="F15" s="7"/>
      <c r="G15" s="35"/>
      <c r="J15" s="7"/>
    </row>
    <row r="16" spans="1:10" ht="15.75" x14ac:dyDescent="0.3">
      <c r="A16" s="947"/>
      <c r="B16" s="433"/>
      <c r="C16" s="966"/>
      <c r="D16" s="966"/>
      <c r="E16" s="978"/>
      <c r="G16" s="30"/>
      <c r="J16" s="7"/>
    </row>
    <row r="17" spans="1:8" ht="30.75" x14ac:dyDescent="0.3">
      <c r="A17" s="949" t="s">
        <v>55</v>
      </c>
      <c r="B17" s="518">
        <f>+B18+B19</f>
        <v>30187383</v>
      </c>
      <c r="C17" s="967">
        <f>+C18+C19</f>
        <v>4896732</v>
      </c>
      <c r="D17" s="967">
        <f t="shared" si="0"/>
        <v>-25290651</v>
      </c>
      <c r="E17" s="977">
        <f t="shared" si="1"/>
        <v>0.16221121254532067</v>
      </c>
      <c r="G17" s="7"/>
    </row>
    <row r="18" spans="1:8" ht="15.75" x14ac:dyDescent="0.3">
      <c r="A18" s="947" t="s">
        <v>109</v>
      </c>
      <c r="B18" s="433">
        <v>18867114.625</v>
      </c>
      <c r="C18" s="966">
        <v>3060456.625</v>
      </c>
      <c r="D18" s="966">
        <f t="shared" si="0"/>
        <v>-15806658</v>
      </c>
      <c r="E18" s="978">
        <f t="shared" si="1"/>
        <v>0.16221116401893912</v>
      </c>
      <c r="G18" s="7"/>
    </row>
    <row r="19" spans="1:8" ht="30" x14ac:dyDescent="0.3">
      <c r="A19" s="947" t="s">
        <v>110</v>
      </c>
      <c r="B19" s="433">
        <v>11320268.375</v>
      </c>
      <c r="C19" s="966">
        <v>1836275.375</v>
      </c>
      <c r="D19" s="966">
        <f t="shared" si="0"/>
        <v>-9483993</v>
      </c>
      <c r="E19" s="978">
        <f t="shared" si="1"/>
        <v>0.16221129342262613</v>
      </c>
      <c r="G19" s="7"/>
    </row>
    <row r="20" spans="1:8" ht="15.75" x14ac:dyDescent="0.3">
      <c r="A20" s="947"/>
      <c r="B20" s="433"/>
      <c r="C20" s="966"/>
      <c r="D20" s="966"/>
      <c r="E20" s="979"/>
      <c r="G20" s="9"/>
      <c r="H20" s="7"/>
    </row>
    <row r="21" spans="1:8" ht="30.75" x14ac:dyDescent="0.3">
      <c r="A21" s="948" t="s">
        <v>16</v>
      </c>
      <c r="B21" s="570">
        <f>+B22+B23</f>
        <v>2726852368</v>
      </c>
      <c r="C21" s="968">
        <f>+C22+C23</f>
        <v>730673833</v>
      </c>
      <c r="D21" s="968">
        <f t="shared" si="0"/>
        <v>-1996178535</v>
      </c>
      <c r="E21" s="977">
        <f t="shared" si="1"/>
        <v>0.26795503914130492</v>
      </c>
      <c r="G21" s="4"/>
    </row>
    <row r="22" spans="1:8" ht="15.75" x14ac:dyDescent="0.3">
      <c r="A22" s="947" t="s">
        <v>109</v>
      </c>
      <c r="B22" s="961">
        <v>835072694</v>
      </c>
      <c r="C22" s="969">
        <v>131122628</v>
      </c>
      <c r="D22" s="969">
        <f t="shared" si="0"/>
        <v>-703950066</v>
      </c>
      <c r="E22" s="978">
        <f t="shared" si="1"/>
        <v>0.15701941752151222</v>
      </c>
      <c r="G22" s="28"/>
    </row>
    <row r="23" spans="1:8" ht="30" x14ac:dyDescent="0.3">
      <c r="A23" s="947" t="s">
        <v>110</v>
      </c>
      <c r="B23" s="433">
        <v>1891779674</v>
      </c>
      <c r="C23" s="966">
        <v>599551205</v>
      </c>
      <c r="D23" s="966">
        <f t="shared" si="0"/>
        <v>-1292228469</v>
      </c>
      <c r="E23" s="978">
        <f t="shared" si="1"/>
        <v>0.31692443535578446</v>
      </c>
      <c r="G23" s="10"/>
    </row>
    <row r="24" spans="1:8" ht="15.75" x14ac:dyDescent="0.3">
      <c r="A24" s="947"/>
      <c r="B24" s="433"/>
      <c r="C24" s="966"/>
      <c r="D24" s="966"/>
      <c r="E24" s="978"/>
      <c r="G24" s="10"/>
    </row>
    <row r="25" spans="1:8" ht="30.75" x14ac:dyDescent="0.3">
      <c r="A25" s="949" t="s">
        <v>112</v>
      </c>
      <c r="B25" s="518">
        <f>+B27+B31</f>
        <v>2398341507.25</v>
      </c>
      <c r="C25" s="967">
        <f>+C27+C31</f>
        <v>2410558936.25</v>
      </c>
      <c r="D25" s="967">
        <f t="shared" si="0"/>
        <v>12217429</v>
      </c>
      <c r="E25" s="977">
        <f t="shared" si="1"/>
        <v>1.0050941156474453</v>
      </c>
      <c r="G25" s="4"/>
    </row>
    <row r="26" spans="1:8" ht="15.75" x14ac:dyDescent="0.3">
      <c r="A26" s="947"/>
      <c r="B26" s="433"/>
      <c r="C26" s="966"/>
      <c r="D26" s="966"/>
      <c r="E26" s="977"/>
      <c r="G26" s="7"/>
    </row>
    <row r="27" spans="1:8" ht="15.75" x14ac:dyDescent="0.3">
      <c r="A27" s="949" t="s">
        <v>113</v>
      </c>
      <c r="B27" s="518">
        <f>+B28+B29</f>
        <v>85130116.5</v>
      </c>
      <c r="C27" s="967">
        <f>+C28+C29</f>
        <v>50453298.5</v>
      </c>
      <c r="D27" s="967">
        <f t="shared" si="0"/>
        <v>-34676818</v>
      </c>
      <c r="E27" s="977">
        <f t="shared" si="1"/>
        <v>0.59266098267350542</v>
      </c>
    </row>
    <row r="28" spans="1:8" ht="15.75" x14ac:dyDescent="0.3">
      <c r="A28" s="947" t="s">
        <v>74</v>
      </c>
      <c r="B28" s="433">
        <f>81342384/4</f>
        <v>20335596</v>
      </c>
      <c r="C28" s="966">
        <v>8523351</v>
      </c>
      <c r="D28" s="966">
        <f t="shared" si="0"/>
        <v>-11812245</v>
      </c>
      <c r="E28" s="978">
        <f t="shared" si="1"/>
        <v>0.41913455597760696</v>
      </c>
      <c r="G28" s="7"/>
    </row>
    <row r="29" spans="1:8" ht="15.75" x14ac:dyDescent="0.3">
      <c r="A29" s="947" t="s">
        <v>75</v>
      </c>
      <c r="B29" s="433">
        <f>259178082/4</f>
        <v>64794520.5</v>
      </c>
      <c r="C29" s="966">
        <v>41929947.5</v>
      </c>
      <c r="D29" s="966">
        <f t="shared" si="0"/>
        <v>-22864573</v>
      </c>
      <c r="E29" s="978">
        <f t="shared" si="1"/>
        <v>0.64712181178962502</v>
      </c>
      <c r="G29" s="7"/>
    </row>
    <row r="30" spans="1:8" ht="15.75" x14ac:dyDescent="0.3">
      <c r="A30" s="947"/>
      <c r="B30" s="433"/>
      <c r="C30" s="966"/>
      <c r="D30" s="966"/>
      <c r="E30" s="978"/>
    </row>
    <row r="31" spans="1:8" ht="15.75" x14ac:dyDescent="0.3">
      <c r="A31" s="949" t="s">
        <v>114</v>
      </c>
      <c r="B31" s="518">
        <f>SUM(B32:B36)</f>
        <v>2313211390.75</v>
      </c>
      <c r="C31" s="967">
        <f>SUM(C32:C36)</f>
        <v>2360105637.75</v>
      </c>
      <c r="D31" s="967">
        <f t="shared" si="0"/>
        <v>46894247</v>
      </c>
      <c r="E31" s="977">
        <f t="shared" si="1"/>
        <v>1.0202723569439089</v>
      </c>
    </row>
    <row r="32" spans="1:8" ht="15.75" x14ac:dyDescent="0.3">
      <c r="A32" s="947" t="s">
        <v>115</v>
      </c>
      <c r="B32" s="433">
        <v>379310372</v>
      </c>
      <c r="C32" s="966">
        <v>401318781</v>
      </c>
      <c r="D32" s="966">
        <f t="shared" si="0"/>
        <v>22008409</v>
      </c>
      <c r="E32" s="978">
        <f t="shared" si="1"/>
        <v>1.0580221650253212</v>
      </c>
    </row>
    <row r="33" spans="1:5" ht="15.75" x14ac:dyDescent="0.3">
      <c r="A33" s="950" t="s">
        <v>77</v>
      </c>
      <c r="B33" s="519">
        <v>5090628</v>
      </c>
      <c r="C33" s="970">
        <v>32242132</v>
      </c>
      <c r="D33" s="970">
        <f t="shared" si="0"/>
        <v>27151504</v>
      </c>
      <c r="E33" s="978">
        <f t="shared" si="1"/>
        <v>6.3336256351868574</v>
      </c>
    </row>
    <row r="34" spans="1:5" ht="15.75" x14ac:dyDescent="0.3">
      <c r="A34" s="950" t="s">
        <v>78</v>
      </c>
      <c r="B34" s="519">
        <v>1165897.75</v>
      </c>
      <c r="C34" s="970">
        <v>2253699.75</v>
      </c>
      <c r="D34" s="970">
        <f t="shared" si="0"/>
        <v>1087802</v>
      </c>
      <c r="E34" s="978">
        <f t="shared" si="1"/>
        <v>1.9330166388947916</v>
      </c>
    </row>
    <row r="35" spans="1:5" ht="15.75" x14ac:dyDescent="0.3">
      <c r="A35" s="950" t="s">
        <v>76</v>
      </c>
      <c r="B35" s="519">
        <v>14754493</v>
      </c>
      <c r="C35" s="970">
        <v>1208665</v>
      </c>
      <c r="D35" s="970">
        <f t="shared" si="0"/>
        <v>-13545828</v>
      </c>
      <c r="E35" s="978">
        <f t="shared" si="1"/>
        <v>8.1918436641638587E-2</v>
      </c>
    </row>
    <row r="36" spans="1:5" ht="16.5" thickBot="1" x14ac:dyDescent="0.35">
      <c r="A36" s="950" t="s">
        <v>144</v>
      </c>
      <c r="B36" s="952">
        <f>+'Otros ingresos'!C20</f>
        <v>1912890000</v>
      </c>
      <c r="C36" s="970">
        <v>1923082360</v>
      </c>
      <c r="D36" s="970">
        <f t="shared" si="0"/>
        <v>10192360</v>
      </c>
      <c r="E36" s="978">
        <f t="shared" si="1"/>
        <v>1.0053282520165823</v>
      </c>
    </row>
    <row r="37" spans="1:5" ht="16.5" thickBot="1" x14ac:dyDescent="0.35">
      <c r="A37" s="435" t="s">
        <v>116</v>
      </c>
      <c r="B37" s="436">
        <f>+B25+B11</f>
        <v>11136190528.25</v>
      </c>
      <c r="C37" s="436">
        <f>+C25+C11</f>
        <v>9737408629.25</v>
      </c>
      <c r="D37" s="436">
        <f t="shared" si="0"/>
        <v>-1398781899</v>
      </c>
      <c r="E37" s="980">
        <f t="shared" si="1"/>
        <v>0.87439314230017828</v>
      </c>
    </row>
    <row r="38" spans="1:5" x14ac:dyDescent="0.3">
      <c r="A38"/>
    </row>
    <row r="39" spans="1:5" ht="15.75" hidden="1" outlineLevel="1" x14ac:dyDescent="0.3">
      <c r="A39" s="953" t="s">
        <v>206</v>
      </c>
      <c r="B39" s="958">
        <f>+B14+B18+B22+B28+B33+B35+B36</f>
        <v>6545016319.375</v>
      </c>
      <c r="C39" s="958">
        <f>+C14+C18+C22+C28+C33+C35+C36</f>
        <v>6218789047.375</v>
      </c>
      <c r="D39" s="958"/>
    </row>
    <row r="40" spans="1:5" ht="15.75" hidden="1" outlineLevel="1" x14ac:dyDescent="0.3">
      <c r="A40" s="953" t="s">
        <v>835</v>
      </c>
      <c r="B40" s="958">
        <f>+'Anexo 2 '!B201+'Anexo 2 '!C201+'Anexo 2 '!D201+'Anexo 2 '!E201+'Anexo 2 '!F201+'Anexo 2 '!I201-'Anexo 2 '!I193</f>
        <v>6545016319.0781879</v>
      </c>
      <c r="C40" s="958">
        <f>+'Anexo 2 '!K38+'Anexo 2 '!K40+'Anexo 2 '!K192-'Anexo 2 '!K105-265330736-130147004</f>
        <v>6218789046.9108276</v>
      </c>
      <c r="D40" s="958"/>
    </row>
    <row r="41" spans="1:5" ht="15.75" hidden="1" outlineLevel="1" x14ac:dyDescent="0.3">
      <c r="A41" s="953" t="s">
        <v>836</v>
      </c>
      <c r="B41" s="962">
        <f>+B39-B40</f>
        <v>0.29681205749511719</v>
      </c>
      <c r="C41" s="962">
        <f>+C39-C40</f>
        <v>0.46417236328125</v>
      </c>
      <c r="D41" s="962"/>
    </row>
    <row r="42" spans="1:5" hidden="1" outlineLevel="1" x14ac:dyDescent="0.3">
      <c r="A42"/>
    </row>
    <row r="43" spans="1:5" ht="15.75" hidden="1" outlineLevel="1" x14ac:dyDescent="0.3">
      <c r="A43" s="953" t="s">
        <v>207</v>
      </c>
      <c r="B43" s="958">
        <f>+B15+B19+B23+B29+VTAS2005+B34</f>
        <v>4591174208.875</v>
      </c>
      <c r="C43" s="958">
        <f>+C15+C19+C23+C29+C32+C34</f>
        <v>3518619581.875</v>
      </c>
      <c r="D43" s="958"/>
    </row>
    <row r="44" spans="1:5" ht="15.75" hidden="1" outlineLevel="1" x14ac:dyDescent="0.3">
      <c r="A44" s="953" t="s">
        <v>837</v>
      </c>
      <c r="B44" s="959">
        <f>+'Anexo 2 '!G201+'Anexo 2 '!I193</f>
        <v>4591174208.4289951</v>
      </c>
      <c r="C44" s="959">
        <f>+'Anexo 2 '!K105+'Anexo 2 '!K193+'Anexo 2 '!K195+265330736+130147004</f>
        <v>3518619582</v>
      </c>
      <c r="D44" s="959"/>
    </row>
    <row r="45" spans="1:5" ht="15.75" hidden="1" outlineLevel="1" x14ac:dyDescent="0.3">
      <c r="A45" s="953" t="s">
        <v>836</v>
      </c>
      <c r="B45" s="4">
        <f>+B43-B44</f>
        <v>0.44600486755371094</v>
      </c>
      <c r="C45" s="4">
        <f>+C43-C44</f>
        <v>-0.125</v>
      </c>
      <c r="D45" s="4"/>
    </row>
    <row r="46" spans="1:5" collapsed="1" x14ac:dyDescent="0.3">
      <c r="B46" s="110"/>
      <c r="C46" s="110"/>
      <c r="D46" s="110"/>
    </row>
  </sheetData>
  <customSheetViews>
    <customSheetView guid="{4099E833-BB74-4680-85C9-A6CF399D1CE2}" showPageBreaks="1" printArea="1" showRuler="0" topLeftCell="A14">
      <selection activeCell="D23" sqref="D23"/>
      <pageMargins left="0.75" right="0.75" top="0.52" bottom="1" header="0.51181102362204722" footer="0.51181102362204722"/>
      <printOptions horizontalCentered="1"/>
      <pageSetup orientation="portrait" horizontalDpi="120" verticalDpi="144" r:id="rId1"/>
      <headerFooter alignWithMargins="0"/>
    </customSheetView>
  </customSheetViews>
  <mergeCells count="10">
    <mergeCell ref="A8:A10"/>
    <mergeCell ref="A2:E2"/>
    <mergeCell ref="A3:E3"/>
    <mergeCell ref="A4:E4"/>
    <mergeCell ref="A6:E6"/>
    <mergeCell ref="A5:E5"/>
    <mergeCell ref="E8:E10"/>
    <mergeCell ref="B8:B10"/>
    <mergeCell ref="C8:C10"/>
    <mergeCell ref="D8:D10"/>
  </mergeCells>
  <phoneticPr fontId="0" type="noConversion"/>
  <printOptions horizontalCentered="1"/>
  <pageMargins left="0.39370078740157483" right="0.39370078740157483" top="0.59055118110236227" bottom="0.59055118110236227" header="0.51181102362204722" footer="0.51181102362204722"/>
  <pageSetup scale="87" orientation="portrait" r:id="rId2"/>
  <headerFooter alignWithMargins="0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pageSetUpPr fitToPage="1"/>
  </sheetPr>
  <dimension ref="A1:S280"/>
  <sheetViews>
    <sheetView showWhiteSpace="0" zoomScale="90" zoomScaleNormal="90" zoomScaleSheetLayoutView="90" workbookViewId="0">
      <pane xSplit="1" ySplit="9" topLeftCell="E114" activePane="bottomRight" state="frozen"/>
      <selection pane="topRight" activeCell="B1" sqref="B1"/>
      <selection pane="bottomLeft" activeCell="A10" sqref="A10"/>
      <selection pane="bottomRight" activeCell="L7" sqref="L7"/>
    </sheetView>
  </sheetViews>
  <sheetFormatPr baseColWidth="10" defaultRowHeight="12.75" outlineLevelRow="2" x14ac:dyDescent="0.2"/>
  <cols>
    <col min="1" max="1" width="70.28515625" style="3" customWidth="1"/>
    <col min="2" max="2" width="14.5703125" style="3" customWidth="1"/>
    <col min="3" max="3" width="14.7109375" style="3" customWidth="1"/>
    <col min="4" max="4" width="18.42578125" style="3" customWidth="1"/>
    <col min="5" max="5" width="13.42578125" style="3" customWidth="1"/>
    <col min="6" max="7" width="15.42578125" style="3" customWidth="1"/>
    <col min="8" max="8" width="16.140625" style="3" customWidth="1"/>
    <col min="9" max="9" width="20" style="3" customWidth="1"/>
    <col min="10" max="11" width="18.140625" style="3" customWidth="1"/>
    <col min="12" max="12" width="16.28515625" style="3" customWidth="1"/>
    <col min="13" max="13" width="9.5703125" style="3" customWidth="1"/>
    <col min="14" max="14" width="17.85546875" style="3" bestFit="1" customWidth="1"/>
    <col min="15" max="17" width="14.5703125" style="3" customWidth="1"/>
    <col min="18" max="16384" width="11.42578125" style="3"/>
  </cols>
  <sheetData>
    <row r="1" spans="1:16" ht="15" x14ac:dyDescent="0.25">
      <c r="A1" s="990" t="s">
        <v>25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</row>
    <row r="2" spans="1:16" ht="15" x14ac:dyDescent="0.25">
      <c r="A2" s="990" t="s">
        <v>42</v>
      </c>
      <c r="B2" s="990"/>
      <c r="C2" s="990"/>
      <c r="D2" s="990"/>
      <c r="E2" s="990"/>
      <c r="F2" s="990"/>
      <c r="G2" s="990"/>
      <c r="H2" s="990"/>
      <c r="I2" s="990"/>
      <c r="J2" s="990"/>
      <c r="K2" s="990"/>
      <c r="L2" s="990"/>
      <c r="M2" s="990"/>
    </row>
    <row r="3" spans="1:16" ht="15" x14ac:dyDescent="0.25">
      <c r="A3" s="990" t="s">
        <v>654</v>
      </c>
      <c r="B3" s="990"/>
      <c r="C3" s="990"/>
      <c r="D3" s="990"/>
      <c r="E3" s="990"/>
      <c r="F3" s="990"/>
      <c r="G3" s="990"/>
      <c r="H3" s="990"/>
      <c r="I3" s="990"/>
      <c r="J3" s="990"/>
      <c r="K3" s="990"/>
      <c r="L3" s="990"/>
      <c r="M3" s="990"/>
    </row>
    <row r="4" spans="1:16" ht="15" x14ac:dyDescent="0.25">
      <c r="A4" s="990" t="s">
        <v>858</v>
      </c>
      <c r="B4" s="990"/>
      <c r="C4" s="990"/>
      <c r="D4" s="990"/>
      <c r="E4" s="990"/>
      <c r="F4" s="990"/>
      <c r="G4" s="990"/>
      <c r="H4" s="990"/>
      <c r="I4" s="990"/>
      <c r="J4" s="990"/>
      <c r="K4" s="990"/>
      <c r="L4" s="990"/>
      <c r="M4" s="990"/>
    </row>
    <row r="5" spans="1:16" ht="15" x14ac:dyDescent="0.25">
      <c r="A5" s="990" t="s">
        <v>213</v>
      </c>
      <c r="B5" s="990"/>
      <c r="C5" s="990"/>
      <c r="D5" s="990"/>
      <c r="E5" s="990"/>
      <c r="F5" s="990"/>
      <c r="G5" s="990"/>
      <c r="H5" s="990"/>
      <c r="I5" s="990"/>
      <c r="J5" s="990"/>
      <c r="K5" s="990"/>
      <c r="L5" s="990"/>
      <c r="M5" s="990"/>
    </row>
    <row r="6" spans="1:16" ht="15.75" thickBot="1" x14ac:dyDescent="0.3">
      <c r="A6" s="168"/>
      <c r="B6" s="419"/>
      <c r="C6" s="170"/>
      <c r="D6" s="170"/>
      <c r="E6" s="169"/>
      <c r="F6" s="169"/>
      <c r="G6" s="169"/>
      <c r="H6" s="437"/>
      <c r="I6" s="169"/>
    </row>
    <row r="7" spans="1:16" ht="75.75" customHeight="1" thickTop="1" x14ac:dyDescent="0.2">
      <c r="A7" s="171" t="s">
        <v>32</v>
      </c>
      <c r="B7" s="172" t="s">
        <v>134</v>
      </c>
      <c r="C7" s="172" t="s">
        <v>135</v>
      </c>
      <c r="D7" s="172" t="s">
        <v>311</v>
      </c>
      <c r="E7" s="172" t="s">
        <v>595</v>
      </c>
      <c r="F7" s="172" t="s">
        <v>136</v>
      </c>
      <c r="G7" s="172" t="s">
        <v>596</v>
      </c>
      <c r="H7" s="172" t="s">
        <v>137</v>
      </c>
      <c r="I7" s="172" t="s">
        <v>17</v>
      </c>
      <c r="J7" s="172" t="s">
        <v>31</v>
      </c>
      <c r="K7" s="573" t="s">
        <v>855</v>
      </c>
      <c r="L7" s="573" t="s">
        <v>859</v>
      </c>
      <c r="M7" s="173" t="s">
        <v>221</v>
      </c>
    </row>
    <row r="8" spans="1:16" ht="15" x14ac:dyDescent="0.25">
      <c r="A8" s="16" t="s">
        <v>138</v>
      </c>
      <c r="B8" s="20"/>
      <c r="C8" s="20"/>
      <c r="D8" s="20"/>
      <c r="E8" s="20"/>
      <c r="F8" s="20"/>
      <c r="G8" s="20"/>
      <c r="H8" s="20"/>
      <c r="I8" s="20"/>
      <c r="J8" s="20"/>
      <c r="K8" s="574"/>
      <c r="L8" s="574"/>
      <c r="M8" s="107"/>
    </row>
    <row r="9" spans="1:16" ht="15" x14ac:dyDescent="0.25">
      <c r="A9" s="33" t="s">
        <v>127</v>
      </c>
      <c r="B9" s="26">
        <f t="shared" ref="B9:K9" si="0">SUM(B10:B19)</f>
        <v>312981467.67459935</v>
      </c>
      <c r="C9" s="26">
        <f t="shared" si="0"/>
        <v>84856620.274227053</v>
      </c>
      <c r="D9" s="26">
        <f t="shared" si="0"/>
        <v>73035832.113937318</v>
      </c>
      <c r="E9" s="26">
        <f t="shared" si="0"/>
        <v>9917034.0275999997</v>
      </c>
      <c r="F9" s="26">
        <f t="shared" si="0"/>
        <v>75099496.059123501</v>
      </c>
      <c r="G9" s="26">
        <f t="shared" si="0"/>
        <v>297390833.96649498</v>
      </c>
      <c r="H9" s="26">
        <f t="shared" si="0"/>
        <v>853281284.11598217</v>
      </c>
      <c r="I9" s="26">
        <f t="shared" si="0"/>
        <v>95779142.691400006</v>
      </c>
      <c r="J9" s="26">
        <f t="shared" si="0"/>
        <v>949060426.80738223</v>
      </c>
      <c r="K9" s="26">
        <f t="shared" si="0"/>
        <v>882647083.77802801</v>
      </c>
      <c r="L9" s="26">
        <f>+K9-J9</f>
        <v>-66413343.029354215</v>
      </c>
      <c r="M9" s="972">
        <f>IFERROR(K9/J9,0)</f>
        <v>0.93002200792127931</v>
      </c>
      <c r="N9" s="174"/>
    </row>
    <row r="10" spans="1:16" ht="14.25" x14ac:dyDescent="0.2">
      <c r="A10" s="22" t="s">
        <v>141</v>
      </c>
      <c r="B10" s="23">
        <f>+'Nómina y honorarios 2015'!K21</f>
        <v>188522426.6124</v>
      </c>
      <c r="C10" s="23">
        <f>+'Nómina y honorarios 2015'!K48</f>
        <v>60095541.904799998</v>
      </c>
      <c r="D10" s="23">
        <f>+'Nómina y honorarios 2015'!K57</f>
        <v>52311298.9014</v>
      </c>
      <c r="E10" s="23">
        <f>+'Nómina y honorarios 2015'!K65</f>
        <v>6530580</v>
      </c>
      <c r="F10" s="23">
        <f>+'Nómina y honorarios 2015'!K39</f>
        <v>53670265.952399999</v>
      </c>
      <c r="G10" s="23">
        <f>+'Nómina y honorarios 2015'!K69</f>
        <v>199340168.7552</v>
      </c>
      <c r="H10" s="112">
        <f t="shared" ref="H10:H19" si="1">+B10+C10+D10+G10+E10+F10</f>
        <v>560470282.12619996</v>
      </c>
      <c r="I10" s="23">
        <f>+'Nómina y honorarios 2015'!K12+7732200</f>
        <v>43452600</v>
      </c>
      <c r="J10" s="23">
        <f t="shared" ref="J10:J19" si="2">+H10+I10</f>
        <v>603922882.12619996</v>
      </c>
      <c r="K10" s="23">
        <v>560916904</v>
      </c>
      <c r="L10" s="23">
        <f>+K10-J10</f>
        <v>-43005978.126199961</v>
      </c>
      <c r="M10" s="973">
        <f t="shared" ref="M10:M73" si="3">IFERROR(K10/J10,0)</f>
        <v>0.92878895733377242</v>
      </c>
      <c r="P10" s="175"/>
    </row>
    <row r="11" spans="1:16" ht="14.25" x14ac:dyDescent="0.2">
      <c r="A11" s="22" t="s">
        <v>1</v>
      </c>
      <c r="B11" s="23">
        <f>+'Nómina y honorarios 2015'!O21+250000</f>
        <v>8105101.1088500004</v>
      </c>
      <c r="C11" s="23">
        <f>+'Nómina y honorarios 2015'!O48+250000</f>
        <v>2753980.9126999998</v>
      </c>
      <c r="D11" s="23">
        <f>+'Nómina y honorarios 2015'!O57+250000</f>
        <v>2429637.454225</v>
      </c>
      <c r="E11" s="23">
        <f>+'Nómina y honorarios 2015'!O65</f>
        <v>272107.5</v>
      </c>
      <c r="F11" s="23">
        <f>+'Nómina y honorarios 2015'!O39+250000</f>
        <v>2486261.0813499996</v>
      </c>
      <c r="G11" s="23">
        <f>+'Nómina y honorarios 2015'!O69+250000</f>
        <v>8555840.3647999987</v>
      </c>
      <c r="H11" s="112">
        <f t="shared" si="1"/>
        <v>24602928.421924997</v>
      </c>
      <c r="I11" s="23">
        <f>+'Nómina y honorarios 2015'!O12+250000</f>
        <v>1416175</v>
      </c>
      <c r="J11" s="23">
        <f t="shared" si="2"/>
        <v>26019103.421924997</v>
      </c>
      <c r="K11" s="23">
        <v>23024751</v>
      </c>
      <c r="L11" s="23">
        <f t="shared" ref="L11:L73" si="4">+K11-J11</f>
        <v>-2994352.4219249971</v>
      </c>
      <c r="M11" s="973">
        <f t="shared" si="3"/>
        <v>0.8849171559308302</v>
      </c>
      <c r="N11" s="176"/>
    </row>
    <row r="12" spans="1:16" ht="14.25" x14ac:dyDescent="0.2">
      <c r="A12" s="22" t="s">
        <v>0</v>
      </c>
      <c r="B12" s="23">
        <f>+'Nómina y honorarios 2015'!N21</f>
        <v>13527924.717699999</v>
      </c>
      <c r="C12" s="23">
        <f>+'Nómina y honorarios 2015'!N48</f>
        <v>2825684.3253999995</v>
      </c>
      <c r="D12" s="23">
        <f>+'Nómina y honorarios 2015'!N57</f>
        <v>2176997.40845</v>
      </c>
      <c r="E12" s="23">
        <f>+'Nómina y honorarios 2015'!N65</f>
        <v>544215</v>
      </c>
      <c r="F12" s="23">
        <f>+'Nómina y honorarios 2015'!N39</f>
        <v>2290244.6626999998</v>
      </c>
      <c r="G12" s="23">
        <f>+'Nómina y honorarios 2015'!N69</f>
        <v>14429403.229599999</v>
      </c>
      <c r="H12" s="112">
        <f t="shared" si="1"/>
        <v>35794469.343849994</v>
      </c>
      <c r="I12" s="23">
        <f>+'Nómina y honorarios 2015'!N12</f>
        <v>2332350</v>
      </c>
      <c r="J12" s="23">
        <f t="shared" si="2"/>
        <v>38126819.343849994</v>
      </c>
      <c r="K12" s="23">
        <v>35304590</v>
      </c>
      <c r="L12" s="23">
        <f t="shared" si="4"/>
        <v>-2822229.3438499942</v>
      </c>
      <c r="M12" s="973">
        <f t="shared" si="3"/>
        <v>0.92597784466631017</v>
      </c>
      <c r="N12" s="176"/>
    </row>
    <row r="13" spans="1:16" ht="14.25" x14ac:dyDescent="0.2">
      <c r="A13" s="22" t="s">
        <v>26</v>
      </c>
      <c r="B13" s="683">
        <f>+'[24]A Económica'!$E$6</f>
        <v>32235000</v>
      </c>
      <c r="C13" s="683"/>
      <c r="D13" s="683"/>
      <c r="E13" s="684"/>
      <c r="F13" s="684"/>
      <c r="G13" s="684"/>
      <c r="H13" s="112">
        <f t="shared" si="1"/>
        <v>32235000</v>
      </c>
      <c r="I13" s="23">
        <f>+'Nómina y honorarios 2015'!I107+5100000</f>
        <v>34463593.2874</v>
      </c>
      <c r="J13" s="23">
        <f t="shared" si="2"/>
        <v>66698593.2874</v>
      </c>
      <c r="K13" s="23">
        <v>65698593</v>
      </c>
      <c r="L13" s="23">
        <f t="shared" si="4"/>
        <v>-1000000.2873999998</v>
      </c>
      <c r="M13" s="973">
        <f t="shared" si="3"/>
        <v>0.98500717574220698</v>
      </c>
      <c r="N13" s="176"/>
    </row>
    <row r="14" spans="1:16" ht="14.25" x14ac:dyDescent="0.2">
      <c r="A14" s="22" t="s">
        <v>139</v>
      </c>
      <c r="B14" s="23">
        <f>+'Nómina y honorarios 2015'!K96</f>
        <v>800000</v>
      </c>
      <c r="C14" s="23">
        <f>+'Nómina y honorarios 2015'!O96</f>
        <v>200000</v>
      </c>
      <c r="D14" s="23">
        <f>+'Nómina y honorarios 2015'!Q96</f>
        <v>200000</v>
      </c>
      <c r="E14" s="23"/>
      <c r="F14" s="23">
        <f>+'Nómina y honorarios 2015'!M96</f>
        <v>200000</v>
      </c>
      <c r="G14" s="23">
        <f>+'Nómina y honorarios 2015'!S96</f>
        <v>600000</v>
      </c>
      <c r="H14" s="112">
        <f t="shared" si="1"/>
        <v>2000000</v>
      </c>
      <c r="I14" s="23">
        <f>+'Nómina y honorarios 2015'!I96</f>
        <v>0</v>
      </c>
      <c r="J14" s="23">
        <f t="shared" si="2"/>
        <v>2000000</v>
      </c>
      <c r="K14" s="23">
        <v>1800000</v>
      </c>
      <c r="L14" s="23">
        <f t="shared" si="4"/>
        <v>-200000</v>
      </c>
      <c r="M14" s="973">
        <f t="shared" si="3"/>
        <v>0.9</v>
      </c>
      <c r="N14" s="176"/>
    </row>
    <row r="15" spans="1:16" ht="14.25" x14ac:dyDescent="0.2">
      <c r="A15" s="22" t="s">
        <v>4</v>
      </c>
      <c r="B15" s="23">
        <f>+'Nómina y honorarios 2015'!L21</f>
        <v>13527924.717699999</v>
      </c>
      <c r="C15" s="23">
        <f>+'Nómina y honorarios 2015'!L48</f>
        <v>2825684.3253999995</v>
      </c>
      <c r="D15" s="23">
        <f>+'Nómina y honorarios 2015'!L57</f>
        <v>2176997.40845</v>
      </c>
      <c r="E15" s="23">
        <f>+'Nómina y honorarios 2015'!L65</f>
        <v>544215</v>
      </c>
      <c r="F15" s="23">
        <f>+'Nómina y honorarios 2015'!L39</f>
        <v>2290244.6626999998</v>
      </c>
      <c r="G15" s="23">
        <f>+'Nómina y honorarios 2015'!L69</f>
        <v>14429403.229599999</v>
      </c>
      <c r="H15" s="112">
        <f t="shared" si="1"/>
        <v>35794469.343849994</v>
      </c>
      <c r="I15" s="23">
        <f>+'Nómina y honorarios 2015'!L12</f>
        <v>2332350</v>
      </c>
      <c r="J15" s="23">
        <f t="shared" si="2"/>
        <v>38126819.343849994</v>
      </c>
      <c r="K15" s="23">
        <v>35304590</v>
      </c>
      <c r="L15" s="23">
        <f t="shared" si="4"/>
        <v>-2822229.3438499942</v>
      </c>
      <c r="M15" s="973">
        <f t="shared" si="3"/>
        <v>0.92597784466631017</v>
      </c>
      <c r="N15" s="176"/>
      <c r="O15" s="177"/>
      <c r="P15" s="177"/>
    </row>
    <row r="16" spans="1:16" ht="14.25" x14ac:dyDescent="0.2">
      <c r="A16" s="22" t="s">
        <v>5</v>
      </c>
      <c r="B16" s="23">
        <f>+'Nómina y honorarios 2015'!M21</f>
        <v>1623350.9661239998</v>
      </c>
      <c r="C16" s="23">
        <f>+'Nómina y honorarios 2015'!M48</f>
        <v>339082.11904799996</v>
      </c>
      <c r="D16" s="23">
        <f>+'Nómina y honorarios 2015'!M57</f>
        <v>261239.68901399997</v>
      </c>
      <c r="E16" s="23">
        <f>+'Nómina y honorarios 2015'!M65</f>
        <v>65305.799999999996</v>
      </c>
      <c r="F16" s="23">
        <f>+'Nómina y honorarios 2015'!M39</f>
        <v>274829.35952399997</v>
      </c>
      <c r="G16" s="23">
        <f>+'Nómina y honorarios 2015'!M69</f>
        <v>1731528.3875519999</v>
      </c>
      <c r="H16" s="112">
        <f t="shared" si="1"/>
        <v>4295336.3212620001</v>
      </c>
      <c r="I16" s="23">
        <f>+'Nómina y honorarios 2015'!M12</f>
        <v>279882</v>
      </c>
      <c r="J16" s="23">
        <f t="shared" si="2"/>
        <v>4575218.3212620001</v>
      </c>
      <c r="K16" s="23">
        <v>4236551.3780279998</v>
      </c>
      <c r="L16" s="23">
        <f t="shared" si="4"/>
        <v>-338666.94323400036</v>
      </c>
      <c r="M16" s="973">
        <f t="shared" si="3"/>
        <v>0.92597797100519907</v>
      </c>
      <c r="N16" s="176"/>
      <c r="O16" s="177"/>
      <c r="P16" s="177"/>
    </row>
    <row r="17" spans="1:14" ht="14.25" x14ac:dyDescent="0.2">
      <c r="A17" s="22" t="s">
        <v>2</v>
      </c>
      <c r="B17" s="23">
        <f>+'Nómina y honorarios 2015'!S21</f>
        <v>38259699.066709355</v>
      </c>
      <c r="C17" s="23">
        <f>+'Nómina y honorarios 2015'!S48</f>
        <v>10935085.825447055</v>
      </c>
      <c r="D17" s="23">
        <f>+'Nómina y honorarios 2015'!S57</f>
        <v>9298682.2612723075</v>
      </c>
      <c r="E17" s="23">
        <f>+'Nómina y honorarios 2015'!S65</f>
        <v>1372858.5275999999</v>
      </c>
      <c r="F17" s="23">
        <f>+'Nómina y honorarios 2015'!S39</f>
        <v>9584364.3147335276</v>
      </c>
      <c r="G17" s="23">
        <f>+'Nómina y honorarios 2015'!S69</f>
        <v>40930872.72177498</v>
      </c>
      <c r="H17" s="112">
        <f t="shared" si="1"/>
        <v>110381562.71753722</v>
      </c>
      <c r="I17" s="23">
        <f>+'Nómina y honorarios 2015'!S12</f>
        <v>8783254.404000001</v>
      </c>
      <c r="J17" s="23">
        <f t="shared" si="2"/>
        <v>119164817.12153722</v>
      </c>
      <c r="K17" s="23">
        <v>110069924</v>
      </c>
      <c r="L17" s="23">
        <f t="shared" si="4"/>
        <v>-9094893.1215372235</v>
      </c>
      <c r="M17" s="973">
        <f t="shared" si="3"/>
        <v>0.92367803399336179</v>
      </c>
      <c r="N17" s="176"/>
    </row>
    <row r="18" spans="1:14" ht="14.25" x14ac:dyDescent="0.2">
      <c r="A18" s="22" t="s">
        <v>6</v>
      </c>
      <c r="B18" s="23">
        <f>+'Nómina y honorarios 2015'!U21+100000</f>
        <v>7291129.1044960003</v>
      </c>
      <c r="C18" s="23">
        <f>+'Nómina y honorarios 2015'!U48+100000</f>
        <v>2180693.7161920001</v>
      </c>
      <c r="D18" s="23">
        <f>+'Nómina y honorarios 2015'!U57+100000</f>
        <v>1869323.996056</v>
      </c>
      <c r="E18" s="23">
        <f>+'Nómina y honorarios 2015'!U65</f>
        <v>261223.20000000004</v>
      </c>
      <c r="F18" s="23">
        <f>+'Nómina y honorarios 2015'!U39+100000</f>
        <v>1923682.6780960001</v>
      </c>
      <c r="G18" s="23">
        <f>+'Nómina y honorarios 2015'!U69+100000</f>
        <v>7732718.7902080007</v>
      </c>
      <c r="H18" s="112">
        <f t="shared" si="1"/>
        <v>21258771.485048</v>
      </c>
      <c r="I18" s="23">
        <f>+'Nómina y honorarios 2015'!U12+100000</f>
        <v>1219528</v>
      </c>
      <c r="J18" s="23">
        <f t="shared" si="2"/>
        <v>22478299.485048</v>
      </c>
      <c r="K18" s="23">
        <v>20577600.399999999</v>
      </c>
      <c r="L18" s="23">
        <f t="shared" si="4"/>
        <v>-1900699.0850480013</v>
      </c>
      <c r="M18" s="973">
        <f t="shared" si="3"/>
        <v>0.91544293257982889</v>
      </c>
      <c r="N18" s="176"/>
    </row>
    <row r="19" spans="1:14" ht="14.25" x14ac:dyDescent="0.2">
      <c r="A19" s="22" t="s">
        <v>3</v>
      </c>
      <c r="B19" s="23">
        <f>+'Nómina y honorarios 2015'!X21+100000</f>
        <v>9088911.3806200009</v>
      </c>
      <c r="C19" s="23">
        <f>+'Nómina y honorarios 2015'!X48+100000</f>
        <v>2700867.1452400004</v>
      </c>
      <c r="D19" s="23">
        <f>+'Nómina y honorarios 2015'!X57+100000</f>
        <v>2311654.9950700002</v>
      </c>
      <c r="E19" s="23">
        <f>+'Nómina y honorarios 2015'!X65</f>
        <v>326529</v>
      </c>
      <c r="F19" s="23">
        <f>+'Nómina y honorarios 2015'!X39+100000</f>
        <v>2379603.3476200001</v>
      </c>
      <c r="G19" s="23">
        <f>+'Nómina y honorarios 2015'!X69+100000</f>
        <v>9640898.4877599999</v>
      </c>
      <c r="H19" s="112">
        <f t="shared" si="1"/>
        <v>26448464.356309999</v>
      </c>
      <c r="I19" s="23">
        <f>+'Nómina y honorarios 2015'!X12+100000</f>
        <v>1499410</v>
      </c>
      <c r="J19" s="23">
        <f t="shared" si="2"/>
        <v>27947874.356309999</v>
      </c>
      <c r="K19" s="23">
        <v>25713580</v>
      </c>
      <c r="L19" s="23">
        <f t="shared" si="4"/>
        <v>-2234294.3563099988</v>
      </c>
      <c r="M19" s="973">
        <f t="shared" si="3"/>
        <v>0.92005494486540274</v>
      </c>
      <c r="N19" s="176"/>
    </row>
    <row r="20" spans="1:14" ht="15" x14ac:dyDescent="0.25">
      <c r="A20" s="27" t="s">
        <v>129</v>
      </c>
      <c r="B20" s="21">
        <f t="shared" ref="B20:G20" si="5">SUM(B10:B19)</f>
        <v>312981467.67459935</v>
      </c>
      <c r="C20" s="21">
        <f t="shared" si="5"/>
        <v>84856620.274227053</v>
      </c>
      <c r="D20" s="21">
        <f t="shared" si="5"/>
        <v>73035832.113937318</v>
      </c>
      <c r="E20" s="21">
        <f t="shared" si="5"/>
        <v>9917034.0275999997</v>
      </c>
      <c r="F20" s="21">
        <f t="shared" si="5"/>
        <v>75099496.059123501</v>
      </c>
      <c r="G20" s="21">
        <f t="shared" si="5"/>
        <v>297390833.96649498</v>
      </c>
      <c r="H20" s="21">
        <f>+B20+C20+D20+G20+E20+F20</f>
        <v>853281284.11598229</v>
      </c>
      <c r="I20" s="21">
        <f>SUM(I10:I19)</f>
        <v>95779142.691400006</v>
      </c>
      <c r="J20" s="21">
        <f>SUM(J10:J19)</f>
        <v>949060426.80738223</v>
      </c>
      <c r="K20" s="21">
        <f>SUM(K10:K19)</f>
        <v>882647083.77802801</v>
      </c>
      <c r="L20" s="21">
        <f t="shared" si="4"/>
        <v>-66413343.029354215</v>
      </c>
      <c r="M20" s="972">
        <f t="shared" si="3"/>
        <v>0.93002200792127931</v>
      </c>
      <c r="N20" s="955"/>
    </row>
    <row r="21" spans="1:14" ht="15" x14ac:dyDescent="0.25">
      <c r="A21" s="16" t="s">
        <v>27</v>
      </c>
      <c r="B21" s="23"/>
      <c r="C21" s="23"/>
      <c r="D21" s="23"/>
      <c r="E21" s="23"/>
      <c r="F21" s="23"/>
      <c r="G21" s="23"/>
      <c r="H21" s="23"/>
      <c r="I21" s="21"/>
      <c r="J21" s="23"/>
      <c r="K21" s="23"/>
      <c r="L21" s="23"/>
      <c r="M21" s="972"/>
      <c r="N21" s="176"/>
    </row>
    <row r="22" spans="1:14" ht="14.25" x14ac:dyDescent="0.2">
      <c r="A22" s="24" t="s">
        <v>34</v>
      </c>
      <c r="B22" s="501">
        <f>+Funcionamiento!I10</f>
        <v>0</v>
      </c>
      <c r="C22" s="501">
        <f>+Funcionamiento!J10-2000000</f>
        <v>0</v>
      </c>
      <c r="D22" s="501">
        <f>+Funcionamiento!K10</f>
        <v>0</v>
      </c>
      <c r="E22" s="501"/>
      <c r="F22" s="501">
        <f>+Funcionamiento!L10</f>
        <v>0</v>
      </c>
      <c r="G22" s="501">
        <f>+Funcionamiento!G10</f>
        <v>3000000</v>
      </c>
      <c r="H22" s="501">
        <f t="shared" ref="H22:H36" si="6">+B22+C22+D22+G22+E22+F22</f>
        <v>3000000</v>
      </c>
      <c r="I22" s="23">
        <f>+Funcionamiento!F10</f>
        <v>15378750</v>
      </c>
      <c r="J22" s="23">
        <f>+I22+H22</f>
        <v>18378750</v>
      </c>
      <c r="K22" s="23">
        <v>10927694</v>
      </c>
      <c r="L22" s="23">
        <f t="shared" si="4"/>
        <v>-7451056</v>
      </c>
      <c r="M22" s="973">
        <f t="shared" si="3"/>
        <v>0.59458309188600966</v>
      </c>
      <c r="N22" s="176"/>
    </row>
    <row r="23" spans="1:14" ht="14.25" x14ac:dyDescent="0.2">
      <c r="A23" s="24" t="s">
        <v>119</v>
      </c>
      <c r="B23" s="23">
        <f>+Funcionamiento!I24</f>
        <v>3000000</v>
      </c>
      <c r="C23" s="501">
        <f>+Funcionamiento!J24</f>
        <v>0</v>
      </c>
      <c r="D23" s="501">
        <f>+Funcionamiento!K24</f>
        <v>0</v>
      </c>
      <c r="E23" s="23">
        <f>+Funcionamiento!H24</f>
        <v>2400000</v>
      </c>
      <c r="F23" s="501">
        <v>0</v>
      </c>
      <c r="G23" s="23">
        <f>+Funcionamiento!G24</f>
        <v>3000000</v>
      </c>
      <c r="H23" s="501">
        <f t="shared" si="6"/>
        <v>8400000</v>
      </c>
      <c r="I23" s="23">
        <f>+Funcionamiento!F24</f>
        <v>2831880.2837999999</v>
      </c>
      <c r="J23" s="23">
        <f t="shared" ref="J23:J36" si="7">+H23+I23</f>
        <v>11231880.2838</v>
      </c>
      <c r="K23" s="23">
        <v>7694468</v>
      </c>
      <c r="L23" s="23">
        <f t="shared" si="4"/>
        <v>-3537412.2838000003</v>
      </c>
      <c r="M23" s="973">
        <f t="shared" si="3"/>
        <v>0.68505609083974195</v>
      </c>
    </row>
    <row r="24" spans="1:14" ht="14.25" x14ac:dyDescent="0.2">
      <c r="A24" s="24" t="s">
        <v>36</v>
      </c>
      <c r="B24" s="501">
        <v>0</v>
      </c>
      <c r="C24" s="501">
        <v>0</v>
      </c>
      <c r="D24" s="501"/>
      <c r="E24" s="501"/>
      <c r="F24" s="501">
        <v>0</v>
      </c>
      <c r="G24" s="501">
        <f>+Funcionamiento!G14</f>
        <v>3500000</v>
      </c>
      <c r="H24" s="501">
        <f t="shared" si="6"/>
        <v>3500000</v>
      </c>
      <c r="I24" s="23">
        <f>+Funcionamiento!F14</f>
        <v>4782026.0160999997</v>
      </c>
      <c r="J24" s="23">
        <f t="shared" si="7"/>
        <v>8282026.0160999997</v>
      </c>
      <c r="K24" s="23">
        <v>6570565</v>
      </c>
      <c r="L24" s="23">
        <f t="shared" si="4"/>
        <v>-1711461.0160999997</v>
      </c>
      <c r="M24" s="973">
        <f t="shared" si="3"/>
        <v>0.79335237383063362</v>
      </c>
      <c r="N24" s="176"/>
    </row>
    <row r="25" spans="1:14" ht="14.25" x14ac:dyDescent="0.2">
      <c r="A25" s="24" t="s">
        <v>30</v>
      </c>
      <c r="B25" s="23">
        <f>+Funcionamiento!I26</f>
        <v>12000000</v>
      </c>
      <c r="C25" s="501">
        <f>+Funcionamiento!J26</f>
        <v>2643237.5</v>
      </c>
      <c r="D25" s="501">
        <f>+Funcionamiento!K26</f>
        <v>1586000</v>
      </c>
      <c r="E25" s="501">
        <f>+Funcionamiento!H26</f>
        <v>3000000</v>
      </c>
      <c r="F25" s="501">
        <f>+Funcionamiento!L26</f>
        <v>2499655</v>
      </c>
      <c r="G25" s="501">
        <f>+Funcionamiento!G26</f>
        <v>63000000</v>
      </c>
      <c r="H25" s="501">
        <f t="shared" si="6"/>
        <v>84728892.5</v>
      </c>
      <c r="I25" s="23">
        <f>+Funcionamiento!F26-3697077</f>
        <v>8007360.75</v>
      </c>
      <c r="J25" s="23">
        <f t="shared" si="7"/>
        <v>92736253.25</v>
      </c>
      <c r="K25" s="23">
        <v>52461594.75</v>
      </c>
      <c r="L25" s="23">
        <f t="shared" si="4"/>
        <v>-40274658.5</v>
      </c>
      <c r="M25" s="973">
        <f t="shared" si="3"/>
        <v>0.5657075082446249</v>
      </c>
    </row>
    <row r="26" spans="1:14" ht="14.25" x14ac:dyDescent="0.2">
      <c r="A26" s="24" t="s">
        <v>33</v>
      </c>
      <c r="B26" s="501">
        <f>+Funcionamiento!I28</f>
        <v>700000</v>
      </c>
      <c r="C26" s="501">
        <f>+Funcionamiento!J28</f>
        <v>638441.93999999994</v>
      </c>
      <c r="D26" s="501">
        <f>+Funcionamiento!K28</f>
        <v>513250</v>
      </c>
      <c r="E26" s="501">
        <f>+Funcionamiento!H28</f>
        <v>300000</v>
      </c>
      <c r="F26" s="501">
        <f>+Funcionamiento!L28</f>
        <v>602658</v>
      </c>
      <c r="G26" s="501">
        <f>+Funcionamiento!G28</f>
        <v>750000</v>
      </c>
      <c r="H26" s="501">
        <f t="shared" si="6"/>
        <v>3504349.94</v>
      </c>
      <c r="I26" s="23">
        <f>+Funcionamiento!F28</f>
        <v>1134086.5286999999</v>
      </c>
      <c r="J26" s="23">
        <f t="shared" si="7"/>
        <v>4638436.4687000001</v>
      </c>
      <c r="K26" s="23">
        <v>2693200</v>
      </c>
      <c r="L26" s="23">
        <f t="shared" si="4"/>
        <v>-1945236.4687000001</v>
      </c>
      <c r="M26" s="973">
        <f t="shared" si="3"/>
        <v>0.58062668706871712</v>
      </c>
    </row>
    <row r="27" spans="1:14" ht="14.25" x14ac:dyDescent="0.2">
      <c r="A27" s="22" t="s">
        <v>122</v>
      </c>
      <c r="B27" s="501">
        <v>0</v>
      </c>
      <c r="C27" s="501">
        <v>0</v>
      </c>
      <c r="D27" s="501">
        <v>0</v>
      </c>
      <c r="E27" s="501"/>
      <c r="F27" s="501">
        <v>0</v>
      </c>
      <c r="G27" s="501">
        <v>0</v>
      </c>
      <c r="H27" s="501">
        <f t="shared" si="6"/>
        <v>0</v>
      </c>
      <c r="I27" s="23">
        <f>+Funcionamiento!F8</f>
        <v>5000000</v>
      </c>
      <c r="J27" s="23">
        <f t="shared" si="7"/>
        <v>5000000</v>
      </c>
      <c r="K27" s="23">
        <v>2413000</v>
      </c>
      <c r="L27" s="23">
        <f t="shared" si="4"/>
        <v>-2587000</v>
      </c>
      <c r="M27" s="973">
        <f t="shared" si="3"/>
        <v>0.48259999999999997</v>
      </c>
      <c r="N27" s="176"/>
    </row>
    <row r="28" spans="1:14" ht="14.25" x14ac:dyDescent="0.2">
      <c r="A28" s="24" t="s">
        <v>28</v>
      </c>
      <c r="B28" s="501">
        <f>+Funcionamiento!I16</f>
        <v>1900000</v>
      </c>
      <c r="C28" s="501">
        <f>+Funcionamiento!J16</f>
        <v>1900000</v>
      </c>
      <c r="D28" s="501">
        <f>+Funcionamiento!K16</f>
        <v>1900000</v>
      </c>
      <c r="E28" s="501">
        <f>+Funcionamiento!H16</f>
        <v>1900000</v>
      </c>
      <c r="F28" s="501">
        <f>+Funcionamiento!L16</f>
        <v>1900000</v>
      </c>
      <c r="G28" s="501">
        <f>+Funcionamiento!G16</f>
        <v>1900000</v>
      </c>
      <c r="H28" s="501">
        <f t="shared" si="6"/>
        <v>11400000</v>
      </c>
      <c r="I28" s="23">
        <f>+Funcionamiento!F16-3983803</f>
        <v>7260599.0053500012</v>
      </c>
      <c r="J28" s="23">
        <f t="shared" si="7"/>
        <v>18660599.005350001</v>
      </c>
      <c r="K28" s="23">
        <v>15432149.005350001</v>
      </c>
      <c r="L28" s="23">
        <f t="shared" si="4"/>
        <v>-3228450</v>
      </c>
      <c r="M28" s="973">
        <f t="shared" si="3"/>
        <v>0.82699108431222368</v>
      </c>
    </row>
    <row r="29" spans="1:14" ht="14.25" x14ac:dyDescent="0.2">
      <c r="A29" s="24" t="s">
        <v>38</v>
      </c>
      <c r="B29" s="501">
        <f>+Funcionamiento!I30</f>
        <v>540000</v>
      </c>
      <c r="C29" s="501">
        <f>Funcionamiento!J30</f>
        <v>500000</v>
      </c>
      <c r="D29" s="501">
        <f>+Funcionamiento!K30</f>
        <v>1000000</v>
      </c>
      <c r="E29" s="501">
        <f>+Funcionamiento!H30</f>
        <v>375000</v>
      </c>
      <c r="F29" s="501">
        <v>0</v>
      </c>
      <c r="G29" s="501">
        <f>+Funcionamiento!G30-506789</f>
        <v>14493211</v>
      </c>
      <c r="H29" s="501">
        <f t="shared" si="6"/>
        <v>16908211</v>
      </c>
      <c r="I29" s="23">
        <f>+Funcionamiento!F30</f>
        <v>5500000</v>
      </c>
      <c r="J29" s="23">
        <f t="shared" si="7"/>
        <v>22408211</v>
      </c>
      <c r="K29" s="23">
        <v>18356232</v>
      </c>
      <c r="L29" s="23">
        <f t="shared" si="4"/>
        <v>-4051979</v>
      </c>
      <c r="M29" s="973">
        <f t="shared" si="3"/>
        <v>0.81917436425424595</v>
      </c>
    </row>
    <row r="30" spans="1:14" ht="14.25" x14ac:dyDescent="0.2">
      <c r="A30" s="24" t="s">
        <v>40</v>
      </c>
      <c r="B30" s="501">
        <v>0</v>
      </c>
      <c r="C30" s="501">
        <v>0</v>
      </c>
      <c r="D30" s="501"/>
      <c r="E30" s="501"/>
      <c r="F30" s="501">
        <v>0</v>
      </c>
      <c r="G30" s="501">
        <f>+Funcionamiento!G34+506789</f>
        <v>14906789</v>
      </c>
      <c r="H30" s="501">
        <f t="shared" si="6"/>
        <v>14906789</v>
      </c>
      <c r="I30" s="23">
        <f>+Funcionamiento!F34+3983803</f>
        <v>25871468.75</v>
      </c>
      <c r="J30" s="23">
        <f t="shared" si="7"/>
        <v>40778257.75</v>
      </c>
      <c r="K30" s="23">
        <v>40778257.75</v>
      </c>
      <c r="L30" s="23">
        <f t="shared" si="4"/>
        <v>0</v>
      </c>
      <c r="M30" s="973">
        <f t="shared" si="3"/>
        <v>1</v>
      </c>
    </row>
    <row r="31" spans="1:14" ht="14.25" x14ac:dyDescent="0.2">
      <c r="A31" s="24" t="s">
        <v>148</v>
      </c>
      <c r="B31" s="23">
        <f>Funcionamiento!I22</f>
        <v>4500000</v>
      </c>
      <c r="C31" s="23">
        <f>Funcionamiento!J22</f>
        <v>4087624.52085</v>
      </c>
      <c r="D31" s="23">
        <f>+Funcionamiento!K22</f>
        <v>1929613</v>
      </c>
      <c r="E31" s="23"/>
      <c r="F31" s="501">
        <f>+Funcionamiento!L22</f>
        <v>4000000</v>
      </c>
      <c r="G31" s="23">
        <f>+Funcionamiento!G22</f>
        <v>81000000</v>
      </c>
      <c r="H31" s="501">
        <f t="shared" si="6"/>
        <v>95517237.520850003</v>
      </c>
      <c r="I31" s="23">
        <f>+Funcionamiento!F22</f>
        <v>10250000</v>
      </c>
      <c r="J31" s="23">
        <f t="shared" si="7"/>
        <v>105767237.52085</v>
      </c>
      <c r="K31" s="23">
        <v>78969894</v>
      </c>
      <c r="L31" s="23">
        <f t="shared" si="4"/>
        <v>-26797343.520850003</v>
      </c>
      <c r="M31" s="973">
        <f t="shared" si="3"/>
        <v>0.74663852295879984</v>
      </c>
    </row>
    <row r="32" spans="1:14" ht="14.25" x14ac:dyDescent="0.2">
      <c r="A32" s="24" t="s">
        <v>35</v>
      </c>
      <c r="B32" s="501">
        <v>0</v>
      </c>
      <c r="C32" s="501">
        <v>0</v>
      </c>
      <c r="D32" s="501"/>
      <c r="E32" s="501"/>
      <c r="F32" s="501">
        <v>0</v>
      </c>
      <c r="G32" s="501">
        <v>0</v>
      </c>
      <c r="H32" s="501">
        <f t="shared" si="6"/>
        <v>0</v>
      </c>
      <c r="I32" s="23">
        <f>+Funcionamiento!F12</f>
        <v>1511854.92585</v>
      </c>
      <c r="J32" s="23">
        <f t="shared" si="7"/>
        <v>1511854.92585</v>
      </c>
      <c r="K32" s="23">
        <v>1486950</v>
      </c>
      <c r="L32" s="23">
        <f t="shared" si="4"/>
        <v>-24904.92585</v>
      </c>
      <c r="M32" s="973">
        <f t="shared" si="3"/>
        <v>0.98352690762574468</v>
      </c>
      <c r="N32" s="176"/>
    </row>
    <row r="33" spans="1:14" ht="14.25" x14ac:dyDescent="0.2">
      <c r="A33" s="24" t="s">
        <v>37</v>
      </c>
      <c r="B33" s="23">
        <f>Funcionamiento!I18</f>
        <v>2435610.909</v>
      </c>
      <c r="C33" s="23">
        <f>Funcionamiento!J18</f>
        <v>947182.10655000003</v>
      </c>
      <c r="D33" s="23">
        <f>+Funcionamiento!K18</f>
        <v>405935.15149999998</v>
      </c>
      <c r="E33" s="23"/>
      <c r="F33" s="23">
        <f>+Funcionamiento!L18</f>
        <v>2435610.909</v>
      </c>
      <c r="G33" s="23">
        <f>+Funcionamiento!G17+Funcionamiento!G18</f>
        <v>2190000</v>
      </c>
      <c r="H33" s="501">
        <f t="shared" si="6"/>
        <v>8414339.0760500003</v>
      </c>
      <c r="I33" s="23">
        <f>+Funcionamiento!F18</f>
        <v>6900897.8346500006</v>
      </c>
      <c r="J33" s="23">
        <f t="shared" si="7"/>
        <v>15315236.910700001</v>
      </c>
      <c r="K33" s="23">
        <v>12688438.516100001</v>
      </c>
      <c r="L33" s="23">
        <f t="shared" si="4"/>
        <v>-2626798.3946000002</v>
      </c>
      <c r="M33" s="973">
        <f t="shared" si="3"/>
        <v>0.82848463853897125</v>
      </c>
    </row>
    <row r="34" spans="1:14" ht="14.25" x14ac:dyDescent="0.2">
      <c r="A34" s="24" t="s">
        <v>29</v>
      </c>
      <c r="B34" s="501">
        <f>+Funcionamiento!I20</f>
        <v>750000</v>
      </c>
      <c r="C34" s="501">
        <v>0</v>
      </c>
      <c r="D34" s="501"/>
      <c r="E34" s="501"/>
      <c r="F34" s="501">
        <f>+Funcionamiento!L20</f>
        <v>4000000</v>
      </c>
      <c r="G34" s="501">
        <f>+Funcionamiento!G20</f>
        <v>2320000</v>
      </c>
      <c r="H34" s="501">
        <f t="shared" si="6"/>
        <v>7070000</v>
      </c>
      <c r="I34" s="23">
        <f>+Funcionamiento!F20</f>
        <v>12186796.711099999</v>
      </c>
      <c r="J34" s="23">
        <f>+H34+I34</f>
        <v>19256796.711099997</v>
      </c>
      <c r="K34" s="23">
        <v>18715205</v>
      </c>
      <c r="L34" s="23">
        <f t="shared" si="4"/>
        <v>-541591.71109999716</v>
      </c>
      <c r="M34" s="973">
        <f t="shared" si="3"/>
        <v>0.97187529581242282</v>
      </c>
    </row>
    <row r="35" spans="1:14" ht="14.25" x14ac:dyDescent="0.2">
      <c r="A35" s="24" t="s">
        <v>41</v>
      </c>
      <c r="B35" s="501">
        <v>0</v>
      </c>
      <c r="C35" s="501">
        <v>0</v>
      </c>
      <c r="D35" s="501"/>
      <c r="E35" s="501"/>
      <c r="F35" s="501">
        <v>0</v>
      </c>
      <c r="G35" s="501">
        <v>0</v>
      </c>
      <c r="H35" s="501">
        <f t="shared" si="6"/>
        <v>0</v>
      </c>
      <c r="I35" s="23">
        <f>+Funcionamiento!F36</f>
        <v>33153964</v>
      </c>
      <c r="J35" s="23">
        <f t="shared" si="7"/>
        <v>33153964</v>
      </c>
      <c r="K35" s="23">
        <v>33153964</v>
      </c>
      <c r="L35" s="23">
        <f t="shared" si="4"/>
        <v>0</v>
      </c>
      <c r="M35" s="973">
        <f t="shared" si="3"/>
        <v>1</v>
      </c>
    </row>
    <row r="36" spans="1:14" ht="14.25" x14ac:dyDescent="0.2">
      <c r="A36" s="24" t="s">
        <v>39</v>
      </c>
      <c r="B36" s="501">
        <v>0</v>
      </c>
      <c r="C36" s="501">
        <v>0</v>
      </c>
      <c r="D36" s="501"/>
      <c r="E36" s="501"/>
      <c r="F36" s="501">
        <v>0</v>
      </c>
      <c r="G36" s="501">
        <v>0</v>
      </c>
      <c r="H36" s="501">
        <f t="shared" si="6"/>
        <v>0</v>
      </c>
      <c r="I36" s="23">
        <f>+Funcionamiento!F32+3697077</f>
        <v>8943897.6113499999</v>
      </c>
      <c r="J36" s="23">
        <f t="shared" si="7"/>
        <v>8943897.6113499999</v>
      </c>
      <c r="K36" s="23">
        <v>8943897.6113499999</v>
      </c>
      <c r="L36" s="23">
        <f t="shared" si="4"/>
        <v>0</v>
      </c>
      <c r="M36" s="973">
        <f t="shared" si="3"/>
        <v>1</v>
      </c>
    </row>
    <row r="37" spans="1:14" ht="15" x14ac:dyDescent="0.25">
      <c r="A37" s="27" t="s">
        <v>130</v>
      </c>
      <c r="B37" s="21">
        <f t="shared" ref="B37:I37" si="8">SUM(B22:B36)</f>
        <v>25825610.909000002</v>
      </c>
      <c r="C37" s="21">
        <f>SUM(C22:C36)</f>
        <v>10716486.067400001</v>
      </c>
      <c r="D37" s="21">
        <f t="shared" si="8"/>
        <v>7334798.1514999997</v>
      </c>
      <c r="E37" s="21">
        <f t="shared" si="8"/>
        <v>7975000</v>
      </c>
      <c r="F37" s="21">
        <f t="shared" si="8"/>
        <v>15437923.909</v>
      </c>
      <c r="G37" s="21">
        <f t="shared" si="8"/>
        <v>190060000</v>
      </c>
      <c r="H37" s="502">
        <f t="shared" si="8"/>
        <v>257349819.03690001</v>
      </c>
      <c r="I37" s="21">
        <f t="shared" si="8"/>
        <v>148713582.41690001</v>
      </c>
      <c r="J37" s="21">
        <f>SUM(J22:J36)</f>
        <v>406063401.45379996</v>
      </c>
      <c r="K37" s="21">
        <f>SUM(K22:K36)</f>
        <v>311285509.63279998</v>
      </c>
      <c r="L37" s="21">
        <f t="shared" si="4"/>
        <v>-94777891.82099998</v>
      </c>
      <c r="M37" s="972">
        <f t="shared" si="3"/>
        <v>0.7665933657609294</v>
      </c>
    </row>
    <row r="38" spans="1:14" ht="15" x14ac:dyDescent="0.25">
      <c r="A38" s="562" t="s">
        <v>131</v>
      </c>
      <c r="B38" s="563">
        <f t="shared" ref="B38:G38" si="9">+B37+B20</f>
        <v>338807078.58359933</v>
      </c>
      <c r="C38" s="563">
        <f t="shared" si="9"/>
        <v>95573106.341627061</v>
      </c>
      <c r="D38" s="563">
        <f t="shared" si="9"/>
        <v>80370630.26543732</v>
      </c>
      <c r="E38" s="563">
        <f t="shared" si="9"/>
        <v>17892034.027599998</v>
      </c>
      <c r="F38" s="563">
        <f t="shared" si="9"/>
        <v>90537419.968123496</v>
      </c>
      <c r="G38" s="563">
        <f t="shared" si="9"/>
        <v>487450833.96649498</v>
      </c>
      <c r="H38" s="564">
        <f>+B38+C38+D38+G38+E38+F38</f>
        <v>1110631103.1528821</v>
      </c>
      <c r="I38" s="563">
        <f>+I37+I20</f>
        <v>244492725.10830003</v>
      </c>
      <c r="J38" s="563">
        <f>+J37+J20</f>
        <v>1355123828.2611823</v>
      </c>
      <c r="K38" s="563">
        <f>+K37+K20</f>
        <v>1193932593.4108281</v>
      </c>
      <c r="L38" s="563">
        <f t="shared" si="4"/>
        <v>-161191234.85035419</v>
      </c>
      <c r="M38" s="974">
        <f t="shared" si="3"/>
        <v>0.88105054941201533</v>
      </c>
      <c r="N38" s="106"/>
    </row>
    <row r="39" spans="1:14" ht="15" x14ac:dyDescent="0.25">
      <c r="A39" s="560"/>
      <c r="B39" s="561"/>
      <c r="C39" s="561"/>
      <c r="D39" s="561"/>
      <c r="E39" s="561"/>
      <c r="F39" s="561"/>
      <c r="G39" s="561"/>
      <c r="H39" s="561"/>
      <c r="I39" s="561"/>
      <c r="J39" s="561"/>
      <c r="K39" s="561"/>
      <c r="L39" s="561"/>
      <c r="M39" s="975"/>
    </row>
    <row r="40" spans="1:14" ht="15" x14ac:dyDescent="0.25">
      <c r="A40" s="547" t="s">
        <v>18</v>
      </c>
      <c r="B40" s="548">
        <f>+B42</f>
        <v>691695925.94599998</v>
      </c>
      <c r="C40" s="548">
        <f>+C129</f>
        <v>321775600</v>
      </c>
      <c r="D40" s="548">
        <f>+D151</f>
        <v>1800944816</v>
      </c>
      <c r="E40" s="548">
        <f>+E185</f>
        <v>45000000</v>
      </c>
      <c r="F40" s="548">
        <f>+F75</f>
        <v>2442239692</v>
      </c>
      <c r="G40" s="548">
        <f>+G105</f>
        <v>2878311000</v>
      </c>
      <c r="H40" s="548">
        <f>+B40+C40+D40+G40+E40+F40</f>
        <v>8179967033.9460001</v>
      </c>
      <c r="I40" s="548">
        <v>0</v>
      </c>
      <c r="J40" s="548">
        <f>+I40+H40</f>
        <v>8179967033.9460001</v>
      </c>
      <c r="K40" s="548">
        <f>+K42+K75+K105+K129+K151+K185</f>
        <v>7182369964.5</v>
      </c>
      <c r="L40" s="548">
        <f t="shared" si="4"/>
        <v>-997597069.4460001</v>
      </c>
      <c r="M40" s="976">
        <f t="shared" si="3"/>
        <v>0.87804387654545824</v>
      </c>
    </row>
    <row r="41" spans="1:14" ht="15" x14ac:dyDescent="0.25">
      <c r="A41" s="547"/>
      <c r="B41" s="548"/>
      <c r="C41" s="548"/>
      <c r="D41" s="548"/>
      <c r="E41" s="548"/>
      <c r="F41" s="548"/>
      <c r="G41" s="548"/>
      <c r="H41" s="548"/>
      <c r="I41" s="548"/>
      <c r="J41" s="548"/>
      <c r="K41" s="548"/>
      <c r="L41" s="548"/>
      <c r="M41" s="976"/>
    </row>
    <row r="42" spans="1:14" ht="15" x14ac:dyDescent="0.25">
      <c r="A42" s="547" t="s">
        <v>812</v>
      </c>
      <c r="B42" s="548">
        <f>+B43+B47+B58+B62+B66+B71</f>
        <v>691695925.94599998</v>
      </c>
      <c r="C42" s="548"/>
      <c r="D42" s="548"/>
      <c r="E42" s="548"/>
      <c r="F42" s="548"/>
      <c r="G42" s="548"/>
      <c r="H42" s="548">
        <f>+H43+H47+H58+H62+H66+H71</f>
        <v>691695925.94599998</v>
      </c>
      <c r="I42" s="548"/>
      <c r="J42" s="548">
        <f>+H42+I42</f>
        <v>691695925.94599998</v>
      </c>
      <c r="K42" s="548">
        <f>+K43+K47+K58+K62+K66+K71</f>
        <v>634347107</v>
      </c>
      <c r="L42" s="548">
        <f t="shared" si="4"/>
        <v>-57348818.94599998</v>
      </c>
      <c r="M42" s="972">
        <f t="shared" si="3"/>
        <v>0.91708955222258004</v>
      </c>
    </row>
    <row r="43" spans="1:14" s="202" customFormat="1" ht="15" x14ac:dyDescent="0.25">
      <c r="A43" s="25" t="s">
        <v>9</v>
      </c>
      <c r="B43" s="21">
        <f>+SUM(B44:B46)</f>
        <v>29565068.946000002</v>
      </c>
      <c r="C43" s="21"/>
      <c r="D43" s="21"/>
      <c r="E43" s="21"/>
      <c r="F43" s="21"/>
      <c r="G43" s="21"/>
      <c r="H43" s="21">
        <f>+SUM(H44:H46)</f>
        <v>29565068.946000002</v>
      </c>
      <c r="I43" s="21"/>
      <c r="J43" s="21">
        <f>+SUM(J44:J46)</f>
        <v>29565068.946000002</v>
      </c>
      <c r="K43" s="21">
        <f>+SUM(K44:K46)</f>
        <v>28321178</v>
      </c>
      <c r="L43" s="21">
        <f t="shared" si="4"/>
        <v>-1243890.9460000023</v>
      </c>
      <c r="M43" s="972">
        <f t="shared" si="3"/>
        <v>0.95792700675679321</v>
      </c>
    </row>
    <row r="44" spans="1:14" s="202" customFormat="1" ht="15" hidden="1" outlineLevel="1" x14ac:dyDescent="0.25">
      <c r="A44" s="440" t="s">
        <v>453</v>
      </c>
      <c r="B44" s="23">
        <f>+'[24]A Económica'!$E$24</f>
        <v>9923250</v>
      </c>
      <c r="C44" s="21"/>
      <c r="D44" s="21"/>
      <c r="E44" s="21"/>
      <c r="F44" s="21"/>
      <c r="G44" s="21"/>
      <c r="H44" s="23">
        <f>+B44+C44+D44+G44+E44+F44</f>
        <v>9923250</v>
      </c>
      <c r="I44" s="21"/>
      <c r="J44" s="112">
        <f>+H44+I44</f>
        <v>9923250</v>
      </c>
      <c r="K44" s="112">
        <v>9923256</v>
      </c>
      <c r="L44" s="112">
        <f t="shared" si="4"/>
        <v>6</v>
      </c>
      <c r="M44" s="973">
        <f t="shared" si="3"/>
        <v>1.0000006046406167</v>
      </c>
    </row>
    <row r="45" spans="1:14" s="202" customFormat="1" ht="15" hidden="1" outlineLevel="1" x14ac:dyDescent="0.25">
      <c r="A45" s="440" t="s">
        <v>838</v>
      </c>
      <c r="B45" s="23">
        <f>+'[24]A Económica'!$E$25-9319156</f>
        <v>0</v>
      </c>
      <c r="C45" s="21"/>
      <c r="D45" s="21"/>
      <c r="E45" s="21"/>
      <c r="F45" s="21"/>
      <c r="G45" s="21"/>
      <c r="H45" s="23">
        <f>+B45+C45+D45+G45+E45+F45</f>
        <v>0</v>
      </c>
      <c r="I45" s="21"/>
      <c r="J45" s="112">
        <f>+H45+I45</f>
        <v>0</v>
      </c>
      <c r="K45" s="112"/>
      <c r="L45" s="112">
        <f t="shared" si="4"/>
        <v>0</v>
      </c>
      <c r="M45" s="973">
        <f t="shared" si="3"/>
        <v>0</v>
      </c>
    </row>
    <row r="46" spans="1:14" s="202" customFormat="1" ht="15" hidden="1" outlineLevel="1" x14ac:dyDescent="0.25">
      <c r="A46" s="440" t="s">
        <v>839</v>
      </c>
      <c r="B46" s="23">
        <f>+'[24]A Económica'!$E$26</f>
        <v>19641818.946000002</v>
      </c>
      <c r="C46" s="21"/>
      <c r="D46" s="21"/>
      <c r="E46" s="21"/>
      <c r="F46" s="21"/>
      <c r="G46" s="21"/>
      <c r="H46" s="23">
        <f>+B46+C46+D46+G46+E46+F46</f>
        <v>19641818.946000002</v>
      </c>
      <c r="I46" s="21"/>
      <c r="J46" s="112">
        <f>+H46+I46</f>
        <v>19641818.946000002</v>
      </c>
      <c r="K46" s="112">
        <v>18397922</v>
      </c>
      <c r="L46" s="112">
        <f t="shared" si="4"/>
        <v>-1243896.9460000023</v>
      </c>
      <c r="M46" s="973">
        <f t="shared" si="3"/>
        <v>0.93667099012470445</v>
      </c>
    </row>
    <row r="47" spans="1:14" s="202" customFormat="1" ht="15" collapsed="1" x14ac:dyDescent="0.25">
      <c r="A47" s="667" t="s">
        <v>161</v>
      </c>
      <c r="B47" s="26">
        <f>+B48+B49+B57</f>
        <v>427019263</v>
      </c>
      <c r="C47" s="21"/>
      <c r="D47" s="21"/>
      <c r="E47" s="21"/>
      <c r="F47" s="21"/>
      <c r="G47" s="21"/>
      <c r="H47" s="26">
        <f>+H48+H49+H57</f>
        <v>427019263</v>
      </c>
      <c r="I47" s="21"/>
      <c r="J47" s="26">
        <f>+J48+J49+J57</f>
        <v>427019263</v>
      </c>
      <c r="K47" s="26">
        <f>+K48+K49+K57</f>
        <v>381236335</v>
      </c>
      <c r="L47" s="26">
        <f t="shared" si="4"/>
        <v>-45782928</v>
      </c>
      <c r="M47" s="972">
        <f t="shared" si="3"/>
        <v>0.89278486483641373</v>
      </c>
    </row>
    <row r="48" spans="1:14" s="202" customFormat="1" ht="15" hidden="1" outlineLevel="1" x14ac:dyDescent="0.25">
      <c r="A48" s="440" t="s">
        <v>576</v>
      </c>
      <c r="B48" s="23">
        <f>+'[24]A Económica'!$E$28</f>
        <v>62314000</v>
      </c>
      <c r="C48" s="21"/>
      <c r="D48" s="21"/>
      <c r="E48" s="21"/>
      <c r="F48" s="21"/>
      <c r="G48" s="21"/>
      <c r="H48" s="23">
        <f>+B48+C48+D48+G48+E48+F48</f>
        <v>62314000</v>
      </c>
      <c r="I48" s="21"/>
      <c r="J48" s="112">
        <f>+H48+I48</f>
        <v>62314000</v>
      </c>
      <c r="K48" s="112">
        <v>60319339</v>
      </c>
      <c r="L48" s="112">
        <f t="shared" si="4"/>
        <v>-1994661</v>
      </c>
      <c r="M48" s="973">
        <f t="shared" si="3"/>
        <v>0.96799016272426741</v>
      </c>
    </row>
    <row r="49" spans="1:13" s="202" customFormat="1" ht="15" hidden="1" outlineLevel="1" x14ac:dyDescent="0.25">
      <c r="A49" s="440" t="s">
        <v>577</v>
      </c>
      <c r="B49" s="23">
        <f>+B50+B53+B56</f>
        <v>259105263</v>
      </c>
      <c r="C49" s="21"/>
      <c r="D49" s="21"/>
      <c r="E49" s="21"/>
      <c r="F49" s="21"/>
      <c r="G49" s="21"/>
      <c r="H49" s="23">
        <f>+B49+C49+D49+G49+E49+F49</f>
        <v>259105263</v>
      </c>
      <c r="I49" s="21"/>
      <c r="J49" s="112">
        <f t="shared" ref="J49:J57" si="10">+H49+I49</f>
        <v>259105263</v>
      </c>
      <c r="K49" s="112">
        <f>+K50+K53+K56</f>
        <v>215666996</v>
      </c>
      <c r="L49" s="112">
        <f t="shared" si="4"/>
        <v>-43438267</v>
      </c>
      <c r="M49" s="973">
        <f t="shared" si="3"/>
        <v>0.83235281870750732</v>
      </c>
    </row>
    <row r="50" spans="1:13" s="202" customFormat="1" ht="15" hidden="1" outlineLevel="2" x14ac:dyDescent="0.25">
      <c r="A50" s="440" t="s">
        <v>840</v>
      </c>
      <c r="B50" s="26">
        <f>+B51+B52</f>
        <v>152505263</v>
      </c>
      <c r="C50" s="21"/>
      <c r="D50" s="21"/>
      <c r="E50" s="21"/>
      <c r="F50" s="21"/>
      <c r="G50" s="21"/>
      <c r="H50" s="23">
        <f t="shared" ref="H50:H56" si="11">+B50+C50+D50+G50+E50+F50</f>
        <v>152505263</v>
      </c>
      <c r="I50" s="21"/>
      <c r="J50" s="112">
        <f t="shared" si="10"/>
        <v>152505263</v>
      </c>
      <c r="K50" s="112">
        <f>+K51+K52</f>
        <v>127712147</v>
      </c>
      <c r="L50" s="112">
        <f t="shared" si="4"/>
        <v>-24793116</v>
      </c>
      <c r="M50" s="973">
        <f t="shared" si="3"/>
        <v>0.83742780077039047</v>
      </c>
    </row>
    <row r="51" spans="1:13" s="202" customFormat="1" ht="15" hidden="1" outlineLevel="2" x14ac:dyDescent="0.25">
      <c r="A51" s="440" t="s">
        <v>841</v>
      </c>
      <c r="B51" s="23">
        <f>+'[24]A Económica'!$E$31</f>
        <v>51457150</v>
      </c>
      <c r="C51" s="21"/>
      <c r="D51" s="21"/>
      <c r="E51" s="21"/>
      <c r="F51" s="21"/>
      <c r="G51" s="21"/>
      <c r="H51" s="23">
        <f t="shared" si="11"/>
        <v>51457150</v>
      </c>
      <c r="I51" s="21"/>
      <c r="J51" s="112">
        <f t="shared" si="10"/>
        <v>51457150</v>
      </c>
      <c r="K51" s="112">
        <v>29125710</v>
      </c>
      <c r="L51" s="112">
        <f t="shared" si="4"/>
        <v>-22331440</v>
      </c>
      <c r="M51" s="973">
        <f t="shared" si="3"/>
        <v>0.56601871654376501</v>
      </c>
    </row>
    <row r="52" spans="1:13" s="202" customFormat="1" ht="15" hidden="1" outlineLevel="2" x14ac:dyDescent="0.25">
      <c r="A52" s="440" t="s">
        <v>842</v>
      </c>
      <c r="B52" s="23">
        <f>+'[24]A Económica'!$E$32</f>
        <v>101048113</v>
      </c>
      <c r="C52" s="21"/>
      <c r="D52" s="21"/>
      <c r="E52" s="21"/>
      <c r="F52" s="21"/>
      <c r="G52" s="21"/>
      <c r="H52" s="23">
        <f t="shared" si="11"/>
        <v>101048113</v>
      </c>
      <c r="I52" s="21"/>
      <c r="J52" s="112">
        <f t="shared" si="10"/>
        <v>101048113</v>
      </c>
      <c r="K52" s="112">
        <v>98586437</v>
      </c>
      <c r="L52" s="112">
        <f t="shared" si="4"/>
        <v>-2461676</v>
      </c>
      <c r="M52" s="973">
        <f t="shared" si="3"/>
        <v>0.97563857525968845</v>
      </c>
    </row>
    <row r="53" spans="1:13" s="202" customFormat="1" ht="15" hidden="1" outlineLevel="2" x14ac:dyDescent="0.25">
      <c r="A53" s="440" t="s">
        <v>843</v>
      </c>
      <c r="B53" s="26">
        <f>+B54+B55</f>
        <v>96300000</v>
      </c>
      <c r="C53" s="21"/>
      <c r="D53" s="21"/>
      <c r="E53" s="21"/>
      <c r="F53" s="21"/>
      <c r="G53" s="21"/>
      <c r="H53" s="23">
        <f t="shared" si="11"/>
        <v>96300000</v>
      </c>
      <c r="I53" s="21"/>
      <c r="J53" s="112">
        <f t="shared" si="10"/>
        <v>96300000</v>
      </c>
      <c r="K53" s="112">
        <f>+K54+K55</f>
        <v>79072501</v>
      </c>
      <c r="L53" s="112">
        <f t="shared" si="4"/>
        <v>-17227499</v>
      </c>
      <c r="M53" s="973">
        <f t="shared" si="3"/>
        <v>0.82110592938733129</v>
      </c>
    </row>
    <row r="54" spans="1:13" s="202" customFormat="1" ht="15" hidden="1" outlineLevel="2" x14ac:dyDescent="0.25">
      <c r="A54" s="440" t="s">
        <v>844</v>
      </c>
      <c r="B54" s="23">
        <f>+'[24]A Económica'!$E$34</f>
        <v>37000000</v>
      </c>
      <c r="C54" s="21"/>
      <c r="D54" s="21"/>
      <c r="E54" s="21"/>
      <c r="F54" s="21"/>
      <c r="G54" s="21"/>
      <c r="H54" s="23">
        <f t="shared" si="11"/>
        <v>37000000</v>
      </c>
      <c r="I54" s="21"/>
      <c r="J54" s="112">
        <f t="shared" si="10"/>
        <v>37000000</v>
      </c>
      <c r="K54" s="112">
        <v>30200800</v>
      </c>
      <c r="L54" s="112">
        <f t="shared" si="4"/>
        <v>-6799200</v>
      </c>
      <c r="M54" s="973">
        <f t="shared" si="3"/>
        <v>0.81623783783783788</v>
      </c>
    </row>
    <row r="55" spans="1:13" s="202" customFormat="1" ht="15" hidden="1" outlineLevel="2" x14ac:dyDescent="0.25">
      <c r="A55" s="440" t="s">
        <v>845</v>
      </c>
      <c r="B55" s="23">
        <f>+'[24]A Económica'!$E$35</f>
        <v>59300000</v>
      </c>
      <c r="C55" s="21"/>
      <c r="D55" s="21"/>
      <c r="E55" s="21"/>
      <c r="F55" s="21"/>
      <c r="G55" s="21"/>
      <c r="H55" s="23">
        <f t="shared" si="11"/>
        <v>59300000</v>
      </c>
      <c r="I55" s="21"/>
      <c r="J55" s="112">
        <f t="shared" si="10"/>
        <v>59300000</v>
      </c>
      <c r="K55" s="112">
        <v>48871701</v>
      </c>
      <c r="L55" s="112">
        <f t="shared" si="4"/>
        <v>-10428299</v>
      </c>
      <c r="M55" s="973">
        <f t="shared" si="3"/>
        <v>0.82414335581787523</v>
      </c>
    </row>
    <row r="56" spans="1:13" s="202" customFormat="1" ht="15" hidden="1" outlineLevel="2" x14ac:dyDescent="0.25">
      <c r="A56" s="440" t="s">
        <v>846</v>
      </c>
      <c r="B56" s="23">
        <f>+'[24]A Económica'!$E$36</f>
        <v>10300000</v>
      </c>
      <c r="C56" s="21"/>
      <c r="D56" s="21"/>
      <c r="E56" s="21"/>
      <c r="F56" s="21"/>
      <c r="G56" s="21"/>
      <c r="H56" s="23">
        <f t="shared" si="11"/>
        <v>10300000</v>
      </c>
      <c r="I56" s="21"/>
      <c r="J56" s="112">
        <f t="shared" si="10"/>
        <v>10300000</v>
      </c>
      <c r="K56" s="112">
        <v>8882348</v>
      </c>
      <c r="L56" s="112">
        <f t="shared" si="4"/>
        <v>-1417652</v>
      </c>
      <c r="M56" s="973">
        <f t="shared" si="3"/>
        <v>0.86236388349514559</v>
      </c>
    </row>
    <row r="57" spans="1:13" s="202" customFormat="1" ht="15" hidden="1" outlineLevel="1" x14ac:dyDescent="0.25">
      <c r="A57" s="440" t="s">
        <v>578</v>
      </c>
      <c r="B57" s="23">
        <f>+'[24]A Económica'!$E$37</f>
        <v>105600000</v>
      </c>
      <c r="C57" s="21"/>
      <c r="D57" s="21"/>
      <c r="E57" s="21"/>
      <c r="F57" s="21"/>
      <c r="G57" s="21"/>
      <c r="H57" s="23">
        <f>+B57+C57+D57+G57+E57+F57</f>
        <v>105600000</v>
      </c>
      <c r="I57" s="21"/>
      <c r="J57" s="112">
        <f t="shared" si="10"/>
        <v>105600000</v>
      </c>
      <c r="K57" s="112">
        <v>105250000</v>
      </c>
      <c r="L57" s="112">
        <f t="shared" si="4"/>
        <v>-350000</v>
      </c>
      <c r="M57" s="973">
        <f t="shared" si="3"/>
        <v>0.99668560606060608</v>
      </c>
    </row>
    <row r="58" spans="1:13" s="202" customFormat="1" ht="15" collapsed="1" x14ac:dyDescent="0.25">
      <c r="A58" s="667" t="s">
        <v>84</v>
      </c>
      <c r="B58" s="26">
        <f>SUM(B59:B61)</f>
        <v>37404363</v>
      </c>
      <c r="C58" s="21"/>
      <c r="D58" s="21"/>
      <c r="E58" s="21"/>
      <c r="F58" s="21"/>
      <c r="G58" s="21"/>
      <c r="H58" s="26">
        <f>SUM(H59:H61)</f>
        <v>37404363</v>
      </c>
      <c r="I58" s="21"/>
      <c r="J58" s="26">
        <f>SUM(J59:J61)</f>
        <v>37404363</v>
      </c>
      <c r="K58" s="26">
        <f>SUM(K59:K61)</f>
        <v>36203847</v>
      </c>
      <c r="L58" s="26">
        <f t="shared" si="4"/>
        <v>-1200516</v>
      </c>
      <c r="M58" s="972">
        <f t="shared" si="3"/>
        <v>0.96790438591348282</v>
      </c>
    </row>
    <row r="59" spans="1:13" s="202" customFormat="1" ht="15" hidden="1" outlineLevel="1" x14ac:dyDescent="0.25">
      <c r="A59" s="440" t="s">
        <v>579</v>
      </c>
      <c r="B59" s="23">
        <f>+'[24]A Económica'!$E$39</f>
        <v>23341246</v>
      </c>
      <c r="C59" s="21"/>
      <c r="D59" s="21"/>
      <c r="E59" s="21"/>
      <c r="F59" s="21"/>
      <c r="G59" s="21"/>
      <c r="H59" s="23">
        <f>+B59+C59+D59+G59+E59+F59</f>
        <v>23341246</v>
      </c>
      <c r="I59" s="21"/>
      <c r="J59" s="112">
        <f>+H59+I59</f>
        <v>23341246</v>
      </c>
      <c r="K59" s="112">
        <v>23147730</v>
      </c>
      <c r="L59" s="112">
        <f t="shared" si="4"/>
        <v>-193516</v>
      </c>
      <c r="M59" s="973">
        <f t="shared" si="3"/>
        <v>0.99170926864829756</v>
      </c>
    </row>
    <row r="60" spans="1:13" s="202" customFormat="1" ht="15" hidden="1" outlineLevel="1" x14ac:dyDescent="0.25">
      <c r="A60" s="440" t="s">
        <v>580</v>
      </c>
      <c r="B60" s="23">
        <f>+'[24]A Económica'!$E$40</f>
        <v>4063117</v>
      </c>
      <c r="C60" s="21"/>
      <c r="D60" s="21"/>
      <c r="E60" s="21"/>
      <c r="F60" s="21"/>
      <c r="G60" s="21"/>
      <c r="H60" s="23">
        <f>+B60+C60+D60+G60+E60+F60</f>
        <v>4063117</v>
      </c>
      <c r="I60" s="21"/>
      <c r="J60" s="112">
        <f>+H60+I60</f>
        <v>4063117</v>
      </c>
      <c r="K60" s="112">
        <v>3056117</v>
      </c>
      <c r="L60" s="112">
        <f t="shared" si="4"/>
        <v>-1007000</v>
      </c>
      <c r="M60" s="973">
        <f t="shared" si="3"/>
        <v>0.7521607179906461</v>
      </c>
    </row>
    <row r="61" spans="1:13" s="202" customFormat="1" ht="15" hidden="1" outlineLevel="1" x14ac:dyDescent="0.25">
      <c r="A61" s="440" t="s">
        <v>581</v>
      </c>
      <c r="B61" s="23">
        <f>+'[24]A Económica'!$E$41-25850000</f>
        <v>10000000</v>
      </c>
      <c r="C61" s="21"/>
      <c r="D61" s="21"/>
      <c r="E61" s="21"/>
      <c r="F61" s="21"/>
      <c r="G61" s="21"/>
      <c r="H61" s="23">
        <f>+B61+C61+D61+G61+E61+F61</f>
        <v>10000000</v>
      </c>
      <c r="I61" s="21"/>
      <c r="J61" s="112">
        <f>+H61+I61</f>
        <v>10000000</v>
      </c>
      <c r="K61" s="112">
        <v>10000000</v>
      </c>
      <c r="L61" s="112">
        <f t="shared" si="4"/>
        <v>0</v>
      </c>
      <c r="M61" s="973">
        <f t="shared" si="3"/>
        <v>1</v>
      </c>
    </row>
    <row r="62" spans="1:13" s="202" customFormat="1" ht="15" collapsed="1" x14ac:dyDescent="0.25">
      <c r="A62" s="667" t="s">
        <v>582</v>
      </c>
      <c r="B62" s="26">
        <f>SUM(B63:B65)</f>
        <v>70814231</v>
      </c>
      <c r="C62" s="21"/>
      <c r="D62" s="21"/>
      <c r="E62" s="21"/>
      <c r="F62" s="21"/>
      <c r="G62" s="21"/>
      <c r="H62" s="26">
        <f>SUM(H63:H65)</f>
        <v>70814231</v>
      </c>
      <c r="I62" s="21"/>
      <c r="J62" s="26">
        <f>SUM(J63:J65)</f>
        <v>70814231</v>
      </c>
      <c r="K62" s="26">
        <f>SUM(K63:K65)</f>
        <v>70670715</v>
      </c>
      <c r="L62" s="26">
        <f t="shared" si="4"/>
        <v>-143516</v>
      </c>
      <c r="M62" s="972">
        <f t="shared" si="3"/>
        <v>0.99797334521644387</v>
      </c>
    </row>
    <row r="63" spans="1:13" s="202" customFormat="1" ht="15" hidden="1" outlineLevel="1" x14ac:dyDescent="0.25">
      <c r="A63" s="440" t="s">
        <v>583</v>
      </c>
      <c r="B63" s="23">
        <f>+'[24]A Económica'!$E$43-9242000-276000</f>
        <v>32259253</v>
      </c>
      <c r="C63" s="21"/>
      <c r="D63" s="21"/>
      <c r="E63" s="21"/>
      <c r="F63" s="21"/>
      <c r="G63" s="21"/>
      <c r="H63" s="23">
        <f>+B63+C63+D63+G63+E63+F63</f>
        <v>32259253</v>
      </c>
      <c r="I63" s="21"/>
      <c r="J63" s="112">
        <f>+H63+I63</f>
        <v>32259253</v>
      </c>
      <c r="K63" s="112">
        <v>32122245</v>
      </c>
      <c r="L63" s="112">
        <f t="shared" si="4"/>
        <v>-137008</v>
      </c>
      <c r="M63" s="973">
        <f t="shared" si="3"/>
        <v>0.99575290847559306</v>
      </c>
    </row>
    <row r="64" spans="1:13" s="202" customFormat="1" ht="15" hidden="1" outlineLevel="1" x14ac:dyDescent="0.25">
      <c r="A64" s="440" t="s">
        <v>584</v>
      </c>
      <c r="B64" s="23">
        <f>+'[24]A Económica'!$E$44-4700000+276000</f>
        <v>38554978</v>
      </c>
      <c r="C64" s="21"/>
      <c r="D64" s="21"/>
      <c r="E64" s="21"/>
      <c r="F64" s="21"/>
      <c r="G64" s="21"/>
      <c r="H64" s="23">
        <f>+B64+C64+D64+G64+E64+F64</f>
        <v>38554978</v>
      </c>
      <c r="I64" s="21"/>
      <c r="J64" s="112">
        <f>+H64+I64</f>
        <v>38554978</v>
      </c>
      <c r="K64" s="112">
        <v>38548470</v>
      </c>
      <c r="L64" s="112">
        <f t="shared" si="4"/>
        <v>-6508</v>
      </c>
      <c r="M64" s="973">
        <f t="shared" si="3"/>
        <v>0.9998312020823874</v>
      </c>
    </row>
    <row r="65" spans="1:13" s="202" customFormat="1" ht="15" hidden="1" outlineLevel="1" x14ac:dyDescent="0.25">
      <c r="A65" s="440" t="s">
        <v>652</v>
      </c>
      <c r="B65" s="23"/>
      <c r="C65" s="21"/>
      <c r="D65" s="21"/>
      <c r="E65" s="21"/>
      <c r="F65" s="21"/>
      <c r="G65" s="21"/>
      <c r="H65" s="23">
        <f>+B65+C65+D65+G65+E65+F65</f>
        <v>0</v>
      </c>
      <c r="I65" s="21"/>
      <c r="J65" s="112">
        <f>+H65+I65</f>
        <v>0</v>
      </c>
      <c r="K65" s="112"/>
      <c r="L65" s="112">
        <f t="shared" si="4"/>
        <v>0</v>
      </c>
      <c r="M65" s="973">
        <f t="shared" si="3"/>
        <v>0</v>
      </c>
    </row>
    <row r="66" spans="1:13" s="202" customFormat="1" ht="15" collapsed="1" x14ac:dyDescent="0.25">
      <c r="A66" s="667" t="s">
        <v>585</v>
      </c>
      <c r="B66" s="26">
        <f>SUM(B67:B70)</f>
        <v>64800000</v>
      </c>
      <c r="C66" s="21"/>
      <c r="D66" s="21"/>
      <c r="E66" s="21"/>
      <c r="F66" s="21"/>
      <c r="G66" s="21"/>
      <c r="H66" s="26">
        <f>SUM(H67:H70)</f>
        <v>64800000</v>
      </c>
      <c r="I66" s="21"/>
      <c r="J66" s="26">
        <f>SUM(J67:J70)</f>
        <v>64800000</v>
      </c>
      <c r="K66" s="26">
        <f>SUM(K67:K70)</f>
        <v>64013929</v>
      </c>
      <c r="L66" s="26">
        <f t="shared" si="4"/>
        <v>-786071</v>
      </c>
      <c r="M66" s="972">
        <f t="shared" si="3"/>
        <v>0.98786927469135799</v>
      </c>
    </row>
    <row r="67" spans="1:13" s="202" customFormat="1" ht="15" hidden="1" outlineLevel="1" x14ac:dyDescent="0.25">
      <c r="A67" s="440" t="s">
        <v>586</v>
      </c>
      <c r="B67" s="23">
        <f>+'[24]A Económica'!$E$47</f>
        <v>6800000</v>
      </c>
      <c r="C67" s="21"/>
      <c r="D67" s="21"/>
      <c r="E67" s="21"/>
      <c r="F67" s="21"/>
      <c r="G67" s="21"/>
      <c r="H67" s="23">
        <f>+B67+C67+D67+G67+E67+F67</f>
        <v>6800000</v>
      </c>
      <c r="I67" s="21"/>
      <c r="J67" s="112">
        <f>+H67+I67</f>
        <v>6800000</v>
      </c>
      <c r="K67" s="112">
        <v>6658674</v>
      </c>
      <c r="L67" s="112">
        <f t="shared" si="4"/>
        <v>-141326</v>
      </c>
      <c r="M67" s="973">
        <f t="shared" si="3"/>
        <v>0.97921676470588237</v>
      </c>
    </row>
    <row r="68" spans="1:13" s="202" customFormat="1" ht="15" hidden="1" outlineLevel="1" x14ac:dyDescent="0.25">
      <c r="A68" s="440" t="s">
        <v>494</v>
      </c>
      <c r="B68" s="23">
        <f>+'[24]A Económica'!$E$48-4800000</f>
        <v>24800000</v>
      </c>
      <c r="C68" s="21"/>
      <c r="D68" s="21"/>
      <c r="E68" s="21"/>
      <c r="F68" s="21"/>
      <c r="G68" s="21"/>
      <c r="H68" s="23">
        <f>+B68+C68+D68+G68+E68+F68</f>
        <v>24800000</v>
      </c>
      <c r="I68" s="21"/>
      <c r="J68" s="112">
        <f>+H68+I68</f>
        <v>24800000</v>
      </c>
      <c r="K68" s="112">
        <v>24795360</v>
      </c>
      <c r="L68" s="112">
        <f t="shared" si="4"/>
        <v>-4640</v>
      </c>
      <c r="M68" s="973">
        <f t="shared" si="3"/>
        <v>0.9998129032258064</v>
      </c>
    </row>
    <row r="69" spans="1:13" s="202" customFormat="1" ht="15" hidden="1" outlineLevel="1" x14ac:dyDescent="0.25">
      <c r="A69" s="440" t="s">
        <v>653</v>
      </c>
      <c r="B69" s="23">
        <f>+'[24]A Económica'!$E$49</f>
        <v>12200000</v>
      </c>
      <c r="C69" s="21"/>
      <c r="D69" s="21"/>
      <c r="E69" s="21"/>
      <c r="F69" s="21"/>
      <c r="G69" s="21"/>
      <c r="H69" s="23">
        <f>+B69+C69+D69+G69+E69+F69</f>
        <v>12200000</v>
      </c>
      <c r="I69" s="21"/>
      <c r="J69" s="112">
        <f>+H69+I69</f>
        <v>12200000</v>
      </c>
      <c r="K69" s="112">
        <v>11741682</v>
      </c>
      <c r="L69" s="112">
        <f t="shared" si="4"/>
        <v>-458318</v>
      </c>
      <c r="M69" s="973">
        <f t="shared" si="3"/>
        <v>0.96243295081967217</v>
      </c>
    </row>
    <row r="70" spans="1:13" s="202" customFormat="1" ht="15" hidden="1" outlineLevel="1" x14ac:dyDescent="0.25">
      <c r="A70" s="440" t="s">
        <v>587</v>
      </c>
      <c r="B70" s="23">
        <v>21000000</v>
      </c>
      <c r="C70" s="21"/>
      <c r="D70" s="21"/>
      <c r="E70" s="21"/>
      <c r="F70" s="21"/>
      <c r="G70" s="21"/>
      <c r="H70" s="23">
        <f>+B70+C70+D70+G70+E70+F70</f>
        <v>21000000</v>
      </c>
      <c r="I70" s="21"/>
      <c r="J70" s="112">
        <f>+H70+I70</f>
        <v>21000000</v>
      </c>
      <c r="K70" s="112">
        <v>20818213</v>
      </c>
      <c r="L70" s="112">
        <f t="shared" si="4"/>
        <v>-181787</v>
      </c>
      <c r="M70" s="973">
        <f t="shared" si="3"/>
        <v>0.99134347619047614</v>
      </c>
    </row>
    <row r="71" spans="1:13" s="202" customFormat="1" ht="15" collapsed="1" x14ac:dyDescent="0.25">
      <c r="A71" s="667" t="s">
        <v>624</v>
      </c>
      <c r="B71" s="26">
        <f>SUM(B72:B73)</f>
        <v>62093000</v>
      </c>
      <c r="C71" s="21"/>
      <c r="D71" s="21"/>
      <c r="E71" s="21"/>
      <c r="F71" s="21"/>
      <c r="G71" s="21"/>
      <c r="H71" s="26">
        <f>SUM(H72:H73)</f>
        <v>62093000</v>
      </c>
      <c r="I71" s="21"/>
      <c r="J71" s="26">
        <f>SUM(J72:J73)</f>
        <v>62093000</v>
      </c>
      <c r="K71" s="26">
        <f>SUM(K72:K73)</f>
        <v>53901103</v>
      </c>
      <c r="L71" s="26">
        <f t="shared" si="4"/>
        <v>-8191897</v>
      </c>
      <c r="M71" s="972">
        <f t="shared" si="3"/>
        <v>0.86807052324738698</v>
      </c>
    </row>
    <row r="72" spans="1:13" s="202" customFormat="1" ht="15" hidden="1" outlineLevel="1" x14ac:dyDescent="0.25">
      <c r="A72" s="440" t="s">
        <v>625</v>
      </c>
      <c r="B72" s="23">
        <f>+'[24]A Económica'!$E$52</f>
        <v>57093000</v>
      </c>
      <c r="C72" s="21"/>
      <c r="D72" s="21"/>
      <c r="E72" s="21"/>
      <c r="F72" s="21"/>
      <c r="G72" s="21"/>
      <c r="H72" s="23">
        <f>+B72+C72+D72+G72+E72+F72</f>
        <v>57093000</v>
      </c>
      <c r="I72" s="21"/>
      <c r="J72" s="112">
        <f>+H72+I72</f>
        <v>57093000</v>
      </c>
      <c r="K72" s="112">
        <v>53901103</v>
      </c>
      <c r="L72" s="112">
        <f t="shared" si="4"/>
        <v>-3191897</v>
      </c>
      <c r="M72" s="973">
        <f t="shared" si="3"/>
        <v>0.94409302366314607</v>
      </c>
    </row>
    <row r="73" spans="1:13" s="202" customFormat="1" ht="15" hidden="1" outlineLevel="1" x14ac:dyDescent="0.25">
      <c r="A73" s="440" t="s">
        <v>626</v>
      </c>
      <c r="B73" s="23">
        <f>+'[24]A Económica'!$E$53-8000000</f>
        <v>5000000</v>
      </c>
      <c r="C73" s="21"/>
      <c r="D73" s="21"/>
      <c r="E73" s="21"/>
      <c r="F73" s="21"/>
      <c r="G73" s="21"/>
      <c r="H73" s="23">
        <f>+B73+C73+D73+G73+E73+F73</f>
        <v>5000000</v>
      </c>
      <c r="I73" s="21"/>
      <c r="J73" s="112">
        <f>+H73+I73</f>
        <v>5000000</v>
      </c>
      <c r="K73" s="112"/>
      <c r="L73" s="112">
        <f t="shared" si="4"/>
        <v>-5000000</v>
      </c>
      <c r="M73" s="973">
        <f t="shared" si="3"/>
        <v>0</v>
      </c>
    </row>
    <row r="74" spans="1:13" s="202" customFormat="1" ht="15" collapsed="1" x14ac:dyDescent="0.25">
      <c r="A74" s="440"/>
      <c r="B74" s="23"/>
      <c r="C74" s="21"/>
      <c r="D74" s="21"/>
      <c r="E74" s="21"/>
      <c r="F74" s="21"/>
      <c r="G74" s="21"/>
      <c r="H74" s="23"/>
      <c r="I74" s="21"/>
      <c r="J74" s="112"/>
      <c r="K74" s="112"/>
      <c r="L74" s="112"/>
      <c r="M74" s="973"/>
    </row>
    <row r="75" spans="1:13" s="202" customFormat="1" ht="15" x14ac:dyDescent="0.25">
      <c r="A75" s="667" t="s">
        <v>813</v>
      </c>
      <c r="B75" s="23"/>
      <c r="C75" s="21"/>
      <c r="D75" s="21"/>
      <c r="E75" s="21"/>
      <c r="F75" s="21">
        <f>+F76+F82+F92+F98+F101</f>
        <v>2442239692</v>
      </c>
      <c r="G75" s="21"/>
      <c r="H75" s="21">
        <f>+H76+H82+H92+H98+H101</f>
        <v>2442239692</v>
      </c>
      <c r="I75" s="21"/>
      <c r="J75" s="26">
        <f>+H75+I75</f>
        <v>2442239692</v>
      </c>
      <c r="K75" s="26">
        <f>+K76+K82+K92+K98+K101</f>
        <v>2401128226</v>
      </c>
      <c r="L75" s="26">
        <f t="shared" ref="L75:L138" si="12">+K75-J75</f>
        <v>-41111466</v>
      </c>
      <c r="M75" s="972">
        <f t="shared" ref="M75:M137" si="13">IFERROR(K75/J75,0)</f>
        <v>0.9831664901136985</v>
      </c>
    </row>
    <row r="76" spans="1:13" s="202" customFormat="1" ht="15" x14ac:dyDescent="0.25">
      <c r="A76" s="667" t="s">
        <v>310</v>
      </c>
      <c r="B76" s="23"/>
      <c r="C76" s="21"/>
      <c r="D76" s="21"/>
      <c r="E76" s="21"/>
      <c r="F76" s="21">
        <f>SUM(F77:F81)</f>
        <v>84783716</v>
      </c>
      <c r="G76" s="21"/>
      <c r="H76" s="21">
        <f>SUM(H77:H81)</f>
        <v>84783716</v>
      </c>
      <c r="I76" s="21"/>
      <c r="J76" s="21">
        <f>SUM(J77:J81)</f>
        <v>84783716</v>
      </c>
      <c r="K76" s="21">
        <f>SUM(K77:K81)</f>
        <v>45661247</v>
      </c>
      <c r="L76" s="21">
        <f t="shared" si="12"/>
        <v>-39122469</v>
      </c>
      <c r="M76" s="972">
        <f t="shared" si="13"/>
        <v>0.53856152046933159</v>
      </c>
    </row>
    <row r="77" spans="1:13" s="202" customFormat="1" ht="15" hidden="1" outlineLevel="1" x14ac:dyDescent="0.25">
      <c r="A77" s="440" t="s">
        <v>627</v>
      </c>
      <c r="B77" s="23"/>
      <c r="C77" s="21"/>
      <c r="D77" s="21"/>
      <c r="E77" s="21"/>
      <c r="F77" s="112"/>
      <c r="G77" s="21"/>
      <c r="H77" s="23">
        <f>+B77+C77+D77+G77+E77+F77</f>
        <v>0</v>
      </c>
      <c r="I77" s="21"/>
      <c r="J77" s="112">
        <f>+H77+I77</f>
        <v>0</v>
      </c>
      <c r="K77" s="112"/>
      <c r="L77" s="112">
        <f t="shared" si="12"/>
        <v>0</v>
      </c>
      <c r="M77" s="973">
        <f t="shared" si="13"/>
        <v>0</v>
      </c>
    </row>
    <row r="78" spans="1:13" s="202" customFormat="1" ht="15" hidden="1" outlineLevel="1" x14ac:dyDescent="0.25">
      <c r="A78" s="440" t="s">
        <v>628</v>
      </c>
      <c r="B78" s="23"/>
      <c r="C78" s="21"/>
      <c r="D78" s="21"/>
      <c r="E78" s="21"/>
      <c r="F78" s="112">
        <f>+'[27]Anexo 2 '!$H$62</f>
        <v>78244469</v>
      </c>
      <c r="G78" s="21"/>
      <c r="H78" s="23">
        <f>+B78+C78+D78+G78+E78+F78</f>
        <v>78244469</v>
      </c>
      <c r="I78" s="21"/>
      <c r="J78" s="112">
        <f>+H78+I78</f>
        <v>78244469</v>
      </c>
      <c r="K78" s="112">
        <v>39122000</v>
      </c>
      <c r="L78" s="112">
        <f t="shared" si="12"/>
        <v>-39122469</v>
      </c>
      <c r="M78" s="973">
        <f t="shared" si="13"/>
        <v>0.49999700298304789</v>
      </c>
    </row>
    <row r="79" spans="1:13" s="202" customFormat="1" ht="15" hidden="1" outlineLevel="1" x14ac:dyDescent="0.25">
      <c r="A79" s="440" t="s">
        <v>629</v>
      </c>
      <c r="B79" s="23"/>
      <c r="C79" s="21"/>
      <c r="D79" s="21"/>
      <c r="E79" s="21"/>
      <c r="F79" s="112"/>
      <c r="G79" s="21"/>
      <c r="H79" s="23">
        <f>+B79+C79+D79+G79+E79+F79</f>
        <v>0</v>
      </c>
      <c r="I79" s="21"/>
      <c r="J79" s="112">
        <f>+H79+I79</f>
        <v>0</v>
      </c>
      <c r="K79" s="112"/>
      <c r="L79" s="112">
        <f t="shared" si="12"/>
        <v>0</v>
      </c>
      <c r="M79" s="973">
        <f t="shared" si="13"/>
        <v>0</v>
      </c>
    </row>
    <row r="80" spans="1:13" s="202" customFormat="1" ht="15" hidden="1" outlineLevel="1" x14ac:dyDescent="0.25">
      <c r="A80" s="440" t="s">
        <v>415</v>
      </c>
      <c r="B80" s="23"/>
      <c r="C80" s="21"/>
      <c r="D80" s="21"/>
      <c r="E80" s="21"/>
      <c r="F80" s="112">
        <f>+'[27]Anexo 2 '!$H$64</f>
        <v>6539247</v>
      </c>
      <c r="G80" s="21"/>
      <c r="H80" s="23">
        <f>+B80+C80+D80+G80+E80+F80</f>
        <v>6539247</v>
      </c>
      <c r="I80" s="21"/>
      <c r="J80" s="112">
        <f>+H80+I80</f>
        <v>6539247</v>
      </c>
      <c r="K80" s="112">
        <v>6539247</v>
      </c>
      <c r="L80" s="112">
        <f t="shared" si="12"/>
        <v>0</v>
      </c>
      <c r="M80" s="973">
        <f t="shared" si="13"/>
        <v>1</v>
      </c>
    </row>
    <row r="81" spans="1:13" s="202" customFormat="1" ht="15" hidden="1" outlineLevel="1" x14ac:dyDescent="0.25">
      <c r="A81" s="440" t="s">
        <v>630</v>
      </c>
      <c r="B81" s="23"/>
      <c r="C81" s="21"/>
      <c r="D81" s="21"/>
      <c r="E81" s="21"/>
      <c r="F81" s="112"/>
      <c r="G81" s="21"/>
      <c r="H81" s="23">
        <f>+B81+C81+D81+G81+E81+F81</f>
        <v>0</v>
      </c>
      <c r="I81" s="21"/>
      <c r="J81" s="112">
        <f>+H81+I81</f>
        <v>0</v>
      </c>
      <c r="K81" s="112"/>
      <c r="L81" s="112">
        <f t="shared" si="12"/>
        <v>0</v>
      </c>
      <c r="M81" s="973">
        <f t="shared" si="13"/>
        <v>0</v>
      </c>
    </row>
    <row r="82" spans="1:13" s="202" customFormat="1" ht="15" collapsed="1" x14ac:dyDescent="0.25">
      <c r="A82" s="667" t="s">
        <v>631</v>
      </c>
      <c r="B82" s="23"/>
      <c r="C82" s="21"/>
      <c r="D82" s="21"/>
      <c r="E82" s="21"/>
      <c r="F82" s="21">
        <f>SUM(F83:F91)</f>
        <v>283550000</v>
      </c>
      <c r="G82" s="21"/>
      <c r="H82" s="21">
        <f>SUM(H83:H91)</f>
        <v>283550000</v>
      </c>
      <c r="I82" s="21"/>
      <c r="J82" s="21">
        <f>SUM(J83:J91)</f>
        <v>283550000</v>
      </c>
      <c r="K82" s="21">
        <f>SUM(K83:K91)</f>
        <v>283226441</v>
      </c>
      <c r="L82" s="21">
        <f t="shared" si="12"/>
        <v>-323559</v>
      </c>
      <c r="M82" s="972">
        <f t="shared" si="13"/>
        <v>0.99885889966496211</v>
      </c>
    </row>
    <row r="83" spans="1:13" s="202" customFormat="1" ht="15" hidden="1" outlineLevel="1" x14ac:dyDescent="0.25">
      <c r="A83" s="440" t="s">
        <v>632</v>
      </c>
      <c r="B83" s="23"/>
      <c r="C83" s="21"/>
      <c r="D83" s="21"/>
      <c r="E83" s="21"/>
      <c r="F83" s="112">
        <f>+'[27]Anexo 2 '!$H$67</f>
        <v>15860000</v>
      </c>
      <c r="G83" s="21"/>
      <c r="H83" s="23">
        <f t="shared" ref="H83:H91" si="14">+B83+C83+D83+G83+E83+F83</f>
        <v>15860000</v>
      </c>
      <c r="I83" s="21"/>
      <c r="J83" s="112">
        <f t="shared" ref="J83:J91" si="15">+H83+I83</f>
        <v>15860000</v>
      </c>
      <c r="K83" s="112">
        <v>15875119</v>
      </c>
      <c r="L83" s="112">
        <f t="shared" si="12"/>
        <v>15119</v>
      </c>
      <c r="M83" s="973">
        <f t="shared" si="13"/>
        <v>1.0009532786885247</v>
      </c>
    </row>
    <row r="84" spans="1:13" s="202" customFormat="1" ht="15" hidden="1" outlineLevel="1" x14ac:dyDescent="0.25">
      <c r="A84" s="440" t="s">
        <v>416</v>
      </c>
      <c r="B84" s="23"/>
      <c r="C84" s="21"/>
      <c r="D84" s="21"/>
      <c r="E84" s="21"/>
      <c r="F84" s="112">
        <f>+'[27]Anexo 2 '!$H$68</f>
        <v>57600000</v>
      </c>
      <c r="G84" s="21"/>
      <c r="H84" s="23">
        <f t="shared" si="14"/>
        <v>57600000</v>
      </c>
      <c r="I84" s="21"/>
      <c r="J84" s="112">
        <f t="shared" si="15"/>
        <v>57600000</v>
      </c>
      <c r="K84" s="112">
        <v>57600000</v>
      </c>
      <c r="L84" s="112">
        <f t="shared" si="12"/>
        <v>0</v>
      </c>
      <c r="M84" s="973">
        <f t="shared" si="13"/>
        <v>1</v>
      </c>
    </row>
    <row r="85" spans="1:13" s="202" customFormat="1" ht="15" hidden="1" outlineLevel="1" x14ac:dyDescent="0.25">
      <c r="A85" s="440" t="s">
        <v>473</v>
      </c>
      <c r="B85" s="23"/>
      <c r="C85" s="21"/>
      <c r="D85" s="21"/>
      <c r="E85" s="21"/>
      <c r="F85" s="112">
        <f>+'[27]Anexo 2 '!$H$69</f>
        <v>46680000</v>
      </c>
      <c r="G85" s="21"/>
      <c r="H85" s="23">
        <f t="shared" si="14"/>
        <v>46680000</v>
      </c>
      <c r="I85" s="21"/>
      <c r="J85" s="112">
        <f t="shared" si="15"/>
        <v>46680000</v>
      </c>
      <c r="K85" s="112">
        <v>46680000</v>
      </c>
      <c r="L85" s="112">
        <f t="shared" si="12"/>
        <v>0</v>
      </c>
      <c r="M85" s="973">
        <f t="shared" si="13"/>
        <v>1</v>
      </c>
    </row>
    <row r="86" spans="1:13" s="202" customFormat="1" ht="15" hidden="1" outlineLevel="1" x14ac:dyDescent="0.25">
      <c r="A86" s="440" t="s">
        <v>633</v>
      </c>
      <c r="B86" s="23"/>
      <c r="C86" s="21"/>
      <c r="D86" s="21"/>
      <c r="E86" s="21"/>
      <c r="F86" s="112">
        <f>+'[27]Anexo 2 '!$H$70</f>
        <v>13750000</v>
      </c>
      <c r="G86" s="21"/>
      <c r="H86" s="23">
        <f t="shared" si="14"/>
        <v>13750000</v>
      </c>
      <c r="I86" s="21"/>
      <c r="J86" s="112">
        <f t="shared" si="15"/>
        <v>13750000</v>
      </c>
      <c r="K86" s="112">
        <v>13517223</v>
      </c>
      <c r="L86" s="112">
        <f t="shared" si="12"/>
        <v>-232777</v>
      </c>
      <c r="M86" s="973">
        <f t="shared" si="13"/>
        <v>0.98307076363636359</v>
      </c>
    </row>
    <row r="87" spans="1:13" s="202" customFormat="1" ht="15" hidden="1" outlineLevel="1" x14ac:dyDescent="0.25">
      <c r="A87" s="440" t="s">
        <v>456</v>
      </c>
      <c r="B87" s="23"/>
      <c r="C87" s="21"/>
      <c r="D87" s="21"/>
      <c r="E87" s="21"/>
      <c r="F87" s="112">
        <f>+'[27]Anexo 2 '!$H$71</f>
        <v>24660000</v>
      </c>
      <c r="G87" s="21"/>
      <c r="H87" s="23">
        <f t="shared" si="14"/>
        <v>24660000</v>
      </c>
      <c r="I87" s="21"/>
      <c r="J87" s="112">
        <f t="shared" si="15"/>
        <v>24660000</v>
      </c>
      <c r="K87" s="112">
        <v>24557571</v>
      </c>
      <c r="L87" s="112">
        <f t="shared" si="12"/>
        <v>-102429</v>
      </c>
      <c r="M87" s="973">
        <f t="shared" si="13"/>
        <v>0.9958463503649635</v>
      </c>
    </row>
    <row r="88" spans="1:13" s="202" customFormat="1" ht="15" hidden="1" outlineLevel="1" x14ac:dyDescent="0.25">
      <c r="A88" s="440" t="s">
        <v>418</v>
      </c>
      <c r="B88" s="23"/>
      <c r="C88" s="21"/>
      <c r="D88" s="21"/>
      <c r="E88" s="21"/>
      <c r="F88" s="112"/>
      <c r="G88" s="21"/>
      <c r="H88" s="23">
        <f t="shared" si="14"/>
        <v>0</v>
      </c>
      <c r="I88" s="21"/>
      <c r="J88" s="112">
        <f t="shared" si="15"/>
        <v>0</v>
      </c>
      <c r="K88" s="112">
        <v>0</v>
      </c>
      <c r="L88" s="112">
        <f t="shared" si="12"/>
        <v>0</v>
      </c>
      <c r="M88" s="973">
        <f t="shared" si="13"/>
        <v>0</v>
      </c>
    </row>
    <row r="89" spans="1:13" s="202" customFormat="1" ht="15" hidden="1" outlineLevel="1" x14ac:dyDescent="0.25">
      <c r="A89" s="440" t="s">
        <v>634</v>
      </c>
      <c r="B89" s="23"/>
      <c r="C89" s="21"/>
      <c r="D89" s="21"/>
      <c r="E89" s="21"/>
      <c r="F89" s="112">
        <f>+'[27]Anexo 2 '!$H$73</f>
        <v>30000000</v>
      </c>
      <c r="G89" s="21"/>
      <c r="H89" s="23">
        <f t="shared" si="14"/>
        <v>30000000</v>
      </c>
      <c r="I89" s="21"/>
      <c r="J89" s="112">
        <f t="shared" si="15"/>
        <v>30000000</v>
      </c>
      <c r="K89" s="112">
        <v>29996528</v>
      </c>
      <c r="L89" s="112">
        <f t="shared" si="12"/>
        <v>-3472</v>
      </c>
      <c r="M89" s="973">
        <f t="shared" si="13"/>
        <v>0.99988426666666663</v>
      </c>
    </row>
    <row r="90" spans="1:13" s="202" customFormat="1" ht="15" hidden="1" outlineLevel="1" x14ac:dyDescent="0.25">
      <c r="A90" s="440" t="s">
        <v>635</v>
      </c>
      <c r="B90" s="23"/>
      <c r="C90" s="21"/>
      <c r="D90" s="21"/>
      <c r="E90" s="21"/>
      <c r="F90" s="112">
        <f>+'[27]Anexo 2 '!$H$74</f>
        <v>70000000</v>
      </c>
      <c r="G90" s="21"/>
      <c r="H90" s="23">
        <f t="shared" si="14"/>
        <v>70000000</v>
      </c>
      <c r="I90" s="21"/>
      <c r="J90" s="112">
        <f t="shared" si="15"/>
        <v>70000000</v>
      </c>
      <c r="K90" s="112">
        <v>70000000</v>
      </c>
      <c r="L90" s="112">
        <f t="shared" si="12"/>
        <v>0</v>
      </c>
      <c r="M90" s="973">
        <f t="shared" si="13"/>
        <v>1</v>
      </c>
    </row>
    <row r="91" spans="1:13" s="202" customFormat="1" ht="15" hidden="1" outlineLevel="1" x14ac:dyDescent="0.25">
      <c r="A91" s="440" t="s">
        <v>636</v>
      </c>
      <c r="B91" s="23"/>
      <c r="C91" s="21"/>
      <c r="D91" s="21"/>
      <c r="E91" s="21"/>
      <c r="F91" s="112">
        <f>+'[27]Anexo 2 '!$H$75</f>
        <v>25000000</v>
      </c>
      <c r="G91" s="21"/>
      <c r="H91" s="23">
        <f t="shared" si="14"/>
        <v>25000000</v>
      </c>
      <c r="I91" s="21"/>
      <c r="J91" s="112">
        <f t="shared" si="15"/>
        <v>25000000</v>
      </c>
      <c r="K91" s="112">
        <v>25000000</v>
      </c>
      <c r="L91" s="112">
        <f t="shared" si="12"/>
        <v>0</v>
      </c>
      <c r="M91" s="973">
        <f t="shared" si="13"/>
        <v>1</v>
      </c>
    </row>
    <row r="92" spans="1:13" s="202" customFormat="1" ht="15" collapsed="1" x14ac:dyDescent="0.25">
      <c r="A92" s="667" t="s">
        <v>208</v>
      </c>
      <c r="B92" s="23"/>
      <c r="C92" s="21"/>
      <c r="D92" s="21"/>
      <c r="E92" s="21"/>
      <c r="F92" s="21">
        <f>SUM(F93:F97)</f>
        <v>1599599446</v>
      </c>
      <c r="G92" s="21"/>
      <c r="H92" s="21">
        <f>SUM(H93:H97)</f>
        <v>1599599446</v>
      </c>
      <c r="I92" s="21"/>
      <c r="J92" s="21">
        <f>SUM(J93:J97)</f>
        <v>1599599446</v>
      </c>
      <c r="K92" s="21">
        <f>SUM(K93:K97)</f>
        <v>1598971381</v>
      </c>
      <c r="L92" s="21">
        <f t="shared" si="12"/>
        <v>-628065</v>
      </c>
      <c r="M92" s="972">
        <f t="shared" si="13"/>
        <v>0.99960736107931858</v>
      </c>
    </row>
    <row r="93" spans="1:13" s="202" customFormat="1" ht="15" hidden="1" outlineLevel="1" x14ac:dyDescent="0.25">
      <c r="A93" s="440" t="s">
        <v>420</v>
      </c>
      <c r="B93" s="23"/>
      <c r="C93" s="21"/>
      <c r="D93" s="21"/>
      <c r="E93" s="21"/>
      <c r="F93" s="112">
        <f>1562207190+3166738+1066316+2717140</f>
        <v>1569157384</v>
      </c>
      <c r="G93" s="21"/>
      <c r="H93" s="23">
        <f>+B93+C93+D93+G93+E93+F93</f>
        <v>1569157384</v>
      </c>
      <c r="I93" s="21"/>
      <c r="J93" s="112">
        <f>+H93+I93</f>
        <v>1569157384</v>
      </c>
      <c r="K93" s="112">
        <v>1568909319</v>
      </c>
      <c r="L93" s="112">
        <f t="shared" si="12"/>
        <v>-248065</v>
      </c>
      <c r="M93" s="973">
        <f t="shared" si="13"/>
        <v>0.99984191196974281</v>
      </c>
    </row>
    <row r="94" spans="1:13" s="202" customFormat="1" ht="15" hidden="1" outlineLevel="1" x14ac:dyDescent="0.25">
      <c r="A94" s="440" t="s">
        <v>496</v>
      </c>
      <c r="B94" s="23"/>
      <c r="C94" s="21"/>
      <c r="D94" s="21"/>
      <c r="E94" s="21"/>
      <c r="F94" s="112">
        <f>15450000-1066316</f>
        <v>14383684</v>
      </c>
      <c r="G94" s="21"/>
      <c r="H94" s="23">
        <f>+B94+C94+D94+G94+E94+F94</f>
        <v>14383684</v>
      </c>
      <c r="I94" s="21"/>
      <c r="J94" s="112">
        <f>+H94+I94</f>
        <v>14383684</v>
      </c>
      <c r="K94" s="112">
        <v>14383684</v>
      </c>
      <c r="L94" s="112">
        <f t="shared" si="12"/>
        <v>0</v>
      </c>
      <c r="M94" s="973">
        <f t="shared" si="13"/>
        <v>1</v>
      </c>
    </row>
    <row r="95" spans="1:13" s="202" customFormat="1" ht="15" hidden="1" outlineLevel="1" x14ac:dyDescent="0.25">
      <c r="A95" s="440" t="s">
        <v>475</v>
      </c>
      <c r="B95" s="23"/>
      <c r="C95" s="21"/>
      <c r="D95" s="21"/>
      <c r="E95" s="21"/>
      <c r="F95" s="112">
        <f>13790844-3166738</f>
        <v>10624106</v>
      </c>
      <c r="G95" s="21"/>
      <c r="H95" s="23">
        <f>+B95+C95+D95+G95+E95+F95</f>
        <v>10624106</v>
      </c>
      <c r="I95" s="21"/>
      <c r="J95" s="112">
        <f>+H95+I95</f>
        <v>10624106</v>
      </c>
      <c r="K95" s="112">
        <v>10244106</v>
      </c>
      <c r="L95" s="112">
        <f t="shared" si="12"/>
        <v>-380000</v>
      </c>
      <c r="M95" s="973">
        <f t="shared" si="13"/>
        <v>0.96423228457999199</v>
      </c>
    </row>
    <row r="96" spans="1:13" s="202" customFormat="1" ht="15" hidden="1" outlineLevel="1" x14ac:dyDescent="0.25">
      <c r="A96" s="440" t="s">
        <v>424</v>
      </c>
      <c r="B96" s="23"/>
      <c r="C96" s="21"/>
      <c r="D96" s="21"/>
      <c r="E96" s="21"/>
      <c r="F96" s="112">
        <f>8151412-2717140</f>
        <v>5434272</v>
      </c>
      <c r="G96" s="21"/>
      <c r="H96" s="23">
        <f>+B96+C96+D96+G96+E96+F96</f>
        <v>5434272</v>
      </c>
      <c r="I96" s="21"/>
      <c r="J96" s="112">
        <f>+H96+I96</f>
        <v>5434272</v>
      </c>
      <c r="K96" s="112">
        <v>5434272</v>
      </c>
      <c r="L96" s="112">
        <f t="shared" si="12"/>
        <v>0</v>
      </c>
      <c r="M96" s="973">
        <f t="shared" si="13"/>
        <v>1</v>
      </c>
    </row>
    <row r="97" spans="1:13" s="202" customFormat="1" ht="15" hidden="1" outlineLevel="1" x14ac:dyDescent="0.25">
      <c r="A97" s="440" t="s">
        <v>637</v>
      </c>
      <c r="B97" s="23"/>
      <c r="C97" s="21"/>
      <c r="D97" s="21"/>
      <c r="E97" s="21"/>
      <c r="F97" s="112"/>
      <c r="G97" s="21"/>
      <c r="H97" s="23">
        <f>+B97+C97+D97+G97+E97+F97</f>
        <v>0</v>
      </c>
      <c r="I97" s="21"/>
      <c r="J97" s="112">
        <f>+H97+I97</f>
        <v>0</v>
      </c>
      <c r="K97" s="112">
        <v>0</v>
      </c>
      <c r="L97" s="112">
        <f t="shared" si="12"/>
        <v>0</v>
      </c>
      <c r="M97" s="973">
        <f t="shared" si="13"/>
        <v>0</v>
      </c>
    </row>
    <row r="98" spans="1:13" s="202" customFormat="1" ht="15" collapsed="1" x14ac:dyDescent="0.25">
      <c r="A98" s="667" t="s">
        <v>638</v>
      </c>
      <c r="B98" s="23"/>
      <c r="C98" s="21"/>
      <c r="D98" s="21"/>
      <c r="E98" s="21"/>
      <c r="F98" s="21">
        <f>SUM(F99:F100)</f>
        <v>70501000</v>
      </c>
      <c r="G98" s="21"/>
      <c r="H98" s="21">
        <f>SUM(H99:H100)</f>
        <v>70501000</v>
      </c>
      <c r="I98" s="21"/>
      <c r="J98" s="21">
        <f>SUM(J99:J100)</f>
        <v>70501000</v>
      </c>
      <c r="K98" s="21">
        <f>SUM(K99:K100)</f>
        <v>70324105</v>
      </c>
      <c r="L98" s="21">
        <f t="shared" si="12"/>
        <v>-176895</v>
      </c>
      <c r="M98" s="972">
        <f t="shared" si="13"/>
        <v>0.99749088665409003</v>
      </c>
    </row>
    <row r="99" spans="1:13" s="202" customFormat="1" ht="15" hidden="1" outlineLevel="1" x14ac:dyDescent="0.25">
      <c r="A99" s="440" t="s">
        <v>639</v>
      </c>
      <c r="B99" s="23"/>
      <c r="C99" s="21"/>
      <c r="D99" s="21"/>
      <c r="E99" s="21"/>
      <c r="F99" s="112">
        <f>+'[27]Anexo 2 '!$H$83</f>
        <v>60501000</v>
      </c>
      <c r="G99" s="21"/>
      <c r="H99" s="23">
        <f>+B99+C99+D99+G99+E99+F99</f>
        <v>60501000</v>
      </c>
      <c r="I99" s="21"/>
      <c r="J99" s="112">
        <f>+H99+I99</f>
        <v>60501000</v>
      </c>
      <c r="K99" s="112">
        <v>60412258</v>
      </c>
      <c r="L99" s="112">
        <f t="shared" si="12"/>
        <v>-88742</v>
      </c>
      <c r="M99" s="973">
        <f t="shared" si="13"/>
        <v>0.9985332143270359</v>
      </c>
    </row>
    <row r="100" spans="1:13" s="202" customFormat="1" ht="15" hidden="1" outlineLevel="1" x14ac:dyDescent="0.25">
      <c r="A100" s="440" t="s">
        <v>640</v>
      </c>
      <c r="B100" s="23"/>
      <c r="C100" s="21"/>
      <c r="D100" s="21"/>
      <c r="E100" s="21"/>
      <c r="F100" s="112">
        <f>+'[27]Anexo 2 '!$H$84-50000000</f>
        <v>10000000</v>
      </c>
      <c r="G100" s="21"/>
      <c r="H100" s="23">
        <f>+B100+C100+D100+G100+E100+F100</f>
        <v>10000000</v>
      </c>
      <c r="I100" s="21"/>
      <c r="J100" s="112">
        <f>+H100+I100</f>
        <v>10000000</v>
      </c>
      <c r="K100" s="112">
        <v>9911847</v>
      </c>
      <c r="L100" s="112">
        <f t="shared" si="12"/>
        <v>-88153</v>
      </c>
      <c r="M100" s="973">
        <f t="shared" si="13"/>
        <v>0.99118470000000003</v>
      </c>
    </row>
    <row r="101" spans="1:13" s="202" customFormat="1" ht="15" collapsed="1" x14ac:dyDescent="0.25">
      <c r="A101" s="667" t="s">
        <v>452</v>
      </c>
      <c r="B101" s="23"/>
      <c r="C101" s="21"/>
      <c r="D101" s="21"/>
      <c r="E101" s="21"/>
      <c r="F101" s="21">
        <f>SUM(F102:F103)</f>
        <v>403805530</v>
      </c>
      <c r="G101" s="21"/>
      <c r="H101" s="21">
        <f>SUM(H102:H103)</f>
        <v>403805530</v>
      </c>
      <c r="I101" s="21"/>
      <c r="J101" s="21">
        <f>SUM(J102:J103)</f>
        <v>403805530</v>
      </c>
      <c r="K101" s="21">
        <f>SUM(K102:K103)</f>
        <v>402945052</v>
      </c>
      <c r="L101" s="21">
        <f t="shared" si="12"/>
        <v>-860478</v>
      </c>
      <c r="M101" s="972">
        <f t="shared" si="13"/>
        <v>0.99786907821693283</v>
      </c>
    </row>
    <row r="102" spans="1:13" s="202" customFormat="1" ht="15" hidden="1" outlineLevel="1" x14ac:dyDescent="0.25">
      <c r="A102" s="440" t="s">
        <v>457</v>
      </c>
      <c r="B102" s="23"/>
      <c r="C102" s="21"/>
      <c r="D102" s="21"/>
      <c r="E102" s="21"/>
      <c r="F102" s="112">
        <f>+'[27]Anexo 2 '!$H$86</f>
        <v>313758330</v>
      </c>
      <c r="G102" s="21"/>
      <c r="H102" s="23">
        <f>+B102+C102+D102+G102+E102+F102</f>
        <v>313758330</v>
      </c>
      <c r="I102" s="21"/>
      <c r="J102" s="112">
        <f>+H102+I102</f>
        <v>313758330</v>
      </c>
      <c r="K102" s="112">
        <v>313094690</v>
      </c>
      <c r="L102" s="112">
        <f t="shared" si="12"/>
        <v>-663640</v>
      </c>
      <c r="M102" s="973">
        <f t="shared" si="13"/>
        <v>0.99788486890531325</v>
      </c>
    </row>
    <row r="103" spans="1:13" s="202" customFormat="1" ht="15" hidden="1" outlineLevel="1" x14ac:dyDescent="0.25">
      <c r="A103" s="440" t="s">
        <v>641</v>
      </c>
      <c r="B103" s="23"/>
      <c r="C103" s="21"/>
      <c r="D103" s="21"/>
      <c r="E103" s="21"/>
      <c r="F103" s="112">
        <f>+'[27]Anexo 2 '!$H$87</f>
        <v>90047200</v>
      </c>
      <c r="G103" s="21"/>
      <c r="H103" s="23">
        <f>+B103+C103+D103+G103+E103+F103</f>
        <v>90047200</v>
      </c>
      <c r="I103" s="21"/>
      <c r="J103" s="112">
        <f>+H103+I103</f>
        <v>90047200</v>
      </c>
      <c r="K103" s="112">
        <v>89850362</v>
      </c>
      <c r="L103" s="112">
        <f t="shared" si="12"/>
        <v>-196838</v>
      </c>
      <c r="M103" s="973">
        <f t="shared" si="13"/>
        <v>0.99781405751650243</v>
      </c>
    </row>
    <row r="104" spans="1:13" s="202" customFormat="1" ht="15" collapsed="1" x14ac:dyDescent="0.25">
      <c r="A104" s="440"/>
      <c r="B104" s="23"/>
      <c r="C104" s="21"/>
      <c r="D104" s="21"/>
      <c r="E104" s="21"/>
      <c r="F104" s="21"/>
      <c r="G104" s="21"/>
      <c r="H104" s="23"/>
      <c r="I104" s="21"/>
      <c r="J104" s="112"/>
      <c r="K104" s="112"/>
      <c r="L104" s="112"/>
      <c r="M104" s="973"/>
    </row>
    <row r="105" spans="1:13" s="202" customFormat="1" ht="15" x14ac:dyDescent="0.25">
      <c r="A105" s="667" t="s">
        <v>817</v>
      </c>
      <c r="B105" s="21"/>
      <c r="C105" s="21"/>
      <c r="D105" s="21"/>
      <c r="E105" s="21"/>
      <c r="F105" s="21"/>
      <c r="G105" s="21">
        <f>+G106+G111+G114+G121+G124</f>
        <v>2878311000</v>
      </c>
      <c r="H105" s="21">
        <f>+H106+H111+H114+H121+H124</f>
        <v>2878311000</v>
      </c>
      <c r="I105" s="21"/>
      <c r="J105" s="21">
        <f>+J106+J111+J114+J121+J124</f>
        <v>2878311000</v>
      </c>
      <c r="K105" s="21">
        <f>+K106+K111+K114+K121+K124</f>
        <v>2174296763</v>
      </c>
      <c r="L105" s="21">
        <f t="shared" si="12"/>
        <v>-704014237</v>
      </c>
      <c r="M105" s="972">
        <f t="shared" si="13"/>
        <v>0.75540716864855817</v>
      </c>
    </row>
    <row r="106" spans="1:13" s="202" customFormat="1" ht="15" x14ac:dyDescent="0.25">
      <c r="A106" s="667" t="s">
        <v>82</v>
      </c>
      <c r="B106" s="21"/>
      <c r="C106" s="21"/>
      <c r="D106" s="21"/>
      <c r="E106" s="26"/>
      <c r="F106" s="21"/>
      <c r="G106" s="26">
        <f>SUM(G107:G110)</f>
        <v>506000000</v>
      </c>
      <c r="H106" s="26">
        <f>SUM(H107:H110)</f>
        <v>506000000</v>
      </c>
      <c r="I106" s="21"/>
      <c r="J106" s="26">
        <f>SUM(J107:J110)</f>
        <v>506000000</v>
      </c>
      <c r="K106" s="26">
        <f>SUM(K107:K110)</f>
        <v>469093317</v>
      </c>
      <c r="L106" s="26">
        <f t="shared" si="12"/>
        <v>-36906683</v>
      </c>
      <c r="M106" s="972">
        <f t="shared" si="13"/>
        <v>0.9270618913043478</v>
      </c>
    </row>
    <row r="107" spans="1:13" s="202" customFormat="1" ht="15" hidden="1" outlineLevel="1" x14ac:dyDescent="0.25">
      <c r="A107" s="440" t="s">
        <v>426</v>
      </c>
      <c r="B107" s="21"/>
      <c r="C107" s="21"/>
      <c r="D107" s="21"/>
      <c r="E107" s="23"/>
      <c r="F107" s="21"/>
      <c r="G107" s="23">
        <f>+'[23]III TRE PPC'!$B$26-42000000</f>
        <v>355000000</v>
      </c>
      <c r="H107" s="23">
        <f>+B107+C107+D107+G107+E107+F107</f>
        <v>355000000</v>
      </c>
      <c r="I107" s="21"/>
      <c r="J107" s="112">
        <f>+H107+I107</f>
        <v>355000000</v>
      </c>
      <c r="K107" s="112">
        <v>327025230</v>
      </c>
      <c r="L107" s="112">
        <f t="shared" si="12"/>
        <v>-27974770</v>
      </c>
      <c r="M107" s="973">
        <f t="shared" si="13"/>
        <v>0.92119783098591546</v>
      </c>
    </row>
    <row r="108" spans="1:13" s="202" customFormat="1" ht="15" hidden="1" outlineLevel="1" x14ac:dyDescent="0.25">
      <c r="A108" s="440" t="s">
        <v>427</v>
      </c>
      <c r="B108" s="21"/>
      <c r="C108" s="21"/>
      <c r="D108" s="21"/>
      <c r="E108" s="23"/>
      <c r="F108" s="21"/>
      <c r="G108" s="23">
        <f>+'[23]III TRE PPC'!$B$29</f>
        <v>20000000</v>
      </c>
      <c r="H108" s="23">
        <f>+B108+C108+D108+G108+E108+F108</f>
        <v>20000000</v>
      </c>
      <c r="I108" s="21"/>
      <c r="J108" s="112">
        <f>+H108+I108</f>
        <v>20000000</v>
      </c>
      <c r="K108" s="112">
        <v>19876340</v>
      </c>
      <c r="L108" s="112">
        <f t="shared" si="12"/>
        <v>-123660</v>
      </c>
      <c r="M108" s="973">
        <f t="shared" si="13"/>
        <v>0.99381699999999995</v>
      </c>
    </row>
    <row r="109" spans="1:13" s="202" customFormat="1" ht="15" hidden="1" outlineLevel="1" x14ac:dyDescent="0.25">
      <c r="A109" s="440" t="s">
        <v>588</v>
      </c>
      <c r="B109" s="21"/>
      <c r="C109" s="21"/>
      <c r="D109" s="21"/>
      <c r="E109" s="23"/>
      <c r="F109" s="21"/>
      <c r="G109" s="23">
        <f>+'[23]III TRE PPC'!$B$43</f>
        <v>14000000</v>
      </c>
      <c r="H109" s="23">
        <f>+B109+C109+D109+G109+E109+F109</f>
        <v>14000000</v>
      </c>
      <c r="I109" s="21"/>
      <c r="J109" s="112">
        <f>+H109+I109</f>
        <v>14000000</v>
      </c>
      <c r="K109" s="112">
        <v>13912488</v>
      </c>
      <c r="L109" s="112">
        <f t="shared" si="12"/>
        <v>-87512</v>
      </c>
      <c r="M109" s="973">
        <f t="shared" si="13"/>
        <v>0.99374914285714289</v>
      </c>
    </row>
    <row r="110" spans="1:13" s="202" customFormat="1" ht="15" hidden="1" outlineLevel="1" x14ac:dyDescent="0.25">
      <c r="A110" s="440" t="s">
        <v>589</v>
      </c>
      <c r="B110" s="21"/>
      <c r="C110" s="21"/>
      <c r="D110" s="21"/>
      <c r="E110" s="23"/>
      <c r="F110" s="21"/>
      <c r="G110" s="23">
        <f>+'[23]III TRE PPC'!$B$47+42000000</f>
        <v>117000000</v>
      </c>
      <c r="H110" s="23">
        <f>+B110+C110+D110+G110+E110+F110</f>
        <v>117000000</v>
      </c>
      <c r="I110" s="21"/>
      <c r="J110" s="112">
        <f>+H110+I110</f>
        <v>117000000</v>
      </c>
      <c r="K110" s="112">
        <v>108279259</v>
      </c>
      <c r="L110" s="112">
        <f t="shared" si="12"/>
        <v>-8720741</v>
      </c>
      <c r="M110" s="973">
        <f t="shared" si="13"/>
        <v>0.92546375213675214</v>
      </c>
    </row>
    <row r="111" spans="1:13" s="202" customFormat="1" ht="15" collapsed="1" x14ac:dyDescent="0.25">
      <c r="A111" s="667" t="s">
        <v>12</v>
      </c>
      <c r="B111" s="21"/>
      <c r="C111" s="21"/>
      <c r="D111" s="21"/>
      <c r="E111" s="26"/>
      <c r="F111" s="21"/>
      <c r="G111" s="26">
        <f>SUM(G112:G113)</f>
        <v>140000000</v>
      </c>
      <c r="H111" s="26">
        <f>SUM(H112:H113)</f>
        <v>140000000</v>
      </c>
      <c r="I111" s="21"/>
      <c r="J111" s="26">
        <f>SUM(J112:J113)</f>
        <v>140000000</v>
      </c>
      <c r="K111" s="26">
        <f>SUM(K112:K113)</f>
        <v>85110737</v>
      </c>
      <c r="L111" s="26">
        <f t="shared" si="12"/>
        <v>-54889263</v>
      </c>
      <c r="M111" s="972">
        <f t="shared" si="13"/>
        <v>0.60793383571428572</v>
      </c>
    </row>
    <row r="112" spans="1:13" s="202" customFormat="1" ht="15" hidden="1" outlineLevel="1" x14ac:dyDescent="0.25">
      <c r="A112" s="440" t="s">
        <v>45</v>
      </c>
      <c r="B112" s="21"/>
      <c r="C112" s="21"/>
      <c r="D112" s="21"/>
      <c r="E112" s="23"/>
      <c r="F112" s="21"/>
      <c r="G112" s="23">
        <f>+'[23]III TRE PPC'!$B$51</f>
        <v>100000000</v>
      </c>
      <c r="H112" s="23">
        <f>+B112+C112+D112+G112+E112+F112</f>
        <v>100000000</v>
      </c>
      <c r="I112" s="21"/>
      <c r="J112" s="112">
        <f>+H112+I112</f>
        <v>100000000</v>
      </c>
      <c r="K112" s="112">
        <v>58947797</v>
      </c>
      <c r="L112" s="112">
        <f t="shared" si="12"/>
        <v>-41052203</v>
      </c>
      <c r="M112" s="973">
        <f t="shared" si="13"/>
        <v>0.58947797000000002</v>
      </c>
    </row>
    <row r="113" spans="1:13" s="202" customFormat="1" ht="15" hidden="1" outlineLevel="1" x14ac:dyDescent="0.25">
      <c r="A113" s="440" t="s">
        <v>433</v>
      </c>
      <c r="B113" s="21"/>
      <c r="C113" s="21"/>
      <c r="D113" s="21"/>
      <c r="E113" s="23"/>
      <c r="F113" s="21"/>
      <c r="G113" s="23">
        <f>+'[23]III TRE PPC'!$B$55</f>
        <v>40000000</v>
      </c>
      <c r="H113" s="23">
        <f>+B113+C113+D113+G113+E113+F113</f>
        <v>40000000</v>
      </c>
      <c r="I113" s="21"/>
      <c r="J113" s="112">
        <f>+H113+I113</f>
        <v>40000000</v>
      </c>
      <c r="K113" s="112">
        <v>26162940</v>
      </c>
      <c r="L113" s="112">
        <f t="shared" si="12"/>
        <v>-13837060</v>
      </c>
      <c r="M113" s="973">
        <f t="shared" si="13"/>
        <v>0.65407349999999997</v>
      </c>
    </row>
    <row r="114" spans="1:13" s="202" customFormat="1" ht="15" collapsed="1" x14ac:dyDescent="0.25">
      <c r="A114" s="667" t="s">
        <v>590</v>
      </c>
      <c r="B114" s="21"/>
      <c r="C114" s="21"/>
      <c r="D114" s="21"/>
      <c r="E114" s="26"/>
      <c r="F114" s="21"/>
      <c r="G114" s="26">
        <f>SUM(G115:G120)</f>
        <v>730960000</v>
      </c>
      <c r="H114" s="26">
        <f>SUM(H115:H120)</f>
        <v>730960000</v>
      </c>
      <c r="I114" s="21"/>
      <c r="J114" s="26">
        <f>SUM(J115:J120)</f>
        <v>730960000</v>
      </c>
      <c r="K114" s="26">
        <f>SUM(K115:K120)</f>
        <v>230608795</v>
      </c>
      <c r="L114" s="26">
        <f t="shared" si="12"/>
        <v>-500351205</v>
      </c>
      <c r="M114" s="972">
        <f t="shared" si="13"/>
        <v>0.31548757113932363</v>
      </c>
    </row>
    <row r="115" spans="1:13" s="202" customFormat="1" ht="15" hidden="1" outlineLevel="1" x14ac:dyDescent="0.25">
      <c r="A115" s="440" t="s">
        <v>305</v>
      </c>
      <c r="B115" s="21"/>
      <c r="C115" s="21"/>
      <c r="D115" s="21"/>
      <c r="E115" s="23"/>
      <c r="F115" s="21"/>
      <c r="G115" s="23">
        <f>+'[23]III TRE PPC'!$B$68</f>
        <v>40000000</v>
      </c>
      <c r="H115" s="23">
        <f t="shared" ref="H115:H120" si="16">+B115+C115+D115+G115+E115+F115</f>
        <v>40000000</v>
      </c>
      <c r="I115" s="21"/>
      <c r="J115" s="112">
        <f t="shared" ref="J115:J120" si="17">+H115+I115</f>
        <v>40000000</v>
      </c>
      <c r="K115" s="112">
        <v>40000000</v>
      </c>
      <c r="L115" s="112">
        <f t="shared" si="12"/>
        <v>0</v>
      </c>
      <c r="M115" s="973">
        <f t="shared" si="13"/>
        <v>1</v>
      </c>
    </row>
    <row r="116" spans="1:13" s="202" customFormat="1" ht="15" hidden="1" outlineLevel="1" x14ac:dyDescent="0.25">
      <c r="A116" s="440" t="s">
        <v>590</v>
      </c>
      <c r="B116" s="21"/>
      <c r="C116" s="21"/>
      <c r="D116" s="21"/>
      <c r="E116" s="23"/>
      <c r="F116" s="21"/>
      <c r="G116" s="23">
        <f>+'[23]III TRE PPC'!$B$69</f>
        <v>611000000</v>
      </c>
      <c r="H116" s="23">
        <f t="shared" si="16"/>
        <v>611000000</v>
      </c>
      <c r="I116" s="21"/>
      <c r="J116" s="112">
        <f t="shared" si="17"/>
        <v>611000000</v>
      </c>
      <c r="K116" s="112">
        <v>121584329</v>
      </c>
      <c r="L116" s="112">
        <f t="shared" si="12"/>
        <v>-489415671</v>
      </c>
      <c r="M116" s="973">
        <f t="shared" si="13"/>
        <v>0.1989923551554828</v>
      </c>
    </row>
    <row r="117" spans="1:13" s="202" customFormat="1" ht="15" hidden="1" outlineLevel="1" x14ac:dyDescent="0.25">
      <c r="A117" s="440" t="s">
        <v>847</v>
      </c>
      <c r="B117" s="21"/>
      <c r="C117" s="21"/>
      <c r="D117" s="21"/>
      <c r="E117" s="23"/>
      <c r="F117" s="21"/>
      <c r="G117" s="23">
        <f>+'[23]III TRE PPC'!$B$70</f>
        <v>30000000</v>
      </c>
      <c r="H117" s="23">
        <f t="shared" si="16"/>
        <v>30000000</v>
      </c>
      <c r="I117" s="21"/>
      <c r="J117" s="112">
        <f t="shared" si="17"/>
        <v>30000000</v>
      </c>
      <c r="K117" s="112">
        <v>25089682</v>
      </c>
      <c r="L117" s="112">
        <f t="shared" si="12"/>
        <v>-4910318</v>
      </c>
      <c r="M117" s="973">
        <f t="shared" si="13"/>
        <v>0.83632273333333329</v>
      </c>
    </row>
    <row r="118" spans="1:13" s="202" customFormat="1" ht="15" hidden="1" outlineLevel="1" x14ac:dyDescent="0.25">
      <c r="A118" s="440" t="s">
        <v>591</v>
      </c>
      <c r="B118" s="21"/>
      <c r="C118" s="21"/>
      <c r="D118" s="21"/>
      <c r="E118" s="23"/>
      <c r="F118" s="21"/>
      <c r="G118" s="23">
        <f>+'[23]III TRE PPC'!$B$71</f>
        <v>30400000</v>
      </c>
      <c r="H118" s="23">
        <f t="shared" si="16"/>
        <v>30400000</v>
      </c>
      <c r="I118" s="21"/>
      <c r="J118" s="112">
        <f t="shared" si="17"/>
        <v>30400000</v>
      </c>
      <c r="K118" s="112">
        <v>30333635</v>
      </c>
      <c r="L118" s="112">
        <f t="shared" si="12"/>
        <v>-66365</v>
      </c>
      <c r="M118" s="973">
        <f t="shared" si="13"/>
        <v>0.99781694078947369</v>
      </c>
    </row>
    <row r="119" spans="1:13" s="202" customFormat="1" ht="15" hidden="1" outlineLevel="1" x14ac:dyDescent="0.25">
      <c r="A119" s="440" t="s">
        <v>592</v>
      </c>
      <c r="B119" s="21"/>
      <c r="C119" s="21"/>
      <c r="D119" s="21"/>
      <c r="E119" s="23"/>
      <c r="F119" s="21"/>
      <c r="G119" s="23">
        <f>+'[23]III TRE PPC'!$B$72</f>
        <v>18000000</v>
      </c>
      <c r="H119" s="23">
        <f t="shared" si="16"/>
        <v>18000000</v>
      </c>
      <c r="I119" s="21"/>
      <c r="J119" s="112">
        <f t="shared" si="17"/>
        <v>18000000</v>
      </c>
      <c r="K119" s="112">
        <v>12250272</v>
      </c>
      <c r="L119" s="112">
        <f t="shared" si="12"/>
        <v>-5749728</v>
      </c>
      <c r="M119" s="973">
        <f t="shared" si="13"/>
        <v>0.68057066666666666</v>
      </c>
    </row>
    <row r="120" spans="1:13" s="202" customFormat="1" ht="15" hidden="1" outlineLevel="1" x14ac:dyDescent="0.25">
      <c r="A120" s="440" t="s">
        <v>593</v>
      </c>
      <c r="B120" s="21"/>
      <c r="C120" s="21"/>
      <c r="D120" s="21"/>
      <c r="E120" s="23"/>
      <c r="F120" s="21"/>
      <c r="G120" s="23">
        <f>+'[23]III TRE PPC'!$B$73</f>
        <v>1560000</v>
      </c>
      <c r="H120" s="23">
        <f t="shared" si="16"/>
        <v>1560000</v>
      </c>
      <c r="I120" s="21"/>
      <c r="J120" s="112">
        <f t="shared" si="17"/>
        <v>1560000</v>
      </c>
      <c r="K120" s="112">
        <v>1350877</v>
      </c>
      <c r="L120" s="112">
        <f t="shared" si="12"/>
        <v>-209123</v>
      </c>
      <c r="M120" s="973">
        <f t="shared" si="13"/>
        <v>0.86594679487179482</v>
      </c>
    </row>
    <row r="121" spans="1:13" s="202" customFormat="1" ht="15" collapsed="1" x14ac:dyDescent="0.25">
      <c r="A121" s="667" t="s">
        <v>7</v>
      </c>
      <c r="B121" s="21"/>
      <c r="C121" s="21"/>
      <c r="D121" s="21"/>
      <c r="E121" s="26"/>
      <c r="F121" s="21"/>
      <c r="G121" s="26">
        <f>SUM(G122:G123)</f>
        <v>212700000</v>
      </c>
      <c r="H121" s="26">
        <f>SUM(H122:H123)</f>
        <v>212700000</v>
      </c>
      <c r="I121" s="21"/>
      <c r="J121" s="26">
        <f>SUM(J122:J123)</f>
        <v>212700000</v>
      </c>
      <c r="K121" s="26">
        <f>SUM(K122:K123)</f>
        <v>120275934</v>
      </c>
      <c r="L121" s="26">
        <f t="shared" si="12"/>
        <v>-92424066</v>
      </c>
      <c r="M121" s="972">
        <f t="shared" si="13"/>
        <v>0.56547218617771511</v>
      </c>
    </row>
    <row r="122" spans="1:13" s="202" customFormat="1" ht="15" hidden="1" outlineLevel="1" x14ac:dyDescent="0.25">
      <c r="A122" s="440" t="s">
        <v>83</v>
      </c>
      <c r="B122" s="21"/>
      <c r="C122" s="21"/>
      <c r="D122" s="21"/>
      <c r="E122" s="23"/>
      <c r="F122" s="21"/>
      <c r="G122" s="23">
        <f>+'[23]III TRE PPC'!$B$75</f>
        <v>44700000</v>
      </c>
      <c r="H122" s="23">
        <f>+B122+C122+D122+G122+E122+F122</f>
        <v>44700000</v>
      </c>
      <c r="I122" s="21"/>
      <c r="J122" s="112">
        <f>+H122+I122</f>
        <v>44700000</v>
      </c>
      <c r="K122" s="112">
        <v>39639580</v>
      </c>
      <c r="L122" s="112">
        <f t="shared" si="12"/>
        <v>-5060420</v>
      </c>
      <c r="M122" s="973">
        <f t="shared" si="13"/>
        <v>0.88679149888143172</v>
      </c>
    </row>
    <row r="123" spans="1:13" s="202" customFormat="1" ht="15" hidden="1" outlineLevel="1" x14ac:dyDescent="0.25">
      <c r="A123" s="440" t="s">
        <v>497</v>
      </c>
      <c r="B123" s="21"/>
      <c r="C123" s="21"/>
      <c r="D123" s="21"/>
      <c r="E123" s="23"/>
      <c r="F123" s="21"/>
      <c r="G123" s="23">
        <f>+'[23]III TRE PPC'!$B$80</f>
        <v>168000000</v>
      </c>
      <c r="H123" s="23">
        <f>+B123+C123+D123+G123+E123+F123</f>
        <v>168000000</v>
      </c>
      <c r="I123" s="21"/>
      <c r="J123" s="112">
        <f>+H123+I123</f>
        <v>168000000</v>
      </c>
      <c r="K123" s="112">
        <v>80636354</v>
      </c>
      <c r="L123" s="112">
        <f t="shared" si="12"/>
        <v>-87363646</v>
      </c>
      <c r="M123" s="973">
        <f t="shared" si="13"/>
        <v>0.47997829761904764</v>
      </c>
    </row>
    <row r="124" spans="1:13" s="202" customFormat="1" ht="15" collapsed="1" x14ac:dyDescent="0.25">
      <c r="A124" s="667" t="s">
        <v>160</v>
      </c>
      <c r="B124" s="21"/>
      <c r="C124" s="21"/>
      <c r="D124" s="21"/>
      <c r="E124" s="21"/>
      <c r="F124" s="21"/>
      <c r="G124" s="21">
        <f>SUM(G125:G127)</f>
        <v>1288651000</v>
      </c>
      <c r="H124" s="21">
        <f>SUM(H125:H127)</f>
        <v>1288651000</v>
      </c>
      <c r="I124" s="21"/>
      <c r="J124" s="21">
        <f>SUM(J125:J127)</f>
        <v>1288651000</v>
      </c>
      <c r="K124" s="21">
        <f>SUM(K125:K127)</f>
        <v>1269207980</v>
      </c>
      <c r="L124" s="21">
        <f t="shared" si="12"/>
        <v>-19443020</v>
      </c>
      <c r="M124" s="972">
        <f t="shared" si="13"/>
        <v>0.98491211352026264</v>
      </c>
    </row>
    <row r="125" spans="1:13" s="202" customFormat="1" ht="15" hidden="1" outlineLevel="1" x14ac:dyDescent="0.25">
      <c r="A125" s="440" t="s">
        <v>205</v>
      </c>
      <c r="B125" s="21"/>
      <c r="C125" s="21"/>
      <c r="D125" s="21"/>
      <c r="E125" s="112"/>
      <c r="F125" s="21"/>
      <c r="G125" s="112">
        <f>+'[23]III TRE PPC'!$B$82</f>
        <v>1250000000</v>
      </c>
      <c r="H125" s="23">
        <f>+B125+C125+D125+G125+E125+F125</f>
        <v>1250000000</v>
      </c>
      <c r="I125" s="21"/>
      <c r="J125" s="112">
        <f>+H125+I125</f>
        <v>1250000000</v>
      </c>
      <c r="K125" s="112">
        <v>1243715340</v>
      </c>
      <c r="L125" s="112">
        <f t="shared" si="12"/>
        <v>-6284660</v>
      </c>
      <c r="M125" s="973">
        <f t="shared" si="13"/>
        <v>0.99497227200000005</v>
      </c>
    </row>
    <row r="126" spans="1:13" s="202" customFormat="1" ht="15" hidden="1" outlineLevel="1" x14ac:dyDescent="0.25">
      <c r="A126" s="440" t="s">
        <v>594</v>
      </c>
      <c r="B126" s="21"/>
      <c r="C126" s="21"/>
      <c r="D126" s="21"/>
      <c r="E126" s="112"/>
      <c r="F126" s="21"/>
      <c r="G126" s="112">
        <f>+'[23]III TRE PPC'!$B$85</f>
        <v>21651000</v>
      </c>
      <c r="H126" s="23">
        <f>+B126+C126+D126+G126+E126+F126</f>
        <v>21651000</v>
      </c>
      <c r="I126" s="21"/>
      <c r="J126" s="112">
        <f>+H126+I126</f>
        <v>21651000</v>
      </c>
      <c r="K126" s="112">
        <v>13317960</v>
      </c>
      <c r="L126" s="112">
        <f t="shared" si="12"/>
        <v>-8333040</v>
      </c>
      <c r="M126" s="973">
        <f t="shared" si="13"/>
        <v>0.61511985589580154</v>
      </c>
    </row>
    <row r="127" spans="1:13" s="202" customFormat="1" ht="15" hidden="1" outlineLevel="1" x14ac:dyDescent="0.25">
      <c r="A127" s="440" t="s">
        <v>170</v>
      </c>
      <c r="B127" s="21"/>
      <c r="C127" s="21"/>
      <c r="D127" s="21"/>
      <c r="E127" s="112"/>
      <c r="F127" s="21"/>
      <c r="G127" s="112">
        <f>+'[23]III TRE PPC'!$B$88</f>
        <v>17000000</v>
      </c>
      <c r="H127" s="23">
        <f>+B127+C127+D127+G127+E127+F127</f>
        <v>17000000</v>
      </c>
      <c r="I127" s="21"/>
      <c r="J127" s="112">
        <f>+H127+I127</f>
        <v>17000000</v>
      </c>
      <c r="K127" s="112">
        <v>12174680</v>
      </c>
      <c r="L127" s="112">
        <f t="shared" si="12"/>
        <v>-4825320</v>
      </c>
      <c r="M127" s="973">
        <f t="shared" si="13"/>
        <v>0.71615764705882357</v>
      </c>
    </row>
    <row r="128" spans="1:13" s="202" customFormat="1" ht="15" collapsed="1" x14ac:dyDescent="0.25">
      <c r="A128" s="440"/>
      <c r="B128" s="21"/>
      <c r="C128" s="21"/>
      <c r="D128" s="21"/>
      <c r="E128" s="112"/>
      <c r="F128" s="21"/>
      <c r="G128" s="112"/>
      <c r="H128" s="23"/>
      <c r="I128" s="21"/>
      <c r="J128" s="112"/>
      <c r="K128" s="112"/>
      <c r="L128" s="112"/>
      <c r="M128" s="973"/>
    </row>
    <row r="129" spans="1:13" s="653" customFormat="1" ht="15" x14ac:dyDescent="0.25">
      <c r="A129" s="667" t="s">
        <v>814</v>
      </c>
      <c r="B129" s="665"/>
      <c r="C129" s="26">
        <f>+C130+C137+C145</f>
        <v>321775600</v>
      </c>
      <c r="D129" s="665"/>
      <c r="E129" s="666"/>
      <c r="F129" s="665"/>
      <c r="G129" s="666"/>
      <c r="H129" s="26">
        <f>+H130+H137+H145</f>
        <v>321775600</v>
      </c>
      <c r="I129" s="665"/>
      <c r="J129" s="26">
        <f>+H129+I129</f>
        <v>321775600</v>
      </c>
      <c r="K129" s="26">
        <f>+K130+K137+K145</f>
        <v>277507047</v>
      </c>
      <c r="L129" s="26">
        <f t="shared" si="12"/>
        <v>-44268553</v>
      </c>
      <c r="M129" s="972">
        <f t="shared" si="13"/>
        <v>0.86242414589546257</v>
      </c>
    </row>
    <row r="130" spans="1:13" s="202" customFormat="1" ht="30" x14ac:dyDescent="0.25">
      <c r="A130" s="981" t="s">
        <v>602</v>
      </c>
      <c r="B130" s="665"/>
      <c r="C130" s="21">
        <f>SUM(C131:C136)</f>
        <v>72600000</v>
      </c>
      <c r="D130" s="21"/>
      <c r="E130" s="21"/>
      <c r="F130" s="21"/>
      <c r="G130" s="21"/>
      <c r="H130" s="26">
        <f>+B130+C130+D130+G130+E130+F130</f>
        <v>72600000</v>
      </c>
      <c r="I130" s="26"/>
      <c r="J130" s="21">
        <f>SUM(J131:J136)</f>
        <v>72600000</v>
      </c>
      <c r="K130" s="21">
        <f>SUM(K131:K136)</f>
        <v>72278247</v>
      </c>
      <c r="L130" s="21">
        <f t="shared" si="12"/>
        <v>-321753</v>
      </c>
      <c r="M130" s="972">
        <f t="shared" si="13"/>
        <v>0.99556814049586773</v>
      </c>
    </row>
    <row r="131" spans="1:13" s="202" customFormat="1" ht="15" hidden="1" outlineLevel="1" x14ac:dyDescent="0.25">
      <c r="A131" s="440" t="s">
        <v>675</v>
      </c>
      <c r="B131" s="665"/>
      <c r="C131" s="112"/>
      <c r="D131" s="21"/>
      <c r="E131" s="21"/>
      <c r="F131" s="21"/>
      <c r="G131" s="21"/>
      <c r="H131" s="112">
        <f>+B131+C131+D131+G131+E131+F131</f>
        <v>0</v>
      </c>
      <c r="I131" s="26"/>
      <c r="J131" s="112">
        <f t="shared" ref="J131:J149" si="18">+H131+I131</f>
        <v>0</v>
      </c>
      <c r="K131" s="112"/>
      <c r="L131" s="112">
        <f t="shared" si="12"/>
        <v>0</v>
      </c>
      <c r="M131" s="973">
        <f t="shared" si="13"/>
        <v>0</v>
      </c>
    </row>
    <row r="132" spans="1:13" s="202" customFormat="1" ht="15" hidden="1" outlineLevel="1" x14ac:dyDescent="0.25">
      <c r="A132" s="440" t="s">
        <v>676</v>
      </c>
      <c r="B132" s="665"/>
      <c r="C132" s="112">
        <f>+[25]Técnica!$H$17</f>
        <v>64600000</v>
      </c>
      <c r="D132" s="21"/>
      <c r="E132" s="21"/>
      <c r="F132" s="21"/>
      <c r="G132" s="21"/>
      <c r="H132" s="112">
        <f t="shared" ref="H132:H149" si="19">+B132+C132+D132+G132+E132+F132</f>
        <v>64600000</v>
      </c>
      <c r="I132" s="26"/>
      <c r="J132" s="112">
        <f t="shared" si="18"/>
        <v>64600000</v>
      </c>
      <c r="K132" s="112">
        <v>64539161</v>
      </c>
      <c r="L132" s="112">
        <f t="shared" si="12"/>
        <v>-60839</v>
      </c>
      <c r="M132" s="973">
        <f t="shared" si="13"/>
        <v>0.99905821981424148</v>
      </c>
    </row>
    <row r="133" spans="1:13" s="202" customFormat="1" ht="15" hidden="1" outlineLevel="1" x14ac:dyDescent="0.25">
      <c r="A133" s="440" t="s">
        <v>677</v>
      </c>
      <c r="B133" s="665"/>
      <c r="C133" s="112">
        <f>10000000-10000000</f>
        <v>0</v>
      </c>
      <c r="D133" s="21"/>
      <c r="E133" s="21"/>
      <c r="F133" s="21"/>
      <c r="G133" s="21"/>
      <c r="H133" s="112">
        <f t="shared" si="19"/>
        <v>0</v>
      </c>
      <c r="I133" s="26"/>
      <c r="J133" s="112">
        <f t="shared" si="18"/>
        <v>0</v>
      </c>
      <c r="K133" s="112"/>
      <c r="L133" s="112">
        <f t="shared" si="12"/>
        <v>0</v>
      </c>
      <c r="M133" s="973">
        <f t="shared" si="13"/>
        <v>0</v>
      </c>
    </row>
    <row r="134" spans="1:13" s="202" customFormat="1" ht="15" hidden="1" outlineLevel="1" x14ac:dyDescent="0.25">
      <c r="A134" s="440" t="s">
        <v>678</v>
      </c>
      <c r="B134" s="665"/>
      <c r="C134" s="112">
        <f>+[25]Técnica!$H$32</f>
        <v>5000000</v>
      </c>
      <c r="D134" s="21"/>
      <c r="E134" s="21"/>
      <c r="F134" s="21"/>
      <c r="G134" s="21"/>
      <c r="H134" s="112">
        <f t="shared" si="19"/>
        <v>5000000</v>
      </c>
      <c r="I134" s="26"/>
      <c r="J134" s="112">
        <f t="shared" si="18"/>
        <v>5000000</v>
      </c>
      <c r="K134" s="112">
        <v>4840500</v>
      </c>
      <c r="L134" s="112">
        <f t="shared" si="12"/>
        <v>-159500</v>
      </c>
      <c r="M134" s="973">
        <f t="shared" si="13"/>
        <v>0.96809999999999996</v>
      </c>
    </row>
    <row r="135" spans="1:13" s="202" customFormat="1" ht="15" hidden="1" outlineLevel="1" x14ac:dyDescent="0.25">
      <c r="A135" s="440" t="s">
        <v>679</v>
      </c>
      <c r="B135" s="665"/>
      <c r="C135" s="112">
        <f>+[25]Técnica!$H$35</f>
        <v>3000000</v>
      </c>
      <c r="D135" s="21"/>
      <c r="E135" s="21"/>
      <c r="F135" s="21"/>
      <c r="G135" s="21"/>
      <c r="H135" s="112">
        <f t="shared" si="19"/>
        <v>3000000</v>
      </c>
      <c r="I135" s="26"/>
      <c r="J135" s="112">
        <f t="shared" si="18"/>
        <v>3000000</v>
      </c>
      <c r="K135" s="112">
        <v>2898586</v>
      </c>
      <c r="L135" s="112">
        <f t="shared" si="12"/>
        <v>-101414</v>
      </c>
      <c r="M135" s="973">
        <f t="shared" si="13"/>
        <v>0.96619533333333329</v>
      </c>
    </row>
    <row r="136" spans="1:13" s="202" customFormat="1" ht="15" hidden="1" outlineLevel="1" x14ac:dyDescent="0.25">
      <c r="A136" s="440" t="s">
        <v>680</v>
      </c>
      <c r="B136" s="665"/>
      <c r="C136" s="112">
        <f>+[25]Técnica!$H$37-5000000</f>
        <v>0</v>
      </c>
      <c r="D136" s="21"/>
      <c r="E136" s="21"/>
      <c r="F136" s="21"/>
      <c r="G136" s="21"/>
      <c r="H136" s="112">
        <f t="shared" si="19"/>
        <v>0</v>
      </c>
      <c r="I136" s="26"/>
      <c r="J136" s="112">
        <f t="shared" si="18"/>
        <v>0</v>
      </c>
      <c r="K136" s="112"/>
      <c r="L136" s="112">
        <f t="shared" si="12"/>
        <v>0</v>
      </c>
      <c r="M136" s="973">
        <f t="shared" si="13"/>
        <v>0</v>
      </c>
    </row>
    <row r="137" spans="1:13" s="202" customFormat="1" ht="30" collapsed="1" x14ac:dyDescent="0.25">
      <c r="A137" s="981" t="s">
        <v>603</v>
      </c>
      <c r="B137" s="665"/>
      <c r="C137" s="21">
        <f>SUM(C138:C144)</f>
        <v>195654000</v>
      </c>
      <c r="D137" s="21"/>
      <c r="E137" s="21"/>
      <c r="F137" s="21"/>
      <c r="G137" s="21"/>
      <c r="H137" s="26">
        <f>+B137+C137+D137+G137+E137+F137</f>
        <v>195654000</v>
      </c>
      <c r="I137" s="26"/>
      <c r="J137" s="21">
        <f>SUM(J138:J144)</f>
        <v>195654000</v>
      </c>
      <c r="K137" s="21">
        <f>SUM(K138:K144)</f>
        <v>152081431</v>
      </c>
      <c r="L137" s="21">
        <f t="shared" si="12"/>
        <v>-43572569</v>
      </c>
      <c r="M137" s="972">
        <f t="shared" si="13"/>
        <v>0.77729783699796584</v>
      </c>
    </row>
    <row r="138" spans="1:13" s="202" customFormat="1" ht="15" hidden="1" outlineLevel="1" x14ac:dyDescent="0.25">
      <c r="A138" s="440" t="s">
        <v>675</v>
      </c>
      <c r="B138" s="665"/>
      <c r="C138" s="112"/>
      <c r="D138" s="21"/>
      <c r="E138" s="21"/>
      <c r="F138" s="21"/>
      <c r="G138" s="21"/>
      <c r="H138" s="112">
        <f t="shared" si="19"/>
        <v>0</v>
      </c>
      <c r="I138" s="26"/>
      <c r="J138" s="112">
        <f t="shared" si="18"/>
        <v>0</v>
      </c>
      <c r="K138" s="112"/>
      <c r="L138" s="112">
        <f t="shared" si="12"/>
        <v>0</v>
      </c>
      <c r="M138" s="973">
        <f t="shared" ref="M138:M201" si="20">IFERROR(K138/J138,0)</f>
        <v>0</v>
      </c>
    </row>
    <row r="139" spans="1:13" s="202" customFormat="1" ht="15" hidden="1" outlineLevel="1" x14ac:dyDescent="0.25">
      <c r="A139" s="440" t="s">
        <v>681</v>
      </c>
      <c r="B139" s="665"/>
      <c r="C139" s="112">
        <f>+[25]Técnica!$H$43</f>
        <v>12000000</v>
      </c>
      <c r="D139" s="21"/>
      <c r="E139" s="21"/>
      <c r="F139" s="21"/>
      <c r="G139" s="21"/>
      <c r="H139" s="112">
        <f t="shared" si="19"/>
        <v>12000000</v>
      </c>
      <c r="I139" s="26"/>
      <c r="J139" s="112">
        <f t="shared" si="18"/>
        <v>12000000</v>
      </c>
      <c r="K139" s="112">
        <v>12000000</v>
      </c>
      <c r="L139" s="112">
        <f t="shared" ref="L139:L201" si="21">+K139-J139</f>
        <v>0</v>
      </c>
      <c r="M139" s="973">
        <f t="shared" si="20"/>
        <v>1</v>
      </c>
    </row>
    <row r="140" spans="1:13" s="202" customFormat="1" ht="15" hidden="1" outlineLevel="1" x14ac:dyDescent="0.25">
      <c r="A140" s="440" t="s">
        <v>682</v>
      </c>
      <c r="B140" s="665"/>
      <c r="C140" s="112">
        <f>+[25]Técnica!$H$45</f>
        <v>123415000</v>
      </c>
      <c r="D140" s="21"/>
      <c r="E140" s="21"/>
      <c r="F140" s="21"/>
      <c r="G140" s="21"/>
      <c r="H140" s="112">
        <f t="shared" si="19"/>
        <v>123415000</v>
      </c>
      <c r="I140" s="26"/>
      <c r="J140" s="112">
        <f t="shared" si="18"/>
        <v>123415000</v>
      </c>
      <c r="K140" s="112">
        <v>113908109</v>
      </c>
      <c r="L140" s="112">
        <f t="shared" si="21"/>
        <v>-9506891</v>
      </c>
      <c r="M140" s="973">
        <f t="shared" si="20"/>
        <v>0.92296810760442405</v>
      </c>
    </row>
    <row r="141" spans="1:13" s="202" customFormat="1" ht="15" hidden="1" outlineLevel="1" x14ac:dyDescent="0.25">
      <c r="A141" s="440" t="s">
        <v>683</v>
      </c>
      <c r="B141" s="665"/>
      <c r="C141" s="112">
        <v>36939000</v>
      </c>
      <c r="D141" s="21"/>
      <c r="E141" s="21"/>
      <c r="F141" s="21"/>
      <c r="G141" s="21"/>
      <c r="H141" s="112">
        <f t="shared" si="19"/>
        <v>36939000</v>
      </c>
      <c r="I141" s="26"/>
      <c r="J141" s="112">
        <f t="shared" si="18"/>
        <v>36939000</v>
      </c>
      <c r="K141" s="112">
        <v>7306333</v>
      </c>
      <c r="L141" s="112">
        <f t="shared" si="21"/>
        <v>-29632667</v>
      </c>
      <c r="M141" s="973">
        <f t="shared" si="20"/>
        <v>0.19779455318227349</v>
      </c>
    </row>
    <row r="142" spans="1:13" s="202" customFormat="1" ht="15" hidden="1" outlineLevel="1" x14ac:dyDescent="0.25">
      <c r="A142" s="440" t="s">
        <v>684</v>
      </c>
      <c r="B142" s="665"/>
      <c r="C142" s="112">
        <f>+[25]Técnica!$H$63-10000000</f>
        <v>20300000</v>
      </c>
      <c r="D142" s="21"/>
      <c r="E142" s="21"/>
      <c r="F142" s="21"/>
      <c r="G142" s="21"/>
      <c r="H142" s="112">
        <f t="shared" si="19"/>
        <v>20300000</v>
      </c>
      <c r="I142" s="26"/>
      <c r="J142" s="112">
        <f t="shared" si="18"/>
        <v>20300000</v>
      </c>
      <c r="K142" s="112">
        <v>18866989</v>
      </c>
      <c r="L142" s="112">
        <f t="shared" si="21"/>
        <v>-1433011</v>
      </c>
      <c r="M142" s="973">
        <f t="shared" si="20"/>
        <v>0.92940832512315275</v>
      </c>
    </row>
    <row r="143" spans="1:13" s="202" customFormat="1" ht="15" hidden="1" outlineLevel="1" x14ac:dyDescent="0.25">
      <c r="A143" s="440" t="s">
        <v>685</v>
      </c>
      <c r="B143" s="665"/>
      <c r="C143" s="112">
        <f>+[25]Técnica!$H$66-5000000</f>
        <v>0</v>
      </c>
      <c r="D143" s="21"/>
      <c r="E143" s="21"/>
      <c r="F143" s="21"/>
      <c r="G143" s="21"/>
      <c r="H143" s="112">
        <f t="shared" si="19"/>
        <v>0</v>
      </c>
      <c r="I143" s="26"/>
      <c r="J143" s="112">
        <f t="shared" si="18"/>
        <v>0</v>
      </c>
      <c r="K143" s="112"/>
      <c r="L143" s="112">
        <f t="shared" si="21"/>
        <v>0</v>
      </c>
      <c r="M143" s="973">
        <f t="shared" si="20"/>
        <v>0</v>
      </c>
    </row>
    <row r="144" spans="1:13" s="202" customFormat="1" ht="15" hidden="1" outlineLevel="1" x14ac:dyDescent="0.25">
      <c r="A144" s="440" t="s">
        <v>686</v>
      </c>
      <c r="B144" s="665"/>
      <c r="C144" s="112">
        <f>+[25]Técnica!$H$69</f>
        <v>3000000</v>
      </c>
      <c r="D144" s="21"/>
      <c r="E144" s="21"/>
      <c r="F144" s="21"/>
      <c r="G144" s="21"/>
      <c r="H144" s="112">
        <f t="shared" si="19"/>
        <v>3000000</v>
      </c>
      <c r="I144" s="26"/>
      <c r="J144" s="112">
        <f t="shared" si="18"/>
        <v>3000000</v>
      </c>
      <c r="K144" s="112"/>
      <c r="L144" s="112">
        <f t="shared" si="21"/>
        <v>-3000000</v>
      </c>
      <c r="M144" s="973">
        <f t="shared" si="20"/>
        <v>0</v>
      </c>
    </row>
    <row r="145" spans="1:13" s="202" customFormat="1" ht="15" collapsed="1" x14ac:dyDescent="0.25">
      <c r="A145" s="667" t="s">
        <v>604</v>
      </c>
      <c r="B145" s="665"/>
      <c r="C145" s="21">
        <f>SUM(C146:C149)</f>
        <v>53521600</v>
      </c>
      <c r="D145" s="21"/>
      <c r="E145" s="21"/>
      <c r="F145" s="21"/>
      <c r="G145" s="21"/>
      <c r="H145" s="26">
        <f>+B145+C145+D145+G145+E145+F145</f>
        <v>53521600</v>
      </c>
      <c r="I145" s="26"/>
      <c r="J145" s="21">
        <f>SUM(J146:J149)</f>
        <v>53521600</v>
      </c>
      <c r="K145" s="21">
        <f>SUM(K146:K149)</f>
        <v>53147369</v>
      </c>
      <c r="L145" s="21">
        <f t="shared" si="21"/>
        <v>-374231</v>
      </c>
      <c r="M145" s="972">
        <f t="shared" si="20"/>
        <v>0.99300785103584344</v>
      </c>
    </row>
    <row r="146" spans="1:13" s="202" customFormat="1" ht="15" hidden="1" outlineLevel="1" x14ac:dyDescent="0.25">
      <c r="A146" s="440" t="s">
        <v>687</v>
      </c>
      <c r="B146" s="665"/>
      <c r="C146" s="112">
        <f>+[25]Técnica!$H$72</f>
        <v>12360000</v>
      </c>
      <c r="D146" s="21"/>
      <c r="E146" s="21"/>
      <c r="F146" s="21"/>
      <c r="G146" s="21"/>
      <c r="H146" s="112">
        <f t="shared" si="19"/>
        <v>12360000</v>
      </c>
      <c r="I146" s="26"/>
      <c r="J146" s="112">
        <f t="shared" si="18"/>
        <v>12360000</v>
      </c>
      <c r="K146" s="112">
        <v>12360000</v>
      </c>
      <c r="L146" s="112">
        <f t="shared" si="21"/>
        <v>0</v>
      </c>
      <c r="M146" s="973">
        <f t="shared" si="20"/>
        <v>1</v>
      </c>
    </row>
    <row r="147" spans="1:13" s="202" customFormat="1" ht="15" hidden="1" outlineLevel="1" x14ac:dyDescent="0.25">
      <c r="A147" s="440" t="s">
        <v>688</v>
      </c>
      <c r="B147" s="665"/>
      <c r="C147" s="112">
        <f>+[25]Técnica!$H$74</f>
        <v>10000000</v>
      </c>
      <c r="D147" s="21"/>
      <c r="E147" s="21"/>
      <c r="F147" s="21"/>
      <c r="G147" s="21"/>
      <c r="H147" s="112">
        <f t="shared" si="19"/>
        <v>10000000</v>
      </c>
      <c r="I147" s="26"/>
      <c r="J147" s="112">
        <f t="shared" si="18"/>
        <v>10000000</v>
      </c>
      <c r="K147" s="112">
        <v>9781951</v>
      </c>
      <c r="L147" s="112">
        <f t="shared" si="21"/>
        <v>-218049</v>
      </c>
      <c r="M147" s="973">
        <f t="shared" si="20"/>
        <v>0.97819509999999998</v>
      </c>
    </row>
    <row r="148" spans="1:13" s="202" customFormat="1" ht="15" hidden="1" outlineLevel="1" x14ac:dyDescent="0.25">
      <c r="A148" s="440" t="s">
        <v>689</v>
      </c>
      <c r="B148" s="665"/>
      <c r="C148" s="112">
        <f>+[25]Técnica!$H$77+100000</f>
        <v>11100000</v>
      </c>
      <c r="D148" s="21"/>
      <c r="E148" s="21"/>
      <c r="F148" s="21"/>
      <c r="G148" s="21"/>
      <c r="H148" s="112">
        <f t="shared" si="19"/>
        <v>11100000</v>
      </c>
      <c r="I148" s="26"/>
      <c r="J148" s="112">
        <f t="shared" si="18"/>
        <v>11100000</v>
      </c>
      <c r="K148" s="112">
        <v>11049992</v>
      </c>
      <c r="L148" s="112">
        <f t="shared" si="21"/>
        <v>-50008</v>
      </c>
      <c r="M148" s="973">
        <f t="shared" si="20"/>
        <v>0.99549477477477477</v>
      </c>
    </row>
    <row r="149" spans="1:13" s="202" customFormat="1" ht="15" hidden="1" outlineLevel="1" x14ac:dyDescent="0.25">
      <c r="A149" s="440" t="s">
        <v>690</v>
      </c>
      <c r="B149" s="665"/>
      <c r="C149" s="112">
        <f>+[25]Técnica!$H$81-100000</f>
        <v>20061600</v>
      </c>
      <c r="D149" s="21"/>
      <c r="E149" s="21"/>
      <c r="F149" s="21"/>
      <c r="G149" s="21"/>
      <c r="H149" s="112">
        <f t="shared" si="19"/>
        <v>20061600</v>
      </c>
      <c r="I149" s="26"/>
      <c r="J149" s="112">
        <f t="shared" si="18"/>
        <v>20061600</v>
      </c>
      <c r="K149" s="112">
        <v>19955426</v>
      </c>
      <c r="L149" s="112">
        <f t="shared" si="21"/>
        <v>-106174</v>
      </c>
      <c r="M149" s="973">
        <f t="shared" si="20"/>
        <v>0.99470760059018226</v>
      </c>
    </row>
    <row r="150" spans="1:13" s="202" customFormat="1" ht="15" collapsed="1" x14ac:dyDescent="0.25">
      <c r="A150" s="440"/>
      <c r="B150" s="665"/>
      <c r="C150" s="21"/>
      <c r="D150" s="21"/>
      <c r="E150" s="21"/>
      <c r="F150" s="21"/>
      <c r="G150" s="21"/>
      <c r="H150" s="112"/>
      <c r="I150" s="21"/>
      <c r="J150" s="112"/>
      <c r="K150" s="112"/>
      <c r="L150" s="112"/>
      <c r="M150" s="973"/>
    </row>
    <row r="151" spans="1:13" s="202" customFormat="1" ht="15" x14ac:dyDescent="0.25">
      <c r="A151" s="667" t="s">
        <v>815</v>
      </c>
      <c r="B151" s="665"/>
      <c r="C151" s="21"/>
      <c r="D151" s="21">
        <f>+D152+D156+D170</f>
        <v>1800944816</v>
      </c>
      <c r="E151" s="21"/>
      <c r="F151" s="21"/>
      <c r="G151" s="21"/>
      <c r="H151" s="21">
        <f>+H152+H156+H170</f>
        <v>1800944816</v>
      </c>
      <c r="I151" s="21"/>
      <c r="J151" s="26">
        <f>+H151+I151</f>
        <v>1800944816</v>
      </c>
      <c r="K151" s="26">
        <f>+K152+K156+K170</f>
        <v>1665825268</v>
      </c>
      <c r="L151" s="26">
        <f t="shared" si="21"/>
        <v>-135119548</v>
      </c>
      <c r="M151" s="972">
        <f t="shared" si="20"/>
        <v>0.92497296596788114</v>
      </c>
    </row>
    <row r="152" spans="1:13" s="202" customFormat="1" ht="15" x14ac:dyDescent="0.25">
      <c r="A152" s="667" t="s">
        <v>605</v>
      </c>
      <c r="B152" s="21"/>
      <c r="C152" s="21"/>
      <c r="D152" s="21">
        <f>SUM(D153:D155)</f>
        <v>89464291</v>
      </c>
      <c r="E152" s="21"/>
      <c r="F152" s="21"/>
      <c r="G152" s="21"/>
      <c r="H152" s="21">
        <f>SUM(H153:H155)</f>
        <v>89464291</v>
      </c>
      <c r="I152" s="21"/>
      <c r="J152" s="21">
        <f>SUM(J153:J155)</f>
        <v>89464291</v>
      </c>
      <c r="K152" s="21">
        <f>SUM(K153:K155)</f>
        <v>60905066</v>
      </c>
      <c r="L152" s="21">
        <f t="shared" si="21"/>
        <v>-28559225</v>
      </c>
      <c r="M152" s="972">
        <f t="shared" si="20"/>
        <v>0.68077514860090937</v>
      </c>
    </row>
    <row r="153" spans="1:13" s="202" customFormat="1" ht="15" hidden="1" outlineLevel="1" x14ac:dyDescent="0.25">
      <c r="A153" s="440" t="s">
        <v>439</v>
      </c>
      <c r="B153" s="21"/>
      <c r="C153" s="21"/>
      <c r="D153" s="112">
        <f>+'[26]SOLICITUD III TRIMESTRE'!$G$38-25000000</f>
        <v>72461900</v>
      </c>
      <c r="E153" s="21"/>
      <c r="F153" s="21"/>
      <c r="G153" s="21"/>
      <c r="H153" s="23">
        <f>+B153+C153+D153+G153+E153+F153</f>
        <v>72461900</v>
      </c>
      <c r="I153" s="21"/>
      <c r="J153" s="112">
        <f>+H153+I153</f>
        <v>72461900</v>
      </c>
      <c r="K153" s="112">
        <v>46333866</v>
      </c>
      <c r="L153" s="112">
        <f t="shared" si="21"/>
        <v>-26128034</v>
      </c>
      <c r="M153" s="973">
        <f t="shared" si="20"/>
        <v>0.63942383514647005</v>
      </c>
    </row>
    <row r="154" spans="1:13" s="202" customFormat="1" ht="15" hidden="1" outlineLevel="1" x14ac:dyDescent="0.25">
      <c r="A154" s="440" t="s">
        <v>440</v>
      </c>
      <c r="B154" s="21"/>
      <c r="C154" s="21"/>
      <c r="D154" s="112">
        <f>+'[26]SOLICITUD III TRIMESTRE'!$G$39</f>
        <v>2002391</v>
      </c>
      <c r="E154" s="21"/>
      <c r="F154" s="21"/>
      <c r="G154" s="21"/>
      <c r="H154" s="23">
        <f>+B154+C154+D154+G154+E154+F154</f>
        <v>2002391</v>
      </c>
      <c r="I154" s="21"/>
      <c r="J154" s="112">
        <f>+H154+I154</f>
        <v>2002391</v>
      </c>
      <c r="K154" s="112">
        <v>1050000</v>
      </c>
      <c r="L154" s="112">
        <f t="shared" si="21"/>
        <v>-952391</v>
      </c>
      <c r="M154" s="973">
        <f t="shared" si="20"/>
        <v>0.52437311194467018</v>
      </c>
    </row>
    <row r="155" spans="1:13" s="202" customFormat="1" ht="15" hidden="1" outlineLevel="1" x14ac:dyDescent="0.25">
      <c r="A155" s="440" t="s">
        <v>441</v>
      </c>
      <c r="B155" s="21"/>
      <c r="C155" s="21"/>
      <c r="D155" s="112">
        <f>+'[26]SOLICITUD III TRIMESTRE'!$G$40</f>
        <v>15000000</v>
      </c>
      <c r="E155" s="21"/>
      <c r="F155" s="21"/>
      <c r="G155" s="21"/>
      <c r="H155" s="23">
        <f>+B155+C155+D155+G155+E155+F155</f>
        <v>15000000</v>
      </c>
      <c r="I155" s="21"/>
      <c r="J155" s="112">
        <f>+H155+I155</f>
        <v>15000000</v>
      </c>
      <c r="K155" s="112">
        <v>13521200</v>
      </c>
      <c r="L155" s="112">
        <f t="shared" si="21"/>
        <v>-1478800</v>
      </c>
      <c r="M155" s="973">
        <f t="shared" si="20"/>
        <v>0.90141333333333329</v>
      </c>
    </row>
    <row r="156" spans="1:13" s="202" customFormat="1" ht="15" collapsed="1" x14ac:dyDescent="0.25">
      <c r="A156" s="667" t="s">
        <v>606</v>
      </c>
      <c r="B156" s="21"/>
      <c r="C156" s="21"/>
      <c r="D156" s="21">
        <f>+D157+D163</f>
        <v>94500000</v>
      </c>
      <c r="E156" s="21"/>
      <c r="F156" s="21"/>
      <c r="G156" s="21"/>
      <c r="H156" s="21">
        <f>+H157+H163</f>
        <v>94500000</v>
      </c>
      <c r="I156" s="21"/>
      <c r="J156" s="21">
        <f>+J157+J163</f>
        <v>94500000</v>
      </c>
      <c r="K156" s="21">
        <f>+K157+K163</f>
        <v>85387743</v>
      </c>
      <c r="L156" s="21">
        <f t="shared" si="21"/>
        <v>-9112257</v>
      </c>
      <c r="M156" s="972">
        <f t="shared" si="20"/>
        <v>0.90357399999999999</v>
      </c>
    </row>
    <row r="157" spans="1:13" s="202" customFormat="1" ht="15" hidden="1" outlineLevel="1" x14ac:dyDescent="0.25">
      <c r="A157" s="667" t="s">
        <v>660</v>
      </c>
      <c r="B157" s="21"/>
      <c r="C157" s="21"/>
      <c r="D157" s="21">
        <f>SUM(D158:D162)</f>
        <v>10000000</v>
      </c>
      <c r="E157" s="21"/>
      <c r="F157" s="21"/>
      <c r="G157" s="21"/>
      <c r="H157" s="21">
        <f>SUM(H158:H162)</f>
        <v>10000000</v>
      </c>
      <c r="I157" s="21"/>
      <c r="J157" s="21">
        <f>SUM(J158:J162)</f>
        <v>10000000</v>
      </c>
      <c r="K157" s="21">
        <f>SUM(K158:K162)</f>
        <v>9284966</v>
      </c>
      <c r="L157" s="21">
        <f t="shared" si="21"/>
        <v>-715034</v>
      </c>
      <c r="M157" s="972">
        <f t="shared" si="20"/>
        <v>0.92849660000000001</v>
      </c>
    </row>
    <row r="158" spans="1:13" s="202" customFormat="1" ht="15" hidden="1" outlineLevel="2" x14ac:dyDescent="0.25">
      <c r="A158" s="440" t="s">
        <v>607</v>
      </c>
      <c r="B158" s="21"/>
      <c r="C158" s="21"/>
      <c r="D158" s="112">
        <f>+'[26]SOLICITUD III TRIMESTRE'!$G$43-20000000</f>
        <v>0</v>
      </c>
      <c r="E158" s="21"/>
      <c r="F158" s="21"/>
      <c r="G158" s="21"/>
      <c r="H158" s="23">
        <f>+B158+C158+D158+G158+E158+F158</f>
        <v>0</v>
      </c>
      <c r="I158" s="21"/>
      <c r="J158" s="112">
        <f>+H158+I158</f>
        <v>0</v>
      </c>
      <c r="K158" s="112"/>
      <c r="L158" s="112">
        <f t="shared" si="21"/>
        <v>0</v>
      </c>
      <c r="M158" s="973">
        <f t="shared" si="20"/>
        <v>0</v>
      </c>
    </row>
    <row r="159" spans="1:13" s="202" customFormat="1" ht="15" hidden="1" outlineLevel="2" x14ac:dyDescent="0.25">
      <c r="A159" s="440" t="s">
        <v>464</v>
      </c>
      <c r="B159" s="21"/>
      <c r="C159" s="21"/>
      <c r="D159" s="112">
        <f>+'[26]SOLICITUD III TRIMESTRE'!$G$44</f>
        <v>10000000</v>
      </c>
      <c r="E159" s="21"/>
      <c r="F159" s="21"/>
      <c r="G159" s="21"/>
      <c r="H159" s="23">
        <f>+B159+C159+D159+G159+E159+F159</f>
        <v>10000000</v>
      </c>
      <c r="I159" s="21"/>
      <c r="J159" s="112">
        <f>+H159+I159</f>
        <v>10000000</v>
      </c>
      <c r="K159" s="112">
        <v>9284966</v>
      </c>
      <c r="L159" s="112">
        <f t="shared" si="21"/>
        <v>-715034</v>
      </c>
      <c r="M159" s="973">
        <f t="shared" si="20"/>
        <v>0.92849660000000001</v>
      </c>
    </row>
    <row r="160" spans="1:13" s="202" customFormat="1" ht="15" hidden="1" outlineLevel="2" x14ac:dyDescent="0.25">
      <c r="A160" s="440" t="s">
        <v>442</v>
      </c>
      <c r="B160" s="21"/>
      <c r="C160" s="21"/>
      <c r="D160" s="112"/>
      <c r="E160" s="21"/>
      <c r="F160" s="21"/>
      <c r="G160" s="21"/>
      <c r="H160" s="23">
        <f>+B160+C160+D160+G160+E160+F160</f>
        <v>0</v>
      </c>
      <c r="I160" s="21"/>
      <c r="J160" s="112">
        <f>+H160+I160</f>
        <v>0</v>
      </c>
      <c r="K160" s="112"/>
      <c r="L160" s="112">
        <f t="shared" si="21"/>
        <v>0</v>
      </c>
      <c r="M160" s="973">
        <f t="shared" si="20"/>
        <v>0</v>
      </c>
    </row>
    <row r="161" spans="1:13" s="202" customFormat="1" ht="15" hidden="1" outlineLevel="2" x14ac:dyDescent="0.25">
      <c r="A161" s="440" t="s">
        <v>608</v>
      </c>
      <c r="B161" s="21"/>
      <c r="C161" s="21"/>
      <c r="D161" s="112"/>
      <c r="E161" s="956"/>
      <c r="F161" s="21"/>
      <c r="G161" s="21"/>
      <c r="H161" s="23">
        <f>+B161+C161+D161+G161+E161+F161</f>
        <v>0</v>
      </c>
      <c r="I161" s="21"/>
      <c r="J161" s="112">
        <f>+H161+I161</f>
        <v>0</v>
      </c>
      <c r="K161" s="112"/>
      <c r="L161" s="112">
        <f t="shared" si="21"/>
        <v>0</v>
      </c>
      <c r="M161" s="973">
        <f t="shared" si="20"/>
        <v>0</v>
      </c>
    </row>
    <row r="162" spans="1:13" s="202" customFormat="1" ht="15" hidden="1" outlineLevel="2" x14ac:dyDescent="0.25">
      <c r="A162" s="440" t="s">
        <v>848</v>
      </c>
      <c r="B162" s="21"/>
      <c r="C162" s="21"/>
      <c r="D162" s="112"/>
      <c r="E162" s="956"/>
      <c r="F162" s="21"/>
      <c r="G162" s="21"/>
      <c r="H162" s="23">
        <f>+B162+C162+D162+G162+E162+F162</f>
        <v>0</v>
      </c>
      <c r="I162" s="21"/>
      <c r="J162" s="112">
        <f>+H162+I162</f>
        <v>0</v>
      </c>
      <c r="K162" s="112"/>
      <c r="L162" s="112">
        <f t="shared" si="21"/>
        <v>0</v>
      </c>
      <c r="M162" s="973">
        <f t="shared" si="20"/>
        <v>0</v>
      </c>
    </row>
    <row r="163" spans="1:13" s="202" customFormat="1" ht="15" hidden="1" outlineLevel="1" x14ac:dyDescent="0.25">
      <c r="A163" s="667" t="s">
        <v>661</v>
      </c>
      <c r="B163" s="21"/>
      <c r="C163" s="21"/>
      <c r="D163" s="21">
        <f>SUM(D164:D169)</f>
        <v>84500000</v>
      </c>
      <c r="E163" s="21"/>
      <c r="F163" s="21"/>
      <c r="G163" s="21"/>
      <c r="H163" s="21">
        <f>SUM(H164:H169)</f>
        <v>84500000</v>
      </c>
      <c r="I163" s="21"/>
      <c r="J163" s="21">
        <f>SUM(J164:J169)</f>
        <v>84500000</v>
      </c>
      <c r="K163" s="21">
        <f>SUM(K164:K169)</f>
        <v>76102777</v>
      </c>
      <c r="L163" s="21">
        <f t="shared" si="21"/>
        <v>-8397223</v>
      </c>
      <c r="M163" s="972">
        <f t="shared" si="20"/>
        <v>0.90062457988165678</v>
      </c>
    </row>
    <row r="164" spans="1:13" s="202" customFormat="1" ht="15" hidden="1" outlineLevel="2" x14ac:dyDescent="0.25">
      <c r="A164" s="440" t="s">
        <v>443</v>
      </c>
      <c r="B164" s="21"/>
      <c r="C164" s="21"/>
      <c r="D164" s="112">
        <f>+'[26]SOLICITUD III TRIMESTRE'!$G$49</f>
        <v>30000000</v>
      </c>
      <c r="E164" s="21"/>
      <c r="F164" s="21"/>
      <c r="G164" s="21"/>
      <c r="H164" s="23">
        <f t="shared" ref="H164:H169" si="22">+B164+C164+D164+G164+E164+F164</f>
        <v>30000000</v>
      </c>
      <c r="I164" s="21"/>
      <c r="J164" s="112">
        <f t="shared" ref="J164:J169" si="23">+H164+I164</f>
        <v>30000000</v>
      </c>
      <c r="K164" s="112">
        <v>29308743</v>
      </c>
      <c r="L164" s="112">
        <f t="shared" si="21"/>
        <v>-691257</v>
      </c>
      <c r="M164" s="973">
        <f t="shared" si="20"/>
        <v>0.97695810000000005</v>
      </c>
    </row>
    <row r="165" spans="1:13" s="202" customFormat="1" ht="15" hidden="1" outlineLevel="2" x14ac:dyDescent="0.25">
      <c r="A165" s="440" t="s">
        <v>609</v>
      </c>
      <c r="B165" s="21"/>
      <c r="C165" s="21"/>
      <c r="D165" s="112"/>
      <c r="E165" s="21"/>
      <c r="F165" s="21"/>
      <c r="G165" s="21"/>
      <c r="H165" s="23">
        <f t="shared" si="22"/>
        <v>0</v>
      </c>
      <c r="I165" s="21"/>
      <c r="J165" s="112">
        <f t="shared" si="23"/>
        <v>0</v>
      </c>
      <c r="K165" s="112"/>
      <c r="L165" s="112">
        <f t="shared" si="21"/>
        <v>0</v>
      </c>
      <c r="M165" s="973">
        <f t="shared" si="20"/>
        <v>0</v>
      </c>
    </row>
    <row r="166" spans="1:13" s="202" customFormat="1" ht="15" hidden="1" outlineLevel="2" x14ac:dyDescent="0.25">
      <c r="A166" s="440" t="s">
        <v>610</v>
      </c>
      <c r="B166" s="21"/>
      <c r="C166" s="21"/>
      <c r="D166" s="112">
        <f>+'[26]SOLICITUD III TRIMESTRE'!$G$51</f>
        <v>27000000</v>
      </c>
      <c r="E166" s="21"/>
      <c r="F166" s="21"/>
      <c r="G166" s="21"/>
      <c r="H166" s="23">
        <f t="shared" si="22"/>
        <v>27000000</v>
      </c>
      <c r="I166" s="21"/>
      <c r="J166" s="112">
        <f t="shared" si="23"/>
        <v>27000000</v>
      </c>
      <c r="K166" s="112">
        <v>22388108</v>
      </c>
      <c r="L166" s="112">
        <f t="shared" si="21"/>
        <v>-4611892</v>
      </c>
      <c r="M166" s="973">
        <f t="shared" si="20"/>
        <v>0.82918918518518514</v>
      </c>
    </row>
    <row r="167" spans="1:13" s="202" customFormat="1" ht="15" hidden="1" outlineLevel="2" x14ac:dyDescent="0.25">
      <c r="A167" s="440" t="s">
        <v>611</v>
      </c>
      <c r="B167" s="21"/>
      <c r="C167" s="21"/>
      <c r="D167" s="112"/>
      <c r="E167" s="21"/>
      <c r="F167" s="21"/>
      <c r="G167" s="21"/>
      <c r="H167" s="23">
        <f t="shared" si="22"/>
        <v>0</v>
      </c>
      <c r="I167" s="21"/>
      <c r="J167" s="112">
        <f t="shared" si="23"/>
        <v>0</v>
      </c>
      <c r="K167" s="112"/>
      <c r="L167" s="112">
        <f t="shared" si="21"/>
        <v>0</v>
      </c>
      <c r="M167" s="973">
        <f t="shared" si="20"/>
        <v>0</v>
      </c>
    </row>
    <row r="168" spans="1:13" s="202" customFormat="1" ht="15" hidden="1" outlineLevel="2" x14ac:dyDescent="0.25">
      <c r="A168" s="440" t="s">
        <v>612</v>
      </c>
      <c r="B168" s="21"/>
      <c r="C168" s="21"/>
      <c r="D168" s="112"/>
      <c r="E168" s="21"/>
      <c r="F168" s="21"/>
      <c r="G168" s="21"/>
      <c r="H168" s="23">
        <f t="shared" si="22"/>
        <v>0</v>
      </c>
      <c r="I168" s="21"/>
      <c r="J168" s="112">
        <f t="shared" si="23"/>
        <v>0</v>
      </c>
      <c r="K168" s="112"/>
      <c r="L168" s="112">
        <f t="shared" si="21"/>
        <v>0</v>
      </c>
      <c r="M168" s="973">
        <f t="shared" si="20"/>
        <v>0</v>
      </c>
    </row>
    <row r="169" spans="1:13" s="202" customFormat="1" ht="15" hidden="1" outlineLevel="2" x14ac:dyDescent="0.25">
      <c r="A169" s="440" t="s">
        <v>471</v>
      </c>
      <c r="B169" s="21"/>
      <c r="C169" s="21"/>
      <c r="D169" s="112">
        <f>+'[26]SOLICITUD III TRIMESTRE'!$G$54</f>
        <v>27500000</v>
      </c>
      <c r="E169" s="21"/>
      <c r="F169" s="21"/>
      <c r="G169" s="21"/>
      <c r="H169" s="23">
        <f t="shared" si="22"/>
        <v>27500000</v>
      </c>
      <c r="I169" s="21"/>
      <c r="J169" s="112">
        <f t="shared" si="23"/>
        <v>27500000</v>
      </c>
      <c r="K169" s="112">
        <v>24405926</v>
      </c>
      <c r="L169" s="112">
        <f t="shared" si="21"/>
        <v>-3094074</v>
      </c>
      <c r="M169" s="973">
        <f t="shared" si="20"/>
        <v>0.88748821818181822</v>
      </c>
    </row>
    <row r="170" spans="1:13" s="202" customFormat="1" ht="15" collapsed="1" x14ac:dyDescent="0.25">
      <c r="A170" s="667" t="s">
        <v>613</v>
      </c>
      <c r="B170" s="21"/>
      <c r="C170" s="21"/>
      <c r="D170" s="21">
        <f>+D171+D175+D179+D180+D181+D182+D183</f>
        <v>1616980525</v>
      </c>
      <c r="E170" s="21"/>
      <c r="F170" s="21"/>
      <c r="G170" s="21"/>
      <c r="H170" s="21">
        <f>+H171+H175+H179+H180+H181+H182+H183</f>
        <v>1616980525</v>
      </c>
      <c r="I170" s="21"/>
      <c r="J170" s="21">
        <f>+J171+J175+J179+J180+J181+J182+J183</f>
        <v>1616980525</v>
      </c>
      <c r="K170" s="21">
        <f>+K171+K175+K179+K180+K181+K182+K183</f>
        <v>1519532459</v>
      </c>
      <c r="L170" s="21">
        <f t="shared" si="21"/>
        <v>-97448066</v>
      </c>
      <c r="M170" s="972">
        <f t="shared" si="20"/>
        <v>0.93973454565879821</v>
      </c>
    </row>
    <row r="171" spans="1:13" s="202" customFormat="1" ht="15" hidden="1" outlineLevel="1" x14ac:dyDescent="0.25">
      <c r="A171" s="667" t="s">
        <v>614</v>
      </c>
      <c r="B171" s="21"/>
      <c r="C171" s="21"/>
      <c r="D171" s="21">
        <f>SUM(D172:D174)</f>
        <v>7818400</v>
      </c>
      <c r="E171" s="21"/>
      <c r="F171" s="21"/>
      <c r="G171" s="21"/>
      <c r="H171" s="21">
        <f>SUM(H172:H174)</f>
        <v>7818400</v>
      </c>
      <c r="I171" s="21"/>
      <c r="J171" s="21">
        <f>SUM(J172:J174)</f>
        <v>7818400</v>
      </c>
      <c r="K171" s="21">
        <f>SUM(K172:K174)</f>
        <v>1700000</v>
      </c>
      <c r="L171" s="21">
        <f t="shared" si="21"/>
        <v>-6118400</v>
      </c>
      <c r="M171" s="972">
        <f t="shared" si="20"/>
        <v>0.21743579248951192</v>
      </c>
    </row>
    <row r="172" spans="1:13" s="202" customFormat="1" ht="15" hidden="1" outlineLevel="2" x14ac:dyDescent="0.25">
      <c r="A172" s="440" t="s">
        <v>615</v>
      </c>
      <c r="B172" s="21"/>
      <c r="C172" s="21"/>
      <c r="D172" s="23">
        <f>+'[26]SOLICITUD III TRIMESTRE'!$G$57</f>
        <v>146400</v>
      </c>
      <c r="E172" s="21"/>
      <c r="F172" s="21"/>
      <c r="G172" s="21"/>
      <c r="H172" s="23">
        <f>+B172+C172+D172+G172+E172+F172</f>
        <v>146400</v>
      </c>
      <c r="I172" s="21"/>
      <c r="J172" s="112">
        <f>+H172+I172</f>
        <v>146400</v>
      </c>
      <c r="K172" s="112"/>
      <c r="L172" s="112">
        <f t="shared" si="21"/>
        <v>-146400</v>
      </c>
      <c r="M172" s="973">
        <f t="shared" si="20"/>
        <v>0</v>
      </c>
    </row>
    <row r="173" spans="1:13" s="202" customFormat="1" ht="15" hidden="1" outlineLevel="2" x14ac:dyDescent="0.25">
      <c r="A173" s="440" t="s">
        <v>616</v>
      </c>
      <c r="B173" s="21"/>
      <c r="C173" s="21"/>
      <c r="D173" s="23">
        <f>+'[26]SOLICITUD III TRIMESTRE'!$G$58</f>
        <v>2230000</v>
      </c>
      <c r="E173" s="21"/>
      <c r="F173" s="21"/>
      <c r="G173" s="21"/>
      <c r="H173" s="23">
        <f>+B173+C173+D173+G173+E173+F173</f>
        <v>2230000</v>
      </c>
      <c r="I173" s="21"/>
      <c r="J173" s="112">
        <f>+H173+I173</f>
        <v>2230000</v>
      </c>
      <c r="K173" s="112">
        <v>1700000</v>
      </c>
      <c r="L173" s="112">
        <f t="shared" si="21"/>
        <v>-530000</v>
      </c>
      <c r="M173" s="973">
        <f t="shared" si="20"/>
        <v>0.7623318385650224</v>
      </c>
    </row>
    <row r="174" spans="1:13" s="202" customFormat="1" ht="15" hidden="1" outlineLevel="2" x14ac:dyDescent="0.25">
      <c r="A174" s="440" t="s">
        <v>617</v>
      </c>
      <c r="B174" s="21"/>
      <c r="C174" s="21"/>
      <c r="D174" s="23">
        <f>+'[26]SOLICITUD III TRIMESTRE'!$G$59</f>
        <v>5442000</v>
      </c>
      <c r="E174" s="21"/>
      <c r="F174" s="21"/>
      <c r="G174" s="21"/>
      <c r="H174" s="23">
        <f>+B174+C174+D174+G174+E174+F174</f>
        <v>5442000</v>
      </c>
      <c r="I174" s="21"/>
      <c r="J174" s="112">
        <f>+H174+I174</f>
        <v>5442000</v>
      </c>
      <c r="K174" s="112"/>
      <c r="L174" s="112">
        <f t="shared" si="21"/>
        <v>-5442000</v>
      </c>
      <c r="M174" s="973">
        <f t="shared" si="20"/>
        <v>0</v>
      </c>
    </row>
    <row r="175" spans="1:13" s="202" customFormat="1" ht="15" hidden="1" outlineLevel="1" x14ac:dyDescent="0.25">
      <c r="A175" s="667" t="s">
        <v>618</v>
      </c>
      <c r="B175" s="21"/>
      <c r="C175" s="21"/>
      <c r="D175" s="21">
        <f>SUM(D176:D178)</f>
        <v>42913400</v>
      </c>
      <c r="E175" s="21"/>
      <c r="F175" s="21"/>
      <c r="G175" s="21"/>
      <c r="H175" s="21">
        <f>SUM(H176:H178)</f>
        <v>42913400</v>
      </c>
      <c r="I175" s="21"/>
      <c r="J175" s="21">
        <f>SUM(J176:J178)</f>
        <v>42913400</v>
      </c>
      <c r="K175" s="21">
        <f>SUM(K176:K178)</f>
        <v>0</v>
      </c>
      <c r="L175" s="21">
        <f t="shared" si="21"/>
        <v>-42913400</v>
      </c>
      <c r="M175" s="972">
        <f t="shared" si="20"/>
        <v>0</v>
      </c>
    </row>
    <row r="176" spans="1:13" s="202" customFormat="1" ht="15" hidden="1" outlineLevel="2" x14ac:dyDescent="0.25">
      <c r="A176" s="440" t="s">
        <v>619</v>
      </c>
      <c r="B176" s="21"/>
      <c r="C176" s="21"/>
      <c r="D176" s="23">
        <f>+'[26]SOLICITUD III TRIMESTRE'!$G$61</f>
        <v>7913400</v>
      </c>
      <c r="E176" s="21"/>
      <c r="F176" s="21"/>
      <c r="G176" s="21"/>
      <c r="H176" s="23">
        <f t="shared" ref="H176:H183" si="24">+B176+C176+D176+G176+E176+F176</f>
        <v>7913400</v>
      </c>
      <c r="I176" s="21"/>
      <c r="J176" s="112">
        <f t="shared" ref="J176:J183" si="25">+H176+I176</f>
        <v>7913400</v>
      </c>
      <c r="K176" s="112"/>
      <c r="L176" s="112">
        <f t="shared" si="21"/>
        <v>-7913400</v>
      </c>
      <c r="M176" s="973">
        <f t="shared" si="20"/>
        <v>0</v>
      </c>
    </row>
    <row r="177" spans="1:13" s="202" customFormat="1" ht="15" hidden="1" outlineLevel="2" x14ac:dyDescent="0.25">
      <c r="A177" s="440" t="s">
        <v>620</v>
      </c>
      <c r="B177" s="21"/>
      <c r="C177" s="21"/>
      <c r="D177" s="23">
        <f>+'[26]SOLICITUD III TRIMESTRE'!$G$62</f>
        <v>35000000</v>
      </c>
      <c r="E177" s="21"/>
      <c r="F177" s="21"/>
      <c r="G177" s="21"/>
      <c r="H177" s="23">
        <f t="shared" si="24"/>
        <v>35000000</v>
      </c>
      <c r="I177" s="21"/>
      <c r="J177" s="112">
        <f t="shared" si="25"/>
        <v>35000000</v>
      </c>
      <c r="K177" s="112"/>
      <c r="L177" s="112">
        <f t="shared" si="21"/>
        <v>-35000000</v>
      </c>
      <c r="M177" s="973">
        <f t="shared" si="20"/>
        <v>0</v>
      </c>
    </row>
    <row r="178" spans="1:13" s="202" customFormat="1" ht="15" hidden="1" outlineLevel="2" x14ac:dyDescent="0.25">
      <c r="A178" s="440" t="s">
        <v>621</v>
      </c>
      <c r="B178" s="21"/>
      <c r="C178" s="21"/>
      <c r="D178" s="23"/>
      <c r="E178" s="21"/>
      <c r="F178" s="21"/>
      <c r="G178" s="21"/>
      <c r="H178" s="23">
        <f t="shared" si="24"/>
        <v>0</v>
      </c>
      <c r="I178" s="21"/>
      <c r="J178" s="112">
        <f t="shared" si="25"/>
        <v>0</v>
      </c>
      <c r="K178" s="112"/>
      <c r="L178" s="112">
        <f t="shared" si="21"/>
        <v>0</v>
      </c>
      <c r="M178" s="973">
        <f t="shared" si="20"/>
        <v>0</v>
      </c>
    </row>
    <row r="179" spans="1:13" s="202" customFormat="1" ht="15" hidden="1" outlineLevel="1" x14ac:dyDescent="0.25">
      <c r="A179" s="667" t="s">
        <v>622</v>
      </c>
      <c r="B179" s="21"/>
      <c r="C179" s="21"/>
      <c r="D179" s="21">
        <f>+'[26]SOLICITUD III TRIMESTRE'!$G$64</f>
        <v>2940000</v>
      </c>
      <c r="E179" s="21"/>
      <c r="F179" s="21"/>
      <c r="G179" s="21"/>
      <c r="H179" s="26">
        <f t="shared" si="24"/>
        <v>2940000</v>
      </c>
      <c r="I179" s="26"/>
      <c r="J179" s="26">
        <f t="shared" si="25"/>
        <v>2940000</v>
      </c>
      <c r="K179" s="26"/>
      <c r="L179" s="26">
        <f t="shared" si="21"/>
        <v>-2940000</v>
      </c>
      <c r="M179" s="972">
        <f t="shared" si="20"/>
        <v>0</v>
      </c>
    </row>
    <row r="180" spans="1:13" s="202" customFormat="1" ht="15" hidden="1" outlineLevel="1" x14ac:dyDescent="0.25">
      <c r="A180" s="667" t="s">
        <v>623</v>
      </c>
      <c r="B180" s="21"/>
      <c r="C180" s="21"/>
      <c r="D180" s="21">
        <f>+'[26]SOLICITUD III TRIMESTRE'!$G$65</f>
        <v>5000000</v>
      </c>
      <c r="E180" s="21"/>
      <c r="F180" s="21"/>
      <c r="G180" s="21"/>
      <c r="H180" s="26">
        <f t="shared" si="24"/>
        <v>5000000</v>
      </c>
      <c r="I180" s="26"/>
      <c r="J180" s="26">
        <f t="shared" si="25"/>
        <v>5000000</v>
      </c>
      <c r="K180" s="26">
        <v>4860032</v>
      </c>
      <c r="L180" s="26">
        <f t="shared" si="21"/>
        <v>-139968</v>
      </c>
      <c r="M180" s="972">
        <f t="shared" si="20"/>
        <v>0.97200640000000005</v>
      </c>
    </row>
    <row r="181" spans="1:13" s="202" customFormat="1" ht="15" hidden="1" outlineLevel="1" x14ac:dyDescent="0.25">
      <c r="A181" s="667" t="s">
        <v>655</v>
      </c>
      <c r="B181" s="21"/>
      <c r="C181" s="21"/>
      <c r="D181" s="21">
        <f>+'[26]SOLICITUD III TRIMESTRE'!$G$66-30000000-17680000</f>
        <v>10000000</v>
      </c>
      <c r="E181" s="21"/>
      <c r="F181" s="21"/>
      <c r="G181" s="21"/>
      <c r="H181" s="26">
        <f t="shared" si="24"/>
        <v>10000000</v>
      </c>
      <c r="I181" s="26"/>
      <c r="J181" s="26">
        <f t="shared" si="25"/>
        <v>10000000</v>
      </c>
      <c r="K181" s="26">
        <v>9687856</v>
      </c>
      <c r="L181" s="26">
        <f t="shared" si="21"/>
        <v>-312144</v>
      </c>
      <c r="M181" s="972">
        <f t="shared" si="20"/>
        <v>0.96878560000000002</v>
      </c>
    </row>
    <row r="182" spans="1:13" s="202" customFormat="1" ht="14.25" hidden="1" customHeight="1" outlineLevel="1" x14ac:dyDescent="0.25">
      <c r="A182" s="667" t="s">
        <v>656</v>
      </c>
      <c r="B182" s="21"/>
      <c r="C182" s="21"/>
      <c r="D182" s="21">
        <f>+'[26]SOLICITUD III TRIMESTRE'!$G$67+30000000+17680000</f>
        <v>52680000</v>
      </c>
      <c r="E182" s="957"/>
      <c r="F182" s="21"/>
      <c r="G182" s="21"/>
      <c r="H182" s="26">
        <f t="shared" si="24"/>
        <v>52680000</v>
      </c>
      <c r="I182" s="26"/>
      <c r="J182" s="26">
        <f t="shared" si="25"/>
        <v>52680000</v>
      </c>
      <c r="K182" s="26">
        <v>42054505</v>
      </c>
      <c r="L182" s="26">
        <f t="shared" si="21"/>
        <v>-10625495</v>
      </c>
      <c r="M182" s="972">
        <f t="shared" si="20"/>
        <v>0.79830115793470002</v>
      </c>
    </row>
    <row r="183" spans="1:13" s="202" customFormat="1" ht="14.25" hidden="1" customHeight="1" outlineLevel="1" x14ac:dyDescent="0.25">
      <c r="A183" s="667" t="s">
        <v>856</v>
      </c>
      <c r="B183" s="21"/>
      <c r="C183" s="21"/>
      <c r="D183" s="21">
        <f>+'[26]SOLICITUD III TRIMESTRE'!$G$68</f>
        <v>1495628725</v>
      </c>
      <c r="E183" s="957"/>
      <c r="F183" s="21"/>
      <c r="G183" s="21"/>
      <c r="H183" s="26">
        <f t="shared" si="24"/>
        <v>1495628725</v>
      </c>
      <c r="I183" s="26"/>
      <c r="J183" s="26">
        <f t="shared" si="25"/>
        <v>1495628725</v>
      </c>
      <c r="K183" s="26">
        <v>1461230066</v>
      </c>
      <c r="L183" s="26">
        <f t="shared" si="21"/>
        <v>-34398659</v>
      </c>
      <c r="M183" s="972">
        <f t="shared" si="20"/>
        <v>0.97700053601203729</v>
      </c>
    </row>
    <row r="184" spans="1:13" s="202" customFormat="1" ht="15" collapsed="1" x14ac:dyDescent="0.25">
      <c r="A184" s="440"/>
      <c r="B184" s="21"/>
      <c r="C184" s="21"/>
      <c r="D184" s="21"/>
      <c r="E184" s="21"/>
      <c r="F184" s="21"/>
      <c r="G184" s="21"/>
      <c r="H184" s="23"/>
      <c r="I184" s="21"/>
      <c r="J184" s="112"/>
      <c r="K184" s="112"/>
      <c r="L184" s="112"/>
      <c r="M184" s="973"/>
    </row>
    <row r="185" spans="1:13" s="202" customFormat="1" ht="15" x14ac:dyDescent="0.25">
      <c r="A185" s="667" t="s">
        <v>816</v>
      </c>
      <c r="B185" s="21"/>
      <c r="C185" s="21"/>
      <c r="D185" s="21"/>
      <c r="E185" s="26">
        <f>+E186</f>
        <v>45000000</v>
      </c>
      <c r="F185" s="26"/>
      <c r="G185" s="26"/>
      <c r="H185" s="26">
        <f>+H186</f>
        <v>45000000</v>
      </c>
      <c r="I185" s="26"/>
      <c r="J185" s="26">
        <f>+H185+I185</f>
        <v>45000000</v>
      </c>
      <c r="K185" s="26">
        <f>+K186</f>
        <v>29265553.5</v>
      </c>
      <c r="L185" s="26">
        <f t="shared" si="21"/>
        <v>-15734446.5</v>
      </c>
      <c r="M185" s="972">
        <f t="shared" si="20"/>
        <v>0.65034563333333328</v>
      </c>
    </row>
    <row r="186" spans="1:13" s="202" customFormat="1" ht="30" x14ac:dyDescent="0.25">
      <c r="A186" s="981" t="s">
        <v>598</v>
      </c>
      <c r="B186" s="21"/>
      <c r="C186" s="21"/>
      <c r="D186" s="21"/>
      <c r="E186" s="21">
        <f>SUM(E187:E189)</f>
        <v>45000000</v>
      </c>
      <c r="F186" s="21"/>
      <c r="G186" s="21"/>
      <c r="H186" s="21">
        <f>SUM(H187:H189)</f>
        <v>45000000</v>
      </c>
      <c r="I186" s="21"/>
      <c r="J186" s="21">
        <f>SUM(J187:J189)</f>
        <v>45000000</v>
      </c>
      <c r="K186" s="21">
        <f>SUM(K187:K189)</f>
        <v>29265553.5</v>
      </c>
      <c r="L186" s="21">
        <f t="shared" si="21"/>
        <v>-15734446.5</v>
      </c>
      <c r="M186" s="972">
        <f t="shared" si="20"/>
        <v>0.65034563333333328</v>
      </c>
    </row>
    <row r="187" spans="1:13" s="202" customFormat="1" ht="15" hidden="1" outlineLevel="1" x14ac:dyDescent="0.25">
      <c r="A187" s="440" t="s">
        <v>599</v>
      </c>
      <c r="B187" s="21"/>
      <c r="C187" s="21"/>
      <c r="D187" s="21"/>
      <c r="E187" s="112">
        <f>+'[23]III SANIDAD'!$D$13</f>
        <v>18000000</v>
      </c>
      <c r="F187" s="21"/>
      <c r="G187" s="21"/>
      <c r="H187" s="23">
        <f>+B187+C187+D187+G187+E187+F187</f>
        <v>18000000</v>
      </c>
      <c r="I187" s="21"/>
      <c r="J187" s="112">
        <f>+H187+I187</f>
        <v>18000000</v>
      </c>
      <c r="K187" s="112">
        <v>11684050</v>
      </c>
      <c r="L187" s="112">
        <f t="shared" si="21"/>
        <v>-6315950</v>
      </c>
      <c r="M187" s="973">
        <f t="shared" si="20"/>
        <v>0.64911388888888888</v>
      </c>
    </row>
    <row r="188" spans="1:13" s="202" customFormat="1" ht="15" hidden="1" outlineLevel="1" x14ac:dyDescent="0.25">
      <c r="A188" s="440" t="s">
        <v>600</v>
      </c>
      <c r="B188" s="21"/>
      <c r="C188" s="21"/>
      <c r="D188" s="21"/>
      <c r="E188" s="112">
        <f>+'[23]III SANIDAD'!$D$16</f>
        <v>14000000</v>
      </c>
      <c r="F188" s="21"/>
      <c r="G188" s="21"/>
      <c r="H188" s="23">
        <f>+B188+C188+D188+G188+E188+F188</f>
        <v>14000000</v>
      </c>
      <c r="I188" s="21"/>
      <c r="J188" s="112">
        <f>+H188+I188</f>
        <v>14000000</v>
      </c>
      <c r="K188" s="112">
        <v>11874595.5</v>
      </c>
      <c r="L188" s="112">
        <f t="shared" si="21"/>
        <v>-2125404.5</v>
      </c>
      <c r="M188" s="973">
        <f t="shared" si="20"/>
        <v>0.84818539285714289</v>
      </c>
    </row>
    <row r="189" spans="1:13" s="202" customFormat="1" ht="15" hidden="1" outlineLevel="1" x14ac:dyDescent="0.25">
      <c r="A189" s="440" t="s">
        <v>601</v>
      </c>
      <c r="B189" s="21"/>
      <c r="C189" s="21"/>
      <c r="D189" s="21"/>
      <c r="E189" s="112">
        <f>+'[23]III SANIDAD'!$D$25</f>
        <v>13000000</v>
      </c>
      <c r="F189" s="21"/>
      <c r="G189" s="21"/>
      <c r="H189" s="23">
        <f>+B189+C189+D189+G189+E189+F189</f>
        <v>13000000</v>
      </c>
      <c r="I189" s="21"/>
      <c r="J189" s="112">
        <f>+H189+I189</f>
        <v>13000000</v>
      </c>
      <c r="K189" s="112">
        <v>5706908</v>
      </c>
      <c r="L189" s="112">
        <f t="shared" si="21"/>
        <v>-7293092</v>
      </c>
      <c r="M189" s="973">
        <f t="shared" si="20"/>
        <v>0.43899292307692306</v>
      </c>
    </row>
    <row r="190" spans="1:13" s="202" customFormat="1" ht="15" collapsed="1" x14ac:dyDescent="0.25">
      <c r="A190" s="440"/>
      <c r="B190" s="23"/>
      <c r="C190" s="21"/>
      <c r="D190" s="21"/>
      <c r="E190" s="21"/>
      <c r="F190" s="21"/>
      <c r="G190" s="21"/>
      <c r="H190" s="23"/>
      <c r="I190" s="21"/>
      <c r="J190" s="112"/>
      <c r="K190" s="112"/>
      <c r="L190" s="112"/>
      <c r="M190" s="973"/>
    </row>
    <row r="191" spans="1:13" ht="15" x14ac:dyDescent="0.25">
      <c r="A191" s="25" t="s">
        <v>106</v>
      </c>
      <c r="B191" s="23"/>
      <c r="C191" s="23"/>
      <c r="D191" s="23"/>
      <c r="E191" s="23"/>
      <c r="F191" s="23"/>
      <c r="G191" s="23"/>
      <c r="H191" s="23"/>
      <c r="I191" s="21">
        <f>+I192+I193</f>
        <v>601099665.30000007</v>
      </c>
      <c r="J191" s="21">
        <f>+I191+H191</f>
        <v>601099665.30000007</v>
      </c>
      <c r="K191" s="21">
        <f>+K192+K193</f>
        <v>659617591</v>
      </c>
      <c r="L191" s="21">
        <f t="shared" si="21"/>
        <v>58517925.699999928</v>
      </c>
      <c r="M191" s="972">
        <f t="shared" si="20"/>
        <v>1.0973514528090687</v>
      </c>
    </row>
    <row r="192" spans="1:13" ht="14.25" hidden="1" outlineLevel="1" x14ac:dyDescent="0.2">
      <c r="A192" s="113" t="s">
        <v>444</v>
      </c>
      <c r="B192" s="23"/>
      <c r="C192" s="23"/>
      <c r="D192" s="23"/>
      <c r="E192" s="23"/>
      <c r="F192" s="23"/>
      <c r="G192" s="23"/>
      <c r="H192" s="23"/>
      <c r="I192" s="112">
        <f>+('Anexo 1 Minagricultura'!B14+'Anexo 1 Minagricultura'!B18)*0.1</f>
        <v>375687290.83750004</v>
      </c>
      <c r="J192" s="112">
        <f>+I192+H192</f>
        <v>375687290.83750004</v>
      </c>
      <c r="K192" s="112">
        <v>412260992</v>
      </c>
      <c r="L192" s="112">
        <f t="shared" si="21"/>
        <v>36573701.162499964</v>
      </c>
      <c r="M192" s="973">
        <f t="shared" si="20"/>
        <v>1.0973514464142988</v>
      </c>
    </row>
    <row r="193" spans="1:19" ht="14.25" hidden="1" outlineLevel="1" x14ac:dyDescent="0.2">
      <c r="A193" s="113" t="s">
        <v>445</v>
      </c>
      <c r="B193" s="23"/>
      <c r="C193" s="23"/>
      <c r="D193" s="23"/>
      <c r="E193" s="23"/>
      <c r="F193" s="23"/>
      <c r="G193" s="23"/>
      <c r="H193" s="23"/>
      <c r="I193" s="112">
        <f>+('Anexo 1 Minagricultura'!B15+'Anexo 1 Minagricultura'!B19)*0.1</f>
        <v>225412374.46250001</v>
      </c>
      <c r="J193" s="112">
        <f>+I193+H193</f>
        <v>225412374.46250001</v>
      </c>
      <c r="K193" s="112">
        <v>247356599</v>
      </c>
      <c r="L193" s="112">
        <f t="shared" si="21"/>
        <v>21944224.537499994</v>
      </c>
      <c r="M193" s="973">
        <f t="shared" si="20"/>
        <v>1.0973514634670187</v>
      </c>
    </row>
    <row r="194" spans="1:19" ht="15" collapsed="1" x14ac:dyDescent="0.25">
      <c r="A194" s="27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972"/>
    </row>
    <row r="195" spans="1:19" ht="15" x14ac:dyDescent="0.25">
      <c r="A195" s="439" t="s">
        <v>400</v>
      </c>
      <c r="B195" s="26"/>
      <c r="C195" s="26"/>
      <c r="D195" s="26"/>
      <c r="E195" s="26"/>
      <c r="F195" s="26"/>
      <c r="G195" s="26">
        <v>1000000000</v>
      </c>
      <c r="H195" s="26">
        <f>+B195+C195+D195+G195+F195</f>
        <v>1000000000</v>
      </c>
      <c r="I195" s="26"/>
      <c r="J195" s="685">
        <f>+I195+H195</f>
        <v>1000000000</v>
      </c>
      <c r="K195" s="685">
        <v>701488480</v>
      </c>
      <c r="L195" s="685">
        <f t="shared" si="21"/>
        <v>-298511520</v>
      </c>
      <c r="M195" s="972">
        <f t="shared" si="20"/>
        <v>0.70148847999999997</v>
      </c>
    </row>
    <row r="196" spans="1:19" ht="15" x14ac:dyDescent="0.25">
      <c r="A196" s="27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972"/>
    </row>
    <row r="197" spans="1:19" ht="15" x14ac:dyDescent="0.25">
      <c r="A197" s="25" t="s">
        <v>124</v>
      </c>
      <c r="B197" s="23"/>
      <c r="C197" s="23"/>
      <c r="D197" s="23"/>
      <c r="E197" s="23"/>
      <c r="F197" s="23"/>
      <c r="G197" s="23"/>
      <c r="H197" s="21">
        <f>+B197+C197+G197+F197</f>
        <v>0</v>
      </c>
      <c r="I197" s="21">
        <f>+I198+I199</f>
        <v>0</v>
      </c>
      <c r="J197" s="21">
        <f>+I197+H197</f>
        <v>0</v>
      </c>
      <c r="K197" s="21"/>
      <c r="L197" s="21">
        <f t="shared" si="21"/>
        <v>0</v>
      </c>
      <c r="M197" s="972">
        <f t="shared" si="20"/>
        <v>0</v>
      </c>
    </row>
    <row r="198" spans="1:19" s="31" customFormat="1" ht="14.25" hidden="1" outlineLevel="1" x14ac:dyDescent="0.2">
      <c r="A198" s="24" t="s">
        <v>171</v>
      </c>
      <c r="B198" s="23"/>
      <c r="C198" s="23"/>
      <c r="D198" s="23"/>
      <c r="E198" s="23"/>
      <c r="F198" s="23"/>
      <c r="G198" s="23"/>
      <c r="H198" s="23">
        <f>+B198+C198+G198+F198</f>
        <v>0</v>
      </c>
      <c r="I198" s="23"/>
      <c r="J198" s="23">
        <f>+I198+H198</f>
        <v>0</v>
      </c>
      <c r="K198" s="23"/>
      <c r="L198" s="23">
        <f t="shared" si="21"/>
        <v>0</v>
      </c>
      <c r="M198" s="973">
        <f t="shared" si="20"/>
        <v>0</v>
      </c>
    </row>
    <row r="199" spans="1:19" s="31" customFormat="1" ht="14.25" hidden="1" outlineLevel="1" x14ac:dyDescent="0.2">
      <c r="A199" s="24" t="s">
        <v>172</v>
      </c>
      <c r="B199" s="23"/>
      <c r="C199" s="23"/>
      <c r="D199" s="23"/>
      <c r="E199" s="23"/>
      <c r="F199" s="23"/>
      <c r="G199" s="23"/>
      <c r="H199" s="23">
        <f>+B199+C199+G199+F199</f>
        <v>0</v>
      </c>
      <c r="I199" s="23"/>
      <c r="J199" s="23">
        <f>+I199+H199</f>
        <v>0</v>
      </c>
      <c r="K199" s="23"/>
      <c r="L199" s="23">
        <f t="shared" si="21"/>
        <v>0</v>
      </c>
      <c r="M199" s="973">
        <f t="shared" si="20"/>
        <v>0</v>
      </c>
    </row>
    <row r="200" spans="1:19" ht="15" collapsed="1" x14ac:dyDescent="0.25">
      <c r="A200" s="27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972"/>
    </row>
    <row r="201" spans="1:19" ht="15" x14ac:dyDescent="0.25">
      <c r="A201" s="27" t="s">
        <v>191</v>
      </c>
      <c r="B201" s="21">
        <f>+B40+B38</f>
        <v>1030503004.5295993</v>
      </c>
      <c r="C201" s="21">
        <f>+C38+C40</f>
        <v>417348706.34162706</v>
      </c>
      <c r="D201" s="21">
        <f>+D40+D38</f>
        <v>1881315446.2654374</v>
      </c>
      <c r="E201" s="21">
        <f>+E40+E38</f>
        <v>62892034.027599998</v>
      </c>
      <c r="F201" s="21">
        <f>+F40+F38</f>
        <v>2532777111.9681234</v>
      </c>
      <c r="G201" s="21">
        <f>+G38+G40+G195</f>
        <v>4365761833.9664955</v>
      </c>
      <c r="H201" s="21">
        <f>+B201+C201+D201+G201+E201+F201</f>
        <v>10290598137.098883</v>
      </c>
      <c r="I201" s="21">
        <f>+I197+I191+I40+I38</f>
        <v>845592390.40830016</v>
      </c>
      <c r="J201" s="21">
        <f>+I201+H201</f>
        <v>11136190527.507183</v>
      </c>
      <c r="K201" s="21">
        <f>+K197+K195+K191+K40+K38</f>
        <v>9737408628.9108276</v>
      </c>
      <c r="L201" s="21">
        <f t="shared" si="21"/>
        <v>-1398781898.5963554</v>
      </c>
      <c r="M201" s="972">
        <f t="shared" si="20"/>
        <v>0.8743931423280461</v>
      </c>
    </row>
    <row r="202" spans="1:19" ht="15.75" thickBot="1" x14ac:dyDescent="0.3">
      <c r="A202" s="180"/>
      <c r="B202" s="17"/>
      <c r="C202" s="181"/>
      <c r="D202" s="181"/>
      <c r="E202" s="246"/>
      <c r="F202" s="181"/>
      <c r="G202" s="246"/>
      <c r="H202" s="181"/>
      <c r="I202" s="181"/>
      <c r="J202" s="181"/>
      <c r="K202" s="181"/>
      <c r="L202" s="181"/>
      <c r="M202" s="182"/>
      <c r="N202" s="176"/>
      <c r="O202" s="176"/>
      <c r="P202" s="176"/>
      <c r="Q202" s="176"/>
      <c r="R202" s="176"/>
      <c r="S202" s="176"/>
    </row>
    <row r="203" spans="1:19" ht="13.5" thickTop="1" x14ac:dyDescent="0.2">
      <c r="A203" s="183"/>
      <c r="B203" s="179"/>
      <c r="C203" s="179"/>
      <c r="D203" s="179"/>
      <c r="E203" s="179"/>
      <c r="F203" s="179"/>
      <c r="G203" s="544"/>
      <c r="H203" s="5"/>
      <c r="I203" s="179"/>
      <c r="J203" s="179"/>
      <c r="K203" s="179"/>
      <c r="L203" s="179"/>
      <c r="M203" s="178"/>
    </row>
    <row r="204" spans="1:19" x14ac:dyDescent="0.2">
      <c r="A204" s="183"/>
      <c r="B204" s="179"/>
      <c r="C204" s="179"/>
      <c r="D204" s="179"/>
      <c r="E204" s="179"/>
      <c r="F204" s="179"/>
      <c r="G204" s="545"/>
      <c r="H204" s="179"/>
      <c r="I204" s="179"/>
      <c r="J204" s="184"/>
      <c r="K204" s="184"/>
      <c r="L204" s="184"/>
      <c r="M204" s="185"/>
    </row>
    <row r="205" spans="1:19" ht="15.75" hidden="1" outlineLevel="1" x14ac:dyDescent="0.25">
      <c r="A205" s="183"/>
      <c r="C205" s="5"/>
      <c r="D205" s="5"/>
      <c r="E205" s="5"/>
      <c r="F205" s="5"/>
      <c r="G205" s="186"/>
      <c r="H205" s="187" t="s">
        <v>121</v>
      </c>
      <c r="I205" s="187" t="s">
        <v>132</v>
      </c>
      <c r="J205" s="188" t="s">
        <v>102</v>
      </c>
      <c r="K205" s="188"/>
      <c r="L205" s="188"/>
      <c r="M205" s="5"/>
    </row>
    <row r="206" spans="1:19" ht="15.75" hidden="1" outlineLevel="1" x14ac:dyDescent="0.25">
      <c r="A206" s="189"/>
      <c r="B206" s="5"/>
      <c r="C206" s="5"/>
      <c r="D206" s="5"/>
      <c r="E206" s="5"/>
      <c r="F206" s="5"/>
      <c r="G206" s="186" t="s">
        <v>73</v>
      </c>
      <c r="H206" s="190">
        <f>+B201+C201+D201+F201+I38+I192+E201</f>
        <v>6545016319.078187</v>
      </c>
      <c r="I206" s="256">
        <f>+'Anexo 1 Minagricultura'!B39</f>
        <v>6545016319.375</v>
      </c>
      <c r="J206" s="256">
        <f>+I206-H206</f>
        <v>0.29681301116943359</v>
      </c>
      <c r="K206" s="256"/>
      <c r="L206" s="256"/>
      <c r="M206" s="5"/>
    </row>
    <row r="207" spans="1:19" ht="16.5" hidden="1" outlineLevel="1" thickBot="1" x14ac:dyDescent="0.3">
      <c r="A207" s="183"/>
      <c r="B207" s="5"/>
      <c r="C207" s="179"/>
      <c r="D207" s="192"/>
      <c r="E207" s="5"/>
      <c r="F207" s="5"/>
      <c r="G207" s="186" t="s">
        <v>128</v>
      </c>
      <c r="H207" s="191">
        <f>+G201+I193</f>
        <v>4591174208.4289951</v>
      </c>
      <c r="I207" s="257">
        <f>+'Anexo 1 Minagricultura'!B43</f>
        <v>4591174208.875</v>
      </c>
      <c r="J207" s="257">
        <f>+I207-H207</f>
        <v>0.44600486755371094</v>
      </c>
      <c r="K207" s="971"/>
      <c r="L207" s="971"/>
      <c r="M207" s="5"/>
    </row>
    <row r="208" spans="1:19" ht="16.5" hidden="1" outlineLevel="1" thickTop="1" x14ac:dyDescent="0.25">
      <c r="A208" s="183"/>
      <c r="B208" s="179"/>
      <c r="C208" s="179"/>
      <c r="D208" s="192"/>
      <c r="E208" s="5"/>
      <c r="F208" s="5"/>
      <c r="G208" s="186"/>
      <c r="H208" s="526">
        <f>+H206+H207</f>
        <v>11136190527.507183</v>
      </c>
      <c r="I208" s="527">
        <f>+I207+I206</f>
        <v>11136190528.25</v>
      </c>
      <c r="J208" s="527">
        <f>+J207+J206</f>
        <v>0.74281787872314453</v>
      </c>
      <c r="K208" s="527"/>
      <c r="L208" s="527"/>
      <c r="M208" s="5"/>
    </row>
    <row r="209" spans="1:13" ht="15.75" collapsed="1" x14ac:dyDescent="0.25">
      <c r="A209" s="183"/>
      <c r="B209" s="5"/>
      <c r="C209" s="5"/>
      <c r="D209" s="5"/>
      <c r="E209" s="5"/>
      <c r="F209" s="5"/>
      <c r="G209" s="186"/>
      <c r="H209" s="190"/>
      <c r="I209" s="186"/>
      <c r="J209" s="111"/>
      <c r="K209" s="111"/>
      <c r="L209" s="111"/>
      <c r="M209" s="5"/>
    </row>
    <row r="210" spans="1:13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184"/>
      <c r="K210" s="184"/>
      <c r="L210" s="184"/>
      <c r="M210" s="5"/>
    </row>
    <row r="211" spans="1:13" x14ac:dyDescent="0.2">
      <c r="A211" s="5"/>
      <c r="B211" s="5"/>
      <c r="C211" s="5"/>
      <c r="D211" s="5"/>
      <c r="E211" s="5"/>
      <c r="F211" s="5"/>
      <c r="G211" s="5"/>
      <c r="H211" s="179"/>
      <c r="I211" s="179"/>
      <c r="J211" s="5"/>
      <c r="K211" s="5"/>
      <c r="L211" s="5"/>
      <c r="M211" s="5"/>
    </row>
    <row r="212" spans="1:13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">
      <c r="A214" s="5"/>
      <c r="B214" s="5"/>
      <c r="C214" s="5"/>
      <c r="D214" s="5"/>
      <c r="E214" s="5"/>
      <c r="F214" s="5"/>
      <c r="G214" s="5"/>
      <c r="H214" s="5"/>
      <c r="I214" s="192"/>
      <c r="J214" s="5"/>
      <c r="K214" s="5"/>
      <c r="L214" s="5"/>
      <c r="M214" s="5"/>
    </row>
    <row r="215" spans="1:13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</row>
    <row r="276" spans="1:13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</row>
    <row r="277" spans="1:13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</row>
    <row r="278" spans="1:13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</row>
    <row r="279" spans="1:13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</row>
    <row r="280" spans="1:13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</row>
  </sheetData>
  <mergeCells count="5">
    <mergeCell ref="A1:M1"/>
    <mergeCell ref="A2:M2"/>
    <mergeCell ref="A3:M3"/>
    <mergeCell ref="A5:M5"/>
    <mergeCell ref="A4:M4"/>
  </mergeCells>
  <phoneticPr fontId="11" type="noConversion"/>
  <printOptions horizontalCentered="1"/>
  <pageMargins left="0.39370078740157483" right="0.39370078740157483" top="0.39370078740157483" bottom="0.39370078740157483" header="0" footer="0"/>
  <pageSetup scale="38" orientation="portrait" r:id="rId1"/>
  <headerFooter alignWithMargins="0"/>
  <ignoredErrors>
    <ignoredError sqref="H202:J202 H137:I137 H145:I145 I42 H200:J200 I74:J74 H76:J104 I150 I129:I130 H127:I127 H106:J126 H105:I105 H186:J190 H192:J194 H191 H196:J196 I195:J195 H39:I40 H58:J73 H184:J184 J130:J145 H197:H199 J198:J199 I49 H48:I48 H57:I57 I47 H38 I43:J46 H152:J156 H158:J161 I157 H163:J169 H171:J182 I170" formula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A1:T1876"/>
  <sheetViews>
    <sheetView view="pageBreakPreview" topLeftCell="A10" zoomScale="90" zoomScaleNormal="85" zoomScaleSheetLayoutView="90" workbookViewId="0">
      <selection activeCell="B22" sqref="B22"/>
    </sheetView>
  </sheetViews>
  <sheetFormatPr baseColWidth="10" defaultRowHeight="12.75" outlineLevelCol="1" x14ac:dyDescent="0.2"/>
  <cols>
    <col min="1" max="1" width="39.5703125" bestFit="1" customWidth="1"/>
    <col min="2" max="2" width="20.5703125" customWidth="1" outlineLevel="1"/>
    <col min="3" max="3" width="27.7109375" customWidth="1" outlineLevel="1"/>
    <col min="4" max="4" width="19.140625" customWidth="1" outlineLevel="1"/>
    <col min="5" max="5" width="19.28515625" customWidth="1" outlineLevel="1"/>
    <col min="6" max="6" width="22.7109375" customWidth="1"/>
    <col min="7" max="8" width="20.28515625" customWidth="1"/>
    <col min="9" max="9" width="22.28515625" customWidth="1"/>
    <col min="10" max="10" width="20.28515625" customWidth="1"/>
    <col min="11" max="11" width="25.7109375" customWidth="1"/>
    <col min="12" max="12" width="21.42578125" customWidth="1"/>
    <col min="13" max="13" width="17.140625" customWidth="1"/>
    <col min="14" max="15" width="22.42578125" hidden="1" customWidth="1" outlineLevel="1"/>
    <col min="16" max="16" width="10.28515625" hidden="1" customWidth="1" outlineLevel="1"/>
    <col min="17" max="17" width="13.85546875" bestFit="1" customWidth="1" collapsed="1"/>
  </cols>
  <sheetData>
    <row r="1" spans="1:20" x14ac:dyDescent="0.2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</row>
    <row r="2" spans="1:20" ht="15.75" x14ac:dyDescent="0.25">
      <c r="A2" s="1065" t="s">
        <v>27</v>
      </c>
      <c r="B2" s="1065"/>
      <c r="C2" s="1065"/>
      <c r="D2" s="1065"/>
      <c r="E2" s="1065"/>
      <c r="F2" s="1065"/>
      <c r="G2" s="1065" t="s">
        <v>27</v>
      </c>
      <c r="H2" s="1065"/>
      <c r="I2" s="1065"/>
      <c r="J2" s="1065"/>
      <c r="K2" s="1065"/>
      <c r="L2" s="1065"/>
      <c r="M2" s="1065"/>
      <c r="N2" s="1065"/>
      <c r="O2" s="1065"/>
      <c r="P2" s="1065"/>
      <c r="Q2" s="126"/>
      <c r="R2" s="126"/>
      <c r="S2" s="126"/>
      <c r="T2" s="126"/>
    </row>
    <row r="3" spans="1:20" x14ac:dyDescent="0.2">
      <c r="A3" s="126"/>
      <c r="B3" s="126"/>
      <c r="C3" s="126"/>
      <c r="D3" s="126"/>
      <c r="E3" s="193"/>
      <c r="F3" s="126"/>
      <c r="G3" s="680"/>
      <c r="H3" s="126"/>
      <c r="I3" s="193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ht="15.75" thickBot="1" x14ac:dyDescent="0.3">
      <c r="A4" s="161"/>
      <c r="B4" s="161"/>
      <c r="C4" s="715" t="s">
        <v>193</v>
      </c>
      <c r="D4" s="716">
        <v>1.0366</v>
      </c>
      <c r="E4" s="239"/>
      <c r="F4" s="679"/>
      <c r="G4" s="161"/>
      <c r="H4" s="161"/>
      <c r="I4" s="161"/>
      <c r="J4" s="161"/>
      <c r="K4" s="161"/>
      <c r="L4" s="161"/>
      <c r="M4" s="161"/>
      <c r="N4" s="717"/>
      <c r="O4" s="161"/>
      <c r="P4" s="161"/>
      <c r="Q4" s="126"/>
      <c r="R4" s="126"/>
      <c r="S4" s="126"/>
      <c r="T4" s="126"/>
    </row>
    <row r="5" spans="1:20" ht="14.45" customHeight="1" thickBot="1" x14ac:dyDescent="0.3">
      <c r="A5" s="126"/>
      <c r="B5" s="1066">
        <v>2015</v>
      </c>
      <c r="C5" s="1067"/>
      <c r="D5" s="1067"/>
      <c r="E5" s="1068"/>
      <c r="F5" s="1061" t="s">
        <v>691</v>
      </c>
      <c r="G5" s="1072" t="s">
        <v>820</v>
      </c>
      <c r="H5" s="1061" t="s">
        <v>821</v>
      </c>
      <c r="I5" s="1061" t="s">
        <v>822</v>
      </c>
      <c r="J5" s="1061" t="s">
        <v>823</v>
      </c>
      <c r="K5" s="1061" t="s">
        <v>824</v>
      </c>
      <c r="L5" s="1061" t="s">
        <v>825</v>
      </c>
      <c r="M5" s="1063" t="s">
        <v>672</v>
      </c>
      <c r="N5" s="1074" t="s">
        <v>516</v>
      </c>
      <c r="O5" s="1075"/>
      <c r="P5" s="1076"/>
      <c r="Q5" s="126"/>
      <c r="R5" s="126"/>
      <c r="S5" s="126"/>
      <c r="T5" s="126"/>
    </row>
    <row r="6" spans="1:20" ht="15.75" thickBot="1" x14ac:dyDescent="0.3">
      <c r="A6" s="102" t="s">
        <v>143</v>
      </c>
      <c r="B6" s="1069"/>
      <c r="C6" s="1070"/>
      <c r="D6" s="1070"/>
      <c r="E6" s="1071"/>
      <c r="F6" s="1062"/>
      <c r="G6" s="1073"/>
      <c r="H6" s="1062" t="s">
        <v>597</v>
      </c>
      <c r="I6" s="1062"/>
      <c r="J6" s="1062"/>
      <c r="K6" s="1062"/>
      <c r="L6" s="1062"/>
      <c r="M6" s="1064"/>
      <c r="N6" s="103">
        <v>2014</v>
      </c>
      <c r="O6" s="103">
        <v>2015</v>
      </c>
      <c r="P6" s="423" t="s">
        <v>517</v>
      </c>
      <c r="Q6" s="126"/>
      <c r="R6" s="126"/>
      <c r="S6" s="126"/>
      <c r="T6" s="126"/>
    </row>
    <row r="7" spans="1:20" s="3" customFormat="1" ht="31.5" customHeight="1" x14ac:dyDescent="0.25">
      <c r="A7" s="692"/>
      <c r="B7" s="669"/>
      <c r="C7" s="687"/>
      <c r="D7" s="669"/>
      <c r="E7" s="669"/>
      <c r="F7" s="688"/>
      <c r="G7" s="669"/>
      <c r="H7" s="708"/>
      <c r="I7" s="688"/>
      <c r="J7" s="689"/>
      <c r="K7" s="689"/>
      <c r="L7" s="689"/>
      <c r="M7" s="669"/>
      <c r="N7" s="669"/>
      <c r="O7" s="669"/>
      <c r="P7" s="669"/>
    </row>
    <row r="8" spans="1:20" s="3" customFormat="1" ht="31.5" customHeight="1" thickBot="1" x14ac:dyDescent="0.25">
      <c r="A8" s="701" t="s">
        <v>45</v>
      </c>
      <c r="B8" s="611"/>
      <c r="C8" s="611"/>
      <c r="D8" s="611"/>
      <c r="E8" s="611"/>
      <c r="F8" s="668">
        <v>5000000</v>
      </c>
      <c r="G8" s="668"/>
      <c r="H8" s="709"/>
      <c r="I8" s="668"/>
      <c r="J8" s="668"/>
      <c r="K8" s="668"/>
      <c r="L8" s="668"/>
      <c r="M8" s="690">
        <f>+F8+G8+H8+I8+J8+K8+L8</f>
        <v>5000000</v>
      </c>
      <c r="N8" s="690">
        <f>+'Ejecución gastos 2014'!M26</f>
        <v>25000000</v>
      </c>
      <c r="O8" s="690">
        <f>+M8</f>
        <v>5000000</v>
      </c>
      <c r="P8" s="691">
        <f>+(O8-N8)/N8</f>
        <v>-0.8</v>
      </c>
    </row>
    <row r="9" spans="1:20" s="3" customFormat="1" ht="31.5" customHeight="1" x14ac:dyDescent="0.25">
      <c r="A9" s="692"/>
      <c r="B9" s="693" t="s">
        <v>488</v>
      </c>
      <c r="C9" s="669" t="s">
        <v>230</v>
      </c>
      <c r="D9" s="669" t="s">
        <v>489</v>
      </c>
      <c r="E9" s="669" t="s">
        <v>708</v>
      </c>
      <c r="F9" s="695"/>
      <c r="G9" s="669"/>
      <c r="H9" s="704"/>
      <c r="I9" s="669"/>
      <c r="J9" s="669"/>
      <c r="K9" s="669"/>
      <c r="L9" s="669"/>
      <c r="M9" s="669"/>
      <c r="N9" s="669"/>
      <c r="O9" s="669"/>
      <c r="P9" s="696"/>
    </row>
    <row r="10" spans="1:20" s="3" customFormat="1" ht="15" thickBot="1" x14ac:dyDescent="0.25">
      <c r="A10" s="701" t="s">
        <v>118</v>
      </c>
      <c r="B10" s="960">
        <v>5000000</v>
      </c>
      <c r="C10" s="611">
        <v>5000000</v>
      </c>
      <c r="D10" s="611"/>
      <c r="E10" s="611">
        <f>(21515000/12)*3</f>
        <v>5378750</v>
      </c>
      <c r="F10" s="668">
        <f>SUM(B10:E10)</f>
        <v>15378750</v>
      </c>
      <c r="G10" s="668">
        <f>+'[23]III TRE PPC'!$B$7</f>
        <v>3000000</v>
      </c>
      <c r="H10" s="709"/>
      <c r="I10" s="668"/>
      <c r="J10" s="668">
        <f>+[25]Técnica!$H$5</f>
        <v>2000000</v>
      </c>
      <c r="K10" s="668"/>
      <c r="L10" s="668"/>
      <c r="M10" s="690">
        <f>+F10+G10+H10+I10+J10+K10+L10</f>
        <v>20378750</v>
      </c>
      <c r="N10" s="690">
        <f>+'Ejecución gastos 2014'!M21</f>
        <v>564200159.55739999</v>
      </c>
      <c r="O10" s="690">
        <f t="shared" ref="O10:O36" si="0">+M10</f>
        <v>20378750</v>
      </c>
      <c r="P10" s="691">
        <f>+(O10-N10)/N10</f>
        <v>-0.96388028316761454</v>
      </c>
      <c r="Q10" s="697"/>
    </row>
    <row r="11" spans="1:20" s="3" customFormat="1" ht="15" x14ac:dyDescent="0.25">
      <c r="A11" s="692"/>
      <c r="B11" s="669" t="s">
        <v>173</v>
      </c>
      <c r="C11" s="669" t="s">
        <v>57</v>
      </c>
      <c r="D11" s="669"/>
      <c r="E11" s="669"/>
      <c r="F11" s="695"/>
      <c r="G11" s="669"/>
      <c r="H11" s="704"/>
      <c r="I11" s="669"/>
      <c r="J11" s="669"/>
      <c r="K11" s="669"/>
      <c r="L11" s="669"/>
      <c r="M11" s="669"/>
      <c r="N11" s="669"/>
      <c r="O11" s="669"/>
      <c r="P11" s="698"/>
    </row>
    <row r="12" spans="1:20" s="3" customFormat="1" ht="15" thickBot="1" x14ac:dyDescent="0.25">
      <c r="A12" s="701" t="s">
        <v>35</v>
      </c>
      <c r="B12" s="611"/>
      <c r="C12" s="612">
        <f>5833899*D4/4</f>
        <v>1511854.92585</v>
      </c>
      <c r="D12" s="670"/>
      <c r="E12" s="670"/>
      <c r="F12" s="611">
        <f>SUM(B12:E12)</f>
        <v>1511854.92585</v>
      </c>
      <c r="G12" s="670"/>
      <c r="H12" s="710"/>
      <c r="I12" s="670"/>
      <c r="J12" s="670"/>
      <c r="K12" s="670"/>
      <c r="L12" s="670"/>
      <c r="M12" s="690">
        <f>+F12+G12+H12+I12+J12+K12+L12</f>
        <v>1511854.92585</v>
      </c>
      <c r="N12" s="690">
        <f>+'Ejecución gastos 2014'!M31</f>
        <v>8225132.878800001</v>
      </c>
      <c r="O12" s="690">
        <f t="shared" si="0"/>
        <v>1511854.92585</v>
      </c>
      <c r="P12" s="691">
        <f>+(O12-N12)/N12</f>
        <v>-0.81619082048549574</v>
      </c>
      <c r="Q12" s="697"/>
    </row>
    <row r="13" spans="1:20" s="3" customFormat="1" ht="15" x14ac:dyDescent="0.25">
      <c r="A13" s="692"/>
      <c r="B13" s="700" t="s">
        <v>58</v>
      </c>
      <c r="C13" s="694" t="s">
        <v>59</v>
      </c>
      <c r="D13" s="671"/>
      <c r="E13" s="671"/>
      <c r="F13" s="695"/>
      <c r="G13" s="671"/>
      <c r="H13" s="711"/>
      <c r="I13" s="671"/>
      <c r="J13" s="671"/>
      <c r="K13" s="671"/>
      <c r="L13" s="671"/>
      <c r="M13" s="669"/>
      <c r="N13" s="669"/>
      <c r="O13" s="669"/>
      <c r="P13" s="698"/>
      <c r="Q13" s="697"/>
    </row>
    <row r="14" spans="1:20" s="3" customFormat="1" ht="15" thickBot="1" x14ac:dyDescent="0.25">
      <c r="A14" s="701" t="s">
        <v>36</v>
      </c>
      <c r="B14" s="611">
        <f>(1121138*D4)/4</f>
        <v>290542.91269999999</v>
      </c>
      <c r="C14" s="612">
        <f>(4332899*4)*D4/4</f>
        <v>4491483.1033999994</v>
      </c>
      <c r="D14" s="670"/>
      <c r="E14" s="670"/>
      <c r="F14" s="611">
        <f>SUM(B14:E14)</f>
        <v>4782026.0160999997</v>
      </c>
      <c r="G14" s="611">
        <f>+'[23]III TRE PPC'!$B$19</f>
        <v>3500000</v>
      </c>
      <c r="H14" s="612"/>
      <c r="I14" s="670"/>
      <c r="J14" s="670"/>
      <c r="K14" s="670"/>
      <c r="L14" s="670"/>
      <c r="M14" s="690">
        <f>+F14+G14+H14+I14+J14+K14+L14</f>
        <v>8282026.0160999997</v>
      </c>
      <c r="N14" s="690">
        <f>+'Ejecución gastos 2014'!M23</f>
        <v>28052732.3028</v>
      </c>
      <c r="O14" s="690">
        <f>+M14</f>
        <v>8282026.0160999997</v>
      </c>
      <c r="P14" s="691">
        <f>+(O14-N14)/N14</f>
        <v>-0.70476936340089213</v>
      </c>
      <c r="Q14" s="697"/>
    </row>
    <row r="15" spans="1:20" s="3" customFormat="1" ht="15" x14ac:dyDescent="0.25">
      <c r="A15" s="692"/>
      <c r="B15" s="669" t="s">
        <v>485</v>
      </c>
      <c r="C15" s="669" t="s">
        <v>568</v>
      </c>
      <c r="D15" s="669" t="s">
        <v>56</v>
      </c>
      <c r="E15" s="693" t="s">
        <v>505</v>
      </c>
      <c r="F15" s="695"/>
      <c r="G15" s="669" t="s">
        <v>485</v>
      </c>
      <c r="H15" s="704" t="s">
        <v>485</v>
      </c>
      <c r="I15" s="669" t="s">
        <v>485</v>
      </c>
      <c r="J15" s="669" t="s">
        <v>485</v>
      </c>
      <c r="K15" s="669" t="s">
        <v>485</v>
      </c>
      <c r="L15" s="669" t="s">
        <v>485</v>
      </c>
      <c r="M15" s="669"/>
      <c r="N15" s="669"/>
      <c r="O15" s="669"/>
      <c r="P15" s="696"/>
      <c r="Q15" s="697"/>
    </row>
    <row r="16" spans="1:20" s="3" customFormat="1" ht="15" thickBot="1" x14ac:dyDescent="0.25">
      <c r="A16" s="701" t="s">
        <v>28</v>
      </c>
      <c r="B16" s="611">
        <f>7600000/4+6100000</f>
        <v>8000000</v>
      </c>
      <c r="C16" s="612">
        <f>(154931*D4)*4/4</f>
        <v>160601.47459999999</v>
      </c>
      <c r="D16" s="612">
        <f>4000000/4</f>
        <v>1000000</v>
      </c>
      <c r="E16" s="611">
        <f>(8040905*D4)/4</f>
        <v>2083800.5307499999</v>
      </c>
      <c r="F16" s="611">
        <f>SUM(B16:E16)</f>
        <v>11244402.005350001</v>
      </c>
      <c r="G16" s="611">
        <f t="shared" ref="G16:L16" si="1">7600000/4</f>
        <v>1900000</v>
      </c>
      <c r="H16" s="611">
        <f t="shared" si="1"/>
        <v>1900000</v>
      </c>
      <c r="I16" s="611">
        <f t="shared" si="1"/>
        <v>1900000</v>
      </c>
      <c r="J16" s="611">
        <f t="shared" si="1"/>
        <v>1900000</v>
      </c>
      <c r="K16" s="611">
        <f t="shared" si="1"/>
        <v>1900000</v>
      </c>
      <c r="L16" s="611">
        <f t="shared" si="1"/>
        <v>1900000</v>
      </c>
      <c r="M16" s="690">
        <f>+F16+G16+H16+I16+J16+K16+L16</f>
        <v>22644402.005350001</v>
      </c>
      <c r="N16" s="690">
        <f>+'Ejecución gastos 2014'!M27</f>
        <v>51014959.617600009</v>
      </c>
      <c r="O16" s="690">
        <f t="shared" si="0"/>
        <v>22644402.005350001</v>
      </c>
      <c r="P16" s="703">
        <f>+(O16-N16)/N16</f>
        <v>-0.55612231833390002</v>
      </c>
      <c r="Q16" s="697"/>
    </row>
    <row r="17" spans="1:18" s="3" customFormat="1" ht="15" x14ac:dyDescent="0.25">
      <c r="A17" s="692"/>
      <c r="B17" s="669" t="s">
        <v>60</v>
      </c>
      <c r="C17" s="669" t="s">
        <v>61</v>
      </c>
      <c r="D17" s="669" t="s">
        <v>62</v>
      </c>
      <c r="E17" s="669" t="s">
        <v>63</v>
      </c>
      <c r="F17" s="695"/>
      <c r="G17" s="672"/>
      <c r="H17" s="712"/>
      <c r="I17" s="672"/>
      <c r="J17" s="672"/>
      <c r="K17" s="672"/>
      <c r="L17" s="672"/>
      <c r="M17" s="669"/>
      <c r="N17" s="669"/>
      <c r="O17" s="669"/>
      <c r="P17" s="698"/>
      <c r="Q17" s="697"/>
    </row>
    <row r="18" spans="1:18" s="3" customFormat="1" ht="15" thickBot="1" x14ac:dyDescent="0.25">
      <c r="A18" s="701" t="s">
        <v>37</v>
      </c>
      <c r="B18" s="611">
        <f>(8354187*D4)/4</f>
        <v>2164987.5610500001</v>
      </c>
      <c r="C18" s="612">
        <f>(3654957*D4)/4</f>
        <v>947182.10655000003</v>
      </c>
      <c r="D18" s="612">
        <f>(10442734*D4)/4</f>
        <v>2706234.5161000001</v>
      </c>
      <c r="E18" s="611">
        <f>(4177093*D4)/4</f>
        <v>1082493.6509499999</v>
      </c>
      <c r="F18" s="611">
        <f>SUM(B18:E18)</f>
        <v>6900897.8346500006</v>
      </c>
      <c r="G18" s="611">
        <f>8760000/4</f>
        <v>2190000</v>
      </c>
      <c r="H18" s="612"/>
      <c r="I18" s="612">
        <f>(9398460*D4)/4</f>
        <v>2435610.909</v>
      </c>
      <c r="J18" s="612">
        <f>+(3654957)*D4/4</f>
        <v>947182.10655000003</v>
      </c>
      <c r="K18" s="612">
        <f>(1566410*D4)/4</f>
        <v>405935.15149999998</v>
      </c>
      <c r="L18" s="611">
        <f>(9398460*D4)/4</f>
        <v>2435610.909</v>
      </c>
      <c r="M18" s="690">
        <f>+F18+G18+H18+I18+J18+K18+L18</f>
        <v>15315236.910700001</v>
      </c>
      <c r="N18" s="690">
        <f>+'Ejecución gastos 2014'!M32</f>
        <v>57956355.960000008</v>
      </c>
      <c r="O18" s="690">
        <f t="shared" si="0"/>
        <v>15315236.910700001</v>
      </c>
      <c r="P18" s="691">
        <f>+(O18-N18)/N18</f>
        <v>-0.73574534394001267</v>
      </c>
      <c r="Q18" s="697"/>
    </row>
    <row r="19" spans="1:18" s="3" customFormat="1" ht="15" x14ac:dyDescent="0.25">
      <c r="A19" s="692"/>
      <c r="B19" s="669" t="s">
        <v>154</v>
      </c>
      <c r="C19" s="694" t="s">
        <v>64</v>
      </c>
      <c r="D19" s="669"/>
      <c r="E19" s="669"/>
      <c r="F19" s="695"/>
      <c r="G19" s="669"/>
      <c r="H19" s="694"/>
      <c r="I19" s="673"/>
      <c r="J19" s="673"/>
      <c r="K19" s="673"/>
      <c r="L19" s="673"/>
      <c r="M19" s="669"/>
      <c r="N19" s="669"/>
      <c r="O19" s="669"/>
      <c r="P19" s="698"/>
      <c r="Q19" s="697"/>
      <c r="R19" s="697"/>
    </row>
    <row r="20" spans="1:18" s="3" customFormat="1" ht="15" thickBot="1" x14ac:dyDescent="0.25">
      <c r="A20" s="701" t="s">
        <v>29</v>
      </c>
      <c r="B20" s="611">
        <f>((38877505/12)*D4*12/4)</f>
        <v>10075105.42075</v>
      </c>
      <c r="C20" s="612">
        <f>((8148529/12)*D4*12/4)</f>
        <v>2111691.2903499999</v>
      </c>
      <c r="D20" s="611"/>
      <c r="E20" s="611"/>
      <c r="F20" s="611">
        <f>SUM(B20:E20)</f>
        <v>12186796.711099999</v>
      </c>
      <c r="G20" s="611">
        <f>+'[23]III TRE PPC'!$B$21</f>
        <v>2320000</v>
      </c>
      <c r="H20" s="612"/>
      <c r="I20" s="611">
        <f>+'[24]A Económica'!$E$17</f>
        <v>750000</v>
      </c>
      <c r="J20" s="670"/>
      <c r="K20" s="670"/>
      <c r="L20" s="611">
        <f>+'[27]Anexo 2 '!$H$25</f>
        <v>4000000</v>
      </c>
      <c r="M20" s="690">
        <f>+F20+G20+H20+I20+J20+K20+L20</f>
        <v>19256796.711099997</v>
      </c>
      <c r="N20" s="690">
        <f>+'Ejecución gastos 2014'!M33</f>
        <v>75996914.165399998</v>
      </c>
      <c r="O20" s="690">
        <f t="shared" si="0"/>
        <v>19256796.711099997</v>
      </c>
      <c r="P20" s="691">
        <f>+(O20-N20)/N20</f>
        <v>-0.74661080752319198</v>
      </c>
      <c r="Q20" s="697"/>
    </row>
    <row r="21" spans="1:18" s="3" customFormat="1" ht="15" x14ac:dyDescent="0.25">
      <c r="A21" s="692"/>
      <c r="B21" s="669" t="s">
        <v>65</v>
      </c>
      <c r="C21" s="705"/>
      <c r="D21" s="706"/>
      <c r="E21" s="673"/>
      <c r="F21" s="695"/>
      <c r="G21" s="673"/>
      <c r="H21" s="713"/>
      <c r="I21" s="673"/>
      <c r="J21" s="673"/>
      <c r="K21" s="673"/>
      <c r="L21" s="673"/>
      <c r="M21" s="669"/>
      <c r="N21" s="669"/>
      <c r="O21" s="669"/>
      <c r="P21" s="698"/>
      <c r="Q21" s="697"/>
    </row>
    <row r="22" spans="1:18" s="3" customFormat="1" ht="15" thickBot="1" x14ac:dyDescent="0.25">
      <c r="A22" s="701" t="s">
        <v>148</v>
      </c>
      <c r="B22" s="611">
        <f>6250000+4000000</f>
        <v>10250000</v>
      </c>
      <c r="C22" s="699"/>
      <c r="D22" s="670"/>
      <c r="E22" s="670"/>
      <c r="F22" s="611">
        <f>SUM(B22:E22)</f>
        <v>10250000</v>
      </c>
      <c r="G22" s="674">
        <f>+'[23]III TRE PPC'!$B$8</f>
        <v>81000000</v>
      </c>
      <c r="H22" s="714"/>
      <c r="I22" s="674">
        <f>+'[24]A Económica'!$E$15</f>
        <v>4500000</v>
      </c>
      <c r="J22" s="674">
        <f>+[25]Técnica!$H$8</f>
        <v>4087624.52085</v>
      </c>
      <c r="K22" s="674">
        <f>+'[26]SOLICITUD III TRIMESTRE'!$G$24</f>
        <v>1929613</v>
      </c>
      <c r="L22" s="674">
        <f>+'[27]Anexo 2 '!$H$22</f>
        <v>4000000</v>
      </c>
      <c r="M22" s="690">
        <f>+F22+G22+H22+I22+J22+K22+L22</f>
        <v>105767237.52085</v>
      </c>
      <c r="N22" s="690">
        <f>+'Ejecución gastos 2014'!M30</f>
        <v>343946585.69599998</v>
      </c>
      <c r="O22" s="690">
        <f t="shared" si="0"/>
        <v>105767237.52085</v>
      </c>
      <c r="P22" s="691">
        <f>+(O22-N22)/N22</f>
        <v>-0.69248935177878679</v>
      </c>
      <c r="Q22" s="697"/>
    </row>
    <row r="23" spans="1:18" s="3" customFormat="1" ht="15" x14ac:dyDescent="0.25">
      <c r="A23" s="692"/>
      <c r="B23" s="669" t="s">
        <v>149</v>
      </c>
      <c r="C23" s="694" t="s">
        <v>659</v>
      </c>
      <c r="D23" s="673"/>
      <c r="E23" s="673"/>
      <c r="F23" s="695"/>
      <c r="G23" s="673"/>
      <c r="H23" s="713"/>
      <c r="I23" s="673"/>
      <c r="J23" s="673"/>
      <c r="K23" s="673"/>
      <c r="L23" s="673"/>
      <c r="M23" s="669"/>
      <c r="N23" s="669"/>
      <c r="O23" s="669"/>
      <c r="P23" s="698"/>
      <c r="Q23" s="697"/>
    </row>
    <row r="24" spans="1:18" s="3" customFormat="1" ht="15" thickBot="1" x14ac:dyDescent="0.25">
      <c r="A24" s="701" t="s">
        <v>119</v>
      </c>
      <c r="B24" s="611">
        <f>(8124186*D4)/4</f>
        <v>2105382.8018999998</v>
      </c>
      <c r="C24" s="612">
        <f>(2803386*D4)/4</f>
        <v>726497.48190000001</v>
      </c>
      <c r="D24" s="670"/>
      <c r="E24" s="670"/>
      <c r="F24" s="611">
        <f>SUM(B24:E24)</f>
        <v>2831880.2837999999</v>
      </c>
      <c r="G24" s="674">
        <f>+'[23]III TRE PPC'!$B$16</f>
        <v>3000000</v>
      </c>
      <c r="H24" s="714">
        <f>+'[23]III SANIDAD'!$D$5</f>
        <v>2400000</v>
      </c>
      <c r="I24" s="674">
        <f>+'[24]A Económica'!$E$10</f>
        <v>3000000</v>
      </c>
      <c r="J24" s="674"/>
      <c r="K24" s="674"/>
      <c r="L24" s="674"/>
      <c r="M24" s="611">
        <f>+F24+G24+H24+I24+J24+K24+L24</f>
        <v>11231880.2838</v>
      </c>
      <c r="N24" s="690">
        <f>+'Ejecución gastos 2014'!M22</f>
        <v>54565746.665527999</v>
      </c>
      <c r="O24" s="690">
        <f t="shared" si="0"/>
        <v>11231880.2838</v>
      </c>
      <c r="P24" s="691">
        <f>+(O24-N24)/N24</f>
        <v>-0.7941587723036555</v>
      </c>
      <c r="Q24" s="697"/>
    </row>
    <row r="25" spans="1:18" s="3" customFormat="1" ht="15" x14ac:dyDescent="0.25">
      <c r="A25" s="692"/>
      <c r="B25" s="669" t="s">
        <v>253</v>
      </c>
      <c r="C25" s="694"/>
      <c r="D25" s="669"/>
      <c r="E25" s="673"/>
      <c r="F25" s="695"/>
      <c r="G25" s="673"/>
      <c r="H25" s="713"/>
      <c r="I25" s="673"/>
      <c r="J25" s="673"/>
      <c r="K25" s="673"/>
      <c r="L25" s="673"/>
      <c r="M25" s="669"/>
      <c r="N25" s="669"/>
      <c r="O25" s="669"/>
      <c r="P25" s="698"/>
      <c r="Q25" s="697"/>
    </row>
    <row r="26" spans="1:18" s="3" customFormat="1" ht="15" thickBot="1" x14ac:dyDescent="0.25">
      <c r="A26" s="701" t="s">
        <v>30</v>
      </c>
      <c r="B26" s="611">
        <f>(25485000*D4+(20400000))/4</f>
        <v>11704437.75</v>
      </c>
      <c r="C26" s="702"/>
      <c r="D26" s="611"/>
      <c r="E26" s="670"/>
      <c r="F26" s="611">
        <f>SUM(B26:E26)</f>
        <v>11704437.75</v>
      </c>
      <c r="G26" s="674">
        <f>+'[23]III TRE PPC'!$B$17</f>
        <v>63000000</v>
      </c>
      <c r="H26" s="714">
        <f>+'[23]III SANIDAD'!$D$6</f>
        <v>3000000</v>
      </c>
      <c r="I26" s="674">
        <f>+'[24]A Económica'!$E$11</f>
        <v>12000000</v>
      </c>
      <c r="J26" s="674">
        <f>+[25]Técnica!$H$7</f>
        <v>2643237.5</v>
      </c>
      <c r="K26" s="674">
        <f>+'[26]SOLICITUD III TRIMESTRE'!$G$25</f>
        <v>1586000</v>
      </c>
      <c r="L26" s="674">
        <f>+'[27]Anexo 2 '!$H$16</f>
        <v>2499655</v>
      </c>
      <c r="M26" s="611">
        <f>+F26+G26+H26+I26+J26+K26+L26</f>
        <v>96433330.25</v>
      </c>
      <c r="N26" s="690">
        <f>+'Ejecución gastos 2014'!M24</f>
        <v>276216906.82255203</v>
      </c>
      <c r="O26" s="690">
        <f t="shared" si="0"/>
        <v>96433330.25</v>
      </c>
      <c r="P26" s="691">
        <f>+(O26-N26)/N26</f>
        <v>-0.6508782486947805</v>
      </c>
      <c r="Q26" s="697"/>
    </row>
    <row r="27" spans="1:18" s="3" customFormat="1" ht="15" x14ac:dyDescent="0.25">
      <c r="A27" s="692"/>
      <c r="B27" s="669" t="s">
        <v>66</v>
      </c>
      <c r="C27" s="694" t="s">
        <v>67</v>
      </c>
      <c r="D27" s="673"/>
      <c r="E27" s="673"/>
      <c r="F27" s="695"/>
      <c r="G27" s="673"/>
      <c r="H27" s="713"/>
      <c r="I27" s="673"/>
      <c r="J27" s="673"/>
      <c r="K27" s="673"/>
      <c r="L27" s="673"/>
      <c r="M27" s="669"/>
      <c r="N27" s="669"/>
      <c r="O27" s="669"/>
      <c r="P27" s="698"/>
      <c r="Q27" s="697"/>
    </row>
    <row r="28" spans="1:18" s="3" customFormat="1" ht="15" thickBot="1" x14ac:dyDescent="0.25">
      <c r="A28" s="701" t="s">
        <v>33</v>
      </c>
      <c r="B28" s="611">
        <f>(3812901*D4)/4</f>
        <v>988113.29414999997</v>
      </c>
      <c r="C28" s="612">
        <f>(563277*D4)/4</f>
        <v>145973.23454999999</v>
      </c>
      <c r="D28" s="611"/>
      <c r="E28" s="670"/>
      <c r="F28" s="611">
        <f>SUM(B28:E28)</f>
        <v>1134086.5286999999</v>
      </c>
      <c r="G28" s="611">
        <f>+'[23]III TRE PPC'!$B$18</f>
        <v>750000</v>
      </c>
      <c r="H28" s="612">
        <f>+'[23]III SANIDAD'!$D$7</f>
        <v>300000</v>
      </c>
      <c r="I28" s="611">
        <f>+'[24]A Económica'!$E$12</f>
        <v>700000</v>
      </c>
      <c r="J28" s="611">
        <f>+[25]Técnica!$H$9</f>
        <v>638441.93999999994</v>
      </c>
      <c r="K28" s="611">
        <f>+'[26]SOLICITUD III TRIMESTRE'!$G$27</f>
        <v>513250</v>
      </c>
      <c r="L28" s="611">
        <f>+'[27]Anexo 2 '!$H$17</f>
        <v>602658</v>
      </c>
      <c r="M28" s="611">
        <f>+F28+G28+H28+I28+J28+K28+L28</f>
        <v>4638436.4686999992</v>
      </c>
      <c r="N28" s="690">
        <f>+'Ejecución gastos 2014'!M25</f>
        <v>15619689.163000001</v>
      </c>
      <c r="O28" s="690">
        <f t="shared" si="0"/>
        <v>4638436.4686999992</v>
      </c>
      <c r="P28" s="691">
        <f>+(O28-N28)/N28</f>
        <v>-0.70303913091384995</v>
      </c>
      <c r="Q28" s="697"/>
    </row>
    <row r="29" spans="1:18" s="3" customFormat="1" ht="15" x14ac:dyDescent="0.25">
      <c r="A29" s="692"/>
      <c r="B29" s="669" t="s">
        <v>68</v>
      </c>
      <c r="C29" s="694" t="s">
        <v>69</v>
      </c>
      <c r="D29" s="707" t="s">
        <v>199</v>
      </c>
      <c r="E29" s="673"/>
      <c r="F29" s="695"/>
      <c r="G29" s="669"/>
      <c r="H29" s="694"/>
      <c r="I29" s="673"/>
      <c r="J29" s="673"/>
      <c r="K29" s="673"/>
      <c r="L29" s="673"/>
      <c r="M29" s="669"/>
      <c r="N29" s="669"/>
      <c r="O29" s="669"/>
      <c r="P29" s="698"/>
      <c r="Q29" s="697"/>
    </row>
    <row r="30" spans="1:18" s="3" customFormat="1" ht="15" thickBot="1" x14ac:dyDescent="0.25">
      <c r="A30" s="701" t="s">
        <v>38</v>
      </c>
      <c r="B30" s="611">
        <f>+(15000000)/4</f>
        <v>3750000</v>
      </c>
      <c r="C30" s="612">
        <f>+(2000000)/4</f>
        <v>500000</v>
      </c>
      <c r="D30" s="612">
        <f>+(5000000)/4</f>
        <v>1250000</v>
      </c>
      <c r="E30" s="670"/>
      <c r="F30" s="611">
        <f>SUM(B30:E30)</f>
        <v>5500000</v>
      </c>
      <c r="G30" s="611">
        <v>15000000</v>
      </c>
      <c r="H30" s="612">
        <f>+'[23]III SANIDAD'!$D$8</f>
        <v>375000</v>
      </c>
      <c r="I30" s="612">
        <v>540000</v>
      </c>
      <c r="J30" s="611">
        <f>+[25]Técnica!$H$10</f>
        <v>500000</v>
      </c>
      <c r="K30" s="611">
        <f>+'[26]SOLICITUD III TRIMESTRE'!$G$26</f>
        <v>1000000</v>
      </c>
      <c r="L30" s="670"/>
      <c r="M30" s="690">
        <f>+F30+G30+H30+I30+J30+K30+L30</f>
        <v>22915000</v>
      </c>
      <c r="N30" s="690">
        <f>+'Ejecución gastos 2014'!M28</f>
        <v>70000000</v>
      </c>
      <c r="O30" s="690">
        <f t="shared" si="0"/>
        <v>22915000</v>
      </c>
      <c r="P30" s="691">
        <f>+(O30-N30)/N30</f>
        <v>-0.6726428571428571</v>
      </c>
      <c r="Q30" s="697"/>
    </row>
    <row r="31" spans="1:18" s="3" customFormat="1" ht="15" x14ac:dyDescent="0.25">
      <c r="A31" s="692"/>
      <c r="B31" s="669" t="s">
        <v>70</v>
      </c>
      <c r="C31" s="694" t="s">
        <v>152</v>
      </c>
      <c r="D31" s="669" t="s">
        <v>153</v>
      </c>
      <c r="E31" s="669"/>
      <c r="F31" s="695"/>
      <c r="G31" s="673"/>
      <c r="H31" s="713"/>
      <c r="I31" s="673"/>
      <c r="J31" s="673"/>
      <c r="K31" s="673"/>
      <c r="L31" s="673"/>
      <c r="M31" s="669"/>
      <c r="N31" s="669"/>
      <c r="O31" s="669"/>
      <c r="P31" s="698"/>
      <c r="Q31" s="697"/>
    </row>
    <row r="32" spans="1:18" s="3" customFormat="1" ht="15" thickBot="1" x14ac:dyDescent="0.25">
      <c r="A32" s="701" t="s">
        <v>39</v>
      </c>
      <c r="B32" s="611">
        <f>(13431986*D4)/4</f>
        <v>3480899.1719</v>
      </c>
      <c r="C32" s="612">
        <f>(4495383*D4)/4</f>
        <v>1164978.5044499999</v>
      </c>
      <c r="D32" s="612">
        <f>((463780*5)*D4/4)</f>
        <v>600942.93499999994</v>
      </c>
      <c r="E32" s="611"/>
      <c r="F32" s="611">
        <f>SUM(B32:E32)</f>
        <v>5246820.611349999</v>
      </c>
      <c r="G32" s="670"/>
      <c r="H32" s="710"/>
      <c r="I32" s="670"/>
      <c r="J32" s="670"/>
      <c r="K32" s="670"/>
      <c r="L32" s="670"/>
      <c r="M32" s="690">
        <f>+F32+G32+H32+I32+J32+K32+L32</f>
        <v>5246820.611349999</v>
      </c>
      <c r="N32" s="690">
        <f>+'Ejecución gastos 2014'!M35</f>
        <v>20202139.933800001</v>
      </c>
      <c r="O32" s="690">
        <f t="shared" si="0"/>
        <v>5246820.611349999</v>
      </c>
      <c r="P32" s="691">
        <f>+(O32-N32)/N32</f>
        <v>-0.74028391900347168</v>
      </c>
      <c r="Q32" s="697"/>
    </row>
    <row r="33" spans="1:20" s="3" customFormat="1" ht="15" x14ac:dyDescent="0.25">
      <c r="A33" s="692"/>
      <c r="B33" s="669" t="s">
        <v>71</v>
      </c>
      <c r="C33" s="705"/>
      <c r="D33" s="673"/>
      <c r="E33" s="673"/>
      <c r="F33" s="695"/>
      <c r="G33" s="669"/>
      <c r="H33" s="704"/>
      <c r="I33" s="673"/>
      <c r="J33" s="673"/>
      <c r="K33" s="673"/>
      <c r="L33" s="673"/>
      <c r="M33" s="669"/>
      <c r="N33" s="669"/>
      <c r="O33" s="669"/>
      <c r="P33" s="698"/>
      <c r="Q33" s="697"/>
    </row>
    <row r="34" spans="1:20" s="3" customFormat="1" ht="15" thickBot="1" x14ac:dyDescent="0.25">
      <c r="A34" s="701" t="s">
        <v>40</v>
      </c>
      <c r="B34" s="611">
        <f>+(87550663/4)</f>
        <v>21887665.75</v>
      </c>
      <c r="C34" s="699"/>
      <c r="D34" s="670"/>
      <c r="E34" s="670"/>
      <c r="F34" s="611">
        <f>SUM(B34:E34)</f>
        <v>21887665.75</v>
      </c>
      <c r="G34" s="611">
        <f>57600000/4</f>
        <v>14400000</v>
      </c>
      <c r="H34" s="612"/>
      <c r="I34" s="611"/>
      <c r="J34" s="611"/>
      <c r="K34" s="611"/>
      <c r="L34" s="611"/>
      <c r="M34" s="690">
        <f>+F34+G34+H34+I34+J34+K34+L34</f>
        <v>36287665.75</v>
      </c>
      <c r="N34" s="690">
        <f>+'Ejecución gastos 2014'!M29</f>
        <v>145150663</v>
      </c>
      <c r="O34" s="690">
        <f t="shared" si="0"/>
        <v>36287665.75</v>
      </c>
      <c r="P34" s="691">
        <f>+(O34-N34)/N34</f>
        <v>-0.75</v>
      </c>
      <c r="Q34" s="697"/>
    </row>
    <row r="35" spans="1:20" s="3" customFormat="1" ht="15" x14ac:dyDescent="0.25">
      <c r="A35" s="692"/>
      <c r="B35" s="669" t="s">
        <v>194</v>
      </c>
      <c r="C35" s="687" t="s">
        <v>195</v>
      </c>
      <c r="D35" s="669" t="s">
        <v>196</v>
      </c>
      <c r="E35" s="673"/>
      <c r="F35" s="695"/>
      <c r="G35" s="673"/>
      <c r="H35" s="713"/>
      <c r="I35" s="673"/>
      <c r="J35" s="673"/>
      <c r="K35" s="673"/>
      <c r="L35" s="673"/>
      <c r="M35" s="669"/>
      <c r="N35" s="669"/>
      <c r="O35" s="669"/>
      <c r="P35" s="698"/>
      <c r="Q35" s="697"/>
    </row>
    <row r="36" spans="1:20" s="3" customFormat="1" ht="15" thickBot="1" x14ac:dyDescent="0.25">
      <c r="A36" s="701" t="s">
        <v>41</v>
      </c>
      <c r="B36" s="611">
        <v>33153964</v>
      </c>
      <c r="C36" s="612"/>
      <c r="D36" s="612"/>
      <c r="E36" s="670"/>
      <c r="F36" s="611">
        <f>SUM(B36:E36)</f>
        <v>33153964</v>
      </c>
      <c r="G36" s="670"/>
      <c r="H36" s="710"/>
      <c r="I36" s="670"/>
      <c r="J36" s="670"/>
      <c r="K36" s="670"/>
      <c r="L36" s="670"/>
      <c r="M36" s="690">
        <f>+F36+G36+H36+I36+J36+K36+L36</f>
        <v>33153964</v>
      </c>
      <c r="N36" s="690">
        <f>+'Ejecución gastos 2014'!M34</f>
        <v>44009060.740200005</v>
      </c>
      <c r="O36" s="690">
        <f t="shared" si="0"/>
        <v>33153964</v>
      </c>
      <c r="P36" s="691">
        <f>+(O36-N36)/N36</f>
        <v>-0.246655951243341</v>
      </c>
      <c r="Q36" s="697"/>
    </row>
    <row r="37" spans="1:20" ht="15.75" thickBot="1" x14ac:dyDescent="0.3">
      <c r="A37" s="104" t="s">
        <v>72</v>
      </c>
      <c r="B37" s="104">
        <f>SUM(B7:B36)</f>
        <v>112851098.66245</v>
      </c>
      <c r="C37" s="104">
        <f>SUM(C7:C36)</f>
        <v>16760262.121649999</v>
      </c>
      <c r="D37" s="104">
        <f>SUM(D7:D36)</f>
        <v>5557177.4511000002</v>
      </c>
      <c r="E37" s="104">
        <f>SUM(E7:E36)</f>
        <v>8545044.1817000005</v>
      </c>
      <c r="F37" s="104">
        <f>SUM(F7:F36)</f>
        <v>148713582.41690001</v>
      </c>
      <c r="G37" s="160">
        <f>+G34+G30+G28+G26+G24+G22+G20+G18+G14+G17+G16+G10</f>
        <v>190060000</v>
      </c>
      <c r="H37" s="160">
        <f>SUM(H7:H36)</f>
        <v>7975000</v>
      </c>
      <c r="I37" s="160">
        <f>SUM(I7:I36)</f>
        <v>25825610.909000002</v>
      </c>
      <c r="J37" s="160">
        <f>SUM(J7:J36)</f>
        <v>12716486.067399999</v>
      </c>
      <c r="K37" s="160">
        <f>SUM(K10:K36)</f>
        <v>7334798.1514999997</v>
      </c>
      <c r="L37" s="160">
        <f>SUM(L10:L36)</f>
        <v>15437923.909</v>
      </c>
      <c r="M37" s="160">
        <f>+M36+M34+M32+M30+M28+M26+M24+M22+M20+M18+M16+M14+M12+M10+M8</f>
        <v>408063401.45379996</v>
      </c>
      <c r="N37" s="167">
        <f>SUM(N8:N36)</f>
        <v>1780157046.5030801</v>
      </c>
      <c r="O37" s="167">
        <f>SUM(O8:O36)</f>
        <v>408063401.45380002</v>
      </c>
      <c r="P37" s="235">
        <f>+(O37-N37)/N37</f>
        <v>-0.77077112255045421</v>
      </c>
      <c r="Q37" s="193"/>
      <c r="R37" s="126"/>
      <c r="S37" s="126"/>
      <c r="T37" s="126"/>
    </row>
    <row r="38" spans="1:20" ht="16.5" x14ac:dyDescent="0.3">
      <c r="A38" s="199"/>
      <c r="B38" s="199"/>
      <c r="C38" s="200"/>
      <c r="D38" s="164"/>
      <c r="E38" s="164"/>
      <c r="F38" s="164"/>
      <c r="G38" s="164"/>
      <c r="H38" s="164"/>
      <c r="I38" s="164"/>
      <c r="J38" s="164"/>
      <c r="K38" s="164"/>
      <c r="L38" s="164"/>
      <c r="M38" s="199"/>
      <c r="N38" s="199"/>
      <c r="O38" s="199"/>
      <c r="P38" s="199"/>
      <c r="Q38" s="201"/>
      <c r="R38" s="126"/>
      <c r="S38" s="126"/>
      <c r="T38" s="126"/>
    </row>
    <row r="39" spans="1:20" ht="16.5" x14ac:dyDescent="0.3">
      <c r="A39" s="199"/>
      <c r="B39" s="199"/>
      <c r="C39" s="200"/>
      <c r="D39" s="164"/>
      <c r="E39" s="164"/>
      <c r="F39" s="164"/>
      <c r="G39" s="164"/>
      <c r="H39" s="164"/>
      <c r="I39" s="164"/>
      <c r="J39" s="164"/>
      <c r="K39" s="164"/>
      <c r="L39" s="164"/>
      <c r="M39" s="199"/>
      <c r="N39" s="199"/>
      <c r="O39" s="199"/>
      <c r="P39" s="199"/>
      <c r="Q39" s="201"/>
      <c r="R39" s="126"/>
      <c r="S39" s="126"/>
      <c r="T39" s="126"/>
    </row>
    <row r="40" spans="1:20" ht="16.5" x14ac:dyDescent="0.3">
      <c r="A40" s="162"/>
      <c r="B40" s="162"/>
      <c r="C40" s="163"/>
      <c r="D40" s="164"/>
      <c r="E40" s="164"/>
      <c r="F40" s="165"/>
      <c r="G40" s="164"/>
      <c r="H40" s="164"/>
      <c r="I40" s="164"/>
      <c r="J40" s="164"/>
      <c r="K40" s="164"/>
      <c r="L40" s="164"/>
      <c r="M40" s="162"/>
      <c r="N40" s="162"/>
      <c r="O40" s="162"/>
      <c r="P40" s="162"/>
      <c r="Q40" s="126"/>
      <c r="R40" s="126"/>
      <c r="S40" s="126"/>
      <c r="T40" s="126"/>
    </row>
    <row r="41" spans="1:20" ht="16.5" x14ac:dyDescent="0.3">
      <c r="A41" s="162"/>
      <c r="B41" s="162"/>
      <c r="C41" s="163"/>
      <c r="D41" s="164"/>
      <c r="E41" s="164"/>
      <c r="F41" s="165"/>
      <c r="G41" s="165"/>
      <c r="H41" s="165"/>
      <c r="I41" s="165"/>
      <c r="J41" s="165"/>
      <c r="K41" s="165"/>
      <c r="L41" s="165"/>
      <c r="M41" s="162"/>
      <c r="N41" s="162"/>
      <c r="O41" s="162"/>
      <c r="P41" s="162"/>
      <c r="Q41" s="126"/>
      <c r="R41" s="126"/>
      <c r="S41" s="126"/>
      <c r="T41" s="126"/>
    </row>
    <row r="42" spans="1:20" ht="16.5" x14ac:dyDescent="0.3">
      <c r="A42" s="162"/>
      <c r="B42" s="162"/>
      <c r="C42" s="163"/>
      <c r="D42" s="164"/>
      <c r="E42" s="164"/>
      <c r="F42" s="165"/>
      <c r="G42" s="165"/>
      <c r="H42" s="165"/>
      <c r="I42" s="165"/>
      <c r="J42" s="165"/>
      <c r="K42" s="165"/>
      <c r="L42" s="165"/>
      <c r="M42" s="162"/>
      <c r="N42" s="162"/>
      <c r="O42" s="162"/>
      <c r="P42" s="162"/>
      <c r="Q42" s="126"/>
      <c r="R42" s="126"/>
      <c r="S42" s="126"/>
      <c r="T42" s="126"/>
    </row>
    <row r="43" spans="1:20" ht="16.5" x14ac:dyDescent="0.3">
      <c r="A43" s="162"/>
      <c r="B43" s="162"/>
      <c r="C43" s="165"/>
      <c r="D43" s="164"/>
      <c r="E43" s="164"/>
      <c r="F43" s="164"/>
      <c r="G43" s="164"/>
      <c r="H43" s="164"/>
      <c r="I43" s="164"/>
      <c r="J43" s="164"/>
      <c r="K43" s="164"/>
      <c r="M43" s="162"/>
      <c r="N43" s="162"/>
      <c r="O43" s="162"/>
      <c r="P43" s="162"/>
      <c r="Q43" s="126"/>
      <c r="R43" s="126"/>
      <c r="S43" s="126"/>
      <c r="T43" s="126"/>
    </row>
    <row r="44" spans="1:20" ht="16.5" x14ac:dyDescent="0.3">
      <c r="A44" s="162"/>
      <c r="B44" s="162"/>
      <c r="C44" s="165"/>
      <c r="D44" s="166"/>
      <c r="E44" s="165"/>
      <c r="F44" s="165"/>
      <c r="G44" s="162"/>
      <c r="H44" s="162"/>
      <c r="I44" s="162"/>
      <c r="J44" s="162"/>
      <c r="K44" s="162"/>
      <c r="M44" s="162"/>
      <c r="N44" s="162"/>
      <c r="O44" s="162"/>
      <c r="P44" s="162"/>
    </row>
    <row r="45" spans="1:20" ht="16.5" x14ac:dyDescent="0.3">
      <c r="A45" s="162"/>
      <c r="B45" s="162"/>
      <c r="C45" s="11"/>
      <c r="D45" s="11"/>
      <c r="E45" s="11"/>
      <c r="F45" s="11"/>
      <c r="G45" s="8"/>
      <c r="H45" s="8"/>
      <c r="I45" s="8"/>
      <c r="J45" s="8"/>
      <c r="K45" s="8"/>
      <c r="M45" s="8"/>
      <c r="N45" s="6"/>
      <c r="O45" s="6"/>
      <c r="P45" s="6"/>
    </row>
    <row r="46" spans="1:20" ht="16.5" x14ac:dyDescent="0.3">
      <c r="A46" s="8"/>
      <c r="B46" s="8"/>
      <c r="C46" s="11"/>
      <c r="D46" s="11"/>
      <c r="E46" s="11"/>
      <c r="F46" s="11"/>
      <c r="G46" s="8"/>
      <c r="H46" s="8"/>
      <c r="I46" s="8"/>
      <c r="J46" s="8"/>
      <c r="K46" s="8"/>
      <c r="M46" s="8"/>
      <c r="N46" s="6"/>
      <c r="O46" s="6"/>
      <c r="P46" s="6"/>
    </row>
    <row r="47" spans="1:20" ht="16.5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6"/>
      <c r="O47" s="6"/>
      <c r="P47" s="6"/>
    </row>
    <row r="48" spans="1:20" ht="16.5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6"/>
      <c r="O48" s="6"/>
      <c r="P48" s="6"/>
    </row>
    <row r="49" spans="1:16" ht="16.5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6"/>
      <c r="O49" s="6"/>
      <c r="P49" s="6"/>
    </row>
    <row r="50" spans="1:1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x14ac:dyDescent="0.2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x14ac:dyDescent="0.2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x14ac:dyDescent="0.2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x14ac:dyDescent="0.2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x14ac:dyDescent="0.2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x14ac:dyDescent="0.2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x14ac:dyDescent="0.2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x14ac:dyDescent="0.2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x14ac:dyDescent="0.2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x14ac:dyDescent="0.2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x14ac:dyDescent="0.2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x14ac:dyDescent="0.2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x14ac:dyDescent="0.2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x14ac:dyDescent="0.2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x14ac:dyDescent="0.2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x14ac:dyDescent="0.2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x14ac:dyDescent="0.2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x14ac:dyDescent="0.2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 x14ac:dyDescent="0.2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 x14ac:dyDescent="0.2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 x14ac:dyDescent="0.2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 x14ac:dyDescent="0.2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 x14ac:dyDescent="0.2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 x14ac:dyDescent="0.2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 x14ac:dyDescent="0.2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 x14ac:dyDescent="0.2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 x14ac:dyDescent="0.2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 x14ac:dyDescent="0.2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 x14ac:dyDescent="0.2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 x14ac:dyDescent="0.2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 x14ac:dyDescent="0.2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 x14ac:dyDescent="0.2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 x14ac:dyDescent="0.2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 x14ac:dyDescent="0.2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 x14ac:dyDescent="0.2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 x14ac:dyDescent="0.2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 x14ac:dyDescent="0.2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 x14ac:dyDescent="0.2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 x14ac:dyDescent="0.2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 x14ac:dyDescent="0.2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 x14ac:dyDescent="0.2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 x14ac:dyDescent="0.2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 x14ac:dyDescent="0.2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 x14ac:dyDescent="0.2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 x14ac:dyDescent="0.2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 x14ac:dyDescent="0.2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 x14ac:dyDescent="0.2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 x14ac:dyDescent="0.2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 x14ac:dyDescent="0.2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 x14ac:dyDescent="0.2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 x14ac:dyDescent="0.2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 x14ac:dyDescent="0.2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 x14ac:dyDescent="0.2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 x14ac:dyDescent="0.2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 x14ac:dyDescent="0.2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 x14ac:dyDescent="0.2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 x14ac:dyDescent="0.2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 x14ac:dyDescent="0.2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 x14ac:dyDescent="0.2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 x14ac:dyDescent="0.2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 x14ac:dyDescent="0.2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 x14ac:dyDescent="0.2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 x14ac:dyDescent="0.2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 x14ac:dyDescent="0.2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 x14ac:dyDescent="0.2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 x14ac:dyDescent="0.2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 x14ac:dyDescent="0.2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 x14ac:dyDescent="0.2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 x14ac:dyDescent="0.2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 x14ac:dyDescent="0.2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 x14ac:dyDescent="0.2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 x14ac:dyDescent="0.2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 x14ac:dyDescent="0.2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 x14ac:dyDescent="0.2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 x14ac:dyDescent="0.2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 x14ac:dyDescent="0.2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 x14ac:dyDescent="0.2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 x14ac:dyDescent="0.2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 x14ac:dyDescent="0.2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 x14ac:dyDescent="0.2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 x14ac:dyDescent="0.2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 x14ac:dyDescent="0.2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 x14ac:dyDescent="0.2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 x14ac:dyDescent="0.2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 x14ac:dyDescent="0.2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 x14ac:dyDescent="0.2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 x14ac:dyDescent="0.2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 x14ac:dyDescent="0.2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 x14ac:dyDescent="0.2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 x14ac:dyDescent="0.2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 x14ac:dyDescent="0.2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 x14ac:dyDescent="0.2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 x14ac:dyDescent="0.2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 x14ac:dyDescent="0.2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 x14ac:dyDescent="0.2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 x14ac:dyDescent="0.2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 x14ac:dyDescent="0.2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 x14ac:dyDescent="0.2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 x14ac:dyDescent="0.2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 x14ac:dyDescent="0.2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 x14ac:dyDescent="0.2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 x14ac:dyDescent="0.2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 x14ac:dyDescent="0.2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 x14ac:dyDescent="0.2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 x14ac:dyDescent="0.2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 x14ac:dyDescent="0.2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 x14ac:dyDescent="0.2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 x14ac:dyDescent="0.2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 x14ac:dyDescent="0.2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 x14ac:dyDescent="0.2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 x14ac:dyDescent="0.2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 x14ac:dyDescent="0.2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 x14ac:dyDescent="0.2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 x14ac:dyDescent="0.2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 x14ac:dyDescent="0.2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 x14ac:dyDescent="0.2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 x14ac:dyDescent="0.2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 x14ac:dyDescent="0.2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 x14ac:dyDescent="0.2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 x14ac:dyDescent="0.2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 x14ac:dyDescent="0.2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 x14ac:dyDescent="0.2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 x14ac:dyDescent="0.2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 x14ac:dyDescent="0.2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 x14ac:dyDescent="0.2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 x14ac:dyDescent="0.2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 x14ac:dyDescent="0.2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 x14ac:dyDescent="0.2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 x14ac:dyDescent="0.2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 x14ac:dyDescent="0.2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 x14ac:dyDescent="0.2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 x14ac:dyDescent="0.2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 x14ac:dyDescent="0.2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 x14ac:dyDescent="0.2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 x14ac:dyDescent="0.2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 x14ac:dyDescent="0.2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 x14ac:dyDescent="0.2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 x14ac:dyDescent="0.2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 x14ac:dyDescent="0.2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 x14ac:dyDescent="0.2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 x14ac:dyDescent="0.2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 x14ac:dyDescent="0.2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 x14ac:dyDescent="0.2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 x14ac:dyDescent="0.2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 x14ac:dyDescent="0.2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 x14ac:dyDescent="0.2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 x14ac:dyDescent="0.2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 x14ac:dyDescent="0.2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 x14ac:dyDescent="0.2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 x14ac:dyDescent="0.2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 x14ac:dyDescent="0.2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 x14ac:dyDescent="0.2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 x14ac:dyDescent="0.2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 x14ac:dyDescent="0.2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 x14ac:dyDescent="0.2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 x14ac:dyDescent="0.2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 x14ac:dyDescent="0.2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 x14ac:dyDescent="0.2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 x14ac:dyDescent="0.2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 x14ac:dyDescent="0.2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 x14ac:dyDescent="0.2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 x14ac:dyDescent="0.2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 x14ac:dyDescent="0.2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 x14ac:dyDescent="0.2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 x14ac:dyDescent="0.2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 x14ac:dyDescent="0.2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 x14ac:dyDescent="0.2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 x14ac:dyDescent="0.2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 x14ac:dyDescent="0.2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 x14ac:dyDescent="0.2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 x14ac:dyDescent="0.2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 x14ac:dyDescent="0.2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 x14ac:dyDescent="0.2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 x14ac:dyDescent="0.2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 x14ac:dyDescent="0.2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 x14ac:dyDescent="0.2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 x14ac:dyDescent="0.2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 x14ac:dyDescent="0.2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 x14ac:dyDescent="0.2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 x14ac:dyDescent="0.2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 x14ac:dyDescent="0.2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 x14ac:dyDescent="0.2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 x14ac:dyDescent="0.2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 x14ac:dyDescent="0.2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 x14ac:dyDescent="0.2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 x14ac:dyDescent="0.2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 x14ac:dyDescent="0.2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 x14ac:dyDescent="0.2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 x14ac:dyDescent="0.2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 x14ac:dyDescent="0.2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 x14ac:dyDescent="0.2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 x14ac:dyDescent="0.2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 x14ac:dyDescent="0.2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 x14ac:dyDescent="0.2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 x14ac:dyDescent="0.2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 x14ac:dyDescent="0.2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 x14ac:dyDescent="0.2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 x14ac:dyDescent="0.2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 x14ac:dyDescent="0.2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 x14ac:dyDescent="0.2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 x14ac:dyDescent="0.2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 x14ac:dyDescent="0.2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 x14ac:dyDescent="0.2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 x14ac:dyDescent="0.2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 x14ac:dyDescent="0.2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 x14ac:dyDescent="0.2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 x14ac:dyDescent="0.2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 x14ac:dyDescent="0.2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 x14ac:dyDescent="0.2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 x14ac:dyDescent="0.2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 x14ac:dyDescent="0.2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 x14ac:dyDescent="0.2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 x14ac:dyDescent="0.2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 x14ac:dyDescent="0.2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 x14ac:dyDescent="0.2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 x14ac:dyDescent="0.2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 x14ac:dyDescent="0.2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 x14ac:dyDescent="0.2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 x14ac:dyDescent="0.2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 x14ac:dyDescent="0.2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 x14ac:dyDescent="0.2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 x14ac:dyDescent="0.2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 x14ac:dyDescent="0.2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 x14ac:dyDescent="0.2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 x14ac:dyDescent="0.2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 x14ac:dyDescent="0.2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 x14ac:dyDescent="0.2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 x14ac:dyDescent="0.2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 x14ac:dyDescent="0.2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 x14ac:dyDescent="0.2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 x14ac:dyDescent="0.2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 x14ac:dyDescent="0.2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 x14ac:dyDescent="0.2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 x14ac:dyDescent="0.2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 x14ac:dyDescent="0.2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 x14ac:dyDescent="0.2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 x14ac:dyDescent="0.2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 x14ac:dyDescent="0.2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 x14ac:dyDescent="0.2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 x14ac:dyDescent="0.2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 x14ac:dyDescent="0.2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 x14ac:dyDescent="0.2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 x14ac:dyDescent="0.2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 x14ac:dyDescent="0.2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 x14ac:dyDescent="0.2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 x14ac:dyDescent="0.2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 x14ac:dyDescent="0.2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 x14ac:dyDescent="0.2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 x14ac:dyDescent="0.2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 x14ac:dyDescent="0.2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 x14ac:dyDescent="0.2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 x14ac:dyDescent="0.2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 x14ac:dyDescent="0.2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 x14ac:dyDescent="0.2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 x14ac:dyDescent="0.2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 x14ac:dyDescent="0.2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 x14ac:dyDescent="0.2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 x14ac:dyDescent="0.2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 x14ac:dyDescent="0.2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 x14ac:dyDescent="0.2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 x14ac:dyDescent="0.2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 x14ac:dyDescent="0.2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 x14ac:dyDescent="0.2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 x14ac:dyDescent="0.2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 x14ac:dyDescent="0.2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 x14ac:dyDescent="0.2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 x14ac:dyDescent="0.2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 x14ac:dyDescent="0.2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 x14ac:dyDescent="0.2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 x14ac:dyDescent="0.2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 x14ac:dyDescent="0.2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 x14ac:dyDescent="0.2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 x14ac:dyDescent="0.2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 x14ac:dyDescent="0.2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 x14ac:dyDescent="0.2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 x14ac:dyDescent="0.2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 x14ac:dyDescent="0.2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 x14ac:dyDescent="0.2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 x14ac:dyDescent="0.2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 x14ac:dyDescent="0.2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 x14ac:dyDescent="0.2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 x14ac:dyDescent="0.2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 x14ac:dyDescent="0.2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 x14ac:dyDescent="0.2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 x14ac:dyDescent="0.2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 x14ac:dyDescent="0.2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 x14ac:dyDescent="0.2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 x14ac:dyDescent="0.2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 x14ac:dyDescent="0.2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 x14ac:dyDescent="0.2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 x14ac:dyDescent="0.2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 x14ac:dyDescent="0.2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 x14ac:dyDescent="0.2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 x14ac:dyDescent="0.2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 x14ac:dyDescent="0.2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 x14ac:dyDescent="0.2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 x14ac:dyDescent="0.2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 x14ac:dyDescent="0.2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 x14ac:dyDescent="0.2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 x14ac:dyDescent="0.2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 x14ac:dyDescent="0.2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 x14ac:dyDescent="0.2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 x14ac:dyDescent="0.2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 x14ac:dyDescent="0.2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 x14ac:dyDescent="0.2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 x14ac:dyDescent="0.2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 x14ac:dyDescent="0.2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 x14ac:dyDescent="0.2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 x14ac:dyDescent="0.2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 x14ac:dyDescent="0.2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 x14ac:dyDescent="0.2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 x14ac:dyDescent="0.2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 x14ac:dyDescent="0.2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 x14ac:dyDescent="0.2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 x14ac:dyDescent="0.2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 x14ac:dyDescent="0.2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 x14ac:dyDescent="0.2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 x14ac:dyDescent="0.2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 x14ac:dyDescent="0.2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 x14ac:dyDescent="0.2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 x14ac:dyDescent="0.2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 x14ac:dyDescent="0.2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 x14ac:dyDescent="0.2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 x14ac:dyDescent="0.2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 x14ac:dyDescent="0.2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 x14ac:dyDescent="0.2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 x14ac:dyDescent="0.2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 x14ac:dyDescent="0.2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 x14ac:dyDescent="0.2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 x14ac:dyDescent="0.2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 x14ac:dyDescent="0.2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 x14ac:dyDescent="0.2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 x14ac:dyDescent="0.2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 x14ac:dyDescent="0.2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 x14ac:dyDescent="0.2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 x14ac:dyDescent="0.2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 x14ac:dyDescent="0.2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 x14ac:dyDescent="0.2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 x14ac:dyDescent="0.2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 x14ac:dyDescent="0.2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 x14ac:dyDescent="0.2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 x14ac:dyDescent="0.2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 x14ac:dyDescent="0.2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 x14ac:dyDescent="0.2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 x14ac:dyDescent="0.2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 x14ac:dyDescent="0.2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 x14ac:dyDescent="0.2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 x14ac:dyDescent="0.2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 x14ac:dyDescent="0.2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 x14ac:dyDescent="0.2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 x14ac:dyDescent="0.2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 x14ac:dyDescent="0.2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 x14ac:dyDescent="0.2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 x14ac:dyDescent="0.2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 x14ac:dyDescent="0.2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 x14ac:dyDescent="0.2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 x14ac:dyDescent="0.2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 x14ac:dyDescent="0.2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 x14ac:dyDescent="0.2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 x14ac:dyDescent="0.2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 x14ac:dyDescent="0.2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 x14ac:dyDescent="0.2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 x14ac:dyDescent="0.2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 x14ac:dyDescent="0.2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 x14ac:dyDescent="0.2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 x14ac:dyDescent="0.2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 x14ac:dyDescent="0.2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 x14ac:dyDescent="0.2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 x14ac:dyDescent="0.2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 x14ac:dyDescent="0.2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 x14ac:dyDescent="0.2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 x14ac:dyDescent="0.2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 x14ac:dyDescent="0.2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 x14ac:dyDescent="0.2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 x14ac:dyDescent="0.2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 x14ac:dyDescent="0.2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 x14ac:dyDescent="0.2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 x14ac:dyDescent="0.2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 x14ac:dyDescent="0.2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 x14ac:dyDescent="0.2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 x14ac:dyDescent="0.2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 x14ac:dyDescent="0.2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 x14ac:dyDescent="0.2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 x14ac:dyDescent="0.2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 x14ac:dyDescent="0.2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 x14ac:dyDescent="0.2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 x14ac:dyDescent="0.2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 x14ac:dyDescent="0.2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 x14ac:dyDescent="0.2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 x14ac:dyDescent="0.2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 x14ac:dyDescent="0.2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 x14ac:dyDescent="0.2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 x14ac:dyDescent="0.2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 x14ac:dyDescent="0.2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 x14ac:dyDescent="0.2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 x14ac:dyDescent="0.2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 x14ac:dyDescent="0.2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 x14ac:dyDescent="0.2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 x14ac:dyDescent="0.2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 x14ac:dyDescent="0.2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 x14ac:dyDescent="0.2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 x14ac:dyDescent="0.2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 x14ac:dyDescent="0.2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 x14ac:dyDescent="0.2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 x14ac:dyDescent="0.2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 x14ac:dyDescent="0.2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 x14ac:dyDescent="0.2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 x14ac:dyDescent="0.2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 x14ac:dyDescent="0.2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 x14ac:dyDescent="0.2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 x14ac:dyDescent="0.2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 x14ac:dyDescent="0.2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 x14ac:dyDescent="0.2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 x14ac:dyDescent="0.2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 x14ac:dyDescent="0.2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 x14ac:dyDescent="0.2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 x14ac:dyDescent="0.2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 x14ac:dyDescent="0.2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 x14ac:dyDescent="0.2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 x14ac:dyDescent="0.2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 x14ac:dyDescent="0.2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 x14ac:dyDescent="0.2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 x14ac:dyDescent="0.2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 x14ac:dyDescent="0.2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 x14ac:dyDescent="0.2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 x14ac:dyDescent="0.2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 x14ac:dyDescent="0.2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 x14ac:dyDescent="0.2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 x14ac:dyDescent="0.2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 x14ac:dyDescent="0.2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 x14ac:dyDescent="0.2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 x14ac:dyDescent="0.2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 x14ac:dyDescent="0.2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 x14ac:dyDescent="0.2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 x14ac:dyDescent="0.2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 x14ac:dyDescent="0.2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 x14ac:dyDescent="0.2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 x14ac:dyDescent="0.2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 x14ac:dyDescent="0.2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 x14ac:dyDescent="0.2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 x14ac:dyDescent="0.2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 x14ac:dyDescent="0.2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 x14ac:dyDescent="0.2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 x14ac:dyDescent="0.2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 x14ac:dyDescent="0.2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 x14ac:dyDescent="0.2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 x14ac:dyDescent="0.2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 x14ac:dyDescent="0.2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 x14ac:dyDescent="0.2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 x14ac:dyDescent="0.2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 x14ac:dyDescent="0.2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 x14ac:dyDescent="0.2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 x14ac:dyDescent="0.2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 x14ac:dyDescent="0.2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 x14ac:dyDescent="0.2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 x14ac:dyDescent="0.2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 x14ac:dyDescent="0.2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 x14ac:dyDescent="0.2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 x14ac:dyDescent="0.2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 x14ac:dyDescent="0.2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 x14ac:dyDescent="0.2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 x14ac:dyDescent="0.2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 x14ac:dyDescent="0.2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 x14ac:dyDescent="0.2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 x14ac:dyDescent="0.2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 x14ac:dyDescent="0.2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 x14ac:dyDescent="0.2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 x14ac:dyDescent="0.2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 x14ac:dyDescent="0.2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 x14ac:dyDescent="0.2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 x14ac:dyDescent="0.2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 x14ac:dyDescent="0.2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 x14ac:dyDescent="0.2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 x14ac:dyDescent="0.2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 x14ac:dyDescent="0.2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 x14ac:dyDescent="0.2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 x14ac:dyDescent="0.2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 x14ac:dyDescent="0.2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 x14ac:dyDescent="0.2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 x14ac:dyDescent="0.2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 x14ac:dyDescent="0.2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 x14ac:dyDescent="0.2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 x14ac:dyDescent="0.2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 x14ac:dyDescent="0.2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 x14ac:dyDescent="0.2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 x14ac:dyDescent="0.2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 x14ac:dyDescent="0.2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 x14ac:dyDescent="0.2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 x14ac:dyDescent="0.2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 x14ac:dyDescent="0.2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 x14ac:dyDescent="0.2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 x14ac:dyDescent="0.2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 x14ac:dyDescent="0.2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 x14ac:dyDescent="0.2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 x14ac:dyDescent="0.2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 x14ac:dyDescent="0.2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 x14ac:dyDescent="0.2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 x14ac:dyDescent="0.2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 x14ac:dyDescent="0.2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 x14ac:dyDescent="0.2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 x14ac:dyDescent="0.2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 x14ac:dyDescent="0.2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 x14ac:dyDescent="0.2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 x14ac:dyDescent="0.2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 x14ac:dyDescent="0.2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 x14ac:dyDescent="0.2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 x14ac:dyDescent="0.2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 x14ac:dyDescent="0.2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 x14ac:dyDescent="0.2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 x14ac:dyDescent="0.2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 x14ac:dyDescent="0.2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 x14ac:dyDescent="0.2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 x14ac:dyDescent="0.2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 x14ac:dyDescent="0.2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 x14ac:dyDescent="0.2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 x14ac:dyDescent="0.2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 x14ac:dyDescent="0.2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 x14ac:dyDescent="0.2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 x14ac:dyDescent="0.2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 x14ac:dyDescent="0.2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 x14ac:dyDescent="0.2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 x14ac:dyDescent="0.2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 x14ac:dyDescent="0.2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 x14ac:dyDescent="0.2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 x14ac:dyDescent="0.2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 x14ac:dyDescent="0.2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 x14ac:dyDescent="0.2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 x14ac:dyDescent="0.2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 x14ac:dyDescent="0.2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 x14ac:dyDescent="0.2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 x14ac:dyDescent="0.2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 x14ac:dyDescent="0.2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 x14ac:dyDescent="0.2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 x14ac:dyDescent="0.2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 x14ac:dyDescent="0.2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 x14ac:dyDescent="0.2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 x14ac:dyDescent="0.2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 x14ac:dyDescent="0.2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 x14ac:dyDescent="0.2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 x14ac:dyDescent="0.2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 x14ac:dyDescent="0.2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 x14ac:dyDescent="0.2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 x14ac:dyDescent="0.2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 x14ac:dyDescent="0.2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 x14ac:dyDescent="0.2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 x14ac:dyDescent="0.2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 x14ac:dyDescent="0.2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 x14ac:dyDescent="0.2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 x14ac:dyDescent="0.2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 x14ac:dyDescent="0.2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 x14ac:dyDescent="0.2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 x14ac:dyDescent="0.2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 x14ac:dyDescent="0.2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 x14ac:dyDescent="0.2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 x14ac:dyDescent="0.2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 x14ac:dyDescent="0.2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 x14ac:dyDescent="0.2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 x14ac:dyDescent="0.2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 x14ac:dyDescent="0.2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 x14ac:dyDescent="0.2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 x14ac:dyDescent="0.2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 x14ac:dyDescent="0.2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 x14ac:dyDescent="0.2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 x14ac:dyDescent="0.2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 x14ac:dyDescent="0.2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 x14ac:dyDescent="0.2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 x14ac:dyDescent="0.2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 x14ac:dyDescent="0.2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 x14ac:dyDescent="0.2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 x14ac:dyDescent="0.2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 x14ac:dyDescent="0.2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 x14ac:dyDescent="0.2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 x14ac:dyDescent="0.2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 x14ac:dyDescent="0.2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 x14ac:dyDescent="0.2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 x14ac:dyDescent="0.2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 x14ac:dyDescent="0.2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 x14ac:dyDescent="0.2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 x14ac:dyDescent="0.2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 x14ac:dyDescent="0.2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 x14ac:dyDescent="0.2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 x14ac:dyDescent="0.2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 x14ac:dyDescent="0.2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 x14ac:dyDescent="0.2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 x14ac:dyDescent="0.2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 x14ac:dyDescent="0.2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 x14ac:dyDescent="0.2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 x14ac:dyDescent="0.2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 x14ac:dyDescent="0.2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 x14ac:dyDescent="0.2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 x14ac:dyDescent="0.2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 x14ac:dyDescent="0.2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 x14ac:dyDescent="0.2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 x14ac:dyDescent="0.2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 x14ac:dyDescent="0.2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 x14ac:dyDescent="0.2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 x14ac:dyDescent="0.2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 x14ac:dyDescent="0.2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 x14ac:dyDescent="0.2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 x14ac:dyDescent="0.2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 x14ac:dyDescent="0.2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 x14ac:dyDescent="0.2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 x14ac:dyDescent="0.2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 x14ac:dyDescent="0.2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 x14ac:dyDescent="0.2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 x14ac:dyDescent="0.2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 x14ac:dyDescent="0.2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 x14ac:dyDescent="0.2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 x14ac:dyDescent="0.2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 x14ac:dyDescent="0.2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 x14ac:dyDescent="0.2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 x14ac:dyDescent="0.2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 x14ac:dyDescent="0.2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 x14ac:dyDescent="0.2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 x14ac:dyDescent="0.2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 x14ac:dyDescent="0.2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 x14ac:dyDescent="0.2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 x14ac:dyDescent="0.2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 x14ac:dyDescent="0.2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 x14ac:dyDescent="0.2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 x14ac:dyDescent="0.2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 x14ac:dyDescent="0.2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 x14ac:dyDescent="0.2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 x14ac:dyDescent="0.2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 x14ac:dyDescent="0.2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 x14ac:dyDescent="0.2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 x14ac:dyDescent="0.2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 x14ac:dyDescent="0.2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 x14ac:dyDescent="0.2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 x14ac:dyDescent="0.2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 x14ac:dyDescent="0.2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 x14ac:dyDescent="0.2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 x14ac:dyDescent="0.2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 x14ac:dyDescent="0.2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 x14ac:dyDescent="0.2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 x14ac:dyDescent="0.2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 x14ac:dyDescent="0.2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 x14ac:dyDescent="0.2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 x14ac:dyDescent="0.2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 x14ac:dyDescent="0.2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 x14ac:dyDescent="0.2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 x14ac:dyDescent="0.2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 x14ac:dyDescent="0.2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 x14ac:dyDescent="0.2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 x14ac:dyDescent="0.2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 x14ac:dyDescent="0.2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 x14ac:dyDescent="0.2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 x14ac:dyDescent="0.2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 x14ac:dyDescent="0.2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 x14ac:dyDescent="0.2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 x14ac:dyDescent="0.2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 x14ac:dyDescent="0.2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 x14ac:dyDescent="0.2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 x14ac:dyDescent="0.2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 x14ac:dyDescent="0.2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 x14ac:dyDescent="0.2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 x14ac:dyDescent="0.2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 x14ac:dyDescent="0.2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 x14ac:dyDescent="0.2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 x14ac:dyDescent="0.2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 x14ac:dyDescent="0.2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 x14ac:dyDescent="0.2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 x14ac:dyDescent="0.2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 x14ac:dyDescent="0.2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 x14ac:dyDescent="0.2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 x14ac:dyDescent="0.2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 x14ac:dyDescent="0.2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 x14ac:dyDescent="0.2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 x14ac:dyDescent="0.2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 x14ac:dyDescent="0.2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 x14ac:dyDescent="0.2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 x14ac:dyDescent="0.2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 x14ac:dyDescent="0.2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 x14ac:dyDescent="0.2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 x14ac:dyDescent="0.2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 x14ac:dyDescent="0.2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 x14ac:dyDescent="0.2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 x14ac:dyDescent="0.2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 x14ac:dyDescent="0.2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 x14ac:dyDescent="0.2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 x14ac:dyDescent="0.2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 x14ac:dyDescent="0.2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 x14ac:dyDescent="0.2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 x14ac:dyDescent="0.2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 x14ac:dyDescent="0.2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 x14ac:dyDescent="0.2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 x14ac:dyDescent="0.2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 x14ac:dyDescent="0.2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 x14ac:dyDescent="0.2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 x14ac:dyDescent="0.2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 x14ac:dyDescent="0.2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 x14ac:dyDescent="0.2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 x14ac:dyDescent="0.2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 x14ac:dyDescent="0.2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 x14ac:dyDescent="0.2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 x14ac:dyDescent="0.2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 x14ac:dyDescent="0.2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 x14ac:dyDescent="0.2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 x14ac:dyDescent="0.2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 x14ac:dyDescent="0.2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 x14ac:dyDescent="0.2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 x14ac:dyDescent="0.2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 x14ac:dyDescent="0.2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 x14ac:dyDescent="0.2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 x14ac:dyDescent="0.2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 x14ac:dyDescent="0.2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 x14ac:dyDescent="0.2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 x14ac:dyDescent="0.2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 x14ac:dyDescent="0.2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 x14ac:dyDescent="0.2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 x14ac:dyDescent="0.2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 x14ac:dyDescent="0.2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 x14ac:dyDescent="0.2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 x14ac:dyDescent="0.2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 x14ac:dyDescent="0.2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 x14ac:dyDescent="0.2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 x14ac:dyDescent="0.2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 x14ac:dyDescent="0.2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 x14ac:dyDescent="0.2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 x14ac:dyDescent="0.2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 x14ac:dyDescent="0.2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 x14ac:dyDescent="0.2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 x14ac:dyDescent="0.2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 x14ac:dyDescent="0.2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 x14ac:dyDescent="0.2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 x14ac:dyDescent="0.2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 x14ac:dyDescent="0.2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 x14ac:dyDescent="0.2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 x14ac:dyDescent="0.2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 x14ac:dyDescent="0.2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 x14ac:dyDescent="0.2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 x14ac:dyDescent="0.2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 x14ac:dyDescent="0.2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 x14ac:dyDescent="0.2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 x14ac:dyDescent="0.2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 x14ac:dyDescent="0.2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 x14ac:dyDescent="0.2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 x14ac:dyDescent="0.2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 x14ac:dyDescent="0.2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 x14ac:dyDescent="0.2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 x14ac:dyDescent="0.2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 x14ac:dyDescent="0.2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 x14ac:dyDescent="0.2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 x14ac:dyDescent="0.2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 x14ac:dyDescent="0.2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 x14ac:dyDescent="0.2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 x14ac:dyDescent="0.2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 x14ac:dyDescent="0.2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 x14ac:dyDescent="0.2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 x14ac:dyDescent="0.2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 x14ac:dyDescent="0.2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 x14ac:dyDescent="0.2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 x14ac:dyDescent="0.2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 x14ac:dyDescent="0.2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 x14ac:dyDescent="0.2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 x14ac:dyDescent="0.2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 x14ac:dyDescent="0.2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 x14ac:dyDescent="0.2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 x14ac:dyDescent="0.2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 x14ac:dyDescent="0.2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 x14ac:dyDescent="0.2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 x14ac:dyDescent="0.2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 x14ac:dyDescent="0.2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 x14ac:dyDescent="0.2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 x14ac:dyDescent="0.2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 x14ac:dyDescent="0.2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 x14ac:dyDescent="0.2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 x14ac:dyDescent="0.2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 x14ac:dyDescent="0.2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 x14ac:dyDescent="0.2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 x14ac:dyDescent="0.2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 x14ac:dyDescent="0.2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 x14ac:dyDescent="0.2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 x14ac:dyDescent="0.2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 x14ac:dyDescent="0.2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 x14ac:dyDescent="0.2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 x14ac:dyDescent="0.2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 x14ac:dyDescent="0.2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 x14ac:dyDescent="0.2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 x14ac:dyDescent="0.2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 x14ac:dyDescent="0.2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 x14ac:dyDescent="0.2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 x14ac:dyDescent="0.2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 x14ac:dyDescent="0.2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 x14ac:dyDescent="0.2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 x14ac:dyDescent="0.2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 x14ac:dyDescent="0.2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 x14ac:dyDescent="0.2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 x14ac:dyDescent="0.2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 x14ac:dyDescent="0.2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 x14ac:dyDescent="0.2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 x14ac:dyDescent="0.2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 x14ac:dyDescent="0.2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 x14ac:dyDescent="0.2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 x14ac:dyDescent="0.2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 x14ac:dyDescent="0.2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 x14ac:dyDescent="0.2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 x14ac:dyDescent="0.2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 x14ac:dyDescent="0.2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 x14ac:dyDescent="0.2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 x14ac:dyDescent="0.2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 x14ac:dyDescent="0.2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 x14ac:dyDescent="0.2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 x14ac:dyDescent="0.2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 x14ac:dyDescent="0.2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 x14ac:dyDescent="0.2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 x14ac:dyDescent="0.2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 x14ac:dyDescent="0.2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 x14ac:dyDescent="0.2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 x14ac:dyDescent="0.2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 x14ac:dyDescent="0.2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 x14ac:dyDescent="0.2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 x14ac:dyDescent="0.2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 x14ac:dyDescent="0.2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 x14ac:dyDescent="0.2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 x14ac:dyDescent="0.2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 x14ac:dyDescent="0.2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 x14ac:dyDescent="0.2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 x14ac:dyDescent="0.2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 x14ac:dyDescent="0.2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 x14ac:dyDescent="0.2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 x14ac:dyDescent="0.2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 x14ac:dyDescent="0.2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 x14ac:dyDescent="0.2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 x14ac:dyDescent="0.2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 x14ac:dyDescent="0.2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 x14ac:dyDescent="0.2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 x14ac:dyDescent="0.2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 x14ac:dyDescent="0.2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 x14ac:dyDescent="0.2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 x14ac:dyDescent="0.2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 x14ac:dyDescent="0.2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 x14ac:dyDescent="0.2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 x14ac:dyDescent="0.2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 x14ac:dyDescent="0.2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 x14ac:dyDescent="0.2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 x14ac:dyDescent="0.2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 x14ac:dyDescent="0.2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 x14ac:dyDescent="0.2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 x14ac:dyDescent="0.2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 x14ac:dyDescent="0.2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 x14ac:dyDescent="0.2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 x14ac:dyDescent="0.2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 x14ac:dyDescent="0.2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 x14ac:dyDescent="0.2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 x14ac:dyDescent="0.2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 x14ac:dyDescent="0.2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 x14ac:dyDescent="0.2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 x14ac:dyDescent="0.2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 x14ac:dyDescent="0.2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 x14ac:dyDescent="0.2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 x14ac:dyDescent="0.2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 x14ac:dyDescent="0.2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 x14ac:dyDescent="0.2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 x14ac:dyDescent="0.2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 x14ac:dyDescent="0.2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 x14ac:dyDescent="0.2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 x14ac:dyDescent="0.2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 x14ac:dyDescent="0.2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 x14ac:dyDescent="0.2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 x14ac:dyDescent="0.2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 x14ac:dyDescent="0.2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 x14ac:dyDescent="0.2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 x14ac:dyDescent="0.2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 x14ac:dyDescent="0.2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 x14ac:dyDescent="0.2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 x14ac:dyDescent="0.2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 x14ac:dyDescent="0.2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 x14ac:dyDescent="0.2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</sheetData>
  <mergeCells count="12">
    <mergeCell ref="A2:F2"/>
    <mergeCell ref="G2:P2"/>
    <mergeCell ref="B5:E6"/>
    <mergeCell ref="F5:F6"/>
    <mergeCell ref="G5:G6"/>
    <mergeCell ref="N5:P5"/>
    <mergeCell ref="I5:I6"/>
    <mergeCell ref="J5:J6"/>
    <mergeCell ref="L5:L6"/>
    <mergeCell ref="M5:M6"/>
    <mergeCell ref="K5:K6"/>
    <mergeCell ref="H5:H6"/>
  </mergeCells>
  <phoneticPr fontId="11" type="noConversion"/>
  <printOptions horizontalCentered="1"/>
  <pageMargins left="0.19685039370078741" right="0" top="0.39370078740157483" bottom="0.39370078740157483" header="0" footer="0"/>
  <pageSetup scale="39" orientation="landscape" r:id="rId1"/>
  <headerFooter alignWithMargins="0"/>
  <colBreaks count="1" manualBreakCount="1">
    <brk id="16" max="3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>
    <pageSetUpPr fitToPage="1"/>
  </sheetPr>
  <dimension ref="A3:BE123"/>
  <sheetViews>
    <sheetView zoomScale="75" zoomScaleNormal="75" zoomScaleSheetLayoutView="80" workbookViewId="0">
      <pane xSplit="2" ySplit="9" topLeftCell="N10" activePane="bottomRight" state="frozen"/>
      <selection activeCell="D13" sqref="D13"/>
      <selection pane="topRight" activeCell="D13" sqref="D13"/>
      <selection pane="bottomLeft" activeCell="D13" sqref="D13"/>
      <selection pane="bottomRight" activeCell="R82" sqref="R82"/>
    </sheetView>
  </sheetViews>
  <sheetFormatPr baseColWidth="10" defaultRowHeight="12.75" x14ac:dyDescent="0.2"/>
  <cols>
    <col min="1" max="1" width="48.28515625" customWidth="1"/>
    <col min="2" max="2" width="32.7109375" customWidth="1"/>
    <col min="3" max="3" width="10.5703125" customWidth="1"/>
    <col min="4" max="4" width="21.5703125" customWidth="1"/>
    <col min="5" max="5" width="14" customWidth="1"/>
    <col min="6" max="6" width="7.42578125" customWidth="1"/>
    <col min="7" max="7" width="15.7109375" customWidth="1"/>
    <col min="8" max="8" width="22.5703125" customWidth="1"/>
    <col min="9" max="9" width="22.42578125" customWidth="1"/>
    <col min="10" max="10" width="21.5703125" customWidth="1"/>
    <col min="11" max="11" width="18.5703125" customWidth="1"/>
    <col min="12" max="12" width="23.42578125" customWidth="1"/>
    <col min="13" max="13" width="15.140625" customWidth="1"/>
    <col min="14" max="14" width="21.85546875" customWidth="1"/>
    <col min="15" max="15" width="18.42578125" customWidth="1"/>
    <col min="16" max="16" width="18.85546875" customWidth="1"/>
    <col min="17" max="17" width="16.7109375" customWidth="1"/>
    <col min="18" max="18" width="13.7109375" customWidth="1"/>
    <col min="19" max="19" width="19.5703125" customWidth="1"/>
    <col min="20" max="20" width="15.140625" customWidth="1"/>
    <col min="21" max="21" width="20.5703125" customWidth="1"/>
    <col min="22" max="22" width="14.42578125" customWidth="1"/>
    <col min="23" max="23" width="14.140625" customWidth="1"/>
    <col min="24" max="24" width="17.140625" customWidth="1"/>
    <col min="25" max="25" width="20.28515625" customWidth="1"/>
    <col min="26" max="26" width="16.28515625" customWidth="1"/>
    <col min="27" max="27" width="24.140625" style="511" customWidth="1"/>
    <col min="28" max="28" width="16.140625" customWidth="1"/>
    <col min="29" max="29" width="15.7109375" customWidth="1"/>
    <col min="30" max="30" width="17.28515625" customWidth="1"/>
  </cols>
  <sheetData>
    <row r="3" spans="1:33" x14ac:dyDescent="0.2">
      <c r="F3" s="117"/>
    </row>
    <row r="4" spans="1:33" ht="18" x14ac:dyDescent="0.25">
      <c r="A4" s="1077" t="s">
        <v>46</v>
      </c>
      <c r="B4" s="1077"/>
      <c r="C4" s="1077"/>
      <c r="D4" s="1077"/>
      <c r="E4" s="1077"/>
      <c r="F4" s="1077"/>
      <c r="G4" s="1077"/>
      <c r="H4" s="1077"/>
      <c r="I4" s="1077"/>
      <c r="J4" s="1077"/>
      <c r="K4" s="1077"/>
      <c r="L4" s="1077"/>
      <c r="M4" s="1077"/>
      <c r="N4" s="1077"/>
      <c r="O4" s="1077"/>
      <c r="P4" s="1077"/>
      <c r="Q4" s="1077"/>
      <c r="R4" s="1077"/>
      <c r="S4" s="1077"/>
      <c r="T4" s="1077"/>
      <c r="U4" s="1077"/>
      <c r="V4" s="1077"/>
      <c r="W4" s="1077"/>
      <c r="X4" s="1077"/>
      <c r="Y4" s="1077"/>
      <c r="Z4" s="1077"/>
    </row>
    <row r="5" spans="1:33" ht="18" x14ac:dyDescent="0.25">
      <c r="A5" s="1077" t="s">
        <v>85</v>
      </c>
      <c r="B5" s="1077"/>
      <c r="C5" s="1077"/>
      <c r="D5" s="1077"/>
      <c r="E5" s="1077"/>
      <c r="F5" s="1077"/>
      <c r="G5" s="1077"/>
      <c r="H5" s="1077"/>
      <c r="I5" s="1077"/>
      <c r="J5" s="1077"/>
      <c r="K5" s="1077"/>
      <c r="L5" s="1077"/>
      <c r="M5" s="1077"/>
      <c r="N5" s="1077"/>
      <c r="O5" s="1077"/>
      <c r="P5" s="1077"/>
      <c r="Q5" s="1077"/>
      <c r="R5" s="1077"/>
      <c r="S5" s="1077"/>
      <c r="T5" s="1077"/>
      <c r="U5" s="1077"/>
      <c r="V5" s="1077"/>
      <c r="W5" s="1077"/>
      <c r="X5" s="1077"/>
      <c r="Y5" s="1077"/>
      <c r="Z5" s="1077"/>
      <c r="AA5" s="512"/>
      <c r="AB5" s="37"/>
      <c r="AC5" s="37"/>
    </row>
    <row r="6" spans="1:33" ht="18" x14ac:dyDescent="0.25">
      <c r="A6" s="1077" t="s">
        <v>558</v>
      </c>
      <c r="B6" s="1077"/>
      <c r="C6" s="1077"/>
      <c r="D6" s="1077"/>
      <c r="E6" s="1077"/>
      <c r="F6" s="1077"/>
      <c r="G6" s="1077"/>
      <c r="H6" s="1077"/>
      <c r="I6" s="1077"/>
      <c r="J6" s="1077"/>
      <c r="K6" s="1077"/>
      <c r="L6" s="1077"/>
      <c r="M6" s="1077"/>
      <c r="N6" s="1077"/>
      <c r="O6" s="1077"/>
      <c r="P6" s="1077"/>
      <c r="Q6" s="1077"/>
      <c r="R6" s="1077"/>
      <c r="S6" s="1077"/>
      <c r="T6" s="1077"/>
      <c r="U6" s="1077"/>
      <c r="V6" s="1077"/>
      <c r="W6" s="1077"/>
      <c r="X6" s="1077"/>
      <c r="Y6" s="1077"/>
      <c r="Z6" s="1077"/>
      <c r="AA6" s="512"/>
      <c r="AB6" s="37"/>
      <c r="AC6" s="37"/>
    </row>
    <row r="7" spans="1:33" ht="18.75" thickBot="1" x14ac:dyDescent="0.3">
      <c r="A7" s="36"/>
      <c r="B7" s="139" t="s">
        <v>200</v>
      </c>
      <c r="C7" s="141">
        <v>4.5999999999999999E-2</v>
      </c>
      <c r="D7" s="139" t="s">
        <v>202</v>
      </c>
      <c r="E7" s="140">
        <f>(F7*C7)+F7+14</f>
        <v>644350</v>
      </c>
      <c r="F7" s="441">
        <v>616000</v>
      </c>
      <c r="G7" s="37"/>
      <c r="H7" s="613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512"/>
      <c r="AB7" s="37"/>
      <c r="AC7" s="37"/>
    </row>
    <row r="8" spans="1:33" ht="16.5" customHeight="1" thickBot="1" x14ac:dyDescent="0.3">
      <c r="A8" s="36"/>
      <c r="B8" s="139" t="s">
        <v>201</v>
      </c>
      <c r="C8" s="141">
        <v>3.6600000000000001E-2</v>
      </c>
      <c r="D8" s="139" t="s">
        <v>215</v>
      </c>
      <c r="E8" s="140">
        <v>74000</v>
      </c>
      <c r="F8" s="442">
        <v>70500</v>
      </c>
      <c r="G8" s="36"/>
      <c r="H8" s="36"/>
      <c r="I8" s="36"/>
      <c r="J8" s="36"/>
      <c r="K8" s="36"/>
      <c r="L8" s="38"/>
      <c r="M8" s="38"/>
      <c r="N8" s="38"/>
      <c r="O8" s="38"/>
      <c r="P8" s="1084" t="s">
        <v>86</v>
      </c>
      <c r="Q8" s="1085"/>
      <c r="R8" s="1086"/>
      <c r="S8" s="1089" t="s">
        <v>832</v>
      </c>
      <c r="T8" s="39"/>
      <c r="U8" s="1082" t="s">
        <v>831</v>
      </c>
      <c r="V8" s="39"/>
      <c r="W8" s="39"/>
      <c r="X8" s="1082" t="s">
        <v>833</v>
      </c>
      <c r="Y8" s="40"/>
      <c r="Z8" s="36"/>
      <c r="AA8" s="101"/>
      <c r="AB8" s="36"/>
      <c r="AC8" s="36"/>
    </row>
    <row r="9" spans="1:33" s="438" customFormat="1" ht="58.5" customHeight="1" thickBot="1" x14ac:dyDescent="0.25">
      <c r="A9" s="531"/>
      <c r="B9" s="532" t="s">
        <v>179</v>
      </c>
      <c r="C9" s="533" t="s">
        <v>87</v>
      </c>
      <c r="D9" s="533" t="s">
        <v>157</v>
      </c>
      <c r="E9" s="533" t="s">
        <v>158</v>
      </c>
      <c r="F9" s="534" t="s">
        <v>159</v>
      </c>
      <c r="G9" s="534" t="s">
        <v>101</v>
      </c>
      <c r="H9" s="534" t="s">
        <v>88</v>
      </c>
      <c r="I9" s="534" t="s">
        <v>89</v>
      </c>
      <c r="J9" s="534" t="s">
        <v>90</v>
      </c>
      <c r="K9" s="534" t="s">
        <v>826</v>
      </c>
      <c r="L9" s="534" t="s">
        <v>827</v>
      </c>
      <c r="M9" s="534" t="s">
        <v>828</v>
      </c>
      <c r="N9" s="534" t="s">
        <v>829</v>
      </c>
      <c r="O9" s="534" t="s">
        <v>830</v>
      </c>
      <c r="P9" s="535" t="s">
        <v>142</v>
      </c>
      <c r="Q9" s="536" t="s">
        <v>190</v>
      </c>
      <c r="R9" s="537" t="s">
        <v>91</v>
      </c>
      <c r="S9" s="1090"/>
      <c r="T9" s="538" t="s">
        <v>178</v>
      </c>
      <c r="U9" s="1083"/>
      <c r="V9" s="538" t="s">
        <v>92</v>
      </c>
      <c r="W9" s="539" t="s">
        <v>93</v>
      </c>
      <c r="X9" s="1083"/>
      <c r="Y9" s="540" t="s">
        <v>834</v>
      </c>
      <c r="Z9" s="534" t="s">
        <v>103</v>
      </c>
      <c r="AA9" s="541"/>
      <c r="AB9" s="542"/>
      <c r="AC9" s="543"/>
    </row>
    <row r="10" spans="1:33" x14ac:dyDescent="0.2">
      <c r="A10" s="39"/>
      <c r="B10" s="39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  <c r="Q10" s="43"/>
      <c r="R10" s="43"/>
      <c r="S10" s="44"/>
      <c r="T10" s="43"/>
      <c r="U10" s="44"/>
      <c r="V10" s="43"/>
      <c r="W10" s="43"/>
      <c r="X10" s="44"/>
      <c r="Y10" s="41"/>
      <c r="Z10" s="41"/>
      <c r="AA10" s="513"/>
      <c r="AB10" s="38"/>
      <c r="AC10" s="38"/>
      <c r="AD10" s="3"/>
      <c r="AE10" s="3"/>
      <c r="AF10" s="3"/>
    </row>
    <row r="11" spans="1:33" ht="13.5" customHeight="1" x14ac:dyDescent="0.25">
      <c r="A11" s="78" t="s">
        <v>120</v>
      </c>
      <c r="B11" s="78" t="s">
        <v>179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2"/>
      <c r="Q11" s="43"/>
      <c r="R11" s="43"/>
      <c r="S11" s="44"/>
      <c r="T11" s="43"/>
      <c r="U11" s="44"/>
      <c r="V11" s="43"/>
      <c r="W11" s="43"/>
      <c r="X11" s="44"/>
      <c r="Y11" s="80">
        <f>+Y12</f>
        <v>53133349.403999999</v>
      </c>
      <c r="Z11" s="41"/>
      <c r="AA11" s="513"/>
      <c r="AB11" s="40"/>
      <c r="AC11" s="40"/>
      <c r="AD11" s="29"/>
      <c r="AE11" s="29"/>
      <c r="AF11" s="29"/>
      <c r="AG11" s="29"/>
    </row>
    <row r="12" spans="1:33" ht="14.25" x14ac:dyDescent="0.2">
      <c r="A12" s="132" t="s">
        <v>94</v>
      </c>
      <c r="B12" s="132"/>
      <c r="C12" s="135">
        <f>SUM(C13:C17)</f>
        <v>8</v>
      </c>
      <c r="D12" s="133"/>
      <c r="E12" s="133"/>
      <c r="F12" s="134"/>
      <c r="G12" s="136"/>
      <c r="H12" s="136">
        <f t="shared" ref="H12:Z12" si="0">SUM(H13:H17)</f>
        <v>11906800</v>
      </c>
      <c r="I12" s="136">
        <f t="shared" si="0"/>
        <v>0</v>
      </c>
      <c r="J12" s="136">
        <f t="shared" si="0"/>
        <v>11906800</v>
      </c>
      <c r="K12" s="136">
        <f t="shared" si="0"/>
        <v>35720400</v>
      </c>
      <c r="L12" s="136">
        <f t="shared" si="0"/>
        <v>2332350</v>
      </c>
      <c r="M12" s="136">
        <f t="shared" si="0"/>
        <v>279882</v>
      </c>
      <c r="N12" s="136">
        <f t="shared" si="0"/>
        <v>2332350</v>
      </c>
      <c r="O12" s="136">
        <f t="shared" si="0"/>
        <v>1166175</v>
      </c>
      <c r="P12" s="136">
        <f t="shared" si="0"/>
        <v>1759524</v>
      </c>
      <c r="Q12" s="136">
        <f t="shared" si="0"/>
        <v>1119528</v>
      </c>
      <c r="R12" s="136">
        <f t="shared" si="0"/>
        <v>48699.467999999993</v>
      </c>
      <c r="S12" s="136">
        <f t="shared" si="0"/>
        <v>8783254.404000001</v>
      </c>
      <c r="T12" s="136">
        <f t="shared" si="0"/>
        <v>373176</v>
      </c>
      <c r="U12" s="136">
        <f t="shared" si="0"/>
        <v>1119528</v>
      </c>
      <c r="V12" s="136">
        <f t="shared" si="0"/>
        <v>279882</v>
      </c>
      <c r="W12" s="136">
        <f t="shared" si="0"/>
        <v>186588</v>
      </c>
      <c r="X12" s="136">
        <f t="shared" si="0"/>
        <v>1399410</v>
      </c>
      <c r="Y12" s="136">
        <f t="shared" si="0"/>
        <v>53133349.403999999</v>
      </c>
      <c r="Z12" s="136">
        <f t="shared" si="0"/>
        <v>17711116.468000002</v>
      </c>
      <c r="AA12" s="514"/>
      <c r="AB12" s="40"/>
      <c r="AC12" s="40"/>
      <c r="AD12" s="29"/>
      <c r="AE12" s="29"/>
      <c r="AF12" s="29"/>
      <c r="AG12" s="29"/>
    </row>
    <row r="13" spans="1:33" s="31" customFormat="1" ht="14.25" x14ac:dyDescent="0.2">
      <c r="A13" s="109" t="s">
        <v>296</v>
      </c>
      <c r="B13" s="109" t="s">
        <v>504</v>
      </c>
      <c r="C13" s="303">
        <v>1</v>
      </c>
      <c r="D13" s="550">
        <v>42186</v>
      </c>
      <c r="E13" s="550">
        <v>42277</v>
      </c>
      <c r="F13" s="551">
        <f>DAYS360(D13,E13,0)+1</f>
        <v>90</v>
      </c>
      <c r="G13" s="45"/>
      <c r="H13" s="247">
        <f>2700000*(1+$C$8)</f>
        <v>2798820</v>
      </c>
      <c r="I13" s="247">
        <v>0</v>
      </c>
      <c r="J13" s="247">
        <f>+I13+H13</f>
        <v>2798820</v>
      </c>
      <c r="K13" s="247">
        <f>+J13/30*F13</f>
        <v>8396460</v>
      </c>
      <c r="L13" s="247">
        <f>+J13*F13/360</f>
        <v>699705</v>
      </c>
      <c r="M13" s="247">
        <f>+L13*12%</f>
        <v>83964.599999999991</v>
      </c>
      <c r="N13" s="247">
        <f>+L13</f>
        <v>699705</v>
      </c>
      <c r="O13" s="247">
        <f>+J13*F13/720</f>
        <v>349852.5</v>
      </c>
      <c r="P13" s="247">
        <f>+H13*0.085</f>
        <v>237899.7</v>
      </c>
      <c r="Q13" s="247">
        <f>+H13*12%</f>
        <v>335858.39999999997</v>
      </c>
      <c r="R13" s="247">
        <f>+H13*0.522%</f>
        <v>14609.840399999999</v>
      </c>
      <c r="S13" s="247">
        <f>+((P13+Q13+R13)/30*F13)</f>
        <v>1765103.8212000001</v>
      </c>
      <c r="T13" s="247">
        <f>+H13*0.04</f>
        <v>111952.8</v>
      </c>
      <c r="U13" s="247">
        <f>+(T13/30)*F13</f>
        <v>335858.4</v>
      </c>
      <c r="V13" s="247">
        <f>+H13*0.03</f>
        <v>83964.599999999991</v>
      </c>
      <c r="W13" s="247">
        <f>+H13*0.02</f>
        <v>55976.4</v>
      </c>
      <c r="X13" s="247">
        <f>+((V13+W13)/30*F13)</f>
        <v>419823</v>
      </c>
      <c r="Y13" s="247">
        <f>K13+L13+M13+N13+O13+S13+U13+X13</f>
        <v>12750472.3212</v>
      </c>
      <c r="Z13" s="46">
        <f>+Y13/3</f>
        <v>4250157.4403999997</v>
      </c>
      <c r="AA13" s="513"/>
      <c r="AB13" s="552"/>
      <c r="AC13" s="553"/>
      <c r="AD13" s="553"/>
      <c r="AE13" s="553"/>
      <c r="AF13" s="553"/>
      <c r="AG13" s="553"/>
    </row>
    <row r="14" spans="1:33" s="31" customFormat="1" ht="14.25" x14ac:dyDescent="0.2">
      <c r="A14" s="108" t="s">
        <v>668</v>
      </c>
      <c r="B14" s="108" t="s">
        <v>180</v>
      </c>
      <c r="C14" s="303">
        <v>1</v>
      </c>
      <c r="D14" s="550">
        <v>42186</v>
      </c>
      <c r="E14" s="550">
        <v>42277</v>
      </c>
      <c r="F14" s="551">
        <f>DAYS360(D14,E14,0)+1</f>
        <v>90</v>
      </c>
      <c r="G14" s="303"/>
      <c r="H14" s="247">
        <f>1800000*(1+$C$8)</f>
        <v>1865880</v>
      </c>
      <c r="I14" s="247">
        <v>0</v>
      </c>
      <c r="J14" s="247">
        <f>+I14+H14</f>
        <v>1865880</v>
      </c>
      <c r="K14" s="247">
        <f>+J14/30*F14</f>
        <v>5597640</v>
      </c>
      <c r="L14" s="247">
        <f>+J14*F14/360</f>
        <v>466470</v>
      </c>
      <c r="M14" s="247">
        <f>+L14*12%</f>
        <v>55976.4</v>
      </c>
      <c r="N14" s="247">
        <f>+L14</f>
        <v>466470</v>
      </c>
      <c r="O14" s="247">
        <f>+J14*F14/720</f>
        <v>233235</v>
      </c>
      <c r="P14" s="247">
        <f>+H14*0.085</f>
        <v>158599.80000000002</v>
      </c>
      <c r="Q14" s="247">
        <f>+H14*12%</f>
        <v>223905.6</v>
      </c>
      <c r="R14" s="247">
        <f>+H14*0.522%</f>
        <v>9739.8935999999994</v>
      </c>
      <c r="S14" s="247">
        <f>+((P14+Q14+R14)/30*F14)</f>
        <v>1176735.8808000002</v>
      </c>
      <c r="T14" s="247">
        <f>+H14*0.04</f>
        <v>74635.199999999997</v>
      </c>
      <c r="U14" s="247">
        <f>+(T14/30)*F14</f>
        <v>223905.59999999998</v>
      </c>
      <c r="V14" s="247">
        <f>+H14*0.03</f>
        <v>55976.4</v>
      </c>
      <c r="W14" s="247">
        <f>+H14*0.02</f>
        <v>37317.599999999999</v>
      </c>
      <c r="X14" s="247">
        <f>+((V14+W14)/30*F14)</f>
        <v>279882</v>
      </c>
      <c r="Y14" s="247">
        <f>K14+L14+M14+N14+O14+S14+U14+X14</f>
        <v>8500314.8808000013</v>
      </c>
      <c r="Z14" s="46">
        <f>+Y14/3</f>
        <v>2833438.2936000004</v>
      </c>
      <c r="AA14" s="513"/>
      <c r="AB14" s="553"/>
      <c r="AC14" s="553"/>
      <c r="AD14" s="553"/>
      <c r="AE14" s="553"/>
      <c r="AF14" s="553"/>
      <c r="AG14" s="553"/>
    </row>
    <row r="15" spans="1:33" s="31" customFormat="1" ht="14.25" x14ac:dyDescent="0.2">
      <c r="A15" s="109" t="s">
        <v>297</v>
      </c>
      <c r="B15" s="109" t="s">
        <v>504</v>
      </c>
      <c r="C15" s="303">
        <v>1</v>
      </c>
      <c r="D15" s="550">
        <v>42186</v>
      </c>
      <c r="E15" s="550">
        <v>42277</v>
      </c>
      <c r="F15" s="551">
        <f>DAYS360(D15,E15,0)+1</f>
        <v>90</v>
      </c>
      <c r="G15" s="45"/>
      <c r="H15" s="247">
        <f>2700000*(1+$C$8)</f>
        <v>2798820</v>
      </c>
      <c r="I15" s="247">
        <v>0</v>
      </c>
      <c r="J15" s="247">
        <f>+I15+H15</f>
        <v>2798820</v>
      </c>
      <c r="K15" s="247">
        <f>+J15/30*F15</f>
        <v>8396460</v>
      </c>
      <c r="L15" s="247">
        <f>+J15*F15/360</f>
        <v>699705</v>
      </c>
      <c r="M15" s="247">
        <f>+L15*12%</f>
        <v>83964.599999999991</v>
      </c>
      <c r="N15" s="247">
        <f>+L15</f>
        <v>699705</v>
      </c>
      <c r="O15" s="247">
        <f>+J15*F15/720</f>
        <v>349852.5</v>
      </c>
      <c r="P15" s="247">
        <f>+H15*0.085</f>
        <v>237899.7</v>
      </c>
      <c r="Q15" s="247">
        <f>+H15*12%</f>
        <v>335858.39999999997</v>
      </c>
      <c r="R15" s="247">
        <f>+H15*0.522%</f>
        <v>14609.840399999999</v>
      </c>
      <c r="S15" s="247">
        <f>+((P15+Q15+R15)/30*F15)</f>
        <v>1765103.8212000001</v>
      </c>
      <c r="T15" s="247">
        <f>+H15*0.04</f>
        <v>111952.8</v>
      </c>
      <c r="U15" s="247">
        <f>+(T15/30)*F15</f>
        <v>335858.4</v>
      </c>
      <c r="V15" s="247">
        <f>+H15*0.03</f>
        <v>83964.599999999991</v>
      </c>
      <c r="W15" s="247">
        <f>+H15*0.02</f>
        <v>55976.4</v>
      </c>
      <c r="X15" s="247">
        <f>+((V15+W15)/30*F15)</f>
        <v>419823</v>
      </c>
      <c r="Y15" s="247">
        <f>K15+L15+M15+N15+O15+S15+U15+X15</f>
        <v>12750472.3212</v>
      </c>
      <c r="Z15" s="46">
        <f>+Y15/3</f>
        <v>4250157.4403999997</v>
      </c>
      <c r="AA15" s="513"/>
      <c r="AB15" s="552"/>
      <c r="AC15" s="553"/>
      <c r="AD15" s="553"/>
      <c r="AE15" s="553"/>
      <c r="AF15" s="553"/>
      <c r="AG15" s="553"/>
    </row>
    <row r="16" spans="1:33" s="31" customFormat="1" ht="14.25" x14ac:dyDescent="0.2">
      <c r="A16" s="108" t="s">
        <v>669</v>
      </c>
      <c r="B16" s="108" t="s">
        <v>180</v>
      </c>
      <c r="C16" s="303">
        <v>1</v>
      </c>
      <c r="D16" s="550">
        <v>42186</v>
      </c>
      <c r="E16" s="550">
        <v>42277</v>
      </c>
      <c r="F16" s="551">
        <f>DAYS360(D16,E16,0)+1</f>
        <v>90</v>
      </c>
      <c r="G16" s="303"/>
      <c r="H16" s="247">
        <f>1800000*(1+$C$8)</f>
        <v>1865880</v>
      </c>
      <c r="I16" s="247">
        <v>0</v>
      </c>
      <c r="J16" s="247">
        <f>+I16+H16</f>
        <v>1865880</v>
      </c>
      <c r="K16" s="247">
        <f>+J16/30*F16</f>
        <v>5597640</v>
      </c>
      <c r="L16" s="247">
        <f>+J16*F16/360</f>
        <v>466470</v>
      </c>
      <c r="M16" s="247">
        <f>+L16*12%</f>
        <v>55976.4</v>
      </c>
      <c r="N16" s="247">
        <f>+L16</f>
        <v>466470</v>
      </c>
      <c r="O16" s="247">
        <f>+J16*F16/720</f>
        <v>233235</v>
      </c>
      <c r="P16" s="247">
        <f>+H16*0.085</f>
        <v>158599.80000000002</v>
      </c>
      <c r="Q16" s="247">
        <f>+H16*12%</f>
        <v>223905.6</v>
      </c>
      <c r="R16" s="247">
        <f>+H16*0.522%</f>
        <v>9739.8935999999994</v>
      </c>
      <c r="S16" s="247">
        <f>+((P16+Q16+R16)/30*F16)</f>
        <v>1176735.8808000002</v>
      </c>
      <c r="T16" s="247">
        <f>+H16*0.04</f>
        <v>74635.199999999997</v>
      </c>
      <c r="U16" s="247">
        <f>+(T16/30)*F16</f>
        <v>223905.59999999998</v>
      </c>
      <c r="V16" s="247">
        <f>+H16*0.03</f>
        <v>55976.4</v>
      </c>
      <c r="W16" s="247">
        <f>+H16*0.02</f>
        <v>37317.599999999999</v>
      </c>
      <c r="X16" s="247">
        <f>+((V16+W16)/30*F16)</f>
        <v>279882</v>
      </c>
      <c r="Y16" s="247">
        <f>K16+L16+M16+N16+O16+S16+U16+X16</f>
        <v>8500314.8808000013</v>
      </c>
      <c r="Z16" s="46">
        <f>+Y16/3</f>
        <v>2833438.2936000004</v>
      </c>
      <c r="AA16" s="513"/>
      <c r="AB16" s="553"/>
      <c r="AC16" s="553"/>
      <c r="AD16" s="553"/>
      <c r="AE16" s="553"/>
      <c r="AF16" s="553"/>
      <c r="AG16" s="553"/>
    </row>
    <row r="17" spans="1:33" s="31" customFormat="1" ht="14.25" x14ac:dyDescent="0.2">
      <c r="A17" s="108" t="s">
        <v>20</v>
      </c>
      <c r="B17" s="108" t="s">
        <v>182</v>
      </c>
      <c r="C17" s="303">
        <v>4</v>
      </c>
      <c r="D17" s="550">
        <v>42186</v>
      </c>
      <c r="E17" s="550">
        <v>42277</v>
      </c>
      <c r="F17" s="551">
        <f>DAYS360(D17,E17,0)+1</f>
        <v>90</v>
      </c>
      <c r="G17" s="649"/>
      <c r="H17" s="649">
        <f>+E7*100%*C17</f>
        <v>2577400</v>
      </c>
      <c r="I17" s="649">
        <v>0</v>
      </c>
      <c r="J17" s="649">
        <f>+I17+H17</f>
        <v>2577400</v>
      </c>
      <c r="K17" s="649">
        <f>+J17/30*F17</f>
        <v>7732200</v>
      </c>
      <c r="L17" s="649">
        <v>0</v>
      </c>
      <c r="M17" s="649">
        <v>0</v>
      </c>
      <c r="N17" s="649">
        <v>0</v>
      </c>
      <c r="O17" s="649">
        <v>0</v>
      </c>
      <c r="P17" s="649">
        <f>+E7*0.125*C17*3</f>
        <v>966525</v>
      </c>
      <c r="Q17" s="649"/>
      <c r="R17" s="649"/>
      <c r="S17" s="247">
        <f>+((P17+Q17+R17)/30*F17)</f>
        <v>2899575</v>
      </c>
      <c r="T17" s="649">
        <v>0</v>
      </c>
      <c r="U17" s="649">
        <v>0</v>
      </c>
      <c r="V17" s="649">
        <v>0</v>
      </c>
      <c r="W17" s="649">
        <v>0</v>
      </c>
      <c r="X17" s="649">
        <v>0</v>
      </c>
      <c r="Y17" s="649">
        <f>+S17+K17</f>
        <v>10631775</v>
      </c>
      <c r="Z17" s="649">
        <f>+Y17/3</f>
        <v>3543925</v>
      </c>
      <c r="AA17" s="650"/>
      <c r="AB17" s="553"/>
      <c r="AC17" s="553"/>
      <c r="AD17" s="553"/>
      <c r="AE17" s="553"/>
      <c r="AF17" s="553"/>
      <c r="AG17" s="553"/>
    </row>
    <row r="18" spans="1:33" x14ac:dyDescent="0.2">
      <c r="A18" s="52"/>
      <c r="B18" s="52"/>
      <c r="C18" s="53"/>
      <c r="D18" s="53"/>
      <c r="E18" s="53"/>
      <c r="F18" s="53"/>
      <c r="G18" s="54"/>
      <c r="H18" s="23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14"/>
      <c r="AB18" s="40"/>
      <c r="AC18" s="40"/>
      <c r="AD18" s="29"/>
      <c r="AE18" s="29"/>
      <c r="AF18" s="29"/>
      <c r="AG18" s="29"/>
    </row>
    <row r="19" spans="1:33" x14ac:dyDescent="0.2">
      <c r="A19" s="52"/>
      <c r="B19" s="52"/>
      <c r="C19" s="53"/>
      <c r="D19" s="53"/>
      <c r="E19" s="53"/>
      <c r="F19" s="53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14"/>
      <c r="AB19" s="40"/>
      <c r="AC19" s="40"/>
      <c r="AD19" s="29"/>
      <c r="AE19" s="29"/>
      <c r="AF19" s="29"/>
      <c r="AG19" s="29"/>
    </row>
    <row r="20" spans="1:33" ht="15.75" x14ac:dyDescent="0.25">
      <c r="A20" s="78" t="s">
        <v>22</v>
      </c>
      <c r="B20" s="78" t="s">
        <v>179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  <c r="Q20" s="43"/>
      <c r="R20" s="43"/>
      <c r="S20" s="44"/>
      <c r="T20" s="43"/>
      <c r="U20" s="44"/>
      <c r="V20" s="43"/>
      <c r="W20" s="43"/>
      <c r="X20" s="44"/>
      <c r="Y20" s="80">
        <f>+Y21</f>
        <v>279496467.67459929</v>
      </c>
      <c r="Z20" s="41"/>
      <c r="AA20" s="514"/>
      <c r="AB20" s="40"/>
      <c r="AC20" s="48"/>
      <c r="AD20" s="29"/>
      <c r="AE20" s="29"/>
      <c r="AF20" s="29"/>
      <c r="AG20" s="29"/>
    </row>
    <row r="21" spans="1:33" ht="14.25" x14ac:dyDescent="0.2">
      <c r="A21" s="132" t="s">
        <v>214</v>
      </c>
      <c r="B21" s="132"/>
      <c r="C21" s="135">
        <f>SUM(C22:C35)</f>
        <v>24</v>
      </c>
      <c r="D21" s="133"/>
      <c r="E21" s="133"/>
      <c r="F21" s="134"/>
      <c r="G21" s="136">
        <f t="shared" ref="G21:Z21" si="1">SUM(G22:G35)</f>
        <v>8729110</v>
      </c>
      <c r="H21" s="136">
        <f t="shared" si="1"/>
        <v>59926075.870800003</v>
      </c>
      <c r="I21" s="136">
        <f t="shared" si="1"/>
        <v>296000</v>
      </c>
      <c r="J21" s="136">
        <f>SUM(J22:J35)</f>
        <v>62840808.870800003</v>
      </c>
      <c r="K21" s="136">
        <f t="shared" si="1"/>
        <v>188522426.6124</v>
      </c>
      <c r="L21" s="136">
        <f t="shared" si="1"/>
        <v>13527924.717699999</v>
      </c>
      <c r="M21" s="136">
        <f t="shared" si="1"/>
        <v>1623350.9661239998</v>
      </c>
      <c r="N21" s="136">
        <f t="shared" si="1"/>
        <v>13527924.717699999</v>
      </c>
      <c r="O21" s="136">
        <f t="shared" si="1"/>
        <v>7855101.1088500004</v>
      </c>
      <c r="P21" s="136">
        <f t="shared" si="1"/>
        <v>5093716.4490179997</v>
      </c>
      <c r="Q21" s="136">
        <f t="shared" si="1"/>
        <v>7191129.1044960003</v>
      </c>
      <c r="R21" s="136">
        <f t="shared" si="1"/>
        <v>468387.46872244804</v>
      </c>
      <c r="S21" s="136">
        <f t="shared" si="1"/>
        <v>38259699.066709355</v>
      </c>
      <c r="T21" s="136">
        <f t="shared" si="1"/>
        <v>2397043.0348320003</v>
      </c>
      <c r="U21" s="136">
        <f t="shared" si="1"/>
        <v>7191129.1044960003</v>
      </c>
      <c r="V21" s="136">
        <f t="shared" si="1"/>
        <v>1797782.2761240001</v>
      </c>
      <c r="W21" s="136">
        <f t="shared" si="1"/>
        <v>1198521.5174160001</v>
      </c>
      <c r="X21" s="136">
        <f t="shared" si="1"/>
        <v>8988911.3806200009</v>
      </c>
      <c r="Y21" s="136">
        <f t="shared" si="1"/>
        <v>279496467.67459929</v>
      </c>
      <c r="Z21" s="136">
        <f t="shared" si="1"/>
        <v>93165489.22486645</v>
      </c>
      <c r="AA21" s="514"/>
      <c r="AB21" s="40"/>
      <c r="AC21" s="40"/>
      <c r="AD21" s="29"/>
      <c r="AE21" s="29"/>
      <c r="AF21" s="29"/>
      <c r="AG21" s="29"/>
    </row>
    <row r="22" spans="1:33" s="31" customFormat="1" ht="14.25" x14ac:dyDescent="0.2">
      <c r="A22" s="108" t="s">
        <v>104</v>
      </c>
      <c r="B22" s="108" t="s">
        <v>186</v>
      </c>
      <c r="C22" s="303">
        <v>1</v>
      </c>
      <c r="D22" s="550">
        <v>42186</v>
      </c>
      <c r="E22" s="550">
        <v>42277</v>
      </c>
      <c r="F22" s="551">
        <f t="shared" ref="F22:F35" si="2">DAYS360(D22,E22,0)+1</f>
        <v>90</v>
      </c>
      <c r="G22" s="247">
        <v>8729110</v>
      </c>
      <c r="H22" s="247">
        <f>+G22*70%</f>
        <v>6110377</v>
      </c>
      <c r="I22" s="247">
        <v>0</v>
      </c>
      <c r="J22" s="247">
        <f>G22</f>
        <v>8729110</v>
      </c>
      <c r="K22" s="247">
        <f>+J22/30*F22</f>
        <v>26187330</v>
      </c>
      <c r="L22" s="247">
        <v>0</v>
      </c>
      <c r="M22" s="247">
        <f t="shared" ref="M22:M34" si="3">+L22*12%</f>
        <v>0</v>
      </c>
      <c r="N22" s="247">
        <v>0</v>
      </c>
      <c r="O22" s="247">
        <f t="shared" ref="O22:O35" si="4">+J22*F22/720</f>
        <v>1091138.75</v>
      </c>
      <c r="P22" s="247">
        <f t="shared" ref="P22:P34" si="5">+H22*0.085</f>
        <v>519382.04500000004</v>
      </c>
      <c r="Q22" s="247">
        <f t="shared" ref="Q22:Q34" si="6">+H22*12%</f>
        <v>733245.24</v>
      </c>
      <c r="R22" s="247">
        <f t="shared" ref="R22:R30" si="7">+H22*0.522%</f>
        <v>31896.167939999999</v>
      </c>
      <c r="S22" s="247">
        <f t="shared" ref="S22:S34" si="8">+((P22+Q22+R22)/30*F22)</f>
        <v>3853570.3588200002</v>
      </c>
      <c r="T22" s="247">
        <f t="shared" ref="T22:T32" si="9">+H22*0.04</f>
        <v>244415.08000000002</v>
      </c>
      <c r="U22" s="247">
        <f t="shared" ref="U22:U34" si="10">+(T22/30)*F22</f>
        <v>733245.24000000011</v>
      </c>
      <c r="V22" s="247">
        <f t="shared" ref="V22:V32" si="11">+H22*0.03</f>
        <v>183311.31</v>
      </c>
      <c r="W22" s="247">
        <f t="shared" ref="W22:W32" si="12">+H22*0.02</f>
        <v>122207.54000000001</v>
      </c>
      <c r="X22" s="247">
        <f t="shared" ref="X22:X34" si="13">+((V22+W22)/30*F22)</f>
        <v>916556.54999999993</v>
      </c>
      <c r="Y22" s="247">
        <f t="shared" ref="Y22:Y34" si="14">K22+L22+M22+N22+O22+S22+U22+X22</f>
        <v>32781840.898819998</v>
      </c>
      <c r="Z22" s="247">
        <f>+Y22/3</f>
        <v>10927280.299606666</v>
      </c>
      <c r="AA22" s="513"/>
      <c r="AB22" s="554"/>
      <c r="AC22" s="553"/>
      <c r="AD22" s="553"/>
      <c r="AE22" s="553"/>
      <c r="AF22" s="553"/>
      <c r="AG22" s="553"/>
    </row>
    <row r="23" spans="1:33" s="31" customFormat="1" ht="14.25" x14ac:dyDescent="0.2">
      <c r="A23" s="108" t="s">
        <v>155</v>
      </c>
      <c r="B23" s="108" t="s">
        <v>187</v>
      </c>
      <c r="C23" s="303">
        <v>1</v>
      </c>
      <c r="D23" s="550">
        <v>42186</v>
      </c>
      <c r="E23" s="550">
        <v>42277</v>
      </c>
      <c r="F23" s="551">
        <f t="shared" si="2"/>
        <v>90</v>
      </c>
      <c r="G23" s="247"/>
      <c r="H23" s="247">
        <f>3866138*(1+$C$8)</f>
        <v>4007638.6507999999</v>
      </c>
      <c r="I23" s="247">
        <v>0</v>
      </c>
      <c r="J23" s="247">
        <f t="shared" ref="J23:J34" si="15">+I23+H23</f>
        <v>4007638.6507999999</v>
      </c>
      <c r="K23" s="247">
        <f t="shared" ref="K23:K35" si="16">+J23/30*F23</f>
        <v>12022915.952399999</v>
      </c>
      <c r="L23" s="247">
        <f t="shared" ref="L23:L35" si="17">+J23*F23/360</f>
        <v>1001909.6626999999</v>
      </c>
      <c r="M23" s="247">
        <f t="shared" si="3"/>
        <v>120229.15952399997</v>
      </c>
      <c r="N23" s="247">
        <f t="shared" ref="N23:N34" si="18">+L23</f>
        <v>1001909.6626999999</v>
      </c>
      <c r="O23" s="247">
        <f t="shared" si="4"/>
        <v>500954.83134999993</v>
      </c>
      <c r="P23" s="247">
        <f t="shared" si="5"/>
        <v>340649.28531800001</v>
      </c>
      <c r="Q23" s="247">
        <f t="shared" si="6"/>
        <v>480916.63809599995</v>
      </c>
      <c r="R23" s="247">
        <f t="shared" si="7"/>
        <v>20919.873757175999</v>
      </c>
      <c r="S23" s="247">
        <f t="shared" si="8"/>
        <v>2527457.3915135278</v>
      </c>
      <c r="T23" s="247">
        <f t="shared" si="9"/>
        <v>160305.54603200001</v>
      </c>
      <c r="U23" s="247">
        <f t="shared" si="10"/>
        <v>480916.63809600001</v>
      </c>
      <c r="V23" s="247">
        <f t="shared" si="11"/>
        <v>120229.15952399999</v>
      </c>
      <c r="W23" s="247">
        <f t="shared" si="12"/>
        <v>80152.773016000006</v>
      </c>
      <c r="X23" s="247">
        <f t="shared" si="13"/>
        <v>601145.79762000008</v>
      </c>
      <c r="Y23" s="247">
        <f t="shared" si="14"/>
        <v>18257439.095903523</v>
      </c>
      <c r="Z23" s="247">
        <f t="shared" ref="Z23:Z35" si="19">+Y23/3</f>
        <v>6085813.0319678411</v>
      </c>
      <c r="AA23" s="513"/>
      <c r="AB23" s="552"/>
      <c r="AC23" s="553"/>
      <c r="AD23" s="553"/>
      <c r="AE23" s="553"/>
      <c r="AF23" s="553"/>
      <c r="AG23" s="553"/>
    </row>
    <row r="24" spans="1:33" s="31" customFormat="1" ht="14.25" x14ac:dyDescent="0.2">
      <c r="A24" s="108" t="s">
        <v>235</v>
      </c>
      <c r="B24" s="108" t="s">
        <v>187</v>
      </c>
      <c r="C24" s="303">
        <v>1</v>
      </c>
      <c r="D24" s="550">
        <v>42186</v>
      </c>
      <c r="E24" s="550">
        <v>42277</v>
      </c>
      <c r="F24" s="551">
        <f t="shared" si="2"/>
        <v>90</v>
      </c>
      <c r="G24" s="247"/>
      <c r="H24" s="247">
        <f>3866138*(1+$C$8)</f>
        <v>4007638.6507999999</v>
      </c>
      <c r="I24" s="247">
        <v>0</v>
      </c>
      <c r="J24" s="247">
        <f t="shared" si="15"/>
        <v>4007638.6507999999</v>
      </c>
      <c r="K24" s="247">
        <f t="shared" si="16"/>
        <v>12022915.952399999</v>
      </c>
      <c r="L24" s="247">
        <f t="shared" si="17"/>
        <v>1001909.6626999999</v>
      </c>
      <c r="M24" s="247">
        <f t="shared" si="3"/>
        <v>120229.15952399997</v>
      </c>
      <c r="N24" s="247">
        <f t="shared" si="18"/>
        <v>1001909.6626999999</v>
      </c>
      <c r="O24" s="247">
        <f t="shared" si="4"/>
        <v>500954.83134999993</v>
      </c>
      <c r="P24" s="247">
        <f t="shared" si="5"/>
        <v>340649.28531800001</v>
      </c>
      <c r="Q24" s="247">
        <f t="shared" si="6"/>
        <v>480916.63809599995</v>
      </c>
      <c r="R24" s="247">
        <f t="shared" si="7"/>
        <v>20919.873757175999</v>
      </c>
      <c r="S24" s="247">
        <f t="shared" si="8"/>
        <v>2527457.3915135278</v>
      </c>
      <c r="T24" s="247">
        <f t="shared" si="9"/>
        <v>160305.54603200001</v>
      </c>
      <c r="U24" s="247">
        <f t="shared" si="10"/>
        <v>480916.63809600001</v>
      </c>
      <c r="V24" s="247">
        <f t="shared" si="11"/>
        <v>120229.15952399999</v>
      </c>
      <c r="W24" s="247">
        <f t="shared" si="12"/>
        <v>80152.773016000006</v>
      </c>
      <c r="X24" s="247">
        <f t="shared" si="13"/>
        <v>601145.79762000008</v>
      </c>
      <c r="Y24" s="247">
        <f t="shared" si="14"/>
        <v>18257439.095903523</v>
      </c>
      <c r="Z24" s="247">
        <f t="shared" si="19"/>
        <v>6085813.0319678411</v>
      </c>
      <c r="AA24" s="513"/>
      <c r="AB24" s="552"/>
      <c r="AC24" s="553"/>
      <c r="AD24" s="555"/>
      <c r="AE24" s="553"/>
      <c r="AF24" s="553"/>
      <c r="AG24" s="553"/>
    </row>
    <row r="25" spans="1:33" s="31" customFormat="1" ht="14.25" x14ac:dyDescent="0.2">
      <c r="A25" s="108" t="s">
        <v>236</v>
      </c>
      <c r="B25" s="108" t="s">
        <v>187</v>
      </c>
      <c r="C25" s="303">
        <v>1</v>
      </c>
      <c r="D25" s="550">
        <v>42186</v>
      </c>
      <c r="E25" s="550">
        <v>42277</v>
      </c>
      <c r="F25" s="551">
        <f t="shared" si="2"/>
        <v>90</v>
      </c>
      <c r="G25" s="247"/>
      <c r="H25" s="247">
        <f>3866138*(1+$C$8)</f>
        <v>4007638.6507999999</v>
      </c>
      <c r="I25" s="247">
        <v>0</v>
      </c>
      <c r="J25" s="247">
        <f t="shared" si="15"/>
        <v>4007638.6507999999</v>
      </c>
      <c r="K25" s="247">
        <f t="shared" si="16"/>
        <v>12022915.952399999</v>
      </c>
      <c r="L25" s="247">
        <f t="shared" si="17"/>
        <v>1001909.6626999999</v>
      </c>
      <c r="M25" s="247">
        <f t="shared" si="3"/>
        <v>120229.15952399997</v>
      </c>
      <c r="N25" s="247">
        <f t="shared" si="18"/>
        <v>1001909.6626999999</v>
      </c>
      <c r="O25" s="247">
        <f t="shared" si="4"/>
        <v>500954.83134999993</v>
      </c>
      <c r="P25" s="247">
        <f t="shared" si="5"/>
        <v>340649.28531800001</v>
      </c>
      <c r="Q25" s="247">
        <f t="shared" si="6"/>
        <v>480916.63809599995</v>
      </c>
      <c r="R25" s="247">
        <f t="shared" si="7"/>
        <v>20919.873757175999</v>
      </c>
      <c r="S25" s="247">
        <f t="shared" si="8"/>
        <v>2527457.3915135278</v>
      </c>
      <c r="T25" s="247">
        <f t="shared" si="9"/>
        <v>160305.54603200001</v>
      </c>
      <c r="U25" s="247">
        <f t="shared" si="10"/>
        <v>480916.63809600001</v>
      </c>
      <c r="V25" s="247">
        <f t="shared" si="11"/>
        <v>120229.15952399999</v>
      </c>
      <c r="W25" s="247">
        <f t="shared" si="12"/>
        <v>80152.773016000006</v>
      </c>
      <c r="X25" s="247">
        <f t="shared" si="13"/>
        <v>601145.79762000008</v>
      </c>
      <c r="Y25" s="247">
        <f t="shared" si="14"/>
        <v>18257439.095903523</v>
      </c>
      <c r="Z25" s="247">
        <f t="shared" si="19"/>
        <v>6085813.0319678411</v>
      </c>
      <c r="AA25" s="513"/>
      <c r="AB25" s="552"/>
      <c r="AC25" s="553"/>
      <c r="AD25" s="553"/>
      <c r="AE25" s="553"/>
      <c r="AF25" s="553"/>
      <c r="AG25" s="553"/>
    </row>
    <row r="26" spans="1:33" s="31" customFormat="1" ht="14.25" x14ac:dyDescent="0.2">
      <c r="A26" s="108" t="s">
        <v>293</v>
      </c>
      <c r="B26" s="108" t="s">
        <v>187</v>
      </c>
      <c r="C26" s="303">
        <v>1</v>
      </c>
      <c r="D26" s="550">
        <v>42186</v>
      </c>
      <c r="E26" s="550">
        <v>42277</v>
      </c>
      <c r="F26" s="551">
        <f>DAYS360(D26,E26,0)+1</f>
        <v>90</v>
      </c>
      <c r="G26" s="247"/>
      <c r="H26" s="247">
        <f>3866138*(1+$C$8)</f>
        <v>4007638.6507999999</v>
      </c>
      <c r="I26" s="247"/>
      <c r="J26" s="247">
        <f>+I26+H26</f>
        <v>4007638.6507999999</v>
      </c>
      <c r="K26" s="247">
        <f>+J26/30*F26</f>
        <v>12022915.952399999</v>
      </c>
      <c r="L26" s="247">
        <f t="shared" si="17"/>
        <v>1001909.6626999999</v>
      </c>
      <c r="M26" s="247">
        <f>+L26*12%</f>
        <v>120229.15952399997</v>
      </c>
      <c r="N26" s="247">
        <f>+L26</f>
        <v>1001909.6626999999</v>
      </c>
      <c r="O26" s="247">
        <f t="shared" si="4"/>
        <v>500954.83134999993</v>
      </c>
      <c r="P26" s="247">
        <f>+H26*0.085</f>
        <v>340649.28531800001</v>
      </c>
      <c r="Q26" s="247">
        <f>+H26*12%</f>
        <v>480916.63809599995</v>
      </c>
      <c r="R26" s="247">
        <f>+H26*0.522%</f>
        <v>20919.873757175999</v>
      </c>
      <c r="S26" s="247">
        <f>+((P26+Q26+R26)/30*F26)</f>
        <v>2527457.3915135278</v>
      </c>
      <c r="T26" s="247">
        <f>+H26*0.04</f>
        <v>160305.54603200001</v>
      </c>
      <c r="U26" s="247">
        <f>+(T26/30)*F26</f>
        <v>480916.63809600001</v>
      </c>
      <c r="V26" s="247">
        <f>+H26*0.03</f>
        <v>120229.15952399999</v>
      </c>
      <c r="W26" s="247">
        <f>+H26*0.02</f>
        <v>80152.773016000006</v>
      </c>
      <c r="X26" s="247">
        <f>+((V26+W26)/30*F26)</f>
        <v>601145.79762000008</v>
      </c>
      <c r="Y26" s="247">
        <f>K26+L26+M26+N26+O26+S26+U26+X26</f>
        <v>18257439.095903523</v>
      </c>
      <c r="Z26" s="247">
        <f t="shared" si="19"/>
        <v>6085813.0319678411</v>
      </c>
      <c r="AA26" s="513"/>
      <c r="AB26" s="553"/>
      <c r="AC26" s="558"/>
      <c r="AD26" s="559"/>
    </row>
    <row r="27" spans="1:33" s="31" customFormat="1" ht="14.25" x14ac:dyDescent="0.2">
      <c r="A27" s="109" t="s">
        <v>692</v>
      </c>
      <c r="B27" s="108" t="s">
        <v>183</v>
      </c>
      <c r="C27" s="303">
        <v>1</v>
      </c>
      <c r="D27" s="550">
        <v>42186</v>
      </c>
      <c r="E27" s="550">
        <v>42277</v>
      </c>
      <c r="F27" s="551">
        <f>DAYS360(D27,E27,0)+1</f>
        <v>90</v>
      </c>
      <c r="G27" s="45"/>
      <c r="H27" s="247">
        <f>3129143*(1+$C$8)</f>
        <v>3243669.6338</v>
      </c>
      <c r="I27" s="247">
        <v>0</v>
      </c>
      <c r="J27" s="247">
        <f>+I27+H27</f>
        <v>3243669.6338</v>
      </c>
      <c r="K27" s="247">
        <f>+J27/30*F27</f>
        <v>9731008.9013999999</v>
      </c>
      <c r="L27" s="247">
        <f t="shared" si="17"/>
        <v>810917.40844999999</v>
      </c>
      <c r="M27" s="247">
        <f>+L27*12%</f>
        <v>97310.089013999997</v>
      </c>
      <c r="N27" s="247">
        <f>+L27</f>
        <v>810917.40844999999</v>
      </c>
      <c r="O27" s="247">
        <f t="shared" si="4"/>
        <v>405458.70422499999</v>
      </c>
      <c r="P27" s="247">
        <f>+H27*0.085</f>
        <v>275711.91887300002</v>
      </c>
      <c r="Q27" s="247">
        <f>+H27*12%</f>
        <v>389240.35605599999</v>
      </c>
      <c r="R27" s="247">
        <f>+H27*1.044%</f>
        <v>33863.910976872001</v>
      </c>
      <c r="S27" s="247">
        <f>+((P27+Q27+R27)/30*F27)</f>
        <v>2096448.5577176162</v>
      </c>
      <c r="T27" s="247">
        <f>+H27*0.04</f>
        <v>129746.78535200001</v>
      </c>
      <c r="U27" s="247">
        <f>+(T27/30)*F27</f>
        <v>389240.35605600005</v>
      </c>
      <c r="V27" s="247">
        <f>+H27*0.03</f>
        <v>97310.089013999997</v>
      </c>
      <c r="W27" s="247">
        <f>+H27*0.02</f>
        <v>64873.392676000003</v>
      </c>
      <c r="X27" s="247">
        <f>+((V27+W27)/30*F27)</f>
        <v>486550.44507000002</v>
      </c>
      <c r="Y27" s="247">
        <f>K27+L27+M27+N27+O27+S27+U27+X27</f>
        <v>14827851.870382614</v>
      </c>
      <c r="Z27" s="247">
        <f t="shared" si="19"/>
        <v>4942617.2901275381</v>
      </c>
      <c r="AA27" s="513"/>
      <c r="AB27" s="552"/>
      <c r="AC27" s="553"/>
      <c r="AD27" s="553"/>
      <c r="AE27" s="553"/>
      <c r="AF27" s="553"/>
      <c r="AG27" s="553"/>
    </row>
    <row r="28" spans="1:33" s="31" customFormat="1" ht="14.25" x14ac:dyDescent="0.2">
      <c r="A28" s="109" t="s">
        <v>21</v>
      </c>
      <c r="B28" s="108" t="s">
        <v>183</v>
      </c>
      <c r="C28" s="303">
        <v>1</v>
      </c>
      <c r="D28" s="550">
        <v>42186</v>
      </c>
      <c r="E28" s="550">
        <v>42277</v>
      </c>
      <c r="F28" s="551">
        <f>DAYS360(D28,E28,0)+1</f>
        <v>90</v>
      </c>
      <c r="G28" s="45"/>
      <c r="H28" s="247">
        <f>3129143*(1+$C$8)</f>
        <v>3243669.6338</v>
      </c>
      <c r="I28" s="247">
        <v>0</v>
      </c>
      <c r="J28" s="247">
        <f>+I28+H28</f>
        <v>3243669.6338</v>
      </c>
      <c r="K28" s="247">
        <f>+J28/30*F28</f>
        <v>9731008.9013999999</v>
      </c>
      <c r="L28" s="247">
        <f t="shared" si="17"/>
        <v>810917.40844999999</v>
      </c>
      <c r="M28" s="247">
        <f>+L28*12%</f>
        <v>97310.089013999997</v>
      </c>
      <c r="N28" s="247">
        <f>+L28</f>
        <v>810917.40844999999</v>
      </c>
      <c r="O28" s="247">
        <f t="shared" si="4"/>
        <v>405458.70422499999</v>
      </c>
      <c r="P28" s="247">
        <f>+H28*0.085</f>
        <v>275711.91887300002</v>
      </c>
      <c r="Q28" s="247">
        <f>+H28*12%</f>
        <v>389240.35605599999</v>
      </c>
      <c r="R28" s="247">
        <f>+H28*1.044%</f>
        <v>33863.910976872001</v>
      </c>
      <c r="S28" s="247">
        <f>+((P28+Q28+R28)/30*F28)</f>
        <v>2096448.5577176162</v>
      </c>
      <c r="T28" s="247">
        <f>+H28*0.04</f>
        <v>129746.78535200001</v>
      </c>
      <c r="U28" s="247">
        <f>+(T28/30)*F28</f>
        <v>389240.35605600005</v>
      </c>
      <c r="V28" s="247">
        <f>+H28*0.03</f>
        <v>97310.089013999997</v>
      </c>
      <c r="W28" s="247">
        <f>+H28*0.02</f>
        <v>64873.392676000003</v>
      </c>
      <c r="X28" s="247">
        <f>+((V28+W28)/30*F28)</f>
        <v>486550.44507000002</v>
      </c>
      <c r="Y28" s="247">
        <f>K28+L28+M28+N28+O28+S28+U28+X28</f>
        <v>14827851.870382614</v>
      </c>
      <c r="Z28" s="247">
        <f t="shared" si="19"/>
        <v>4942617.2901275381</v>
      </c>
      <c r="AA28" s="513"/>
      <c r="AB28" s="552"/>
      <c r="AC28" s="553"/>
      <c r="AD28" s="553"/>
      <c r="AE28" s="553"/>
      <c r="AF28" s="553"/>
      <c r="AG28" s="553"/>
    </row>
    <row r="29" spans="1:33" s="31" customFormat="1" ht="14.25" x14ac:dyDescent="0.2">
      <c r="A29" s="108" t="s">
        <v>667</v>
      </c>
      <c r="B29" s="108" t="s">
        <v>180</v>
      </c>
      <c r="C29" s="303">
        <v>1</v>
      </c>
      <c r="D29" s="550">
        <v>42186</v>
      </c>
      <c r="E29" s="550">
        <v>42277</v>
      </c>
      <c r="F29" s="551">
        <f t="shared" si="2"/>
        <v>90</v>
      </c>
      <c r="G29" s="247"/>
      <c r="H29" s="247">
        <f>1800000*(1+$C$8)</f>
        <v>1865880</v>
      </c>
      <c r="I29" s="247">
        <v>0</v>
      </c>
      <c r="J29" s="247">
        <f t="shared" si="15"/>
        <v>1865880</v>
      </c>
      <c r="K29" s="247">
        <f t="shared" si="16"/>
        <v>5597640</v>
      </c>
      <c r="L29" s="247">
        <f t="shared" si="17"/>
        <v>466470</v>
      </c>
      <c r="M29" s="247">
        <f t="shared" si="3"/>
        <v>55976.4</v>
      </c>
      <c r="N29" s="247">
        <f t="shared" si="18"/>
        <v>466470</v>
      </c>
      <c r="O29" s="247">
        <f t="shared" si="4"/>
        <v>233235</v>
      </c>
      <c r="P29" s="247">
        <f t="shared" si="5"/>
        <v>158599.80000000002</v>
      </c>
      <c r="Q29" s="247">
        <f t="shared" si="6"/>
        <v>223905.6</v>
      </c>
      <c r="R29" s="247">
        <f t="shared" si="7"/>
        <v>9739.8935999999994</v>
      </c>
      <c r="S29" s="247">
        <f t="shared" si="8"/>
        <v>1176735.8808000002</v>
      </c>
      <c r="T29" s="247">
        <f t="shared" si="9"/>
        <v>74635.199999999997</v>
      </c>
      <c r="U29" s="247">
        <f t="shared" si="10"/>
        <v>223905.59999999998</v>
      </c>
      <c r="V29" s="247">
        <f t="shared" si="11"/>
        <v>55976.4</v>
      </c>
      <c r="W29" s="247">
        <f t="shared" si="12"/>
        <v>37317.599999999999</v>
      </c>
      <c r="X29" s="247">
        <f t="shared" si="13"/>
        <v>279882</v>
      </c>
      <c r="Y29" s="247">
        <f t="shared" si="14"/>
        <v>8500314.8808000013</v>
      </c>
      <c r="Z29" s="247">
        <f t="shared" si="19"/>
        <v>2833438.2936000004</v>
      </c>
      <c r="AA29" s="513"/>
      <c r="AB29" s="552"/>
      <c r="AC29" s="553"/>
      <c r="AD29" s="553"/>
      <c r="AE29" s="553"/>
      <c r="AF29" s="553"/>
      <c r="AG29" s="553"/>
    </row>
    <row r="30" spans="1:33" s="31" customFormat="1" ht="14.25" x14ac:dyDescent="0.2">
      <c r="A30" s="108" t="s">
        <v>667</v>
      </c>
      <c r="B30" s="108" t="s">
        <v>184</v>
      </c>
      <c r="C30" s="303">
        <v>1</v>
      </c>
      <c r="D30" s="550">
        <v>42186</v>
      </c>
      <c r="E30" s="550">
        <v>42277</v>
      </c>
      <c r="F30" s="551">
        <f t="shared" si="2"/>
        <v>90</v>
      </c>
      <c r="G30" s="247"/>
      <c r="H30" s="247">
        <f>2100000*(1+$C$8)</f>
        <v>2176860</v>
      </c>
      <c r="I30" s="247">
        <v>0</v>
      </c>
      <c r="J30" s="247">
        <f>+I30+H30</f>
        <v>2176860</v>
      </c>
      <c r="K30" s="247">
        <f t="shared" si="16"/>
        <v>6530580</v>
      </c>
      <c r="L30" s="247">
        <f t="shared" si="17"/>
        <v>544215</v>
      </c>
      <c r="M30" s="247">
        <f t="shared" si="3"/>
        <v>65305.799999999996</v>
      </c>
      <c r="N30" s="247">
        <f>+L30</f>
        <v>544215</v>
      </c>
      <c r="O30" s="247">
        <f t="shared" si="4"/>
        <v>272107.5</v>
      </c>
      <c r="P30" s="247">
        <f t="shared" si="5"/>
        <v>185033.1</v>
      </c>
      <c r="Q30" s="247">
        <f t="shared" si="6"/>
        <v>261223.19999999998</v>
      </c>
      <c r="R30" s="247">
        <f t="shared" si="7"/>
        <v>11363.209199999999</v>
      </c>
      <c r="S30" s="247">
        <f t="shared" si="8"/>
        <v>1372858.5275999999</v>
      </c>
      <c r="T30" s="247">
        <f t="shared" si="9"/>
        <v>87074.400000000009</v>
      </c>
      <c r="U30" s="247">
        <f t="shared" si="10"/>
        <v>261223.20000000004</v>
      </c>
      <c r="V30" s="247">
        <f t="shared" si="11"/>
        <v>65305.799999999996</v>
      </c>
      <c r="W30" s="247">
        <f t="shared" si="12"/>
        <v>43537.200000000004</v>
      </c>
      <c r="X30" s="247">
        <f t="shared" si="13"/>
        <v>326529</v>
      </c>
      <c r="Y30" s="247">
        <f t="shared" si="14"/>
        <v>9917034.0275999997</v>
      </c>
      <c r="Z30" s="247">
        <f t="shared" si="19"/>
        <v>3305678.0091999997</v>
      </c>
      <c r="AA30" s="513"/>
      <c r="AB30" s="556"/>
    </row>
    <row r="31" spans="1:33" s="31" customFormat="1" ht="14.25" x14ac:dyDescent="0.2">
      <c r="A31" s="108" t="s">
        <v>151</v>
      </c>
      <c r="B31" s="108" t="s">
        <v>185</v>
      </c>
      <c r="C31" s="303">
        <v>11</v>
      </c>
      <c r="D31" s="550">
        <v>42186</v>
      </c>
      <c r="E31" s="550">
        <v>42277</v>
      </c>
      <c r="F31" s="551">
        <f t="shared" si="2"/>
        <v>90</v>
      </c>
      <c r="G31" s="303"/>
      <c r="H31" s="247">
        <f>+(2119635)*C31</f>
        <v>23315985</v>
      </c>
      <c r="I31" s="247">
        <v>0</v>
      </c>
      <c r="J31" s="247">
        <f t="shared" si="15"/>
        <v>23315985</v>
      </c>
      <c r="K31" s="247">
        <f t="shared" si="16"/>
        <v>69947955</v>
      </c>
      <c r="L31" s="247">
        <f t="shared" si="17"/>
        <v>5828996.25</v>
      </c>
      <c r="M31" s="247">
        <f t="shared" si="3"/>
        <v>699479.54999999993</v>
      </c>
      <c r="N31" s="247">
        <f t="shared" si="18"/>
        <v>5828996.25</v>
      </c>
      <c r="O31" s="247">
        <f t="shared" si="4"/>
        <v>2914498.125</v>
      </c>
      <c r="P31" s="247">
        <f t="shared" si="5"/>
        <v>1981858.7250000001</v>
      </c>
      <c r="Q31" s="247">
        <f t="shared" si="6"/>
        <v>2797918.1999999997</v>
      </c>
      <c r="R31" s="247">
        <f>+H31*1.044%</f>
        <v>243418.88339999999</v>
      </c>
      <c r="S31" s="247">
        <f t="shared" si="8"/>
        <v>15069587.425199999</v>
      </c>
      <c r="T31" s="247">
        <f t="shared" si="9"/>
        <v>932639.4</v>
      </c>
      <c r="U31" s="247">
        <f t="shared" si="10"/>
        <v>2797918.2</v>
      </c>
      <c r="V31" s="247">
        <f t="shared" si="11"/>
        <v>699479.54999999993</v>
      </c>
      <c r="W31" s="247">
        <f t="shared" si="12"/>
        <v>466319.7</v>
      </c>
      <c r="X31" s="247">
        <f t="shared" si="13"/>
        <v>3497397.75</v>
      </c>
      <c r="Y31" s="247">
        <f t="shared" si="14"/>
        <v>106584828.5502</v>
      </c>
      <c r="Z31" s="247">
        <f t="shared" si="19"/>
        <v>35528276.183399998</v>
      </c>
      <c r="AA31" s="513"/>
      <c r="AB31" s="552"/>
      <c r="AC31" s="553"/>
      <c r="AD31" s="553"/>
      <c r="AE31" s="553"/>
      <c r="AF31" s="553"/>
      <c r="AG31" s="553"/>
    </row>
    <row r="32" spans="1:33" s="31" customFormat="1" ht="14.25" x14ac:dyDescent="0.2">
      <c r="A32" s="108" t="s">
        <v>53</v>
      </c>
      <c r="B32" s="108" t="s">
        <v>181</v>
      </c>
      <c r="C32" s="303">
        <v>1</v>
      </c>
      <c r="D32" s="550">
        <v>42186</v>
      </c>
      <c r="E32" s="550">
        <v>42277</v>
      </c>
      <c r="F32" s="551">
        <f t="shared" si="2"/>
        <v>90</v>
      </c>
      <c r="G32" s="303"/>
      <c r="H32" s="649">
        <f>1000000*(1+$C$8)</f>
        <v>1036600</v>
      </c>
      <c r="I32" s="649">
        <f>+E8</f>
        <v>74000</v>
      </c>
      <c r="J32" s="649">
        <f t="shared" si="15"/>
        <v>1110600</v>
      </c>
      <c r="K32" s="649">
        <f t="shared" si="16"/>
        <v>3331800</v>
      </c>
      <c r="L32" s="649">
        <f t="shared" si="17"/>
        <v>277650</v>
      </c>
      <c r="M32" s="649">
        <f t="shared" si="3"/>
        <v>33318</v>
      </c>
      <c r="N32" s="649">
        <f t="shared" si="18"/>
        <v>277650</v>
      </c>
      <c r="O32" s="649">
        <f t="shared" si="4"/>
        <v>138825</v>
      </c>
      <c r="P32" s="649">
        <f t="shared" si="5"/>
        <v>88111</v>
      </c>
      <c r="Q32" s="649">
        <f t="shared" si="6"/>
        <v>124392</v>
      </c>
      <c r="R32" s="649">
        <f>+H32*0.522%</f>
        <v>5411.0519999999997</v>
      </c>
      <c r="S32" s="649">
        <f t="shared" si="8"/>
        <v>653742.15599999996</v>
      </c>
      <c r="T32" s="649">
        <f t="shared" si="9"/>
        <v>41464</v>
      </c>
      <c r="U32" s="649">
        <f t="shared" si="10"/>
        <v>124392.00000000001</v>
      </c>
      <c r="V32" s="649">
        <f t="shared" si="11"/>
        <v>31098</v>
      </c>
      <c r="W32" s="649">
        <f t="shared" si="12"/>
        <v>20732</v>
      </c>
      <c r="X32" s="649">
        <f t="shared" si="13"/>
        <v>155490</v>
      </c>
      <c r="Y32" s="649">
        <f t="shared" si="14"/>
        <v>4992867.1559999995</v>
      </c>
      <c r="Z32" s="649">
        <f t="shared" si="19"/>
        <v>1664289.0519999999</v>
      </c>
      <c r="AA32" s="650"/>
      <c r="AB32" s="553"/>
      <c r="AC32" s="553"/>
      <c r="AD32" s="553"/>
      <c r="AE32" s="553"/>
      <c r="AF32" s="553"/>
      <c r="AG32" s="553"/>
    </row>
    <row r="33" spans="1:57" s="31" customFormat="1" ht="14.25" x14ac:dyDescent="0.2">
      <c r="A33" s="108" t="s">
        <v>53</v>
      </c>
      <c r="B33" s="108" t="s">
        <v>181</v>
      </c>
      <c r="C33" s="303">
        <v>1</v>
      </c>
      <c r="D33" s="550">
        <v>42186</v>
      </c>
      <c r="E33" s="550">
        <v>42277</v>
      </c>
      <c r="F33" s="551">
        <f t="shared" si="2"/>
        <v>90</v>
      </c>
      <c r="G33" s="303"/>
      <c r="H33" s="649">
        <f>1000000*(1+$C$8)</f>
        <v>1036600</v>
      </c>
      <c r="I33" s="649">
        <f>+E8</f>
        <v>74000</v>
      </c>
      <c r="J33" s="649">
        <f t="shared" si="15"/>
        <v>1110600</v>
      </c>
      <c r="K33" s="649">
        <f t="shared" si="16"/>
        <v>3331800</v>
      </c>
      <c r="L33" s="649">
        <f t="shared" si="17"/>
        <v>277650</v>
      </c>
      <c r="M33" s="649">
        <f t="shared" si="3"/>
        <v>33318</v>
      </c>
      <c r="N33" s="649">
        <f t="shared" si="18"/>
        <v>277650</v>
      </c>
      <c r="O33" s="649">
        <f t="shared" si="4"/>
        <v>138825</v>
      </c>
      <c r="P33" s="649">
        <f t="shared" si="5"/>
        <v>88111</v>
      </c>
      <c r="Q33" s="649">
        <f t="shared" si="6"/>
        <v>124392</v>
      </c>
      <c r="R33" s="649">
        <f>+H33*0.522%</f>
        <v>5411.0519999999997</v>
      </c>
      <c r="S33" s="649">
        <f t="shared" si="8"/>
        <v>653742.15599999996</v>
      </c>
      <c r="T33" s="649">
        <f>+H33*0.04</f>
        <v>41464</v>
      </c>
      <c r="U33" s="649">
        <f t="shared" si="10"/>
        <v>124392.00000000001</v>
      </c>
      <c r="V33" s="649">
        <f>+H33*0.03</f>
        <v>31098</v>
      </c>
      <c r="W33" s="649">
        <f>+H33*0.02</f>
        <v>20732</v>
      </c>
      <c r="X33" s="649">
        <f t="shared" si="13"/>
        <v>155490</v>
      </c>
      <c r="Y33" s="649">
        <f t="shared" si="14"/>
        <v>4992867.1559999995</v>
      </c>
      <c r="Z33" s="649">
        <f t="shared" si="19"/>
        <v>1664289.0519999999</v>
      </c>
      <c r="AA33" s="650"/>
      <c r="AB33" s="553"/>
      <c r="AC33" s="553"/>
      <c r="AD33" s="553"/>
      <c r="AE33" s="553"/>
      <c r="AF33" s="553"/>
      <c r="AG33" s="553"/>
    </row>
    <row r="34" spans="1:57" s="31" customFormat="1" ht="14.25" x14ac:dyDescent="0.2">
      <c r="A34" s="108" t="s">
        <v>210</v>
      </c>
      <c r="B34" s="108" t="s">
        <v>211</v>
      </c>
      <c r="C34" s="303">
        <v>1</v>
      </c>
      <c r="D34" s="550">
        <v>42186</v>
      </c>
      <c r="E34" s="550">
        <v>42277</v>
      </c>
      <c r="F34" s="551">
        <f t="shared" si="2"/>
        <v>90</v>
      </c>
      <c r="G34" s="303"/>
      <c r="H34" s="649">
        <f>800000*(1+$C$8)</f>
        <v>829280</v>
      </c>
      <c r="I34" s="649">
        <f>+E8</f>
        <v>74000</v>
      </c>
      <c r="J34" s="649">
        <f t="shared" si="15"/>
        <v>903280</v>
      </c>
      <c r="K34" s="649">
        <f t="shared" si="16"/>
        <v>2709840</v>
      </c>
      <c r="L34" s="649">
        <f t="shared" si="17"/>
        <v>225820</v>
      </c>
      <c r="M34" s="649">
        <f t="shared" si="3"/>
        <v>27098.399999999998</v>
      </c>
      <c r="N34" s="649">
        <f t="shared" si="18"/>
        <v>225820</v>
      </c>
      <c r="O34" s="649">
        <f t="shared" si="4"/>
        <v>112910</v>
      </c>
      <c r="P34" s="649">
        <f t="shared" si="5"/>
        <v>70488.800000000003</v>
      </c>
      <c r="Q34" s="649">
        <f t="shared" si="6"/>
        <v>99513.599999999991</v>
      </c>
      <c r="R34" s="649">
        <f>+H34*0.522%</f>
        <v>4328.8415999999997</v>
      </c>
      <c r="S34" s="649">
        <f t="shared" si="8"/>
        <v>522993.72480000003</v>
      </c>
      <c r="T34" s="649">
        <f>+H34*0.04</f>
        <v>33171.199999999997</v>
      </c>
      <c r="U34" s="649">
        <f t="shared" si="10"/>
        <v>99513.599999999977</v>
      </c>
      <c r="V34" s="649">
        <f>+H34*0.03</f>
        <v>24878.399999999998</v>
      </c>
      <c r="W34" s="649">
        <f>+H34*0.02</f>
        <v>16585.599999999999</v>
      </c>
      <c r="X34" s="649">
        <f t="shared" si="13"/>
        <v>124392.00000000001</v>
      </c>
      <c r="Y34" s="649">
        <f t="shared" si="14"/>
        <v>4048387.7248</v>
      </c>
      <c r="Z34" s="649">
        <f t="shared" si="19"/>
        <v>1349462.5749333333</v>
      </c>
      <c r="AA34" s="650"/>
      <c r="AB34" s="553"/>
      <c r="AC34" s="553"/>
      <c r="AD34" s="553"/>
      <c r="AE34" s="553"/>
      <c r="AF34" s="553"/>
      <c r="AG34" s="553"/>
    </row>
    <row r="35" spans="1:57" s="31" customFormat="1" ht="14.25" x14ac:dyDescent="0.2">
      <c r="A35" s="108" t="s">
        <v>15</v>
      </c>
      <c r="B35" s="108" t="s">
        <v>181</v>
      </c>
      <c r="C35" s="303">
        <v>1</v>
      </c>
      <c r="D35" s="550">
        <v>42186</v>
      </c>
      <c r="E35" s="550">
        <v>42277</v>
      </c>
      <c r="F35" s="551">
        <f t="shared" si="2"/>
        <v>90</v>
      </c>
      <c r="G35" s="303"/>
      <c r="H35" s="247">
        <f>1000000*(1+$C$8)</f>
        <v>1036600</v>
      </c>
      <c r="I35" s="247">
        <f>+E8</f>
        <v>74000</v>
      </c>
      <c r="J35" s="247">
        <f>+I35+H35</f>
        <v>1110600</v>
      </c>
      <c r="K35" s="247">
        <f t="shared" si="16"/>
        <v>3331800</v>
      </c>
      <c r="L35" s="247">
        <f t="shared" si="17"/>
        <v>277650</v>
      </c>
      <c r="M35" s="247">
        <f>+L35*12%</f>
        <v>33318</v>
      </c>
      <c r="N35" s="247">
        <f>+L35</f>
        <v>277650</v>
      </c>
      <c r="O35" s="247">
        <f t="shared" si="4"/>
        <v>138825</v>
      </c>
      <c r="P35" s="247">
        <f>+H35*0.085</f>
        <v>88111</v>
      </c>
      <c r="Q35" s="247">
        <f>+H35*12%</f>
        <v>124392</v>
      </c>
      <c r="R35" s="247">
        <f>+H35*0.522%</f>
        <v>5411.0519999999997</v>
      </c>
      <c r="S35" s="247">
        <f>+((P35+Q35+R35)/30*F35)</f>
        <v>653742.15599999996</v>
      </c>
      <c r="T35" s="247">
        <f>+H35*0.04</f>
        <v>41464</v>
      </c>
      <c r="U35" s="247">
        <f>+(T35/30)*F35</f>
        <v>124392.00000000001</v>
      </c>
      <c r="V35" s="247">
        <f>+H35*0.03</f>
        <v>31098</v>
      </c>
      <c r="W35" s="247">
        <f>+H35*0.02</f>
        <v>20732</v>
      </c>
      <c r="X35" s="247">
        <f>+((V35+W35)/30*F35)</f>
        <v>155490</v>
      </c>
      <c r="Y35" s="247">
        <f>K35+L35+M35+N35+O35+S35+U35+X35</f>
        <v>4992867.1559999995</v>
      </c>
      <c r="Z35" s="247">
        <f t="shared" si="19"/>
        <v>1664289.0519999999</v>
      </c>
      <c r="AA35" s="513"/>
      <c r="AB35" s="552"/>
      <c r="AC35" s="553"/>
      <c r="AD35" s="553"/>
      <c r="AE35" s="553"/>
      <c r="AF35" s="553"/>
      <c r="AG35" s="553"/>
    </row>
    <row r="36" spans="1:57" x14ac:dyDescent="0.2">
      <c r="A36" s="39"/>
      <c r="B36" s="39"/>
      <c r="C36" s="41"/>
      <c r="D36" s="41"/>
      <c r="E36" s="41"/>
      <c r="F36" s="41"/>
      <c r="G36" s="41"/>
      <c r="H36" s="195"/>
      <c r="I36" s="195"/>
      <c r="J36" s="195"/>
      <c r="K36" s="41"/>
      <c r="L36" s="41"/>
      <c r="M36" s="41"/>
      <c r="N36" s="41"/>
      <c r="O36" s="41"/>
      <c r="P36" s="42"/>
      <c r="Q36" s="43"/>
      <c r="R36" s="43"/>
      <c r="S36" s="44"/>
      <c r="T36" s="43"/>
      <c r="U36" s="44"/>
      <c r="V36" s="43"/>
      <c r="W36" s="43"/>
      <c r="X36" s="44"/>
      <c r="Y36" s="294"/>
      <c r="Z36" s="41"/>
      <c r="AA36" s="515"/>
      <c r="AB36" s="197"/>
      <c r="AC36" s="198"/>
      <c r="AD36" s="29"/>
      <c r="AE36" s="29"/>
      <c r="AF36" s="29"/>
      <c r="AG36" s="29"/>
    </row>
    <row r="37" spans="1:57" x14ac:dyDescent="0.2">
      <c r="A37" s="52"/>
      <c r="B37" s="52"/>
      <c r="C37" s="53"/>
      <c r="D37" s="53"/>
      <c r="E37" s="53"/>
      <c r="F37" s="53"/>
      <c r="G37" s="54"/>
      <c r="H37" s="23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14"/>
      <c r="AB37" s="47"/>
      <c r="AC37" s="40"/>
      <c r="AD37" s="29"/>
      <c r="AE37" s="29"/>
      <c r="AF37" s="29"/>
      <c r="AG37" s="29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57" ht="15.75" x14ac:dyDescent="0.25">
      <c r="A38" s="78" t="s">
        <v>23</v>
      </c>
      <c r="B38" s="78" t="s">
        <v>179</v>
      </c>
      <c r="C38" s="41"/>
      <c r="D38" s="41"/>
      <c r="E38" s="41"/>
      <c r="F38" s="41"/>
      <c r="G38" s="41"/>
      <c r="H38" s="195"/>
      <c r="I38" s="41"/>
      <c r="J38" s="41"/>
      <c r="K38" s="41"/>
      <c r="L38" s="41"/>
      <c r="M38" s="41"/>
      <c r="N38" s="41"/>
      <c r="O38" s="41"/>
      <c r="P38" s="42"/>
      <c r="Q38" s="43"/>
      <c r="R38" s="43"/>
      <c r="S38" s="44"/>
      <c r="T38" s="43"/>
      <c r="U38" s="44"/>
      <c r="V38" s="43"/>
      <c r="W38" s="43"/>
      <c r="X38" s="44"/>
      <c r="Y38" s="80">
        <f>+Y39</f>
        <v>74449496.059123531</v>
      </c>
      <c r="Z38" s="41"/>
      <c r="AA38" s="514"/>
      <c r="AB38" s="47"/>
      <c r="AC38" s="40"/>
      <c r="AD38" s="29"/>
      <c r="AE38" s="29"/>
      <c r="AF38" s="29"/>
      <c r="AG38" s="29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7" ht="14.25" x14ac:dyDescent="0.2">
      <c r="A39" s="132" t="s">
        <v>291</v>
      </c>
      <c r="B39" s="132">
        <f>+'Nómina y honorarios 2015'!Y49/3+'Nómina y honorarios 2015'!Y50/2+'Nómina y honorarios 2015'!Y52/3+'Nómina y honorarios 2015'!Y53/3</f>
        <v>25025966.908758428</v>
      </c>
      <c r="C39" s="135">
        <f>SUM(C40:C44)</f>
        <v>5</v>
      </c>
      <c r="D39" s="133"/>
      <c r="E39" s="133"/>
      <c r="F39" s="134"/>
      <c r="G39" s="136">
        <f t="shared" ref="G39:Z39" si="20">SUM(G40:G44)</f>
        <v>8729110</v>
      </c>
      <c r="H39" s="136">
        <f t="shared" si="20"/>
        <v>15197355.650800001</v>
      </c>
      <c r="I39" s="136">
        <f t="shared" si="20"/>
        <v>74000</v>
      </c>
      <c r="J39" s="136">
        <f t="shared" si="20"/>
        <v>17890088.650800001</v>
      </c>
      <c r="K39" s="136">
        <f t="shared" si="20"/>
        <v>53670265.952399999</v>
      </c>
      <c r="L39" s="136">
        <f t="shared" si="20"/>
        <v>2290244.6626999998</v>
      </c>
      <c r="M39" s="136">
        <f t="shared" si="20"/>
        <v>274829.35952399997</v>
      </c>
      <c r="N39" s="136">
        <f t="shared" si="20"/>
        <v>2290244.6626999998</v>
      </c>
      <c r="O39" s="136">
        <f t="shared" si="20"/>
        <v>2236261.0813499996</v>
      </c>
      <c r="P39" s="136">
        <f t="shared" si="20"/>
        <v>1291775.2303180001</v>
      </c>
      <c r="Q39" s="136">
        <f t="shared" si="20"/>
        <v>1823682.6780959999</v>
      </c>
      <c r="R39" s="136">
        <f t="shared" si="20"/>
        <v>79330.196497175988</v>
      </c>
      <c r="S39" s="136">
        <f t="shared" si="20"/>
        <v>9584364.3147335276</v>
      </c>
      <c r="T39" s="136">
        <f t="shared" si="20"/>
        <v>607894.22603200004</v>
      </c>
      <c r="U39" s="136">
        <f t="shared" si="20"/>
        <v>1823682.6780960001</v>
      </c>
      <c r="V39" s="136">
        <f t="shared" si="20"/>
        <v>455920.66952399997</v>
      </c>
      <c r="W39" s="136">
        <f t="shared" si="20"/>
        <v>303947.11301600002</v>
      </c>
      <c r="X39" s="136">
        <f t="shared" si="20"/>
        <v>2279603.3476200001</v>
      </c>
      <c r="Y39" s="136">
        <f t="shared" si="20"/>
        <v>74449496.059123531</v>
      </c>
      <c r="Z39" s="136">
        <f t="shared" si="20"/>
        <v>24816498.686374508</v>
      </c>
      <c r="AA39" s="514"/>
      <c r="AB39" s="40"/>
      <c r="AC39" s="40"/>
      <c r="AD39" s="29"/>
      <c r="AE39" s="29"/>
      <c r="AF39" s="29"/>
      <c r="AG39" s="29"/>
    </row>
    <row r="40" spans="1:57" s="31" customFormat="1" ht="14.25" x14ac:dyDescent="0.2">
      <c r="A40" s="108" t="s">
        <v>104</v>
      </c>
      <c r="B40" s="108" t="s">
        <v>186</v>
      </c>
      <c r="C40" s="303">
        <v>1</v>
      </c>
      <c r="D40" s="550">
        <v>42186</v>
      </c>
      <c r="E40" s="550">
        <v>42277</v>
      </c>
      <c r="F40" s="551">
        <f>DAYS360(D40,E40,0)+1</f>
        <v>90</v>
      </c>
      <c r="G40" s="247">
        <v>8729110</v>
      </c>
      <c r="H40" s="247">
        <f>+G40*70%</f>
        <v>6110377</v>
      </c>
      <c r="I40" s="247">
        <v>0</v>
      </c>
      <c r="J40" s="247">
        <f>G40</f>
        <v>8729110</v>
      </c>
      <c r="K40" s="247">
        <f>+J40/30*F40</f>
        <v>26187330</v>
      </c>
      <c r="L40" s="247">
        <v>0</v>
      </c>
      <c r="M40" s="247">
        <f>+L40*12%</f>
        <v>0</v>
      </c>
      <c r="N40" s="247">
        <v>0</v>
      </c>
      <c r="O40" s="247">
        <f>+J40*F40/720</f>
        <v>1091138.75</v>
      </c>
      <c r="P40" s="247">
        <f>+H40*0.085</f>
        <v>519382.04500000004</v>
      </c>
      <c r="Q40" s="247">
        <f>+H40*12%</f>
        <v>733245.24</v>
      </c>
      <c r="R40" s="247">
        <f>+H40*0.522%</f>
        <v>31896.167939999999</v>
      </c>
      <c r="S40" s="247">
        <f>+((P40+Q40+R40)/30*F40)</f>
        <v>3853570.3588200002</v>
      </c>
      <c r="T40" s="247">
        <f>+H40*0.04</f>
        <v>244415.08000000002</v>
      </c>
      <c r="U40" s="247">
        <f>+(T40/30)*F40</f>
        <v>733245.24000000011</v>
      </c>
      <c r="V40" s="247">
        <f>+H40*0.03</f>
        <v>183311.31</v>
      </c>
      <c r="W40" s="247">
        <f>+H40*0.02</f>
        <v>122207.54000000001</v>
      </c>
      <c r="X40" s="247">
        <f>+((V40+W40)/30*F40)</f>
        <v>916556.54999999993</v>
      </c>
      <c r="Y40" s="247">
        <f>K40+L40+M40+N40+O40+S40+U40+X40</f>
        <v>32781840.898819998</v>
      </c>
      <c r="Z40" s="247">
        <f>+Y40/3</f>
        <v>10927280.299606666</v>
      </c>
      <c r="AA40" s="513"/>
      <c r="AB40" s="554"/>
      <c r="AC40" s="553"/>
      <c r="AD40" s="553"/>
      <c r="AE40" s="553"/>
      <c r="AF40" s="553"/>
      <c r="AG40" s="553"/>
    </row>
    <row r="41" spans="1:57" s="31" customFormat="1" ht="14.25" x14ac:dyDescent="0.2">
      <c r="A41" s="108" t="s">
        <v>163</v>
      </c>
      <c r="B41" s="108" t="s">
        <v>187</v>
      </c>
      <c r="C41" s="303">
        <v>1</v>
      </c>
      <c r="D41" s="550">
        <v>42186</v>
      </c>
      <c r="E41" s="550">
        <v>42277</v>
      </c>
      <c r="F41" s="551">
        <f>DAYS360(D41,E41,0)+1</f>
        <v>90</v>
      </c>
      <c r="G41" s="247"/>
      <c r="H41" s="247">
        <f>3866138*(1+$C$8)</f>
        <v>4007638.6507999999</v>
      </c>
      <c r="I41" s="247">
        <v>0</v>
      </c>
      <c r="J41" s="247">
        <f>+I41+H41</f>
        <v>4007638.6507999999</v>
      </c>
      <c r="K41" s="247">
        <f>+J41/30*F41</f>
        <v>12022915.952399999</v>
      </c>
      <c r="L41" s="247">
        <f>+J41*F41/360</f>
        <v>1001909.6626999999</v>
      </c>
      <c r="M41" s="247">
        <f>+L41*12%</f>
        <v>120229.15952399997</v>
      </c>
      <c r="N41" s="247">
        <f>+L41</f>
        <v>1001909.6626999999</v>
      </c>
      <c r="O41" s="247">
        <f>+J41*F41/720</f>
        <v>500954.83134999993</v>
      </c>
      <c r="P41" s="247">
        <f>+H41*0.085</f>
        <v>340649.28531800001</v>
      </c>
      <c r="Q41" s="247">
        <f>+H41*12%</f>
        <v>480916.63809599995</v>
      </c>
      <c r="R41" s="247">
        <f>+H41*0.522%</f>
        <v>20919.873757175999</v>
      </c>
      <c r="S41" s="247">
        <f>+((P41+Q41+R41)/30*F41)</f>
        <v>2527457.3915135278</v>
      </c>
      <c r="T41" s="247">
        <f>+H41*0.04</f>
        <v>160305.54603200001</v>
      </c>
      <c r="U41" s="247">
        <f>+(T41/30)*F41</f>
        <v>480916.63809600001</v>
      </c>
      <c r="V41" s="247">
        <f>+H41*0.03</f>
        <v>120229.15952399999</v>
      </c>
      <c r="W41" s="247">
        <f>+H41*0.02</f>
        <v>80152.773016000006</v>
      </c>
      <c r="X41" s="247">
        <f>+((V41+W41)/30*F41)</f>
        <v>601145.79762000008</v>
      </c>
      <c r="Y41" s="247">
        <f>K41+L41+M41+N41+O41+S41+U41+X41</f>
        <v>18257439.095903523</v>
      </c>
      <c r="Z41" s="247">
        <f>+Y41/3</f>
        <v>6085813.0319678411</v>
      </c>
      <c r="AA41" s="513"/>
      <c r="AB41" s="555"/>
      <c r="AC41" s="557"/>
    </row>
    <row r="42" spans="1:57" s="31" customFormat="1" ht="14.25" x14ac:dyDescent="0.2">
      <c r="A42" s="108" t="s">
        <v>548</v>
      </c>
      <c r="B42" s="108" t="s">
        <v>184</v>
      </c>
      <c r="C42" s="303">
        <v>1</v>
      </c>
      <c r="D42" s="550">
        <v>42186</v>
      </c>
      <c r="E42" s="550">
        <v>42277</v>
      </c>
      <c r="F42" s="551">
        <f>DAYS360(D42,E42,0)+1</f>
        <v>90</v>
      </c>
      <c r="G42" s="247"/>
      <c r="H42" s="247">
        <f>2100000*(1+$C$8)</f>
        <v>2176860</v>
      </c>
      <c r="I42" s="247">
        <v>0</v>
      </c>
      <c r="J42" s="247">
        <f>+I42+H42</f>
        <v>2176860</v>
      </c>
      <c r="K42" s="247">
        <f>+J42/30*F42</f>
        <v>6530580</v>
      </c>
      <c r="L42" s="247">
        <f>+J42*F42/360</f>
        <v>544215</v>
      </c>
      <c r="M42" s="247">
        <f>+L42*12%</f>
        <v>65305.799999999996</v>
      </c>
      <c r="N42" s="247">
        <f>+L42</f>
        <v>544215</v>
      </c>
      <c r="O42" s="247">
        <f>+J42*F42/720</f>
        <v>272107.5</v>
      </c>
      <c r="P42" s="247">
        <f>+H42*0.085</f>
        <v>185033.1</v>
      </c>
      <c r="Q42" s="247">
        <f>+H42*12%</f>
        <v>261223.19999999998</v>
      </c>
      <c r="R42" s="247">
        <f>+H42*0.522%</f>
        <v>11363.209199999999</v>
      </c>
      <c r="S42" s="247">
        <f>+((P42+Q42+R42)/30*F42)</f>
        <v>1372858.5275999999</v>
      </c>
      <c r="T42" s="247">
        <f>+H42*0.04</f>
        <v>87074.400000000009</v>
      </c>
      <c r="U42" s="247">
        <f>+(T42/30)*F42</f>
        <v>261223.20000000004</v>
      </c>
      <c r="V42" s="247">
        <f>+H42*0.03</f>
        <v>65305.799999999996</v>
      </c>
      <c r="W42" s="247">
        <f>+H42*0.02</f>
        <v>43537.200000000004</v>
      </c>
      <c r="X42" s="247">
        <f>+((V42+W42)/30*F42)</f>
        <v>326529</v>
      </c>
      <c r="Y42" s="247">
        <f>K42+L42+M42+N42+O42+S42+U42+X42</f>
        <v>9917034.0275999997</v>
      </c>
      <c r="Z42" s="247">
        <f>+Y42/3</f>
        <v>3305678.0091999997</v>
      </c>
      <c r="AA42" s="513"/>
      <c r="AB42" s="556"/>
    </row>
    <row r="43" spans="1:57" s="31" customFormat="1" ht="14.25" x14ac:dyDescent="0.2">
      <c r="A43" s="108" t="s">
        <v>670</v>
      </c>
      <c r="B43" s="108" t="s">
        <v>180</v>
      </c>
      <c r="C43" s="303">
        <v>1</v>
      </c>
      <c r="D43" s="550">
        <v>42186</v>
      </c>
      <c r="E43" s="550">
        <v>42277</v>
      </c>
      <c r="F43" s="551">
        <f>DAYS360(D43,E43,0)+1</f>
        <v>90</v>
      </c>
      <c r="G43" s="247"/>
      <c r="H43" s="247">
        <f>1800000*(1+$C$8)</f>
        <v>1865880</v>
      </c>
      <c r="I43" s="247">
        <v>0</v>
      </c>
      <c r="J43" s="247">
        <f>+I43+H43</f>
        <v>1865880</v>
      </c>
      <c r="K43" s="247">
        <f>+J43/30*F43</f>
        <v>5597640</v>
      </c>
      <c r="L43" s="247">
        <f>+J43*F43/360</f>
        <v>466470</v>
      </c>
      <c r="M43" s="247">
        <f>+L43*12%</f>
        <v>55976.4</v>
      </c>
      <c r="N43" s="247">
        <f>+L43</f>
        <v>466470</v>
      </c>
      <c r="O43" s="247">
        <f>+J43*F43/720</f>
        <v>233235</v>
      </c>
      <c r="P43" s="247">
        <f>+H43*0.085</f>
        <v>158599.80000000002</v>
      </c>
      <c r="Q43" s="247">
        <f>+H43*12%</f>
        <v>223905.6</v>
      </c>
      <c r="R43" s="247">
        <f>+H43*0.522%</f>
        <v>9739.8935999999994</v>
      </c>
      <c r="S43" s="247">
        <f>+((P43+Q43+R43)/30*F43)</f>
        <v>1176735.8808000002</v>
      </c>
      <c r="T43" s="247">
        <f>+H43*0.04</f>
        <v>74635.199999999997</v>
      </c>
      <c r="U43" s="247">
        <f>+(T43/30)*F43</f>
        <v>223905.59999999998</v>
      </c>
      <c r="V43" s="247">
        <f>+H43*0.03</f>
        <v>55976.4</v>
      </c>
      <c r="W43" s="247">
        <f>+H43*0.02</f>
        <v>37317.599999999999</v>
      </c>
      <c r="X43" s="247">
        <f>+((V43+W43)/30*F43)</f>
        <v>279882</v>
      </c>
      <c r="Y43" s="247">
        <f>K43+L43+M43+N43+O43+S43+U43+X43</f>
        <v>8500314.8808000013</v>
      </c>
      <c r="Z43" s="247">
        <f>+Y43/3</f>
        <v>2833438.2936000004</v>
      </c>
      <c r="AA43" s="513"/>
      <c r="AB43" s="552"/>
      <c r="AC43" s="553"/>
      <c r="AD43" s="553"/>
      <c r="AE43" s="553"/>
      <c r="AF43" s="553"/>
      <c r="AG43" s="553"/>
    </row>
    <row r="44" spans="1:57" s="31" customFormat="1" ht="14.25" x14ac:dyDescent="0.2">
      <c r="A44" s="108" t="s">
        <v>15</v>
      </c>
      <c r="B44" s="108" t="s">
        <v>181</v>
      </c>
      <c r="C44" s="303">
        <v>1</v>
      </c>
      <c r="D44" s="550">
        <v>42186</v>
      </c>
      <c r="E44" s="550">
        <v>42277</v>
      </c>
      <c r="F44" s="551">
        <f>DAYS360(D44,E44,0)+1</f>
        <v>90</v>
      </c>
      <c r="G44" s="303"/>
      <c r="H44" s="247">
        <f>1000000*(1+$C$8)</f>
        <v>1036600</v>
      </c>
      <c r="I44" s="247">
        <f>+E8</f>
        <v>74000</v>
      </c>
      <c r="J44" s="247">
        <f>+I44+H44</f>
        <v>1110600</v>
      </c>
      <c r="K44" s="247">
        <f>+J44/30*F44</f>
        <v>3331800</v>
      </c>
      <c r="L44" s="247">
        <f>+J44*F44/360</f>
        <v>277650</v>
      </c>
      <c r="M44" s="247">
        <f>+L44*12%</f>
        <v>33318</v>
      </c>
      <c r="N44" s="247">
        <f>+L44</f>
        <v>277650</v>
      </c>
      <c r="O44" s="247">
        <f>+J44*F44/720</f>
        <v>138825</v>
      </c>
      <c r="P44" s="247">
        <f>+H44*0.085</f>
        <v>88111</v>
      </c>
      <c r="Q44" s="247">
        <f>+H44*12%</f>
        <v>124392</v>
      </c>
      <c r="R44" s="247">
        <f>+H44*0.522%</f>
        <v>5411.0519999999997</v>
      </c>
      <c r="S44" s="247">
        <f>+((P44+Q44+R44)/30*F44)</f>
        <v>653742.15599999996</v>
      </c>
      <c r="T44" s="247">
        <f>+H44*0.04</f>
        <v>41464</v>
      </c>
      <c r="U44" s="247">
        <f>+(T44/30)*F44</f>
        <v>124392.00000000001</v>
      </c>
      <c r="V44" s="247">
        <f>+H44*0.03</f>
        <v>31098</v>
      </c>
      <c r="W44" s="247">
        <f>+H44*0.02</f>
        <v>20732</v>
      </c>
      <c r="X44" s="247">
        <f>+((V44+W44)/30*F44)</f>
        <v>155490</v>
      </c>
      <c r="Y44" s="247">
        <f>K44+L44+M44+N44+O44+S44+U44+X44</f>
        <v>4992867.1559999995</v>
      </c>
      <c r="Z44" s="247">
        <f>+Y44/3</f>
        <v>1664289.0519999999</v>
      </c>
      <c r="AA44" s="513"/>
      <c r="AB44" s="553"/>
      <c r="AD44" s="559"/>
    </row>
    <row r="45" spans="1:57" x14ac:dyDescent="0.2">
      <c r="A45" s="52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196"/>
      <c r="AB45" s="40"/>
      <c r="AC45" s="38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</row>
    <row r="46" spans="1:57" x14ac:dyDescent="0.2">
      <c r="A46" s="5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196"/>
      <c r="AB46" s="40"/>
      <c r="AC46" s="38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</row>
    <row r="47" spans="1:57" ht="15.75" x14ac:dyDescent="0.25">
      <c r="A47" s="78" t="s">
        <v>24</v>
      </c>
      <c r="B47" s="78" t="s">
        <v>179</v>
      </c>
      <c r="C47" s="36"/>
      <c r="D47" s="36"/>
      <c r="E47" s="36"/>
      <c r="F47" s="36"/>
      <c r="G47" s="38"/>
      <c r="H47" s="38"/>
      <c r="I47" s="38"/>
      <c r="J47" s="38"/>
      <c r="K47" s="38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80">
        <f>+Y48</f>
        <v>84206620.274227053</v>
      </c>
      <c r="Z47" s="13"/>
      <c r="AA47" s="196"/>
      <c r="AB47" s="40"/>
      <c r="AC47" s="38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57" ht="14.25" x14ac:dyDescent="0.2">
      <c r="A48" s="132" t="s">
        <v>292</v>
      </c>
      <c r="B48" s="132"/>
      <c r="C48" s="135">
        <f>SUM(C49:C53)</f>
        <v>5</v>
      </c>
      <c r="D48" s="133"/>
      <c r="E48" s="133"/>
      <c r="F48" s="134"/>
      <c r="G48" s="136">
        <f t="shared" ref="G48:Z48" si="21">SUM(G49:G53)</f>
        <v>8729110</v>
      </c>
      <c r="H48" s="136">
        <f t="shared" si="21"/>
        <v>17339114.301600002</v>
      </c>
      <c r="I48" s="136">
        <f t="shared" si="21"/>
        <v>74000</v>
      </c>
      <c r="J48" s="136">
        <f t="shared" si="21"/>
        <v>20031847.301600002</v>
      </c>
      <c r="K48" s="136">
        <f t="shared" si="21"/>
        <v>60095541.904799998</v>
      </c>
      <c r="L48" s="136">
        <f t="shared" si="21"/>
        <v>2825684.3253999995</v>
      </c>
      <c r="M48" s="136">
        <f t="shared" si="21"/>
        <v>339082.11904799996</v>
      </c>
      <c r="N48" s="136">
        <f t="shared" si="21"/>
        <v>2825684.3253999995</v>
      </c>
      <c r="O48" s="136">
        <f t="shared" si="21"/>
        <v>2503980.9126999998</v>
      </c>
      <c r="P48" s="136">
        <f t="shared" si="21"/>
        <v>1473824.715636</v>
      </c>
      <c r="Q48" s="136">
        <f t="shared" si="21"/>
        <v>2080693.7161919998</v>
      </c>
      <c r="R48" s="136">
        <f t="shared" si="21"/>
        <v>90510.176654351992</v>
      </c>
      <c r="S48" s="136">
        <f t="shared" si="21"/>
        <v>10935085.825447055</v>
      </c>
      <c r="T48" s="136">
        <f t="shared" si="21"/>
        <v>693564.57206400007</v>
      </c>
      <c r="U48" s="136">
        <f t="shared" si="21"/>
        <v>2080693.7161920001</v>
      </c>
      <c r="V48" s="136">
        <f t="shared" si="21"/>
        <v>520173.42904799996</v>
      </c>
      <c r="W48" s="136">
        <f t="shared" si="21"/>
        <v>346782.28603200003</v>
      </c>
      <c r="X48" s="136">
        <f t="shared" si="21"/>
        <v>2600867.1452400004</v>
      </c>
      <c r="Y48" s="136">
        <f t="shared" si="21"/>
        <v>84206620.274227053</v>
      </c>
      <c r="Z48" s="136">
        <f t="shared" si="21"/>
        <v>28068873.424742348</v>
      </c>
      <c r="AA48" s="514"/>
      <c r="AB48" s="40"/>
      <c r="AC48" s="40"/>
      <c r="AD48" s="29"/>
      <c r="AE48" s="29"/>
      <c r="AF48" s="29"/>
      <c r="AG48" s="29"/>
    </row>
    <row r="49" spans="1:57" s="31" customFormat="1" ht="14.25" x14ac:dyDescent="0.2">
      <c r="A49" s="116" t="s">
        <v>212</v>
      </c>
      <c r="B49" s="108" t="s">
        <v>186</v>
      </c>
      <c r="C49" s="303">
        <v>1</v>
      </c>
      <c r="D49" s="550">
        <v>42186</v>
      </c>
      <c r="E49" s="550">
        <v>42277</v>
      </c>
      <c r="F49" s="551">
        <f>DAYS360(D49,E49,0)+1</f>
        <v>90</v>
      </c>
      <c r="G49" s="247">
        <v>8729110</v>
      </c>
      <c r="H49" s="247">
        <f>+G49*70%</f>
        <v>6110377</v>
      </c>
      <c r="I49" s="247">
        <v>0</v>
      </c>
      <c r="J49" s="247">
        <f>G49</f>
        <v>8729110</v>
      </c>
      <c r="K49" s="247">
        <f>+J49/30*F49</f>
        <v>26187330</v>
      </c>
      <c r="L49" s="247">
        <v>0</v>
      </c>
      <c r="M49" s="247">
        <f>+L49*12%</f>
        <v>0</v>
      </c>
      <c r="N49" s="247">
        <v>0</v>
      </c>
      <c r="O49" s="247">
        <f>+J49*F49/720</f>
        <v>1091138.75</v>
      </c>
      <c r="P49" s="247">
        <f>+H49*0.085</f>
        <v>519382.04500000004</v>
      </c>
      <c r="Q49" s="247">
        <f>+H49*12%</f>
        <v>733245.24</v>
      </c>
      <c r="R49" s="247">
        <f>+H49*0.522%</f>
        <v>31896.167939999999</v>
      </c>
      <c r="S49" s="247">
        <f>+((P49+Q49+R49)/30*F49)</f>
        <v>3853570.3588200002</v>
      </c>
      <c r="T49" s="247">
        <f>+H49*0.04</f>
        <v>244415.08000000002</v>
      </c>
      <c r="U49" s="247">
        <f>+(T49/30)*F49</f>
        <v>733245.24000000011</v>
      </c>
      <c r="V49" s="247">
        <f>+H49*0.03</f>
        <v>183311.31</v>
      </c>
      <c r="W49" s="247">
        <f>+H49*0.02</f>
        <v>122207.54000000001</v>
      </c>
      <c r="X49" s="247">
        <f>+((V49+W49)/30*F49)</f>
        <v>916556.54999999993</v>
      </c>
      <c r="Y49" s="247">
        <f>K49+L49+M49+N49+O49+S49+U49+X49</f>
        <v>32781840.898819998</v>
      </c>
      <c r="Z49" s="247">
        <f>+Y49/3</f>
        <v>10927280.299606666</v>
      </c>
      <c r="AA49" s="513"/>
      <c r="AB49" s="553"/>
    </row>
    <row r="50" spans="1:57" s="31" customFormat="1" ht="14.25" x14ac:dyDescent="0.2">
      <c r="A50" s="108" t="s">
        <v>658</v>
      </c>
      <c r="B50" s="108" t="s">
        <v>187</v>
      </c>
      <c r="C50" s="303">
        <v>1</v>
      </c>
      <c r="D50" s="550">
        <v>42186</v>
      </c>
      <c r="E50" s="550">
        <v>42277</v>
      </c>
      <c r="F50" s="551">
        <f>DAYS360(D50,E50,0)+1</f>
        <v>90</v>
      </c>
      <c r="G50" s="247"/>
      <c r="H50" s="247">
        <f>3866138*(1+$C$8)</f>
        <v>4007638.6507999999</v>
      </c>
      <c r="I50" s="247">
        <v>0</v>
      </c>
      <c r="J50" s="247">
        <f>+I50+H50</f>
        <v>4007638.6507999999</v>
      </c>
      <c r="K50" s="247">
        <f>+J50/30*F50</f>
        <v>12022915.952399999</v>
      </c>
      <c r="L50" s="247">
        <f>+J50*F50/360</f>
        <v>1001909.6626999999</v>
      </c>
      <c r="M50" s="247">
        <f>+L50*12%</f>
        <v>120229.15952399997</v>
      </c>
      <c r="N50" s="247">
        <f>+L50</f>
        <v>1001909.6626999999</v>
      </c>
      <c r="O50" s="247">
        <f>+J50*F50/720</f>
        <v>500954.83134999993</v>
      </c>
      <c r="P50" s="247">
        <f>+H50*0.085</f>
        <v>340649.28531800001</v>
      </c>
      <c r="Q50" s="247">
        <f>+H50*12%</f>
        <v>480916.63809599995</v>
      </c>
      <c r="R50" s="247">
        <f>+H50*0.522%</f>
        <v>20919.873757175999</v>
      </c>
      <c r="S50" s="247">
        <f>+((P50+Q50+R50)/30*F50)</f>
        <v>2527457.3915135278</v>
      </c>
      <c r="T50" s="247">
        <f>+H50*0.04</f>
        <v>160305.54603200001</v>
      </c>
      <c r="U50" s="247">
        <f>+(T50/30)*F50</f>
        <v>480916.63809600001</v>
      </c>
      <c r="V50" s="247">
        <f>+H50*0.03</f>
        <v>120229.15952399999</v>
      </c>
      <c r="W50" s="247">
        <f>+H50*0.02</f>
        <v>80152.773016000006</v>
      </c>
      <c r="X50" s="247">
        <f>+((V50+W50)/30*F50)</f>
        <v>601145.79762000008</v>
      </c>
      <c r="Y50" s="247">
        <f>K50+L50+M50+N50+O50+S50+U50+X50</f>
        <v>18257439.095903523</v>
      </c>
      <c r="Z50" s="247">
        <f>+Y50/3</f>
        <v>6085813.0319678411</v>
      </c>
      <c r="AA50" s="513"/>
      <c r="AB50" s="556"/>
    </row>
    <row r="51" spans="1:57" s="31" customFormat="1" ht="14.25" x14ac:dyDescent="0.2">
      <c r="A51" s="108" t="s">
        <v>575</v>
      </c>
      <c r="B51" s="108" t="s">
        <v>662</v>
      </c>
      <c r="C51" s="303">
        <v>1</v>
      </c>
      <c r="D51" s="550">
        <v>42186</v>
      </c>
      <c r="E51" s="550">
        <v>42277</v>
      </c>
      <c r="F51" s="551">
        <f>DAYS360(D51,E51,0)+1</f>
        <v>90</v>
      </c>
      <c r="G51" s="247"/>
      <c r="H51" s="247">
        <f>3866138*(1+$C$8)</f>
        <v>4007638.6507999999</v>
      </c>
      <c r="I51" s="247"/>
      <c r="J51" s="247">
        <f>+I51+H51</f>
        <v>4007638.6507999999</v>
      </c>
      <c r="K51" s="247">
        <f>+J51/30*F51</f>
        <v>12022915.952399999</v>
      </c>
      <c r="L51" s="247">
        <f>+J51*F51/360</f>
        <v>1001909.6626999999</v>
      </c>
      <c r="M51" s="247">
        <f>+L51*12%</f>
        <v>120229.15952399997</v>
      </c>
      <c r="N51" s="247">
        <f>+L51</f>
        <v>1001909.6626999999</v>
      </c>
      <c r="O51" s="247">
        <f>+J51*F51/720</f>
        <v>500954.83134999993</v>
      </c>
      <c r="P51" s="247">
        <f>+H51*0.085</f>
        <v>340649.28531800001</v>
      </c>
      <c r="Q51" s="247">
        <f>+H51*12%</f>
        <v>480916.63809599995</v>
      </c>
      <c r="R51" s="247">
        <f>+H51*0.522%</f>
        <v>20919.873757175999</v>
      </c>
      <c r="S51" s="247">
        <f>+((P51+Q51+R51)/30*F51)</f>
        <v>2527457.3915135278</v>
      </c>
      <c r="T51" s="247">
        <f>+H51*0.04</f>
        <v>160305.54603200001</v>
      </c>
      <c r="U51" s="247">
        <f>+(T51/30)*F51</f>
        <v>480916.63809600001</v>
      </c>
      <c r="V51" s="247">
        <f>+H51*0.03</f>
        <v>120229.15952399999</v>
      </c>
      <c r="W51" s="247">
        <f>+H51*0.02</f>
        <v>80152.773016000006</v>
      </c>
      <c r="X51" s="247">
        <f>+((V51+W51)/30*F51)</f>
        <v>601145.79762000008</v>
      </c>
      <c r="Y51" s="247">
        <f>K51+L51+M51+N51+O51+S51+U51+X51</f>
        <v>18257439.095903523</v>
      </c>
      <c r="Z51" s="247">
        <f>+Y51/3</f>
        <v>6085813.0319678411</v>
      </c>
      <c r="AA51" s="513"/>
      <c r="AB51" s="556"/>
    </row>
    <row r="52" spans="1:57" s="31" customFormat="1" ht="14.25" x14ac:dyDescent="0.2">
      <c r="A52" s="108" t="s">
        <v>666</v>
      </c>
      <c r="B52" s="108" t="s">
        <v>184</v>
      </c>
      <c r="C52" s="303">
        <v>1</v>
      </c>
      <c r="D52" s="550">
        <v>42186</v>
      </c>
      <c r="E52" s="550">
        <v>42277</v>
      </c>
      <c r="F52" s="551">
        <f>DAYS360(D52,E52,0)+1</f>
        <v>90</v>
      </c>
      <c r="G52" s="247"/>
      <c r="H52" s="247">
        <f>2100000*(1+$C$8)</f>
        <v>2176860</v>
      </c>
      <c r="I52" s="247">
        <v>0</v>
      </c>
      <c r="J52" s="247">
        <f>+I52+H52</f>
        <v>2176860</v>
      </c>
      <c r="K52" s="247">
        <f>+J52/30*F52</f>
        <v>6530580</v>
      </c>
      <c r="L52" s="247">
        <f>+J52*F52/360</f>
        <v>544215</v>
      </c>
      <c r="M52" s="247">
        <f>+L52*12%</f>
        <v>65305.799999999996</v>
      </c>
      <c r="N52" s="247">
        <f>+L52</f>
        <v>544215</v>
      </c>
      <c r="O52" s="247">
        <f>+J52*F52/720</f>
        <v>272107.5</v>
      </c>
      <c r="P52" s="247">
        <f>+H52*0.085</f>
        <v>185033.1</v>
      </c>
      <c r="Q52" s="247">
        <f>+H52*12%</f>
        <v>261223.19999999998</v>
      </c>
      <c r="R52" s="247">
        <f>+H52*0.522%</f>
        <v>11363.209199999999</v>
      </c>
      <c r="S52" s="247">
        <f>+((P52+Q52+R52)/30*F52)</f>
        <v>1372858.5275999999</v>
      </c>
      <c r="T52" s="247">
        <f>+H52*0.04</f>
        <v>87074.400000000009</v>
      </c>
      <c r="U52" s="247">
        <f>+(T52/30)*F52</f>
        <v>261223.20000000004</v>
      </c>
      <c r="V52" s="247">
        <f>+H52*0.03</f>
        <v>65305.799999999996</v>
      </c>
      <c r="W52" s="247">
        <f>+H52*0.02</f>
        <v>43537.200000000004</v>
      </c>
      <c r="X52" s="247">
        <f>+((V52+W52)/30*F52)</f>
        <v>326529</v>
      </c>
      <c r="Y52" s="247">
        <f>K52+L52+M52+N52+O52+S52+U52+X52</f>
        <v>9917034.0275999997</v>
      </c>
      <c r="Z52" s="247">
        <f>+Y52/3</f>
        <v>3305678.0091999997</v>
      </c>
      <c r="AA52" s="513"/>
      <c r="AB52" s="556"/>
    </row>
    <row r="53" spans="1:57" s="31" customFormat="1" ht="14.25" x14ac:dyDescent="0.2">
      <c r="A53" s="108" t="s">
        <v>15</v>
      </c>
      <c r="B53" s="108" t="s">
        <v>181</v>
      </c>
      <c r="C53" s="303">
        <v>1</v>
      </c>
      <c r="D53" s="550">
        <v>42186</v>
      </c>
      <c r="E53" s="550">
        <v>42277</v>
      </c>
      <c r="F53" s="551">
        <f>DAYS360(D53,E53,0)+1</f>
        <v>90</v>
      </c>
      <c r="G53" s="303"/>
      <c r="H53" s="247">
        <f>1000000*(1+$C$8)</f>
        <v>1036600</v>
      </c>
      <c r="I53" s="247">
        <f>+E8</f>
        <v>74000</v>
      </c>
      <c r="J53" s="247">
        <f>+I53+H53</f>
        <v>1110600</v>
      </c>
      <c r="K53" s="247">
        <f>+J53/30*F53</f>
        <v>3331800</v>
      </c>
      <c r="L53" s="247">
        <f>+J53*F53/360</f>
        <v>277650</v>
      </c>
      <c r="M53" s="247">
        <f>+L53*12%</f>
        <v>33318</v>
      </c>
      <c r="N53" s="247">
        <f>+L53</f>
        <v>277650</v>
      </c>
      <c r="O53" s="247">
        <f>+J53*F53/720</f>
        <v>138825</v>
      </c>
      <c r="P53" s="247">
        <f>+H53*0.085</f>
        <v>88111</v>
      </c>
      <c r="Q53" s="247">
        <f>+H53*12%</f>
        <v>124392</v>
      </c>
      <c r="R53" s="247">
        <f>+H53*0.522%</f>
        <v>5411.0519999999997</v>
      </c>
      <c r="S53" s="247">
        <f>+((P53+Q53+R53)/30*F53)</f>
        <v>653742.15599999996</v>
      </c>
      <c r="T53" s="247">
        <f>+H53*0.04</f>
        <v>41464</v>
      </c>
      <c r="U53" s="247">
        <f>+(T53/30)*F53</f>
        <v>124392.00000000001</v>
      </c>
      <c r="V53" s="247">
        <f>+H53*0.03</f>
        <v>31098</v>
      </c>
      <c r="W53" s="247">
        <f>+H53*0.02</f>
        <v>20732</v>
      </c>
      <c r="X53" s="247">
        <f>+((V53+W53)/30*F53)</f>
        <v>155490</v>
      </c>
      <c r="Y53" s="247">
        <f>K53+L53+M53+N53+O53+S53+U53+X53</f>
        <v>4992867.1559999995</v>
      </c>
      <c r="Z53" s="247">
        <f>+Y53/3</f>
        <v>1664289.0519999999</v>
      </c>
      <c r="AA53" s="513"/>
      <c r="AB53" s="556"/>
    </row>
    <row r="54" spans="1:57" x14ac:dyDescent="0.2">
      <c r="A54" s="52"/>
      <c r="B54" s="52"/>
      <c r="C54" s="53"/>
      <c r="D54" s="53"/>
      <c r="E54" s="53"/>
      <c r="F54" s="53"/>
      <c r="G54" s="53"/>
      <c r="H54" s="53"/>
      <c r="I54" s="53"/>
      <c r="J54" s="53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196"/>
      <c r="AB54" s="40"/>
      <c r="AC54" s="38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</row>
    <row r="55" spans="1:57" x14ac:dyDescent="0.2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196"/>
      <c r="AB55" s="40"/>
      <c r="AC55" s="38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</row>
    <row r="56" spans="1:57" ht="15.75" x14ac:dyDescent="0.25">
      <c r="A56" s="78" t="s">
        <v>314</v>
      </c>
      <c r="B56" s="78" t="s">
        <v>179</v>
      </c>
      <c r="C56" s="36"/>
      <c r="D56" s="36"/>
      <c r="E56" s="36"/>
      <c r="F56" s="36"/>
      <c r="G56" s="38"/>
      <c r="H56" s="38"/>
      <c r="I56" s="38"/>
      <c r="J56" s="38"/>
      <c r="K56" s="38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80">
        <f>+Y57</f>
        <v>72385832.113937303</v>
      </c>
      <c r="Z56" s="13"/>
      <c r="AA56" s="196"/>
      <c r="AB56" s="40"/>
      <c r="AC56" s="38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</row>
    <row r="57" spans="1:57" ht="14.25" x14ac:dyDescent="0.2">
      <c r="A57" s="132" t="s">
        <v>294</v>
      </c>
      <c r="B57" s="132"/>
      <c r="C57" s="135">
        <f>SUM(C58:C62)</f>
        <v>5</v>
      </c>
      <c r="D57" s="133"/>
      <c r="E57" s="133"/>
      <c r="F57" s="134"/>
      <c r="G57" s="136">
        <f t="shared" ref="G57:Z57" si="22">SUM(G58:G62)</f>
        <v>8729110</v>
      </c>
      <c r="H57" s="136">
        <f t="shared" si="22"/>
        <v>14744366.6338</v>
      </c>
      <c r="I57" s="136">
        <f t="shared" si="22"/>
        <v>74000</v>
      </c>
      <c r="J57" s="136">
        <f t="shared" si="22"/>
        <v>17437099.6338</v>
      </c>
      <c r="K57" s="136">
        <f t="shared" si="22"/>
        <v>52311298.9014</v>
      </c>
      <c r="L57" s="136">
        <f t="shared" si="22"/>
        <v>2176997.40845</v>
      </c>
      <c r="M57" s="136">
        <f t="shared" si="22"/>
        <v>261239.68901399997</v>
      </c>
      <c r="N57" s="136">
        <f t="shared" si="22"/>
        <v>2176997.40845</v>
      </c>
      <c r="O57" s="136">
        <f t="shared" si="22"/>
        <v>2179637.454225</v>
      </c>
      <c r="P57" s="136">
        <f t="shared" si="22"/>
        <v>1253271.1638730001</v>
      </c>
      <c r="Q57" s="136">
        <f t="shared" si="22"/>
        <v>1769323.9960559998</v>
      </c>
      <c r="R57" s="136">
        <f t="shared" si="22"/>
        <v>76965.593828435987</v>
      </c>
      <c r="S57" s="136">
        <f t="shared" si="22"/>
        <v>9298682.2612723075</v>
      </c>
      <c r="T57" s="136">
        <f t="shared" si="22"/>
        <v>589774.66535200004</v>
      </c>
      <c r="U57" s="136">
        <f t="shared" si="22"/>
        <v>1769323.996056</v>
      </c>
      <c r="V57" s="136">
        <f t="shared" si="22"/>
        <v>442330.99901399994</v>
      </c>
      <c r="W57" s="136">
        <f t="shared" si="22"/>
        <v>294887.33267600002</v>
      </c>
      <c r="X57" s="136">
        <f t="shared" si="22"/>
        <v>2211654.9950700002</v>
      </c>
      <c r="Y57" s="136">
        <f t="shared" si="22"/>
        <v>72385832.113937303</v>
      </c>
      <c r="Z57" s="136">
        <f t="shared" si="22"/>
        <v>24128610.704645768</v>
      </c>
      <c r="AA57" s="514"/>
      <c r="AB57" s="40"/>
      <c r="AC57" s="40"/>
      <c r="AD57" s="29"/>
      <c r="AE57" s="29"/>
      <c r="AF57" s="29"/>
      <c r="AG57" s="29"/>
    </row>
    <row r="58" spans="1:57" s="31" customFormat="1" ht="14.25" x14ac:dyDescent="0.2">
      <c r="A58" s="116" t="s">
        <v>212</v>
      </c>
      <c r="B58" s="108" t="s">
        <v>186</v>
      </c>
      <c r="C58" s="303">
        <v>1</v>
      </c>
      <c r="D58" s="550">
        <v>42186</v>
      </c>
      <c r="E58" s="550">
        <v>42277</v>
      </c>
      <c r="F58" s="551">
        <f>DAYS360(D58,E58,0)+1</f>
        <v>90</v>
      </c>
      <c r="G58" s="247">
        <v>8729110</v>
      </c>
      <c r="H58" s="247">
        <f>+G58*70%</f>
        <v>6110377</v>
      </c>
      <c r="I58" s="247">
        <v>0</v>
      </c>
      <c r="J58" s="247">
        <f>G58</f>
        <v>8729110</v>
      </c>
      <c r="K58" s="247">
        <f>+J58/30*F58</f>
        <v>26187330</v>
      </c>
      <c r="L58" s="247">
        <v>0</v>
      </c>
      <c r="M58" s="247">
        <f>+L58*12%</f>
        <v>0</v>
      </c>
      <c r="N58" s="247">
        <v>0</v>
      </c>
      <c r="O58" s="247">
        <f>+J58*F58/720</f>
        <v>1091138.75</v>
      </c>
      <c r="P58" s="247">
        <f>+H58*0.085</f>
        <v>519382.04500000004</v>
      </c>
      <c r="Q58" s="247">
        <f>+H58*12%</f>
        <v>733245.24</v>
      </c>
      <c r="R58" s="247">
        <f>+H58*0.522%</f>
        <v>31896.167939999999</v>
      </c>
      <c r="S58" s="247">
        <f>+((P58+Q58+R58)/30*F58)</f>
        <v>3853570.3588200002</v>
      </c>
      <c r="T58" s="247">
        <f>+H58*0.04</f>
        <v>244415.08000000002</v>
      </c>
      <c r="U58" s="247">
        <f>+(T58/30)*F58</f>
        <v>733245.24000000011</v>
      </c>
      <c r="V58" s="247">
        <f>+H58*0.03</f>
        <v>183311.31</v>
      </c>
      <c r="W58" s="247">
        <f>+H58*0.02</f>
        <v>122207.54000000001</v>
      </c>
      <c r="X58" s="247">
        <f>+((V58+W58)/30*F58)</f>
        <v>916556.54999999993</v>
      </c>
      <c r="Y58" s="247">
        <f>K58+L58+M58+N58+O58+S58+U58+X58</f>
        <v>32781840.898819998</v>
      </c>
      <c r="Z58" s="247">
        <f>+Y58/3</f>
        <v>10927280.299606666</v>
      </c>
      <c r="AA58" s="513"/>
      <c r="AB58" s="553"/>
    </row>
    <row r="59" spans="1:57" s="31" customFormat="1" ht="14.25" x14ac:dyDescent="0.2">
      <c r="A59" s="108" t="s">
        <v>673</v>
      </c>
      <c r="B59" s="108" t="s">
        <v>183</v>
      </c>
      <c r="C59" s="303">
        <v>1</v>
      </c>
      <c r="D59" s="550">
        <v>42186</v>
      </c>
      <c r="E59" s="550">
        <v>42277</v>
      </c>
      <c r="F59" s="551">
        <f>DAYS360(D59,E59,0)+1</f>
        <v>90</v>
      </c>
      <c r="G59" s="247"/>
      <c r="H59" s="247">
        <f>3129143*(1+$C$8)</f>
        <v>3243669.6338</v>
      </c>
      <c r="I59" s="247"/>
      <c r="J59" s="247">
        <f>+I59+H59</f>
        <v>3243669.6338</v>
      </c>
      <c r="K59" s="247">
        <f>+J59/30*F59</f>
        <v>9731008.9013999999</v>
      </c>
      <c r="L59" s="247">
        <f>+J59*F59/360</f>
        <v>810917.40844999999</v>
      </c>
      <c r="M59" s="247">
        <f>+L59*12%</f>
        <v>97310.089013999997</v>
      </c>
      <c r="N59" s="247">
        <f>+L59</f>
        <v>810917.40844999999</v>
      </c>
      <c r="O59" s="247">
        <f>+J59*F59/720</f>
        <v>405458.70422499999</v>
      </c>
      <c r="P59" s="247">
        <f>+H59*0.085</f>
        <v>275711.91887300002</v>
      </c>
      <c r="Q59" s="247">
        <f>+H59*12%</f>
        <v>389240.35605599999</v>
      </c>
      <c r="R59" s="247">
        <f>+H59*0.522%</f>
        <v>16931.955488436</v>
      </c>
      <c r="S59" s="247">
        <f>+((P59+Q59+R59)/30*F59)</f>
        <v>2045652.6912523082</v>
      </c>
      <c r="T59" s="247">
        <f>+H59*0.04</f>
        <v>129746.78535200001</v>
      </c>
      <c r="U59" s="247">
        <f>+(T59/30)*F59</f>
        <v>389240.35605600005</v>
      </c>
      <c r="V59" s="247">
        <f>+H59*0.03</f>
        <v>97310.089013999997</v>
      </c>
      <c r="W59" s="247">
        <f>+H59*0.02</f>
        <v>64873.392676000003</v>
      </c>
      <c r="X59" s="247">
        <f>+((V59+W59)/30*F59)</f>
        <v>486550.44507000002</v>
      </c>
      <c r="Y59" s="247">
        <f>K59+L59+M59+N59+O59+S59+U59+X59</f>
        <v>14777056.003917307</v>
      </c>
      <c r="Z59" s="247">
        <f>+Y59/3</f>
        <v>4925685.3346391022</v>
      </c>
      <c r="AA59" s="513"/>
      <c r="AB59" s="556"/>
    </row>
    <row r="60" spans="1:57" s="31" customFormat="1" ht="14.25" x14ac:dyDescent="0.2">
      <c r="A60" s="108" t="s">
        <v>665</v>
      </c>
      <c r="B60" s="108" t="s">
        <v>184</v>
      </c>
      <c r="C60" s="303">
        <v>1</v>
      </c>
      <c r="D60" s="550">
        <v>42186</v>
      </c>
      <c r="E60" s="550">
        <v>42277</v>
      </c>
      <c r="F60" s="551">
        <f>DAYS360(D60,E60,0)+1</f>
        <v>90</v>
      </c>
      <c r="G60" s="247"/>
      <c r="H60" s="247">
        <f>2100000*(1+$C$8)</f>
        <v>2176860</v>
      </c>
      <c r="I60" s="247">
        <v>0</v>
      </c>
      <c r="J60" s="247">
        <f>+I60+H60</f>
        <v>2176860</v>
      </c>
      <c r="K60" s="247">
        <f>+J60/30*F60</f>
        <v>6530580</v>
      </c>
      <c r="L60" s="247">
        <f>+J60*F60/360</f>
        <v>544215</v>
      </c>
      <c r="M60" s="247">
        <f>+L60*12%</f>
        <v>65305.799999999996</v>
      </c>
      <c r="N60" s="247">
        <f>+L60</f>
        <v>544215</v>
      </c>
      <c r="O60" s="247">
        <f>+J60*F60/720</f>
        <v>272107.5</v>
      </c>
      <c r="P60" s="247">
        <f>+H60*0.085</f>
        <v>185033.1</v>
      </c>
      <c r="Q60" s="247">
        <f>+H60*12%</f>
        <v>261223.19999999998</v>
      </c>
      <c r="R60" s="247">
        <f>+H60*0.522%</f>
        <v>11363.209199999999</v>
      </c>
      <c r="S60" s="247">
        <f>+((P60+Q60+R60)/30*F60)</f>
        <v>1372858.5275999999</v>
      </c>
      <c r="T60" s="247">
        <f>+H60*0.04</f>
        <v>87074.400000000009</v>
      </c>
      <c r="U60" s="247">
        <f>+(T60/30)*F60</f>
        <v>261223.20000000004</v>
      </c>
      <c r="V60" s="247">
        <f>+H60*0.03</f>
        <v>65305.799999999996</v>
      </c>
      <c r="W60" s="247">
        <f>+H60*0.02</f>
        <v>43537.200000000004</v>
      </c>
      <c r="X60" s="247">
        <f>+((V60+W60)/30*F60)</f>
        <v>326529</v>
      </c>
      <c r="Y60" s="247">
        <f>K60+L60+M60+N60+O60+S60+U60+X60</f>
        <v>9917034.0275999997</v>
      </c>
      <c r="Z60" s="247">
        <f>+Y60/3</f>
        <v>3305678.0091999997</v>
      </c>
      <c r="AA60" s="513"/>
      <c r="AB60" s="556"/>
    </row>
    <row r="61" spans="1:57" s="31" customFormat="1" ht="14.25" x14ac:dyDescent="0.2">
      <c r="A61" s="108" t="s">
        <v>671</v>
      </c>
      <c r="B61" s="108" t="s">
        <v>184</v>
      </c>
      <c r="C61" s="303">
        <v>1</v>
      </c>
      <c r="D61" s="550">
        <v>42186</v>
      </c>
      <c r="E61" s="550">
        <v>42277</v>
      </c>
      <c r="F61" s="551">
        <f>DAYS360(D61,E61,0)+1</f>
        <v>90</v>
      </c>
      <c r="G61" s="247"/>
      <c r="H61" s="247">
        <f>2100000*(1+$C$8)</f>
        <v>2176860</v>
      </c>
      <c r="I61" s="247">
        <v>0</v>
      </c>
      <c r="J61" s="247">
        <f>+I61+H61</f>
        <v>2176860</v>
      </c>
      <c r="K61" s="247">
        <f>+J61/30*F61</f>
        <v>6530580</v>
      </c>
      <c r="L61" s="247">
        <f>+J61*F61/360</f>
        <v>544215</v>
      </c>
      <c r="M61" s="247">
        <f>+L61*12%</f>
        <v>65305.799999999996</v>
      </c>
      <c r="N61" s="247">
        <f>+L61</f>
        <v>544215</v>
      </c>
      <c r="O61" s="247">
        <f>+J61*F61/720</f>
        <v>272107.5</v>
      </c>
      <c r="P61" s="247">
        <f>+H61*0.085</f>
        <v>185033.1</v>
      </c>
      <c r="Q61" s="247">
        <f>+H61*12%</f>
        <v>261223.19999999998</v>
      </c>
      <c r="R61" s="247">
        <f>+H61*0.522%</f>
        <v>11363.209199999999</v>
      </c>
      <c r="S61" s="247">
        <f>+((P61+Q61+R61)/30*F61)</f>
        <v>1372858.5275999999</v>
      </c>
      <c r="T61" s="247">
        <f>+H61*0.04</f>
        <v>87074.400000000009</v>
      </c>
      <c r="U61" s="247">
        <f>+(T61/30)*F61</f>
        <v>261223.20000000004</v>
      </c>
      <c r="V61" s="247">
        <f>+H61*0.03</f>
        <v>65305.799999999996</v>
      </c>
      <c r="W61" s="247">
        <f>+H61*0.02</f>
        <v>43537.200000000004</v>
      </c>
      <c r="X61" s="247">
        <f>+((V61+W61)/30*F61)</f>
        <v>326529</v>
      </c>
      <c r="Y61" s="247">
        <f>K61+L61+M61+N61+O61+S61+U61+X61</f>
        <v>9917034.0275999997</v>
      </c>
      <c r="Z61" s="247">
        <f>+Y61/3</f>
        <v>3305678.0091999997</v>
      </c>
      <c r="AA61" s="513"/>
      <c r="AB61" s="556"/>
    </row>
    <row r="62" spans="1:57" s="31" customFormat="1" ht="14.25" x14ac:dyDescent="0.2">
      <c r="A62" s="108" t="s">
        <v>15</v>
      </c>
      <c r="B62" s="108" t="s">
        <v>181</v>
      </c>
      <c r="C62" s="303">
        <v>1</v>
      </c>
      <c r="D62" s="550">
        <v>42186</v>
      </c>
      <c r="E62" s="550">
        <v>42277</v>
      </c>
      <c r="F62" s="551">
        <f>DAYS360(D62,E62,0)+1</f>
        <v>90</v>
      </c>
      <c r="G62" s="303"/>
      <c r="H62" s="247">
        <f>1000000*(1+$C$8)</f>
        <v>1036600</v>
      </c>
      <c r="I62" s="247">
        <f>+E8</f>
        <v>74000</v>
      </c>
      <c r="J62" s="247">
        <f>+I62+H62</f>
        <v>1110600</v>
      </c>
      <c r="K62" s="247">
        <f>+J62/30*F62</f>
        <v>3331800</v>
      </c>
      <c r="L62" s="247">
        <f>+J62*F62/360</f>
        <v>277650</v>
      </c>
      <c r="M62" s="247">
        <f>+L62*12%</f>
        <v>33318</v>
      </c>
      <c r="N62" s="247">
        <f>+L62</f>
        <v>277650</v>
      </c>
      <c r="O62" s="247">
        <f>+J62*F62/720</f>
        <v>138825</v>
      </c>
      <c r="P62" s="247">
        <f>+H62*0.085</f>
        <v>88111</v>
      </c>
      <c r="Q62" s="247">
        <f>+H62*12%</f>
        <v>124392</v>
      </c>
      <c r="R62" s="247">
        <f>+H62*0.522%</f>
        <v>5411.0519999999997</v>
      </c>
      <c r="S62" s="247">
        <f>+((P62+Q62+R62)/30*F62)</f>
        <v>653742.15599999996</v>
      </c>
      <c r="T62" s="247">
        <f>+H62*0.04</f>
        <v>41464</v>
      </c>
      <c r="U62" s="247">
        <f>+(T62/30)*F62</f>
        <v>124392.00000000001</v>
      </c>
      <c r="V62" s="247">
        <f>+H62*0.03</f>
        <v>31098</v>
      </c>
      <c r="W62" s="247">
        <f>+H62*0.02</f>
        <v>20732</v>
      </c>
      <c r="X62" s="247">
        <f>+((V62+W62)/30*F62)</f>
        <v>155490</v>
      </c>
      <c r="Y62" s="247">
        <f>K62+L62+M62+N62+O62+S62+U62+X62</f>
        <v>4992867.1559999995</v>
      </c>
      <c r="Z62" s="247">
        <f>+Y62/3</f>
        <v>1664289.0519999999</v>
      </c>
      <c r="AA62" s="513"/>
      <c r="AB62" s="556"/>
    </row>
    <row r="63" spans="1:57" x14ac:dyDescent="0.2">
      <c r="A63" s="261"/>
      <c r="B63" s="52"/>
      <c r="C63" s="53"/>
      <c r="D63" s="53"/>
      <c r="E63" s="53"/>
      <c r="F63" s="53"/>
      <c r="G63" s="53"/>
      <c r="H63" s="53"/>
      <c r="I63" s="53"/>
      <c r="J63" s="53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196"/>
      <c r="AB63" s="40"/>
      <c r="AC63" s="38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</row>
    <row r="64" spans="1:57" ht="15.75" x14ac:dyDescent="0.25">
      <c r="A64" s="78" t="s">
        <v>573</v>
      </c>
      <c r="B64" s="78" t="s">
        <v>179</v>
      </c>
      <c r="C64" s="53"/>
      <c r="D64" s="53"/>
      <c r="E64" s="53"/>
      <c r="F64" s="53"/>
      <c r="G64" s="53"/>
      <c r="H64" s="53"/>
      <c r="I64" s="53"/>
      <c r="J64" s="53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80">
        <f>+Y65</f>
        <v>9917034.0275999997</v>
      </c>
      <c r="Z64" s="54"/>
      <c r="AA64" s="196"/>
      <c r="AB64" s="40"/>
      <c r="AC64" s="38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</row>
    <row r="65" spans="1:57" ht="14.25" x14ac:dyDescent="0.2">
      <c r="A65" s="132" t="s">
        <v>573</v>
      </c>
      <c r="B65" s="132"/>
      <c r="C65" s="135">
        <f>SUM(C66:C66)</f>
        <v>1</v>
      </c>
      <c r="D65" s="133"/>
      <c r="E65" s="133"/>
      <c r="F65" s="134"/>
      <c r="G65" s="136">
        <f>SUM(G66)</f>
        <v>0</v>
      </c>
      <c r="H65" s="136">
        <f>SUM(H66:H66)</f>
        <v>2176860</v>
      </c>
      <c r="I65" s="136">
        <f>SUM(I66:I66)</f>
        <v>0</v>
      </c>
      <c r="J65" s="136">
        <f>SUM(J66:J66)</f>
        <v>2176860</v>
      </c>
      <c r="K65" s="136">
        <f>SUM(K66:K66)</f>
        <v>6530580</v>
      </c>
      <c r="L65" s="136">
        <f>SUM(L66:L66)</f>
        <v>544215</v>
      </c>
      <c r="M65" s="136">
        <f t="shared" ref="M65:Z65" si="23">SUM(M66:M66)</f>
        <v>65305.799999999996</v>
      </c>
      <c r="N65" s="136">
        <f t="shared" si="23"/>
        <v>544215</v>
      </c>
      <c r="O65" s="136">
        <f t="shared" si="23"/>
        <v>272107.5</v>
      </c>
      <c r="P65" s="136">
        <f t="shared" si="23"/>
        <v>185033.1</v>
      </c>
      <c r="Q65" s="136">
        <f t="shared" si="23"/>
        <v>261223.19999999998</v>
      </c>
      <c r="R65" s="136">
        <f t="shared" si="23"/>
        <v>11363.209199999999</v>
      </c>
      <c r="S65" s="136">
        <f t="shared" si="23"/>
        <v>1372858.5275999999</v>
      </c>
      <c r="T65" s="136">
        <f t="shared" si="23"/>
        <v>87074.400000000009</v>
      </c>
      <c r="U65" s="136">
        <f t="shared" si="23"/>
        <v>261223.20000000004</v>
      </c>
      <c r="V65" s="136">
        <f t="shared" si="23"/>
        <v>65305.799999999996</v>
      </c>
      <c r="W65" s="136">
        <f t="shared" si="23"/>
        <v>43537.200000000004</v>
      </c>
      <c r="X65" s="136">
        <f t="shared" si="23"/>
        <v>326529</v>
      </c>
      <c r="Y65" s="136">
        <f t="shared" si="23"/>
        <v>9917034.0275999997</v>
      </c>
      <c r="Z65" s="136">
        <f t="shared" si="23"/>
        <v>3305678.0091999997</v>
      </c>
      <c r="AA65" s="514"/>
      <c r="AB65" s="40"/>
      <c r="AC65" s="40"/>
      <c r="AD65" s="29"/>
      <c r="AE65" s="29"/>
      <c r="AF65" s="29"/>
      <c r="AG65" s="29"/>
    </row>
    <row r="66" spans="1:57" s="31" customFormat="1" ht="14.25" x14ac:dyDescent="0.2">
      <c r="A66" s="108" t="s">
        <v>557</v>
      </c>
      <c r="B66" s="108" t="s">
        <v>184</v>
      </c>
      <c r="C66" s="303">
        <v>1</v>
      </c>
      <c r="D66" s="550">
        <v>42186</v>
      </c>
      <c r="E66" s="550">
        <v>42277</v>
      </c>
      <c r="F66" s="551">
        <f>DAYS360(D66,E66,0)+1</f>
        <v>90</v>
      </c>
      <c r="G66" s="247"/>
      <c r="H66" s="247">
        <f>2100000*(1+$C$8)</f>
        <v>2176860</v>
      </c>
      <c r="I66" s="247">
        <v>0</v>
      </c>
      <c r="J66" s="247">
        <f>+I66+H66</f>
        <v>2176860</v>
      </c>
      <c r="K66" s="247">
        <f>+J66/30*F66</f>
        <v>6530580</v>
      </c>
      <c r="L66" s="247">
        <f>+J66*F66/360</f>
        <v>544215</v>
      </c>
      <c r="M66" s="247">
        <f>+L66*12%</f>
        <v>65305.799999999996</v>
      </c>
      <c r="N66" s="247">
        <f>+L66</f>
        <v>544215</v>
      </c>
      <c r="O66" s="247">
        <f>+J66*F66/720</f>
        <v>272107.5</v>
      </c>
      <c r="P66" s="247">
        <f>+H66*0.085</f>
        <v>185033.1</v>
      </c>
      <c r="Q66" s="247">
        <f>+H66*12%</f>
        <v>261223.19999999998</v>
      </c>
      <c r="R66" s="247">
        <f>+H66*0.522%</f>
        <v>11363.209199999999</v>
      </c>
      <c r="S66" s="247">
        <f>+((P66+Q66+R66)/30*F66)</f>
        <v>1372858.5275999999</v>
      </c>
      <c r="T66" s="247">
        <f>+H66*0.04</f>
        <v>87074.400000000009</v>
      </c>
      <c r="U66" s="247">
        <f>+(T66/30)*F66</f>
        <v>261223.20000000004</v>
      </c>
      <c r="V66" s="247">
        <f>+H66*0.03</f>
        <v>65305.799999999996</v>
      </c>
      <c r="W66" s="247">
        <f>+H66*0.02</f>
        <v>43537.200000000004</v>
      </c>
      <c r="X66" s="247">
        <f>+((V66+W66)/30*F66)</f>
        <v>326529</v>
      </c>
      <c r="Y66" s="247">
        <f>K66+L66+M66+N66+O66+S66+U66+X66</f>
        <v>9917034.0275999997</v>
      </c>
      <c r="Z66" s="247">
        <f>+Y66/3</f>
        <v>3305678.0091999997</v>
      </c>
      <c r="AA66" s="513"/>
      <c r="AB66" s="556"/>
    </row>
    <row r="67" spans="1:57" x14ac:dyDescent="0.2">
      <c r="A67" s="52"/>
      <c r="B67" s="52"/>
      <c r="C67" s="53"/>
      <c r="D67" s="53"/>
      <c r="E67" s="53"/>
      <c r="F67" s="53"/>
      <c r="G67" s="53"/>
      <c r="H67" s="53"/>
      <c r="I67" s="53"/>
      <c r="J67" s="53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196"/>
      <c r="AB67" s="40"/>
      <c r="AC67" s="38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</row>
    <row r="68" spans="1:57" ht="15.75" x14ac:dyDescent="0.25">
      <c r="A68" s="78" t="s">
        <v>128</v>
      </c>
      <c r="B68" s="78" t="s">
        <v>179</v>
      </c>
      <c r="C68" s="53"/>
      <c r="D68" s="53"/>
      <c r="E68" s="53"/>
      <c r="F68" s="53"/>
      <c r="G68" s="53"/>
      <c r="H68" s="53"/>
      <c r="I68" s="53"/>
      <c r="J68" s="53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80">
        <f>+Y69</f>
        <v>296340833.96649498</v>
      </c>
      <c r="Z68" s="54"/>
      <c r="AA68" s="196"/>
      <c r="AB68" s="40"/>
      <c r="AC68" s="38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</row>
    <row r="69" spans="1:57" ht="14.25" x14ac:dyDescent="0.2">
      <c r="A69" s="132" t="s">
        <v>95</v>
      </c>
      <c r="B69" s="132"/>
      <c r="C69" s="135">
        <f>SUM(C70:C78)</f>
        <v>29</v>
      </c>
      <c r="D69" s="133"/>
      <c r="E69" s="133"/>
      <c r="F69" s="134"/>
      <c r="G69" s="136">
        <f t="shared" ref="G69:Z69" si="24">SUM(G70:G78)</f>
        <v>8729110</v>
      </c>
      <c r="H69" s="136">
        <f t="shared" si="24"/>
        <v>63605989.918400005</v>
      </c>
      <c r="I69" s="136">
        <f t="shared" si="24"/>
        <v>222000</v>
      </c>
      <c r="J69" s="136">
        <f t="shared" si="24"/>
        <v>66446722.918400005</v>
      </c>
      <c r="K69" s="136">
        <f t="shared" si="24"/>
        <v>199340168.7552</v>
      </c>
      <c r="L69" s="136">
        <f t="shared" si="24"/>
        <v>14429403.229599999</v>
      </c>
      <c r="M69" s="136">
        <f t="shared" si="24"/>
        <v>1731528.3875519999</v>
      </c>
      <c r="N69" s="136">
        <f t="shared" si="24"/>
        <v>14429403.229599999</v>
      </c>
      <c r="O69" s="136">
        <f t="shared" si="24"/>
        <v>8305840.3647999996</v>
      </c>
      <c r="P69" s="136">
        <f t="shared" si="24"/>
        <v>5406509.1430640006</v>
      </c>
      <c r="Q69" s="136">
        <f t="shared" si="24"/>
        <v>7632718.7902079998</v>
      </c>
      <c r="R69" s="136">
        <f t="shared" si="24"/>
        <v>604396.30731965997</v>
      </c>
      <c r="S69" s="136">
        <f t="shared" si="24"/>
        <v>40930872.72177498</v>
      </c>
      <c r="T69" s="136">
        <f t="shared" si="24"/>
        <v>2544239.5967360004</v>
      </c>
      <c r="U69" s="136">
        <f t="shared" si="24"/>
        <v>7632718.7902080007</v>
      </c>
      <c r="V69" s="136">
        <f t="shared" si="24"/>
        <v>1908179.6975519999</v>
      </c>
      <c r="W69" s="136">
        <f t="shared" si="24"/>
        <v>1272119.7983680002</v>
      </c>
      <c r="X69" s="136">
        <f t="shared" si="24"/>
        <v>9540898.4877599999</v>
      </c>
      <c r="Y69" s="136">
        <f t="shared" si="24"/>
        <v>296340833.96649498</v>
      </c>
      <c r="Z69" s="136">
        <f t="shared" si="24"/>
        <v>98780277.988831654</v>
      </c>
      <c r="AA69" s="514"/>
      <c r="AB69" s="40"/>
      <c r="AC69" s="40"/>
      <c r="AD69" s="29"/>
      <c r="AE69" s="29"/>
      <c r="AF69" s="29"/>
      <c r="AG69" s="29"/>
    </row>
    <row r="70" spans="1:57" s="31" customFormat="1" ht="14.25" x14ac:dyDescent="0.2">
      <c r="A70" s="108" t="s">
        <v>104</v>
      </c>
      <c r="B70" s="108" t="s">
        <v>186</v>
      </c>
      <c r="C70" s="303">
        <v>1</v>
      </c>
      <c r="D70" s="550">
        <v>42186</v>
      </c>
      <c r="E70" s="550">
        <v>42277</v>
      </c>
      <c r="F70" s="551">
        <f t="shared" ref="F70:F78" si="25">DAYS360(D70,E70,0)+1</f>
        <v>90</v>
      </c>
      <c r="G70" s="247">
        <v>8729110</v>
      </c>
      <c r="H70" s="247">
        <f>+G70*70%</f>
        <v>6110377</v>
      </c>
      <c r="I70" s="247"/>
      <c r="J70" s="247">
        <f>G70</f>
        <v>8729110</v>
      </c>
      <c r="K70" s="247">
        <f t="shared" ref="K70:K78" si="26">+J70/30*F70</f>
        <v>26187330</v>
      </c>
      <c r="L70" s="247">
        <v>0</v>
      </c>
      <c r="M70" s="247">
        <f t="shared" ref="M70:M78" si="27">+L70*12%</f>
        <v>0</v>
      </c>
      <c r="N70" s="247">
        <v>0</v>
      </c>
      <c r="O70" s="247">
        <f t="shared" ref="O70:O78" si="28">+J70*F70/720</f>
        <v>1091138.75</v>
      </c>
      <c r="P70" s="247">
        <f t="shared" ref="P70:P76" si="29">+H70*0.085</f>
        <v>519382.04500000004</v>
      </c>
      <c r="Q70" s="247">
        <f t="shared" ref="Q70:Q76" si="30">+H70*12%</f>
        <v>733245.24</v>
      </c>
      <c r="R70" s="247">
        <f>+H70*0.522%</f>
        <v>31896.167939999999</v>
      </c>
      <c r="S70" s="247">
        <f t="shared" ref="S70:S76" si="31">+((P70+Q70+R70)/30*F70)</f>
        <v>3853570.3588200002</v>
      </c>
      <c r="T70" s="247">
        <f t="shared" ref="T70:T76" si="32">+H70*0.04</f>
        <v>244415.08000000002</v>
      </c>
      <c r="U70" s="247">
        <f t="shared" ref="U70:U76" si="33">+(T70/30)*F70</f>
        <v>733245.24000000011</v>
      </c>
      <c r="V70" s="247">
        <f t="shared" ref="V70:V76" si="34">+H70*0.03</f>
        <v>183311.31</v>
      </c>
      <c r="W70" s="247">
        <f t="shared" ref="W70:W76" si="35">+H70*0.02</f>
        <v>122207.54000000001</v>
      </c>
      <c r="X70" s="247">
        <f t="shared" ref="X70:X76" si="36">+((V70+W70)/30*F70)</f>
        <v>916556.54999999993</v>
      </c>
      <c r="Y70" s="247">
        <f t="shared" ref="Y70:Y76" si="37">K70+L70+M70+N70+O70+S70+U70+X70</f>
        <v>32781840.898819998</v>
      </c>
      <c r="Z70" s="247">
        <f t="shared" ref="Z70:Z78" si="38">+Y70/3</f>
        <v>10927280.299606666</v>
      </c>
      <c r="AA70" s="513"/>
      <c r="AB70" s="553"/>
    </row>
    <row r="71" spans="1:57" s="31" customFormat="1" ht="14.25" x14ac:dyDescent="0.2">
      <c r="A71" s="108" t="s">
        <v>674</v>
      </c>
      <c r="B71" s="108" t="s">
        <v>187</v>
      </c>
      <c r="C71" s="427">
        <v>1</v>
      </c>
      <c r="D71" s="550">
        <v>42186</v>
      </c>
      <c r="E71" s="550">
        <v>42277</v>
      </c>
      <c r="F71" s="551">
        <f>DAYS360(D71,E71,0)+1</f>
        <v>90</v>
      </c>
      <c r="G71" s="50"/>
      <c r="H71" s="247">
        <f>3866138*(1+$C$8)</f>
        <v>4007638.6507999999</v>
      </c>
      <c r="I71" s="247"/>
      <c r="J71" s="247">
        <f>+I71+H71</f>
        <v>4007638.6507999999</v>
      </c>
      <c r="K71" s="247">
        <f>+J71/30*F71</f>
        <v>12022915.952399999</v>
      </c>
      <c r="L71" s="247">
        <f t="shared" ref="L71:L78" si="39">+J71*F71/360</f>
        <v>1001909.6626999999</v>
      </c>
      <c r="M71" s="247">
        <f>+L71*12%</f>
        <v>120229.15952399997</v>
      </c>
      <c r="N71" s="247">
        <f>+L71</f>
        <v>1001909.6626999999</v>
      </c>
      <c r="O71" s="247">
        <f t="shared" si="28"/>
        <v>500954.83134999993</v>
      </c>
      <c r="P71" s="247">
        <f>+H71*0.085</f>
        <v>340649.28531800001</v>
      </c>
      <c r="Q71" s="247">
        <f>+H71*12%</f>
        <v>480916.63809599995</v>
      </c>
      <c r="R71" s="247">
        <f>+H71*1.044%</f>
        <v>41839.747514351999</v>
      </c>
      <c r="S71" s="247">
        <f>+((P71+Q71+R71)/30*F71)</f>
        <v>2590217.0127850557</v>
      </c>
      <c r="T71" s="247">
        <f>+H71*0.04</f>
        <v>160305.54603200001</v>
      </c>
      <c r="U71" s="247">
        <f>+(T71/30)*F71</f>
        <v>480916.63809600001</v>
      </c>
      <c r="V71" s="247">
        <f>+H71*0.03</f>
        <v>120229.15952399999</v>
      </c>
      <c r="W71" s="247">
        <f>+H71*0.02</f>
        <v>80152.773016000006</v>
      </c>
      <c r="X71" s="247">
        <f>+((V71+W71)/30*F71)</f>
        <v>601145.79762000008</v>
      </c>
      <c r="Y71" s="247">
        <f>K71+L71+M71+N71+O71+S71+U71+X71</f>
        <v>18320198.717175052</v>
      </c>
      <c r="Z71" s="247">
        <f t="shared" si="38"/>
        <v>6106732.9057250172</v>
      </c>
      <c r="AA71" s="513"/>
      <c r="AB71" s="553"/>
    </row>
    <row r="72" spans="1:57" s="31" customFormat="1" ht="14.25" x14ac:dyDescent="0.2">
      <c r="A72" s="108" t="s">
        <v>693</v>
      </c>
      <c r="B72" s="108" t="s">
        <v>183</v>
      </c>
      <c r="C72" s="427">
        <v>1</v>
      </c>
      <c r="D72" s="550">
        <v>42186</v>
      </c>
      <c r="E72" s="550">
        <v>42277</v>
      </c>
      <c r="F72" s="551">
        <f t="shared" si="25"/>
        <v>90</v>
      </c>
      <c r="G72" s="50"/>
      <c r="H72" s="247">
        <f>3129143*(1+$C$8)</f>
        <v>3243669.6338</v>
      </c>
      <c r="I72" s="247"/>
      <c r="J72" s="247">
        <f>+I72+H72</f>
        <v>3243669.6338</v>
      </c>
      <c r="K72" s="247">
        <f t="shared" si="26"/>
        <v>9731008.9013999999</v>
      </c>
      <c r="L72" s="247">
        <f t="shared" si="39"/>
        <v>810917.40844999999</v>
      </c>
      <c r="M72" s="247">
        <f t="shared" si="27"/>
        <v>97310.089013999997</v>
      </c>
      <c r="N72" s="247">
        <f t="shared" ref="N72:N78" si="40">+L72</f>
        <v>810917.40844999999</v>
      </c>
      <c r="O72" s="247">
        <f t="shared" si="28"/>
        <v>405458.70422499999</v>
      </c>
      <c r="P72" s="247">
        <f>+H72*0.085</f>
        <v>275711.91887300002</v>
      </c>
      <c r="Q72" s="247">
        <f>+H72*12%</f>
        <v>389240.35605599999</v>
      </c>
      <c r="R72" s="247">
        <f>+H72*1.044%</f>
        <v>33863.910976872001</v>
      </c>
      <c r="S72" s="247">
        <f>+((P72+Q72+R72)/30*F72)</f>
        <v>2096448.5577176162</v>
      </c>
      <c r="T72" s="247">
        <f>+H72*0.04</f>
        <v>129746.78535200001</v>
      </c>
      <c r="U72" s="247">
        <f>+(T72/30)*F72</f>
        <v>389240.35605600005</v>
      </c>
      <c r="V72" s="247">
        <f>+H72*0.03</f>
        <v>97310.089013999997</v>
      </c>
      <c r="W72" s="247">
        <f>+H72*0.02</f>
        <v>64873.392676000003</v>
      </c>
      <c r="X72" s="247">
        <f>+((V72+W72)/30*F72)</f>
        <v>486550.44507000002</v>
      </c>
      <c r="Y72" s="247">
        <f>K72+L72+M72+N72+O72+S72+U72+X72</f>
        <v>14827851.870382614</v>
      </c>
      <c r="Z72" s="247">
        <f t="shared" si="38"/>
        <v>4942617.2901275381</v>
      </c>
      <c r="AA72" s="513"/>
      <c r="AB72" s="553"/>
    </row>
    <row r="73" spans="1:57" s="31" customFormat="1" ht="14.25" x14ac:dyDescent="0.2">
      <c r="A73" s="108" t="s">
        <v>694</v>
      </c>
      <c r="B73" s="108" t="s">
        <v>183</v>
      </c>
      <c r="C73" s="427">
        <v>1</v>
      </c>
      <c r="D73" s="550">
        <v>42186</v>
      </c>
      <c r="E73" s="550">
        <v>42277</v>
      </c>
      <c r="F73" s="551">
        <f t="shared" si="25"/>
        <v>90</v>
      </c>
      <c r="G73" s="50"/>
      <c r="H73" s="247">
        <f>3129143*(1+$C$8)</f>
        <v>3243669.6338</v>
      </c>
      <c r="I73" s="247"/>
      <c r="J73" s="247">
        <f>+I73+H73</f>
        <v>3243669.6338</v>
      </c>
      <c r="K73" s="247">
        <f t="shared" si="26"/>
        <v>9731008.9013999999</v>
      </c>
      <c r="L73" s="247">
        <f t="shared" si="39"/>
        <v>810917.40844999999</v>
      </c>
      <c r="M73" s="247">
        <f t="shared" si="27"/>
        <v>97310.089013999997</v>
      </c>
      <c r="N73" s="247">
        <f t="shared" si="40"/>
        <v>810917.40844999999</v>
      </c>
      <c r="O73" s="247">
        <f t="shared" si="28"/>
        <v>405458.70422499999</v>
      </c>
      <c r="P73" s="247">
        <f>+H73*0.085</f>
        <v>275711.91887300002</v>
      </c>
      <c r="Q73" s="247">
        <f>+H73*12%</f>
        <v>389240.35605599999</v>
      </c>
      <c r="R73" s="247">
        <f>+H73*0.522%</f>
        <v>16931.955488436</v>
      </c>
      <c r="S73" s="247">
        <f>+((P73+Q73+R73)/30*F73)</f>
        <v>2045652.6912523082</v>
      </c>
      <c r="T73" s="247">
        <f>+H73*0.04</f>
        <v>129746.78535200001</v>
      </c>
      <c r="U73" s="247">
        <f>+(T73/30)*F73</f>
        <v>389240.35605600005</v>
      </c>
      <c r="V73" s="247">
        <f>+H73*0.03</f>
        <v>97310.089013999997</v>
      </c>
      <c r="W73" s="247">
        <f>+H73*0.02</f>
        <v>64873.392676000003</v>
      </c>
      <c r="X73" s="247">
        <f>+((V73+W73)/30*F73)</f>
        <v>486550.44507000002</v>
      </c>
      <c r="Y73" s="247">
        <f>K73+L73+M73+N73+O73+S73+U73+X73</f>
        <v>14777056.003917307</v>
      </c>
      <c r="Z73" s="247">
        <f t="shared" si="38"/>
        <v>4925685.3346391022</v>
      </c>
      <c r="AA73" s="513"/>
      <c r="AB73" s="553"/>
    </row>
    <row r="74" spans="1:57" s="31" customFormat="1" ht="14.25" x14ac:dyDescent="0.2">
      <c r="A74" s="108" t="s">
        <v>13</v>
      </c>
      <c r="B74" s="108" t="s">
        <v>574</v>
      </c>
      <c r="C74" s="303">
        <v>17</v>
      </c>
      <c r="D74" s="550">
        <v>42186</v>
      </c>
      <c r="E74" s="550">
        <v>42277</v>
      </c>
      <c r="F74" s="551">
        <f t="shared" si="25"/>
        <v>90</v>
      </c>
      <c r="G74" s="303"/>
      <c r="H74" s="247">
        <f>+(2119635)*C74</f>
        <v>36033795</v>
      </c>
      <c r="I74" s="247">
        <v>0</v>
      </c>
      <c r="J74" s="247">
        <f>+H74</f>
        <v>36033795</v>
      </c>
      <c r="K74" s="247">
        <f t="shared" si="26"/>
        <v>108101385</v>
      </c>
      <c r="L74" s="247">
        <f t="shared" si="39"/>
        <v>9008448.75</v>
      </c>
      <c r="M74" s="247">
        <f t="shared" si="27"/>
        <v>1081013.8499999999</v>
      </c>
      <c r="N74" s="247">
        <f t="shared" si="40"/>
        <v>9008448.75</v>
      </c>
      <c r="O74" s="247">
        <f t="shared" si="28"/>
        <v>4504224.375</v>
      </c>
      <c r="P74" s="247">
        <f t="shared" si="29"/>
        <v>3062872.5750000002</v>
      </c>
      <c r="Q74" s="247">
        <f t="shared" si="30"/>
        <v>4324055.3999999994</v>
      </c>
      <c r="R74" s="247">
        <f>+H74*1.044%</f>
        <v>376192.8198</v>
      </c>
      <c r="S74" s="247">
        <f t="shared" si="31"/>
        <v>23289362.384399995</v>
      </c>
      <c r="T74" s="247">
        <f t="shared" si="32"/>
        <v>1441351.8</v>
      </c>
      <c r="U74" s="247">
        <f t="shared" si="33"/>
        <v>4324055.4000000004</v>
      </c>
      <c r="V74" s="247">
        <f t="shared" si="34"/>
        <v>1081013.8499999999</v>
      </c>
      <c r="W74" s="247">
        <f t="shared" si="35"/>
        <v>720675.9</v>
      </c>
      <c r="X74" s="247">
        <f t="shared" si="36"/>
        <v>5405069.25</v>
      </c>
      <c r="Y74" s="247">
        <f t="shared" si="37"/>
        <v>164722007.75939998</v>
      </c>
      <c r="Z74" s="247">
        <f t="shared" si="38"/>
        <v>54907335.919799991</v>
      </c>
      <c r="AA74" s="513"/>
      <c r="AB74" s="552"/>
    </row>
    <row r="75" spans="1:57" s="31" customFormat="1" ht="14.25" x14ac:dyDescent="0.2">
      <c r="A75" s="108" t="s">
        <v>14</v>
      </c>
      <c r="B75" s="108" t="s">
        <v>188</v>
      </c>
      <c r="C75" s="303">
        <v>5</v>
      </c>
      <c r="D75" s="550">
        <v>42186</v>
      </c>
      <c r="E75" s="550">
        <v>42277</v>
      </c>
      <c r="F75" s="551">
        <f t="shared" si="25"/>
        <v>90</v>
      </c>
      <c r="G75" s="303"/>
      <c r="H75" s="247">
        <f>+(1612872)*C75</f>
        <v>8064360</v>
      </c>
      <c r="I75" s="247"/>
      <c r="J75" s="247">
        <f>+I75+H75</f>
        <v>8064360</v>
      </c>
      <c r="K75" s="247">
        <f t="shared" si="26"/>
        <v>24193080</v>
      </c>
      <c r="L75" s="247">
        <f t="shared" si="39"/>
        <v>2016090</v>
      </c>
      <c r="M75" s="247">
        <f t="shared" si="27"/>
        <v>241930.8</v>
      </c>
      <c r="N75" s="247">
        <f t="shared" si="40"/>
        <v>2016090</v>
      </c>
      <c r="O75" s="247">
        <f t="shared" si="28"/>
        <v>1008045</v>
      </c>
      <c r="P75" s="247">
        <f t="shared" si="29"/>
        <v>685470.60000000009</v>
      </c>
      <c r="Q75" s="247">
        <f t="shared" si="30"/>
        <v>967723.2</v>
      </c>
      <c r="R75" s="247">
        <f>+H75*1.044%</f>
        <v>84191.918399999995</v>
      </c>
      <c r="S75" s="247">
        <f t="shared" si="31"/>
        <v>5212157.1551999999</v>
      </c>
      <c r="T75" s="247">
        <f t="shared" si="32"/>
        <v>322574.40000000002</v>
      </c>
      <c r="U75" s="247">
        <f t="shared" si="33"/>
        <v>967723.20000000007</v>
      </c>
      <c r="V75" s="247">
        <f t="shared" si="34"/>
        <v>241930.8</v>
      </c>
      <c r="W75" s="247">
        <f t="shared" si="35"/>
        <v>161287.20000000001</v>
      </c>
      <c r="X75" s="247">
        <f t="shared" si="36"/>
        <v>1209654</v>
      </c>
      <c r="Y75" s="247">
        <f t="shared" si="37"/>
        <v>36864770.155200005</v>
      </c>
      <c r="Z75" s="247">
        <f t="shared" si="38"/>
        <v>12288256.718400002</v>
      </c>
      <c r="AA75" s="513"/>
      <c r="AB75" s="553"/>
    </row>
    <row r="76" spans="1:57" s="31" customFormat="1" ht="14.25" x14ac:dyDescent="0.2">
      <c r="A76" s="108" t="s">
        <v>204</v>
      </c>
      <c r="B76" s="108" t="s">
        <v>181</v>
      </c>
      <c r="C76" s="303">
        <v>1</v>
      </c>
      <c r="D76" s="550">
        <v>42186</v>
      </c>
      <c r="E76" s="550">
        <v>42277</v>
      </c>
      <c r="F76" s="551">
        <f t="shared" si="25"/>
        <v>90</v>
      </c>
      <c r="G76" s="303"/>
      <c r="H76" s="247">
        <f>1000000*(1+$C$8)</f>
        <v>1036600</v>
      </c>
      <c r="I76" s="247">
        <f>+E8</f>
        <v>74000</v>
      </c>
      <c r="J76" s="247">
        <f>+I76+H76</f>
        <v>1110600</v>
      </c>
      <c r="K76" s="247">
        <f t="shared" si="26"/>
        <v>3331800</v>
      </c>
      <c r="L76" s="247">
        <f t="shared" si="39"/>
        <v>277650</v>
      </c>
      <c r="M76" s="247">
        <f t="shared" si="27"/>
        <v>33318</v>
      </c>
      <c r="N76" s="247">
        <f t="shared" si="40"/>
        <v>277650</v>
      </c>
      <c r="O76" s="247">
        <f t="shared" si="28"/>
        <v>138825</v>
      </c>
      <c r="P76" s="247">
        <f t="shared" si="29"/>
        <v>88111</v>
      </c>
      <c r="Q76" s="247">
        <f t="shared" si="30"/>
        <v>124392</v>
      </c>
      <c r="R76" s="247">
        <f>+H76*0.522%</f>
        <v>5411.0519999999997</v>
      </c>
      <c r="S76" s="247">
        <f t="shared" si="31"/>
        <v>653742.15599999996</v>
      </c>
      <c r="T76" s="247">
        <f t="shared" si="32"/>
        <v>41464</v>
      </c>
      <c r="U76" s="247">
        <f t="shared" si="33"/>
        <v>124392.00000000001</v>
      </c>
      <c r="V76" s="247">
        <f t="shared" si="34"/>
        <v>31098</v>
      </c>
      <c r="W76" s="247">
        <f t="shared" si="35"/>
        <v>20732</v>
      </c>
      <c r="X76" s="247">
        <f t="shared" si="36"/>
        <v>155490</v>
      </c>
      <c r="Y76" s="247">
        <f t="shared" si="37"/>
        <v>4992867.1559999995</v>
      </c>
      <c r="Z76" s="247">
        <f t="shared" si="38"/>
        <v>1664289.0519999999</v>
      </c>
      <c r="AA76" s="513"/>
      <c r="AB76" s="553"/>
    </row>
    <row r="77" spans="1:57" s="31" customFormat="1" ht="14.25" x14ac:dyDescent="0.2">
      <c r="A77" s="108" t="s">
        <v>15</v>
      </c>
      <c r="B77" s="108" t="s">
        <v>181</v>
      </c>
      <c r="C77" s="303">
        <v>1</v>
      </c>
      <c r="D77" s="550">
        <v>42186</v>
      </c>
      <c r="E77" s="550">
        <v>42277</v>
      </c>
      <c r="F77" s="551">
        <f t="shared" si="25"/>
        <v>90</v>
      </c>
      <c r="G77" s="303"/>
      <c r="H77" s="247">
        <f>1000000*(1+$C$8)</f>
        <v>1036600</v>
      </c>
      <c r="I77" s="247">
        <f>+E8</f>
        <v>74000</v>
      </c>
      <c r="J77" s="247">
        <f>+I77+H77</f>
        <v>1110600</v>
      </c>
      <c r="K77" s="247">
        <f t="shared" si="26"/>
        <v>3331800</v>
      </c>
      <c r="L77" s="247">
        <f t="shared" si="39"/>
        <v>277650</v>
      </c>
      <c r="M77" s="247">
        <f>+L77*12%</f>
        <v>33318</v>
      </c>
      <c r="N77" s="247">
        <f>+L77</f>
        <v>277650</v>
      </c>
      <c r="O77" s="247">
        <f t="shared" si="28"/>
        <v>138825</v>
      </c>
      <c r="P77" s="247">
        <f>+H77*0.085</f>
        <v>88111</v>
      </c>
      <c r="Q77" s="247">
        <f>+H77*12%</f>
        <v>124392</v>
      </c>
      <c r="R77" s="247">
        <f>+H77*0.522%</f>
        <v>5411.0519999999997</v>
      </c>
      <c r="S77" s="247">
        <f>+((P77+Q77+R77)/30*F77)</f>
        <v>653742.15599999996</v>
      </c>
      <c r="T77" s="247">
        <f>+H77*0.04</f>
        <v>41464</v>
      </c>
      <c r="U77" s="247">
        <f>+(T77/30)*F77</f>
        <v>124392.00000000001</v>
      </c>
      <c r="V77" s="247">
        <f>+H77*0.03</f>
        <v>31098</v>
      </c>
      <c r="W77" s="247">
        <f>+H77*0.02</f>
        <v>20732</v>
      </c>
      <c r="X77" s="247">
        <f>+((V77+W77)/30*F77)</f>
        <v>155490</v>
      </c>
      <c r="Y77" s="247">
        <f>K77+L77+M77+N77+O77+S77+U77+X77</f>
        <v>4992867.1559999995</v>
      </c>
      <c r="Z77" s="247">
        <f t="shared" si="38"/>
        <v>1664289.0519999999</v>
      </c>
      <c r="AA77" s="513"/>
      <c r="AB77" s="553"/>
    </row>
    <row r="78" spans="1:57" s="31" customFormat="1" ht="14.25" x14ac:dyDescent="0.2">
      <c r="A78" s="108" t="s">
        <v>237</v>
      </c>
      <c r="B78" s="108" t="s">
        <v>238</v>
      </c>
      <c r="C78" s="303">
        <v>1</v>
      </c>
      <c r="D78" s="550">
        <v>42186</v>
      </c>
      <c r="E78" s="550">
        <v>42277</v>
      </c>
      <c r="F78" s="551">
        <f t="shared" si="25"/>
        <v>90</v>
      </c>
      <c r="G78" s="303"/>
      <c r="H78" s="247">
        <f>800000*(1+$C$8)</f>
        <v>829280</v>
      </c>
      <c r="I78" s="247">
        <f>+E8</f>
        <v>74000</v>
      </c>
      <c r="J78" s="247">
        <f>+I78+H78</f>
        <v>903280</v>
      </c>
      <c r="K78" s="247">
        <f t="shared" si="26"/>
        <v>2709840</v>
      </c>
      <c r="L78" s="247">
        <f t="shared" si="39"/>
        <v>225820</v>
      </c>
      <c r="M78" s="247">
        <f t="shared" si="27"/>
        <v>27098.399999999998</v>
      </c>
      <c r="N78" s="247">
        <f t="shared" si="40"/>
        <v>225820</v>
      </c>
      <c r="O78" s="247">
        <f t="shared" si="28"/>
        <v>112910</v>
      </c>
      <c r="P78" s="247">
        <f>+H78*0.085</f>
        <v>70488.800000000003</v>
      </c>
      <c r="Q78" s="247">
        <f>+H78*12%</f>
        <v>99513.599999999991</v>
      </c>
      <c r="R78" s="247">
        <f>+H78*1.044%</f>
        <v>8657.6831999999995</v>
      </c>
      <c r="S78" s="247">
        <f>+((P78+Q78+R78)/30*F78)</f>
        <v>535980.24959999998</v>
      </c>
      <c r="T78" s="247">
        <f>+H78*0.04</f>
        <v>33171.199999999997</v>
      </c>
      <c r="U78" s="247">
        <f>+(T78/30)*F78</f>
        <v>99513.599999999977</v>
      </c>
      <c r="V78" s="247">
        <f>+H78*0.03</f>
        <v>24878.399999999998</v>
      </c>
      <c r="W78" s="247">
        <f>+H78*0.02</f>
        <v>16585.599999999999</v>
      </c>
      <c r="X78" s="247">
        <f>+((V78+W78)/30*F78)</f>
        <v>124392.00000000001</v>
      </c>
      <c r="Y78" s="247">
        <f>K78+L78+M78+N78+O78+S78+U78+X78</f>
        <v>4061374.2496000002</v>
      </c>
      <c r="Z78" s="247">
        <f t="shared" si="38"/>
        <v>1353791.4165333335</v>
      </c>
      <c r="AA78" s="513"/>
      <c r="AB78" s="553"/>
    </row>
    <row r="79" spans="1:57" s="31" customFormat="1" ht="14.25" x14ac:dyDescent="0.2">
      <c r="A79" s="124"/>
      <c r="B79" s="124"/>
      <c r="C79" s="129"/>
      <c r="D79" s="130"/>
      <c r="E79" s="130"/>
      <c r="F79" s="131"/>
      <c r="G79" s="129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513"/>
      <c r="AB79" s="553"/>
    </row>
    <row r="80" spans="1:57" ht="14.25" x14ac:dyDescent="0.2">
      <c r="A80" s="125"/>
      <c r="B80" s="124"/>
      <c r="C80" s="129"/>
      <c r="D80" s="130"/>
      <c r="E80" s="130"/>
      <c r="F80" s="131"/>
      <c r="G80" s="129"/>
      <c r="H80" s="130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56"/>
      <c r="Z80" s="123"/>
      <c r="AA80" s="516"/>
      <c r="AB80" s="40"/>
      <c r="AC80" s="36"/>
    </row>
    <row r="81" spans="1:29" ht="13.5" thickBot="1" x14ac:dyDescent="0.25">
      <c r="A81" s="36"/>
      <c r="B81" s="36"/>
      <c r="C81" s="38"/>
      <c r="D81" s="38"/>
      <c r="E81" s="38"/>
      <c r="F81" s="38"/>
      <c r="G81" s="40"/>
      <c r="H81" s="40"/>
      <c r="I81" s="118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55"/>
      <c r="Z81" s="56"/>
      <c r="AA81" s="516"/>
      <c r="AB81" s="72"/>
      <c r="AC81" s="36"/>
    </row>
    <row r="82" spans="1:29" ht="13.5" thickBot="1" x14ac:dyDescent="0.25">
      <c r="A82" s="120" t="s">
        <v>175</v>
      </c>
      <c r="B82" s="121"/>
      <c r="C82" s="122">
        <f>+C12+C21+C39+C48+C57+C69+C65</f>
        <v>77</v>
      </c>
      <c r="D82" s="122"/>
      <c r="E82" s="122"/>
      <c r="F82" s="122"/>
      <c r="G82" s="122"/>
      <c r="H82" s="119">
        <f t="shared" ref="H82:X82" si="41">+H69+H48+H39+H21+H12+H57</f>
        <v>182719702.37540001</v>
      </c>
      <c r="I82" s="119">
        <f t="shared" si="41"/>
        <v>740000</v>
      </c>
      <c r="J82" s="119">
        <f t="shared" si="41"/>
        <v>196553367.37540001</v>
      </c>
      <c r="K82" s="119">
        <f t="shared" si="41"/>
        <v>589660102.12619996</v>
      </c>
      <c r="L82" s="119">
        <f t="shared" si="41"/>
        <v>37582604.343850002</v>
      </c>
      <c r="M82" s="119">
        <f t="shared" si="41"/>
        <v>4509912.5212619994</v>
      </c>
      <c r="N82" s="119">
        <f t="shared" si="41"/>
        <v>37582604.343850002</v>
      </c>
      <c r="O82" s="119">
        <f t="shared" si="41"/>
        <v>24246995.921924997</v>
      </c>
      <c r="P82" s="119">
        <f t="shared" si="41"/>
        <v>16278620.701909</v>
      </c>
      <c r="Q82" s="119">
        <f t="shared" si="41"/>
        <v>21617076.285048001</v>
      </c>
      <c r="R82" s="119">
        <f t="shared" si="41"/>
        <v>1368289.211022072</v>
      </c>
      <c r="S82" s="119">
        <f t="shared" si="41"/>
        <v>117791958.59393723</v>
      </c>
      <c r="T82" s="119">
        <f t="shared" si="41"/>
        <v>7205692.0950160008</v>
      </c>
      <c r="U82" s="119">
        <f t="shared" si="41"/>
        <v>21617076.285048004</v>
      </c>
      <c r="V82" s="119">
        <f t="shared" si="41"/>
        <v>5404269.0712620001</v>
      </c>
      <c r="W82" s="119">
        <f t="shared" si="41"/>
        <v>3602846.0475080004</v>
      </c>
      <c r="X82" s="119">
        <f t="shared" si="41"/>
        <v>27021345.356309999</v>
      </c>
      <c r="Y82" s="119">
        <f>+Y69+Y48+Y39+Y21+Y12+Y57+Y65</f>
        <v>869929633.51998222</v>
      </c>
      <c r="Z82" s="119">
        <f>+Z69+Z48+Z39+Z21+Z12+Z57</f>
        <v>286670866.49746072</v>
      </c>
      <c r="AA82" s="516"/>
      <c r="AB82" s="72"/>
      <c r="AC82" s="36"/>
    </row>
    <row r="83" spans="1:29" ht="13.5" thickBot="1" x14ac:dyDescent="0.25">
      <c r="A83" s="36"/>
      <c r="B83" s="36"/>
      <c r="C83" s="36"/>
      <c r="D83" s="36"/>
      <c r="E83" s="36"/>
      <c r="F83" s="36"/>
      <c r="G83" s="36"/>
      <c r="H83" s="13"/>
      <c r="I83" s="77"/>
      <c r="J83" s="13"/>
      <c r="K83" s="13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36"/>
      <c r="AA83" s="516"/>
      <c r="AB83" s="72"/>
      <c r="AC83" s="36"/>
    </row>
    <row r="84" spans="1:29" ht="13.5" thickBot="1" x14ac:dyDescent="0.25">
      <c r="A84" s="94" t="s">
        <v>96</v>
      </c>
      <c r="B84" s="105"/>
      <c r="C84" s="1087">
        <f>+Y12+Y21+Y39+Y48+Y69+Y57+Y65</f>
        <v>869929633.51998222</v>
      </c>
      <c r="D84" s="1087"/>
      <c r="E84" s="1087"/>
      <c r="F84" s="1087"/>
      <c r="G84" s="1087"/>
      <c r="H84" s="1088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529" t="s">
        <v>73</v>
      </c>
      <c r="Y84" s="530">
        <f>+Y82-Y68</f>
        <v>573588799.5534873</v>
      </c>
      <c r="Z84" s="36"/>
      <c r="AA84" s="516"/>
      <c r="AB84" s="72"/>
      <c r="AC84" s="36"/>
    </row>
    <row r="85" spans="1:29" x14ac:dyDescent="0.2">
      <c r="A85" s="36"/>
      <c r="B85" s="36"/>
      <c r="C85" s="60"/>
      <c r="D85" s="60"/>
      <c r="E85" s="60"/>
      <c r="F85" s="60"/>
      <c r="G85" s="100"/>
      <c r="H85" s="57"/>
      <c r="I85" s="40"/>
      <c r="J85" s="36"/>
      <c r="K85" s="36"/>
      <c r="L85" s="40"/>
      <c r="M85" s="40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88" t="s">
        <v>128</v>
      </c>
      <c r="Y85" s="530">
        <f>+Y68</f>
        <v>296340833.96649498</v>
      </c>
      <c r="Z85" s="492"/>
      <c r="AA85" s="516"/>
      <c r="AB85" s="72"/>
      <c r="AC85" s="36"/>
    </row>
    <row r="86" spans="1:29" x14ac:dyDescent="0.2">
      <c r="A86" s="36"/>
      <c r="B86" s="36"/>
      <c r="C86" s="60"/>
      <c r="D86" s="60"/>
      <c r="E86" s="60"/>
      <c r="F86" s="60"/>
      <c r="G86" s="60"/>
      <c r="H86" s="1"/>
      <c r="I86" s="96"/>
      <c r="J86" s="36"/>
      <c r="K86" s="36"/>
      <c r="L86" s="40"/>
      <c r="M86" s="40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59"/>
      <c r="Z86" s="36"/>
      <c r="AA86" s="516"/>
      <c r="AB86" s="72"/>
      <c r="AC86" s="36"/>
    </row>
    <row r="87" spans="1:29" x14ac:dyDescent="0.2">
      <c r="A87" s="36"/>
      <c r="B87" s="36"/>
      <c r="C87" s="60"/>
      <c r="D87" s="60"/>
      <c r="E87" s="60"/>
      <c r="F87" s="60"/>
      <c r="G87" s="60"/>
      <c r="H87" s="95"/>
      <c r="I87" s="36"/>
      <c r="J87" s="36"/>
      <c r="K87" s="36"/>
      <c r="L87" s="40"/>
      <c r="M87" s="40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516"/>
      <c r="AB87" s="72"/>
      <c r="AC87" s="36"/>
    </row>
    <row r="88" spans="1:29" x14ac:dyDescent="0.2">
      <c r="A88" s="36"/>
      <c r="B88" s="60"/>
      <c r="C88" s="60"/>
      <c r="D88" s="60"/>
      <c r="E88" s="60"/>
      <c r="F88" s="60"/>
      <c r="G88" s="60"/>
      <c r="I88" s="36"/>
      <c r="J88" s="36"/>
      <c r="K88" s="36"/>
      <c r="L88" s="40"/>
      <c r="M88" s="40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516"/>
      <c r="AB88" s="72"/>
      <c r="AC88" s="36"/>
    </row>
    <row r="89" spans="1:29" x14ac:dyDescent="0.2">
      <c r="A89" s="36"/>
      <c r="B89" s="60"/>
      <c r="C89" s="60"/>
      <c r="D89" s="60"/>
      <c r="E89" s="60"/>
      <c r="F89" s="60"/>
      <c r="G89" s="60"/>
      <c r="H89" s="36"/>
      <c r="I89" s="36"/>
      <c r="J89" s="36"/>
      <c r="K89" s="36"/>
      <c r="L89" s="40"/>
      <c r="M89" s="40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516"/>
      <c r="AB89" s="72"/>
      <c r="AC89" s="36"/>
    </row>
    <row r="90" spans="1:29" ht="13.5" thickBot="1" x14ac:dyDescent="0.25">
      <c r="A90" s="36"/>
      <c r="B90" s="60"/>
      <c r="C90" s="60"/>
      <c r="D90" s="60"/>
      <c r="E90" s="60"/>
      <c r="F90" s="60"/>
      <c r="G90" s="60"/>
      <c r="H90" s="61"/>
      <c r="I90" s="61"/>
      <c r="J90" s="61"/>
      <c r="K90" s="61"/>
      <c r="L90" s="40"/>
      <c r="M90" s="40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516"/>
      <c r="AB90" s="72"/>
      <c r="AC90" s="36"/>
    </row>
    <row r="91" spans="1:29" ht="31.5" customHeight="1" thickBot="1" x14ac:dyDescent="0.25">
      <c r="A91" s="91" t="s">
        <v>176</v>
      </c>
      <c r="B91" s="60"/>
      <c r="C91" s="60"/>
      <c r="D91" s="60"/>
      <c r="E91" s="60"/>
      <c r="F91" s="60"/>
      <c r="G91" s="60"/>
      <c r="H91" s="85" t="s">
        <v>120</v>
      </c>
      <c r="I91" s="62"/>
      <c r="J91" s="85" t="s">
        <v>22</v>
      </c>
      <c r="K91" s="63"/>
      <c r="L91" s="85" t="s">
        <v>23</v>
      </c>
      <c r="M91" s="63"/>
      <c r="N91" s="86" t="s">
        <v>24</v>
      </c>
      <c r="O91" s="38"/>
      <c r="P91" s="85" t="s">
        <v>295</v>
      </c>
      <c r="Q91" s="38"/>
      <c r="R91" s="85" t="s">
        <v>128</v>
      </c>
      <c r="S91" s="38"/>
      <c r="T91" s="36"/>
      <c r="U91" s="36"/>
      <c r="V91" s="36"/>
      <c r="W91" s="36"/>
      <c r="X91" s="36"/>
      <c r="Y91" s="491"/>
      <c r="Z91" s="36"/>
      <c r="AA91" s="516"/>
      <c r="AB91" s="72"/>
      <c r="AC91" s="36"/>
    </row>
    <row r="92" spans="1:29" x14ac:dyDescent="0.2">
      <c r="A92" s="36"/>
      <c r="B92" s="60"/>
      <c r="C92" s="60"/>
      <c r="D92" s="60"/>
      <c r="E92" s="60"/>
      <c r="F92" s="60"/>
      <c r="G92" s="60"/>
      <c r="H92" s="64"/>
      <c r="I92" s="64"/>
      <c r="J92" s="64"/>
      <c r="K92" s="64"/>
      <c r="L92" s="64"/>
      <c r="M92" s="64"/>
      <c r="N92" s="64"/>
      <c r="O92" s="36"/>
      <c r="P92" s="64"/>
      <c r="Q92" s="36"/>
      <c r="R92" s="64"/>
      <c r="S92" s="36"/>
      <c r="T92" s="36"/>
      <c r="U92" s="36"/>
      <c r="V92" s="36"/>
      <c r="W92" s="36"/>
      <c r="X92" s="36"/>
      <c r="Y92" s="36"/>
      <c r="Z92" s="36"/>
      <c r="AA92" s="516"/>
      <c r="AB92" s="72"/>
      <c r="AC92" s="36"/>
    </row>
    <row r="93" spans="1:29" ht="13.5" thickBot="1" x14ac:dyDescent="0.25">
      <c r="A93" s="36"/>
      <c r="B93" s="60"/>
      <c r="C93" s="60"/>
      <c r="D93" s="60"/>
      <c r="E93" s="60"/>
      <c r="F93" s="60"/>
      <c r="G93" s="60"/>
      <c r="H93" s="65" t="s">
        <v>97</v>
      </c>
      <c r="I93" s="66">
        <v>0</v>
      </c>
      <c r="J93" s="65" t="s">
        <v>97</v>
      </c>
      <c r="K93" s="66">
        <v>4</v>
      </c>
      <c r="L93" s="115" t="s">
        <v>97</v>
      </c>
      <c r="M93" s="66">
        <v>1</v>
      </c>
      <c r="N93" s="65" t="s">
        <v>97</v>
      </c>
      <c r="O93" s="66">
        <v>1</v>
      </c>
      <c r="P93" s="65" t="s">
        <v>97</v>
      </c>
      <c r="Q93" s="66">
        <f>+C62</f>
        <v>1</v>
      </c>
      <c r="R93" s="65" t="s">
        <v>97</v>
      </c>
      <c r="S93" s="66">
        <v>3</v>
      </c>
      <c r="T93" s="88"/>
      <c r="U93" s="36"/>
      <c r="V93" s="36"/>
      <c r="W93" s="36"/>
      <c r="X93" s="36"/>
      <c r="Y93" s="36"/>
      <c r="Z93" s="36"/>
      <c r="AA93" s="516"/>
      <c r="AB93" s="72"/>
      <c r="AC93" s="36"/>
    </row>
    <row r="94" spans="1:29" ht="13.5" thickBot="1" x14ac:dyDescent="0.25">
      <c r="A94" s="36"/>
      <c r="B94" s="60"/>
      <c r="C94" s="60"/>
      <c r="D94" s="60"/>
      <c r="E94" s="60"/>
      <c r="F94" s="60"/>
      <c r="G94" s="60"/>
      <c r="H94" s="67" t="s">
        <v>177</v>
      </c>
      <c r="I94" s="528">
        <v>200000</v>
      </c>
      <c r="J94" s="67" t="s">
        <v>177</v>
      </c>
      <c r="K94" s="528">
        <v>200000</v>
      </c>
      <c r="L94" s="67" t="s">
        <v>177</v>
      </c>
      <c r="M94" s="528">
        <v>200000</v>
      </c>
      <c r="N94" s="67" t="s">
        <v>177</v>
      </c>
      <c r="O94" s="528">
        <v>200000</v>
      </c>
      <c r="P94" s="67" t="s">
        <v>177</v>
      </c>
      <c r="Q94" s="528">
        <v>200000</v>
      </c>
      <c r="R94" s="67" t="s">
        <v>177</v>
      </c>
      <c r="S94" s="528">
        <v>200000</v>
      </c>
      <c r="T94" s="101"/>
      <c r="U94" s="1091" t="s">
        <v>133</v>
      </c>
      <c r="V94" s="1092"/>
      <c r="W94" s="36"/>
      <c r="X94" s="36"/>
      <c r="Y94" s="36"/>
      <c r="Z94" s="36"/>
      <c r="AA94" s="516"/>
      <c r="AB94" s="72"/>
      <c r="AC94" s="36"/>
    </row>
    <row r="95" spans="1:29" x14ac:dyDescent="0.2">
      <c r="A95" s="36"/>
      <c r="B95" s="60"/>
      <c r="C95" s="60"/>
      <c r="D95" s="60"/>
      <c r="E95" s="60"/>
      <c r="F95" s="60"/>
      <c r="G95" s="60"/>
      <c r="H95" s="68" t="s">
        <v>98</v>
      </c>
      <c r="I95" s="68">
        <v>0</v>
      </c>
      <c r="J95" s="68" t="s">
        <v>98</v>
      </c>
      <c r="K95" s="68">
        <v>1</v>
      </c>
      <c r="L95" s="68" t="s">
        <v>98</v>
      </c>
      <c r="M95" s="68">
        <v>1</v>
      </c>
      <c r="N95" s="68" t="s">
        <v>98</v>
      </c>
      <c r="O95" s="68">
        <v>1</v>
      </c>
      <c r="P95" s="68" t="s">
        <v>98</v>
      </c>
      <c r="Q95" s="68">
        <v>1</v>
      </c>
      <c r="R95" s="68" t="s">
        <v>98</v>
      </c>
      <c r="S95" s="68">
        <v>1</v>
      </c>
      <c r="T95" s="36"/>
      <c r="U95" s="1078">
        <f>+I96+K96+M96+O96+Q96+S96</f>
        <v>2000000</v>
      </c>
      <c r="V95" s="1079"/>
      <c r="W95" s="36"/>
      <c r="X95" s="36"/>
      <c r="Y95" s="36"/>
      <c r="Z95" s="36"/>
      <c r="AA95" s="516"/>
      <c r="AB95" s="72"/>
      <c r="AC95" s="36"/>
    </row>
    <row r="96" spans="1:29" ht="13.5" thickBot="1" x14ac:dyDescent="0.25">
      <c r="A96" s="69"/>
      <c r="B96" s="60"/>
      <c r="C96" s="70"/>
      <c r="D96" s="70"/>
      <c r="E96" s="70"/>
      <c r="F96" s="70"/>
      <c r="G96" s="70"/>
      <c r="H96" s="58" t="s">
        <v>48</v>
      </c>
      <c r="I96" s="71">
        <f>+I93*I94*I95</f>
        <v>0</v>
      </c>
      <c r="J96" s="58" t="s">
        <v>48</v>
      </c>
      <c r="K96" s="71">
        <f>+K93*K94*K95</f>
        <v>800000</v>
      </c>
      <c r="L96" s="58" t="s">
        <v>48</v>
      </c>
      <c r="M96" s="71">
        <f>+M93*M94*M95</f>
        <v>200000</v>
      </c>
      <c r="N96" s="58" t="s">
        <v>48</v>
      </c>
      <c r="O96" s="71">
        <f>+O93*O94*O95</f>
        <v>200000</v>
      </c>
      <c r="P96" s="58" t="s">
        <v>48</v>
      </c>
      <c r="Q96" s="71">
        <f>+Q93*Q94*Q95</f>
        <v>200000</v>
      </c>
      <c r="R96" s="58" t="s">
        <v>48</v>
      </c>
      <c r="S96" s="71">
        <f>+S93*S94*S95</f>
        <v>600000</v>
      </c>
      <c r="T96" s="101"/>
      <c r="U96" s="1080"/>
      <c r="V96" s="1081"/>
      <c r="W96" s="36"/>
      <c r="X96" s="36"/>
      <c r="Y96" s="36"/>
      <c r="Z96" s="36"/>
      <c r="AA96" s="516"/>
      <c r="AB96" s="72"/>
      <c r="AC96" s="36"/>
    </row>
    <row r="97" spans="1:29" x14ac:dyDescent="0.2">
      <c r="A97" s="69"/>
      <c r="B97" s="60"/>
      <c r="C97" s="70"/>
      <c r="D97" s="70"/>
      <c r="E97" s="70"/>
      <c r="F97" s="70"/>
      <c r="G97" s="70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517"/>
      <c r="AB97" s="36"/>
      <c r="AC97" s="36"/>
    </row>
    <row r="98" spans="1:29" x14ac:dyDescent="0.2">
      <c r="A98" s="69"/>
      <c r="B98" s="60"/>
      <c r="C98" s="70"/>
      <c r="D98" s="70"/>
      <c r="E98" s="70"/>
      <c r="F98" s="70"/>
      <c r="G98" s="70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517"/>
      <c r="AB98" s="36"/>
      <c r="AC98" s="36"/>
    </row>
    <row r="99" spans="1:29" x14ac:dyDescent="0.2">
      <c r="A99" s="69"/>
      <c r="B99" s="60"/>
      <c r="C99" s="70"/>
      <c r="D99" s="70"/>
      <c r="E99" s="70"/>
      <c r="F99" s="70"/>
      <c r="G99" s="70"/>
      <c r="H99" s="36"/>
      <c r="I99" s="72"/>
      <c r="J99" s="72"/>
      <c r="K99" s="73"/>
      <c r="L99" s="73"/>
      <c r="M99" s="73"/>
      <c r="N99" s="73"/>
      <c r="O99" s="73"/>
      <c r="P99" s="73"/>
      <c r="Q99" s="73"/>
      <c r="R99" s="72"/>
      <c r="S99" s="72"/>
      <c r="T99" s="72"/>
      <c r="U99" s="72"/>
      <c r="V99" s="72"/>
      <c r="W99" s="72"/>
      <c r="X99" s="72"/>
      <c r="Y99" s="72"/>
      <c r="Z99" s="36"/>
      <c r="AA99" s="517"/>
      <c r="AB99" s="36"/>
      <c r="AC99" s="36"/>
    </row>
    <row r="100" spans="1:29" x14ac:dyDescent="0.2">
      <c r="A100" s="69"/>
      <c r="B100" s="60"/>
      <c r="C100" s="70"/>
      <c r="D100" s="70"/>
      <c r="E100" s="70"/>
      <c r="F100" s="70"/>
      <c r="G100" s="70"/>
      <c r="H100" s="36"/>
      <c r="I100" s="72"/>
      <c r="J100" s="72"/>
      <c r="K100" s="74"/>
      <c r="L100" s="75"/>
      <c r="M100" s="75"/>
      <c r="N100" s="75"/>
      <c r="O100" s="76"/>
      <c r="P100" s="74"/>
      <c r="Q100" s="75"/>
      <c r="R100" s="76"/>
      <c r="S100" s="74"/>
      <c r="T100" s="72"/>
      <c r="U100" s="72"/>
      <c r="V100" s="72"/>
      <c r="W100" s="72"/>
      <c r="X100" s="72"/>
      <c r="Y100" s="72"/>
      <c r="Z100" s="36"/>
      <c r="AA100" s="517"/>
      <c r="AB100" s="36"/>
      <c r="AC100" s="36"/>
    </row>
    <row r="101" spans="1:29" x14ac:dyDescent="0.2">
      <c r="A101" s="69"/>
      <c r="B101" s="60"/>
      <c r="C101" s="70"/>
      <c r="D101" s="70"/>
      <c r="E101" s="70"/>
      <c r="F101" s="70"/>
      <c r="G101" s="70"/>
      <c r="H101" s="36"/>
      <c r="I101" s="72"/>
      <c r="J101" s="72"/>
      <c r="K101" s="74"/>
      <c r="L101" s="75"/>
      <c r="M101" s="72"/>
      <c r="N101" s="75"/>
      <c r="O101" s="76"/>
      <c r="P101" s="74"/>
      <c r="Q101" s="75"/>
      <c r="R101" s="76"/>
      <c r="S101" s="72"/>
      <c r="T101" s="72"/>
      <c r="U101" s="72"/>
      <c r="V101" s="72"/>
      <c r="W101" s="72"/>
      <c r="X101" s="72"/>
      <c r="Y101" s="72"/>
      <c r="Z101" s="36"/>
      <c r="AA101" s="517"/>
      <c r="AB101" s="36"/>
      <c r="AC101" s="36"/>
    </row>
    <row r="102" spans="1:29" x14ac:dyDescent="0.2">
      <c r="A102" s="69"/>
      <c r="B102" s="60"/>
      <c r="C102" s="70"/>
      <c r="D102" s="70"/>
      <c r="E102" s="70"/>
      <c r="F102" s="70"/>
      <c r="G102" s="70"/>
      <c r="H102" s="36"/>
      <c r="I102" s="72"/>
      <c r="J102" s="75"/>
      <c r="K102" s="72"/>
      <c r="L102" s="72"/>
      <c r="M102" s="72"/>
      <c r="N102" s="72"/>
      <c r="O102" s="72"/>
      <c r="P102" s="75"/>
      <c r="Q102" s="72"/>
      <c r="R102" s="72"/>
      <c r="S102" s="72"/>
      <c r="T102" s="72"/>
      <c r="U102" s="72"/>
      <c r="V102" s="72"/>
      <c r="W102" s="72"/>
      <c r="X102" s="72"/>
      <c r="Y102" s="72"/>
      <c r="Z102" s="36"/>
      <c r="AA102" s="517"/>
      <c r="AB102" s="36"/>
      <c r="AC102" s="36"/>
    </row>
    <row r="103" spans="1:29" x14ac:dyDescent="0.2">
      <c r="A103" s="69"/>
      <c r="B103" s="60"/>
      <c r="C103" s="70"/>
      <c r="D103" s="70"/>
      <c r="E103" s="70"/>
      <c r="F103" s="70"/>
      <c r="G103" s="70"/>
      <c r="H103" s="36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36"/>
      <c r="AA103" s="517"/>
      <c r="AB103" s="36"/>
      <c r="AC103" s="36"/>
    </row>
    <row r="104" spans="1:29" x14ac:dyDescent="0.2">
      <c r="A104" s="87" t="s">
        <v>50</v>
      </c>
      <c r="B104" s="60"/>
      <c r="C104" s="70"/>
      <c r="D104" s="70"/>
      <c r="E104" s="70"/>
      <c r="F104" s="70"/>
      <c r="G104" s="70"/>
      <c r="H104" s="68" t="s">
        <v>100</v>
      </c>
      <c r="I104" s="248">
        <f>109448556*(1+$C$8)/4</f>
        <v>28363593.2874</v>
      </c>
      <c r="J104" s="75"/>
      <c r="K104" s="75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36"/>
      <c r="AA104" s="517"/>
      <c r="AB104" s="36"/>
      <c r="AC104" s="36"/>
    </row>
    <row r="105" spans="1:29" hidden="1" x14ac:dyDescent="0.2">
      <c r="A105" s="240"/>
      <c r="B105" s="60"/>
      <c r="C105" s="70"/>
      <c r="D105" s="70"/>
      <c r="E105" s="70"/>
      <c r="F105" s="70"/>
      <c r="G105" s="70"/>
      <c r="H105" s="249"/>
      <c r="I105" s="248"/>
      <c r="J105" s="75"/>
      <c r="K105" s="75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36"/>
      <c r="AA105" s="517"/>
      <c r="AB105" s="36"/>
      <c r="AC105" s="36"/>
    </row>
    <row r="106" spans="1:29" x14ac:dyDescent="0.2">
      <c r="A106" s="36"/>
      <c r="B106" s="60"/>
      <c r="C106" s="60"/>
      <c r="D106" s="60"/>
      <c r="E106" s="60"/>
      <c r="F106" s="60"/>
      <c r="G106" s="60"/>
      <c r="H106" s="68" t="s">
        <v>162</v>
      </c>
      <c r="I106" s="248">
        <v>1000000</v>
      </c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517"/>
      <c r="AB106" s="36"/>
      <c r="AC106" s="36"/>
    </row>
    <row r="107" spans="1:29" x14ac:dyDescent="0.2">
      <c r="A107" s="36"/>
      <c r="B107" s="60"/>
      <c r="C107" s="60"/>
      <c r="D107" s="60"/>
      <c r="E107" s="60"/>
      <c r="F107" s="60"/>
      <c r="G107" s="60"/>
      <c r="H107" s="58" t="s">
        <v>48</v>
      </c>
      <c r="I107" s="718">
        <f>SUM(I104:I106)</f>
        <v>29363593.2874</v>
      </c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517"/>
      <c r="AB107" s="36"/>
      <c r="AC107" s="36"/>
    </row>
    <row r="108" spans="1:29" x14ac:dyDescent="0.2">
      <c r="A108" s="36"/>
      <c r="B108" s="60"/>
      <c r="C108" s="60"/>
      <c r="D108" s="60"/>
      <c r="E108" s="60"/>
      <c r="F108" s="60"/>
      <c r="G108" s="60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517"/>
      <c r="AB108" s="36"/>
      <c r="AC108" s="36"/>
    </row>
    <row r="109" spans="1:29" x14ac:dyDescent="0.2">
      <c r="A109" s="99"/>
      <c r="B109" s="60"/>
      <c r="C109" s="92"/>
      <c r="D109" s="92"/>
      <c r="E109" s="92"/>
      <c r="F109" s="92"/>
      <c r="G109" s="92"/>
      <c r="H109" s="72"/>
      <c r="I109" s="75"/>
      <c r="J109" s="72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517"/>
      <c r="AB109" s="36"/>
      <c r="AC109" s="36"/>
    </row>
    <row r="110" spans="1:29" x14ac:dyDescent="0.2">
      <c r="A110" s="72"/>
      <c r="B110" s="60"/>
      <c r="C110" s="92"/>
      <c r="D110" s="92"/>
      <c r="E110" s="92"/>
      <c r="F110" s="92"/>
      <c r="G110" s="92"/>
      <c r="H110" s="72"/>
      <c r="I110" s="75"/>
      <c r="J110" s="72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517"/>
      <c r="AB110" s="36"/>
      <c r="AC110" s="36"/>
    </row>
    <row r="111" spans="1:29" x14ac:dyDescent="0.2">
      <c r="A111" s="72"/>
      <c r="B111" s="60"/>
      <c r="C111" s="92"/>
      <c r="D111" s="92"/>
      <c r="E111" s="92"/>
      <c r="F111" s="92"/>
      <c r="G111" s="92"/>
      <c r="H111" s="12"/>
      <c r="I111" s="93"/>
      <c r="J111" s="72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517"/>
      <c r="AB111" s="36"/>
      <c r="AC111" s="36"/>
    </row>
    <row r="112" spans="1:29" x14ac:dyDescent="0.2">
      <c r="A112" s="36"/>
      <c r="B112" s="60"/>
      <c r="C112" s="60"/>
      <c r="D112" s="60"/>
      <c r="E112" s="60"/>
      <c r="F112" s="60"/>
      <c r="G112" s="60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517"/>
      <c r="AB112" s="36"/>
      <c r="AC112" s="36"/>
    </row>
    <row r="113" spans="1:29" x14ac:dyDescent="0.2">
      <c r="A113" s="36"/>
      <c r="B113" s="36"/>
      <c r="C113" s="60"/>
      <c r="D113" s="60"/>
      <c r="E113" s="60"/>
      <c r="F113" s="60"/>
      <c r="G113" s="60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517"/>
      <c r="AB113" s="36"/>
      <c r="AC113" s="36"/>
    </row>
    <row r="114" spans="1:29" x14ac:dyDescent="0.2">
      <c r="A114" s="36"/>
      <c r="B114" s="36"/>
      <c r="C114" s="60"/>
      <c r="D114" s="60"/>
      <c r="E114" s="60"/>
      <c r="F114" s="60"/>
      <c r="G114" s="60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101"/>
      <c r="AB114" s="36"/>
      <c r="AC114" s="36"/>
    </row>
    <row r="115" spans="1:29" x14ac:dyDescent="0.2">
      <c r="A115" s="36"/>
      <c r="B115" s="36"/>
      <c r="C115" s="60"/>
      <c r="D115" s="60"/>
      <c r="E115" s="60"/>
      <c r="F115" s="60"/>
      <c r="G115" s="60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101"/>
      <c r="AB115" s="36"/>
      <c r="AC115" s="36"/>
    </row>
    <row r="116" spans="1:29" x14ac:dyDescent="0.2">
      <c r="A116" s="36"/>
      <c r="B116" s="36"/>
      <c r="C116" s="60"/>
      <c r="D116" s="60"/>
      <c r="E116" s="60"/>
      <c r="F116" s="60"/>
      <c r="G116" s="60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101"/>
      <c r="AB116" s="36"/>
      <c r="AC116" s="36"/>
    </row>
    <row r="117" spans="1:29" x14ac:dyDescent="0.2">
      <c r="A117" s="36"/>
      <c r="B117" s="36"/>
      <c r="C117" s="60"/>
      <c r="D117" s="60"/>
      <c r="E117" s="60"/>
      <c r="F117" s="60"/>
      <c r="G117" s="60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101"/>
      <c r="AB117" s="36"/>
      <c r="AC117" s="36"/>
    </row>
    <row r="118" spans="1:29" x14ac:dyDescent="0.2">
      <c r="A118" s="36"/>
      <c r="B118" s="36"/>
      <c r="C118" s="60"/>
      <c r="D118" s="60"/>
      <c r="E118" s="60"/>
      <c r="F118" s="60"/>
      <c r="G118" s="60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101"/>
      <c r="AB118" s="36"/>
      <c r="AC118" s="36"/>
    </row>
    <row r="119" spans="1:29" x14ac:dyDescent="0.2">
      <c r="A119" s="36"/>
      <c r="B119" s="36"/>
      <c r="C119" s="60"/>
      <c r="D119" s="60"/>
      <c r="E119" s="60"/>
      <c r="F119" s="60"/>
      <c r="G119" s="60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101"/>
      <c r="AB119" s="36"/>
      <c r="AC119" s="36"/>
    </row>
    <row r="120" spans="1:29" x14ac:dyDescent="0.2">
      <c r="A120" s="36"/>
      <c r="B120" s="36"/>
      <c r="C120" s="60"/>
      <c r="D120" s="60"/>
      <c r="E120" s="60"/>
      <c r="F120" s="60"/>
      <c r="G120" s="60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101"/>
      <c r="AB120" s="36"/>
      <c r="AC120" s="36"/>
    </row>
    <row r="121" spans="1:29" x14ac:dyDescent="0.2">
      <c r="A121" s="18"/>
      <c r="B121" s="18"/>
      <c r="C121" s="19"/>
      <c r="D121" s="19"/>
      <c r="E121" s="19"/>
      <c r="F121" s="19"/>
      <c r="G121" s="19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9" x14ac:dyDescent="0.2">
      <c r="A122" s="18"/>
      <c r="B122" s="18"/>
      <c r="C122" s="19"/>
      <c r="D122" s="19"/>
      <c r="E122" s="19"/>
      <c r="F122" s="19"/>
      <c r="G122" s="19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9" x14ac:dyDescent="0.2">
      <c r="A123" s="18"/>
      <c r="B123" s="18"/>
      <c r="C123" s="19"/>
      <c r="D123" s="19"/>
      <c r="E123" s="19"/>
      <c r="F123" s="19"/>
      <c r="G123" s="19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</sheetData>
  <mergeCells count="10">
    <mergeCell ref="A4:Z4"/>
    <mergeCell ref="A5:Z5"/>
    <mergeCell ref="A6:Z6"/>
    <mergeCell ref="U95:V96"/>
    <mergeCell ref="X8:X9"/>
    <mergeCell ref="P8:R8"/>
    <mergeCell ref="C84:H84"/>
    <mergeCell ref="S8:S9"/>
    <mergeCell ref="U8:U9"/>
    <mergeCell ref="U94:V94"/>
  </mergeCells>
  <phoneticPr fontId="11" type="noConversion"/>
  <printOptions horizontalCentered="1"/>
  <pageMargins left="0" right="0" top="0.15748031496062992" bottom="0.19685039370078741" header="0" footer="0"/>
  <pageSetup scale="46" fitToWidth="2" fitToHeight="2" orientation="landscape" horizontalDpi="300" verticalDpi="300" r:id="rId1"/>
  <headerFooter alignWithMargins="0"/>
  <rowBreaks count="1" manualBreakCount="1">
    <brk id="85" max="25" man="1"/>
  </rowBreaks>
  <colBreaks count="1" manualBreakCount="1">
    <brk id="13" max="84" man="1"/>
  </colBreaks>
  <ignoredErrors>
    <ignoredError sqref="D12:G12 C87:Z88 N14:N16 C83:Q83 S83:Z83 N80:Q81 S80:Z81 C54:L56 C67:L68 C13:C16 I14:K16 C29:C31 C45:L47 C18:L19 C36:G36 C35 C60:C62 I60:K62 C80:L81 C75:C78 C22:C25 I29:K31 C38:L38 C37:H37 J37:L37 F13:G16 F29:G31 F35:G35 F22 F40 F49 C58 F58 F60:G62 C72:C73 F70 F23:G25 I75:K78 I74 S36:Z37 D39:I39 K39:L39 D21:G21 I22:J22 F74:G78 I72:K73 S67:Z67 D69:J69 D57:L57 D48:L48 D20:L20 N18:Z19 I36:L36 N74:N78 N29:N31 S29:Y31 D82:Q82 C85:Q86 D84:Q84 N22:N25 N20:X21 Z20:Z21 S38:X39 Z38:Z39 S74:Y78 S82:X82 Z82 S86:Z86 S48:X48 Z48 S58:Y58 S57:X57 Z57 S68:X68 Z68 S84:X85 Z84:Z85 N63:Q63 S63:Z63 C63:L63 C43:C44 F43:G44 I43:K44 S45:Z47 C49:C53 F50:G53 I50:K53 N45:Q48 S54:Z56 H40:L40 H49:L49 H58:L58 H70:L70 S72:Y73 N72:N73 F72:G73 S40:Y41 I41:K41 F41:G41 N36:Q39 C40:C41 N67:Q68 S70:Y70 C70 I13:K13 I23:K25 I35:K35 N13 P13:Q13 P15:Y15 P29:Q31 P23:Y25 N35 P35:Q35 N43:N44 P43:Q44 N40:N41 P40:Q41 N54:Q57 N49:N53 P49:Q53 N60:N62 P60:Q62 N58 P58:Q58 P74:Q78 P72:Q73 N70 P70:Q70 I21 K21:L21 L22 X69 S13:X13 P16:R16 T16:Y16 P14:Y14 P22:Y22 S35:Y35 S43:Y44 S49:Y53 S60:Y62" unlockedFormula="1"/>
    <ignoredError sqref="M80:M81 J74:K74 R80:R86 R35:R41 M13:M16 M35:M41 R74 M74 M18:M25 M44:M52 R44:R52 R75 M75 R76:R78 M76:M78 M29:M31 R29:R31 M60:M63 R60:R63 R43 M43 M53:M58 R53:R58 M72:M73 R72:R73 R67:R68 M67:M68 M70 R70" formula="1" unlocked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>
    <pageSetUpPr fitToPage="1"/>
  </sheetPr>
  <dimension ref="A1:S105"/>
  <sheetViews>
    <sheetView view="pageBreakPreview" topLeftCell="C1" zoomScale="90" zoomScaleNormal="85" zoomScaleSheetLayoutView="90" workbookViewId="0">
      <pane ySplit="5" topLeftCell="A6" activePane="bottomLeft" state="frozen"/>
      <selection activeCell="B121" sqref="B121"/>
      <selection pane="bottomLeft" activeCell="N17" sqref="N17"/>
    </sheetView>
  </sheetViews>
  <sheetFormatPr baseColWidth="10" defaultRowHeight="12.75" x14ac:dyDescent="0.2"/>
  <cols>
    <col min="1" max="1" width="16.28515625" hidden="1" customWidth="1"/>
    <col min="2" max="2" width="16" hidden="1" customWidth="1"/>
    <col min="3" max="3" width="3.85546875" customWidth="1"/>
    <col min="4" max="4" width="58.7109375" customWidth="1"/>
    <col min="5" max="5" width="6.85546875" customWidth="1"/>
    <col min="6" max="6" width="20.42578125" bestFit="1" customWidth="1"/>
    <col min="7" max="7" width="19.140625" bestFit="1" customWidth="1"/>
    <col min="8" max="8" width="3.85546875" customWidth="1"/>
    <col min="9" max="9" width="53" customWidth="1"/>
    <col min="10" max="10" width="6" customWidth="1"/>
    <col min="11" max="11" width="16.140625" bestFit="1" customWidth="1"/>
    <col min="12" max="12" width="19.140625" bestFit="1" customWidth="1"/>
    <col min="13" max="13" width="4" customWidth="1"/>
    <col min="14" max="14" width="15.28515625" customWidth="1"/>
    <col min="15" max="15" width="14.42578125" customWidth="1"/>
  </cols>
  <sheetData>
    <row r="1" spans="1:19" ht="18" x14ac:dyDescent="0.25">
      <c r="A1" s="37"/>
      <c r="C1" s="254"/>
      <c r="D1" s="1112" t="s">
        <v>46</v>
      </c>
      <c r="E1" s="1112"/>
      <c r="F1" s="1112"/>
      <c r="G1" s="1112"/>
      <c r="H1" s="486"/>
      <c r="I1" s="1112" t="s">
        <v>46</v>
      </c>
      <c r="J1" s="1112"/>
      <c r="K1" s="1112"/>
      <c r="L1" s="1112"/>
      <c r="M1" s="254"/>
      <c r="N1" s="1112" t="s">
        <v>243</v>
      </c>
      <c r="O1" s="1112"/>
      <c r="P1" s="254"/>
      <c r="Q1" s="254"/>
      <c r="R1" s="254"/>
      <c r="S1" s="254"/>
    </row>
    <row r="2" spans="1:19" ht="18" x14ac:dyDescent="0.25">
      <c r="A2" s="37"/>
      <c r="B2" s="37"/>
      <c r="C2" s="486"/>
      <c r="D2" s="1112" t="s">
        <v>85</v>
      </c>
      <c r="E2" s="1112"/>
      <c r="F2" s="1112"/>
      <c r="G2" s="1112"/>
      <c r="H2" s="486"/>
      <c r="I2" s="1112" t="s">
        <v>85</v>
      </c>
      <c r="J2" s="1112"/>
      <c r="K2" s="1112"/>
      <c r="L2" s="1112"/>
      <c r="M2" s="254"/>
      <c r="N2" s="254"/>
      <c r="O2" s="254"/>
      <c r="P2" s="254"/>
      <c r="Q2" s="254"/>
      <c r="R2" s="254"/>
      <c r="S2" s="254"/>
    </row>
    <row r="3" spans="1:19" ht="18" x14ac:dyDescent="0.25">
      <c r="A3" s="37"/>
      <c r="B3" s="37"/>
      <c r="C3" s="486"/>
      <c r="D3" s="1112" t="s">
        <v>395</v>
      </c>
      <c r="E3" s="1112"/>
      <c r="F3" s="1112"/>
      <c r="G3" s="1112"/>
      <c r="H3" s="486"/>
      <c r="I3" s="1112" t="s">
        <v>558</v>
      </c>
      <c r="J3" s="1112"/>
      <c r="K3" s="1112"/>
      <c r="L3" s="1112"/>
      <c r="M3" s="254"/>
      <c r="N3" s="254"/>
      <c r="O3" s="254"/>
      <c r="P3" s="254"/>
      <c r="Q3" s="254"/>
      <c r="R3" s="254"/>
      <c r="S3" s="254"/>
    </row>
    <row r="4" spans="1:19" ht="16.5" customHeight="1" thickBot="1" x14ac:dyDescent="0.3">
      <c r="A4" s="210"/>
      <c r="B4" s="210"/>
      <c r="C4" s="274"/>
      <c r="D4" s="274"/>
      <c r="E4" s="254"/>
      <c r="F4" s="254"/>
      <c r="G4" s="254"/>
      <c r="H4" s="549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</row>
    <row r="5" spans="1:19" ht="39.75" thickBot="1" x14ac:dyDescent="0.3">
      <c r="A5" s="211" t="s">
        <v>103</v>
      </c>
      <c r="B5" s="211" t="s">
        <v>244</v>
      </c>
      <c r="C5" s="274"/>
      <c r="D5" s="90"/>
      <c r="E5" s="89" t="s">
        <v>87</v>
      </c>
      <c r="F5" s="89" t="s">
        <v>90</v>
      </c>
      <c r="G5" s="89" t="s">
        <v>446</v>
      </c>
      <c r="H5" s="549"/>
      <c r="I5" s="90"/>
      <c r="J5" s="89" t="s">
        <v>87</v>
      </c>
      <c r="K5" s="89" t="s">
        <v>90</v>
      </c>
      <c r="L5" s="89" t="s">
        <v>559</v>
      </c>
      <c r="M5" s="254"/>
      <c r="N5" s="89" t="s">
        <v>245</v>
      </c>
      <c r="O5" s="89" t="s">
        <v>246</v>
      </c>
      <c r="P5" s="254"/>
      <c r="Q5" s="254"/>
      <c r="R5" s="254"/>
      <c r="S5" s="254"/>
    </row>
    <row r="6" spans="1:19" ht="18" x14ac:dyDescent="0.25">
      <c r="A6" s="41"/>
      <c r="B6" s="41"/>
      <c r="C6" s="274"/>
      <c r="D6" s="274"/>
      <c r="E6" s="254"/>
      <c r="F6" s="254"/>
      <c r="G6" s="254"/>
      <c r="H6" s="847"/>
      <c r="I6" s="274"/>
      <c r="J6" s="254"/>
      <c r="K6" s="254"/>
      <c r="L6" s="254"/>
      <c r="M6" s="254"/>
      <c r="N6" s="254"/>
      <c r="O6" s="254"/>
      <c r="P6" s="254"/>
      <c r="Q6" s="254"/>
      <c r="R6" s="254"/>
      <c r="S6" s="254"/>
    </row>
    <row r="7" spans="1:19" ht="13.5" customHeight="1" x14ac:dyDescent="0.25">
      <c r="A7" s="41"/>
      <c r="B7" s="41"/>
      <c r="C7" s="269"/>
      <c r="D7" s="78" t="s">
        <v>120</v>
      </c>
      <c r="E7" s="1103" t="s">
        <v>47</v>
      </c>
      <c r="F7" s="1104"/>
      <c r="G7" s="212">
        <f>+G8</f>
        <v>347983627.87635225</v>
      </c>
      <c r="H7" s="549"/>
      <c r="I7" s="78" t="s">
        <v>120</v>
      </c>
      <c r="J7" s="1103" t="s">
        <v>47</v>
      </c>
      <c r="K7" s="1104"/>
      <c r="L7" s="212">
        <f>+L8</f>
        <v>53133349.403999999</v>
      </c>
      <c r="M7" s="266"/>
      <c r="N7" s="214" t="s">
        <v>247</v>
      </c>
      <c r="O7" s="214" t="s">
        <v>248</v>
      </c>
      <c r="P7" s="254"/>
      <c r="Q7" s="254"/>
      <c r="R7" s="254"/>
      <c r="S7" s="254"/>
    </row>
    <row r="8" spans="1:19" ht="18" x14ac:dyDescent="0.25">
      <c r="A8" s="79" t="e">
        <f>SUM(A9:A19)</f>
        <v>#REF!</v>
      </c>
      <c r="B8" s="41"/>
      <c r="C8" s="215"/>
      <c r="D8" s="216" t="s">
        <v>94</v>
      </c>
      <c r="E8" s="217">
        <f>SUM(E9:E19)</f>
        <v>14</v>
      </c>
      <c r="F8" s="218">
        <f>SUM(F9:F19)</f>
        <v>19449282.604199998</v>
      </c>
      <c r="G8" s="218">
        <f>SUM(G9:G19)</f>
        <v>347983627.87635225</v>
      </c>
      <c r="H8" s="549"/>
      <c r="I8" s="216" t="s">
        <v>94</v>
      </c>
      <c r="J8" s="217">
        <f>SUM(J9:J19)</f>
        <v>8</v>
      </c>
      <c r="K8" s="218">
        <f>SUM(K9:K19)</f>
        <v>11906800</v>
      </c>
      <c r="L8" s="218">
        <f>SUM(L9:L19)</f>
        <v>53133349.403999999</v>
      </c>
      <c r="M8" s="266"/>
      <c r="N8" s="219">
        <f>+(K8-F8)/F8</f>
        <v>-0.38780261245066322</v>
      </c>
      <c r="O8" s="219">
        <f>+(L8-G8)/G8</f>
        <v>-0.84731077801487931</v>
      </c>
      <c r="P8" s="254"/>
      <c r="Q8" s="254"/>
      <c r="R8" s="254"/>
      <c r="S8" s="254"/>
    </row>
    <row r="9" spans="1:19" ht="18" x14ac:dyDescent="0.25">
      <c r="A9" s="220" t="e">
        <f>+#REF!/12</f>
        <v>#REF!</v>
      </c>
      <c r="B9" s="41"/>
      <c r="C9" s="221"/>
      <c r="D9" s="255" t="s">
        <v>192</v>
      </c>
      <c r="E9" s="303">
        <v>1</v>
      </c>
      <c r="F9" s="263">
        <v>3129143.1042000004</v>
      </c>
      <c r="G9" s="263">
        <v>57156867.444550522</v>
      </c>
      <c r="H9" s="549"/>
      <c r="I9" s="108" t="s">
        <v>192</v>
      </c>
      <c r="J9" s="262"/>
      <c r="K9" s="263"/>
      <c r="L9" s="263"/>
      <c r="M9" s="266"/>
      <c r="N9" s="258"/>
      <c r="O9" s="258">
        <v>0</v>
      </c>
      <c r="P9" s="254"/>
      <c r="Q9" s="254"/>
      <c r="R9" s="254"/>
      <c r="S9" s="254"/>
    </row>
    <row r="10" spans="1:19" x14ac:dyDescent="0.2">
      <c r="A10" s="220"/>
      <c r="B10" s="41"/>
      <c r="C10" s="221"/>
      <c r="D10" s="255" t="s">
        <v>296</v>
      </c>
      <c r="E10" s="303">
        <v>1</v>
      </c>
      <c r="F10" s="263">
        <v>2700000</v>
      </c>
      <c r="G10" s="263">
        <v>49318147.799999997</v>
      </c>
      <c r="H10" s="265"/>
      <c r="I10" s="255" t="str">
        <f>+'Nómina y honorarios 2015'!A13</f>
        <v>SUPERVISOR CONTROL PRESUPUESTAL</v>
      </c>
      <c r="J10" s="262">
        <f>+'Nómina y honorarios 2015'!C13</f>
        <v>1</v>
      </c>
      <c r="K10" s="263">
        <f>'Nómina y honorarios 2015'!H13</f>
        <v>2798820</v>
      </c>
      <c r="L10" s="263">
        <f>+'Nómina y honorarios 2015'!Y13</f>
        <v>12750472.3212</v>
      </c>
      <c r="M10" s="266"/>
      <c r="N10" s="258">
        <f t="shared" ref="N10:O13" si="0">+(K10-F10)/F10</f>
        <v>3.6600000000000001E-2</v>
      </c>
      <c r="O10" s="258">
        <f>+(L10-G10)/G10</f>
        <v>-0.74146489902850732</v>
      </c>
      <c r="P10" s="254"/>
      <c r="Q10" s="254"/>
      <c r="R10" s="254"/>
      <c r="S10" s="254"/>
    </row>
    <row r="11" spans="1:19" x14ac:dyDescent="0.2">
      <c r="A11" s="220" t="e">
        <f>+#REF!/12</f>
        <v>#REF!</v>
      </c>
      <c r="B11" s="41"/>
      <c r="C11" s="215"/>
      <c r="D11" s="255" t="s">
        <v>189</v>
      </c>
      <c r="E11" s="303">
        <v>1</v>
      </c>
      <c r="F11" s="263">
        <v>1800000</v>
      </c>
      <c r="G11" s="263">
        <v>32878765.199999999</v>
      </c>
      <c r="H11" s="265"/>
      <c r="I11" s="255" t="str">
        <f>+'Nómina y honorarios 2015'!A14</f>
        <v>PROFESIONAL  PRESUPUESTO</v>
      </c>
      <c r="J11" s="262">
        <f>+'Nómina y honorarios 2015'!C14</f>
        <v>1</v>
      </c>
      <c r="K11" s="263">
        <f>'Nómina y honorarios 2015'!H14</f>
        <v>1865880</v>
      </c>
      <c r="L11" s="263">
        <f>+'Nómina y honorarios 2015'!Y14</f>
        <v>8500314.8808000013</v>
      </c>
      <c r="M11" s="266"/>
      <c r="N11" s="258">
        <f t="shared" si="0"/>
        <v>3.6600000000000001E-2</v>
      </c>
      <c r="O11" s="258">
        <f t="shared" si="0"/>
        <v>-0.74146489902850732</v>
      </c>
      <c r="P11" s="254"/>
      <c r="Q11" s="254"/>
      <c r="R11" s="254"/>
      <c r="S11" s="254"/>
    </row>
    <row r="12" spans="1:19" x14ac:dyDescent="0.2">
      <c r="A12" s="220"/>
      <c r="B12" s="41"/>
      <c r="C12" s="215"/>
      <c r="D12" s="255" t="s">
        <v>297</v>
      </c>
      <c r="E12" s="303">
        <v>1</v>
      </c>
      <c r="F12" s="263">
        <v>2700000</v>
      </c>
      <c r="G12" s="263">
        <v>49318147.799999997</v>
      </c>
      <c r="H12" s="265"/>
      <c r="I12" s="255" t="str">
        <f>+'Nómina y honorarios 2015'!A15</f>
        <v>SUPERVISOR TESORERIA</v>
      </c>
      <c r="J12" s="262">
        <f>+'Nómina y honorarios 2015'!C15</f>
        <v>1</v>
      </c>
      <c r="K12" s="263">
        <f>'Nómina y honorarios 2015'!H15</f>
        <v>2798820</v>
      </c>
      <c r="L12" s="263">
        <f>+'Nómina y honorarios 2015'!Y15</f>
        <v>12750472.3212</v>
      </c>
      <c r="M12" s="266"/>
      <c r="N12" s="258">
        <f t="shared" si="0"/>
        <v>3.6600000000000001E-2</v>
      </c>
      <c r="O12" s="258">
        <f t="shared" si="0"/>
        <v>-0.74146489902850732</v>
      </c>
      <c r="P12" s="254"/>
      <c r="Q12" s="254"/>
      <c r="R12" s="254"/>
      <c r="S12" s="254"/>
    </row>
    <row r="13" spans="1:19" x14ac:dyDescent="0.2">
      <c r="A13" s="220" t="e">
        <f>+#REF!/12</f>
        <v>#REF!</v>
      </c>
      <c r="B13" s="41"/>
      <c r="C13" s="215"/>
      <c r="D13" s="255" t="s">
        <v>313</v>
      </c>
      <c r="E13" s="303">
        <v>1</v>
      </c>
      <c r="F13" s="263">
        <v>1800000</v>
      </c>
      <c r="G13" s="263">
        <v>32878765.199999999</v>
      </c>
      <c r="H13" s="265"/>
      <c r="I13" s="255" t="str">
        <f>+'Nómina y honorarios 2015'!A16</f>
        <v>PROFESIONAL TESORERIA</v>
      </c>
      <c r="J13" s="262">
        <f>+'Nómina y honorarios 2015'!C16</f>
        <v>1</v>
      </c>
      <c r="K13" s="263">
        <f>'Nómina y honorarios 2015'!H16</f>
        <v>1865880</v>
      </c>
      <c r="L13" s="263">
        <f>+'Nómina y honorarios 2015'!Y16</f>
        <v>8500314.8808000013</v>
      </c>
      <c r="M13" s="266"/>
      <c r="N13" s="258">
        <f t="shared" si="0"/>
        <v>3.6600000000000001E-2</v>
      </c>
      <c r="O13" s="258">
        <f t="shared" si="0"/>
        <v>-0.74146489902850732</v>
      </c>
      <c r="P13" s="254"/>
      <c r="Q13" s="254"/>
      <c r="R13" s="254"/>
      <c r="S13" s="254"/>
    </row>
    <row r="14" spans="1:19" x14ac:dyDescent="0.2">
      <c r="A14" s="222"/>
      <c r="B14" s="41"/>
      <c r="C14" s="215"/>
      <c r="D14" s="255" t="s">
        <v>20</v>
      </c>
      <c r="E14" s="303">
        <v>4</v>
      </c>
      <c r="F14" s="493">
        <v>2464112</v>
      </c>
      <c r="G14" s="263">
        <v>33512670</v>
      </c>
      <c r="H14" s="265"/>
      <c r="I14" s="255" t="str">
        <f>+'Nómina y honorarios 2015'!A17</f>
        <v>PRACTICANTES SENA</v>
      </c>
      <c r="J14" s="262">
        <f>+'Nómina y honorarios 2015'!C17</f>
        <v>4</v>
      </c>
      <c r="K14" s="263">
        <f>+'Nómina y honorarios 2015'!H17</f>
        <v>2577400</v>
      </c>
      <c r="L14" s="263">
        <f>+'Nómina y honorarios 2015'!Y17</f>
        <v>10631775</v>
      </c>
      <c r="M14" s="266"/>
      <c r="N14" s="258">
        <f>+(K14-F14)/F14</f>
        <v>4.5975182946229716E-2</v>
      </c>
      <c r="O14" s="258">
        <f>+(L14-G14)/G14</f>
        <v>-0.68275356753132477</v>
      </c>
      <c r="P14" s="254"/>
      <c r="Q14" s="254"/>
      <c r="R14" s="254"/>
      <c r="S14" s="254"/>
    </row>
    <row r="15" spans="1:19" x14ac:dyDescent="0.2">
      <c r="A15" s="220" t="e">
        <f>+#REF!/12</f>
        <v>#REF!</v>
      </c>
      <c r="B15" s="41"/>
      <c r="C15" s="215"/>
      <c r="D15" s="255" t="s">
        <v>203</v>
      </c>
      <c r="E15" s="303">
        <v>1</v>
      </c>
      <c r="F15" s="263">
        <v>1440000</v>
      </c>
      <c r="G15" s="263">
        <v>26303012.16</v>
      </c>
      <c r="H15" s="265"/>
      <c r="I15" s="108" t="s">
        <v>203</v>
      </c>
      <c r="J15" s="262"/>
      <c r="K15" s="263"/>
      <c r="L15" s="263"/>
      <c r="M15" s="266"/>
      <c r="N15" s="258"/>
      <c r="O15" s="258">
        <v>0</v>
      </c>
      <c r="P15" s="254"/>
      <c r="Q15" s="254"/>
      <c r="R15" s="254"/>
      <c r="S15" s="254"/>
    </row>
    <row r="16" spans="1:19" x14ac:dyDescent="0.2">
      <c r="A16" s="220" t="e">
        <f>+#REF!/12</f>
        <v>#REF!</v>
      </c>
      <c r="B16" s="41"/>
      <c r="C16" s="215"/>
      <c r="D16" s="255" t="s">
        <v>53</v>
      </c>
      <c r="E16" s="303">
        <v>1</v>
      </c>
      <c r="F16" s="263">
        <v>1000000</v>
      </c>
      <c r="G16" s="263">
        <v>19321020.666666668</v>
      </c>
      <c r="H16" s="265"/>
      <c r="I16" s="108" t="s">
        <v>53</v>
      </c>
      <c r="J16" s="262"/>
      <c r="K16" s="263"/>
      <c r="L16" s="263"/>
      <c r="M16" s="266"/>
      <c r="N16" s="258"/>
      <c r="O16" s="258">
        <v>0</v>
      </c>
      <c r="P16" s="254"/>
      <c r="Q16" s="254"/>
      <c r="R16" s="254"/>
      <c r="S16" s="254"/>
    </row>
    <row r="17" spans="1:19" x14ac:dyDescent="0.2">
      <c r="A17" s="220"/>
      <c r="B17" s="41"/>
      <c r="C17" s="215"/>
      <c r="D17" s="255" t="s">
        <v>53</v>
      </c>
      <c r="E17" s="303">
        <v>1</v>
      </c>
      <c r="F17" s="263">
        <v>1000000</v>
      </c>
      <c r="G17" s="263">
        <v>19321020.666666668</v>
      </c>
      <c r="H17" s="265"/>
      <c r="I17" s="108" t="s">
        <v>53</v>
      </c>
      <c r="J17" s="262"/>
      <c r="K17" s="263"/>
      <c r="L17" s="263"/>
      <c r="M17" s="266"/>
      <c r="N17" s="258"/>
      <c r="O17" s="258">
        <v>0</v>
      </c>
      <c r="P17" s="254"/>
      <c r="Q17" s="254"/>
      <c r="R17" s="254"/>
      <c r="S17" s="254"/>
    </row>
    <row r="18" spans="1:19" x14ac:dyDescent="0.2">
      <c r="A18" s="220" t="e">
        <f>+#REF!/12</f>
        <v>#REF!</v>
      </c>
      <c r="B18" s="41"/>
      <c r="C18" s="215"/>
      <c r="D18" s="255" t="s">
        <v>210</v>
      </c>
      <c r="E18" s="303">
        <v>1</v>
      </c>
      <c r="F18" s="263">
        <v>800000</v>
      </c>
      <c r="G18" s="263">
        <v>15667824.533333335</v>
      </c>
      <c r="H18" s="265"/>
      <c r="I18" s="108" t="s">
        <v>210</v>
      </c>
      <c r="J18" s="262"/>
      <c r="K18" s="263"/>
      <c r="L18" s="263"/>
      <c r="M18" s="266"/>
      <c r="N18" s="258"/>
      <c r="O18" s="258">
        <v>0</v>
      </c>
      <c r="P18" s="254"/>
      <c r="Q18" s="254"/>
      <c r="R18" s="254"/>
      <c r="S18" s="254"/>
    </row>
    <row r="19" spans="1:19" x14ac:dyDescent="0.2">
      <c r="A19" s="220" t="e">
        <f>+#REF!/12</f>
        <v>#REF!</v>
      </c>
      <c r="B19" s="41"/>
      <c r="C19" s="215"/>
      <c r="D19" s="255" t="s">
        <v>49</v>
      </c>
      <c r="E19" s="303">
        <v>1</v>
      </c>
      <c r="F19" s="263">
        <v>616027.5</v>
      </c>
      <c r="G19" s="263">
        <v>12307386.405135002</v>
      </c>
      <c r="H19" s="265"/>
      <c r="I19" s="108" t="s">
        <v>49</v>
      </c>
      <c r="J19" s="262"/>
      <c r="K19" s="263"/>
      <c r="L19" s="263"/>
      <c r="M19" s="266"/>
      <c r="N19" s="258"/>
      <c r="O19" s="258">
        <v>0</v>
      </c>
      <c r="P19" s="254"/>
      <c r="Q19" s="254"/>
      <c r="R19" s="254"/>
      <c r="S19" s="254"/>
    </row>
    <row r="20" spans="1:19" x14ac:dyDescent="0.2">
      <c r="A20" s="222"/>
      <c r="B20" s="41"/>
      <c r="C20" s="269"/>
      <c r="D20" s="215"/>
      <c r="E20" s="29"/>
      <c r="F20" s="29"/>
      <c r="G20" s="268"/>
      <c r="H20" s="266"/>
      <c r="I20" s="269"/>
      <c r="J20" s="266"/>
      <c r="K20" s="266"/>
      <c r="L20" s="266"/>
      <c r="M20" s="266"/>
      <c r="N20" s="254"/>
      <c r="O20" s="254"/>
      <c r="P20" s="254"/>
      <c r="Q20" s="254"/>
      <c r="R20" s="254"/>
      <c r="S20" s="254"/>
    </row>
    <row r="21" spans="1:19" ht="16.5" customHeight="1" x14ac:dyDescent="0.25">
      <c r="A21" s="41"/>
      <c r="B21" s="41"/>
      <c r="C21" s="269"/>
      <c r="D21" s="78" t="s">
        <v>22</v>
      </c>
      <c r="E21" s="1103" t="s">
        <v>47</v>
      </c>
      <c r="F21" s="1104"/>
      <c r="G21" s="212">
        <f>+G22</f>
        <v>877130702.77153575</v>
      </c>
      <c r="H21" s="213"/>
      <c r="I21" s="78" t="s">
        <v>22</v>
      </c>
      <c r="J21" s="1103" t="s">
        <v>47</v>
      </c>
      <c r="K21" s="1104"/>
      <c r="L21" s="212">
        <f>+L22</f>
        <v>279496467.67459929</v>
      </c>
      <c r="M21" s="266"/>
      <c r="N21" s="214" t="s">
        <v>247</v>
      </c>
      <c r="O21" s="214" t="s">
        <v>248</v>
      </c>
      <c r="P21" s="254"/>
      <c r="Q21" s="254"/>
      <c r="R21" s="254"/>
      <c r="S21" s="254"/>
    </row>
    <row r="22" spans="1:19" x14ac:dyDescent="0.2">
      <c r="A22" s="84" t="e">
        <f>SUM(A23:A28)</f>
        <v>#REF!</v>
      </c>
      <c r="B22" s="41"/>
      <c r="C22" s="269"/>
      <c r="D22" s="81" t="s">
        <v>8</v>
      </c>
      <c r="E22" s="224">
        <f>SUM(E23:E33)</f>
        <v>20</v>
      </c>
      <c r="F22" s="218">
        <f>SUM(F23:F33)</f>
        <v>49303038.48340001</v>
      </c>
      <c r="G22" s="218">
        <f>SUM(G23:G33)</f>
        <v>877130702.77153575</v>
      </c>
      <c r="H22" s="223"/>
      <c r="I22" s="81" t="s">
        <v>8</v>
      </c>
      <c r="J22" s="224">
        <f>SUM(J23:J36)</f>
        <v>24</v>
      </c>
      <c r="K22" s="225">
        <f>SUM(K23:K36)</f>
        <v>62544808.870800003</v>
      </c>
      <c r="L22" s="225">
        <f>SUM(L23:L36)</f>
        <v>279496467.67459929</v>
      </c>
      <c r="M22" s="266"/>
      <c r="N22" s="219">
        <f t="shared" ref="N22:N33" si="1">+(K22-F22)/F22</f>
        <v>0.26857919500962207</v>
      </c>
      <c r="O22" s="219">
        <f t="shared" ref="O22:O33" si="2">+(L22-G22)/G22</f>
        <v>-0.68135140317007115</v>
      </c>
      <c r="P22" s="254"/>
      <c r="Q22" s="254"/>
      <c r="R22" s="254"/>
      <c r="S22" s="254"/>
    </row>
    <row r="23" spans="1:19" x14ac:dyDescent="0.2">
      <c r="A23" s="220" t="e">
        <f>+#REF!/12</f>
        <v>#REF!</v>
      </c>
      <c r="B23" s="41"/>
      <c r="C23" s="285"/>
      <c r="D23" s="127" t="s">
        <v>104</v>
      </c>
      <c r="E23" s="303">
        <v>1</v>
      </c>
      <c r="F23" s="263">
        <v>8008357.5</v>
      </c>
      <c r="G23" s="263">
        <v>120623373.9567285</v>
      </c>
      <c r="H23" s="265"/>
      <c r="I23" s="108" t="str">
        <f>+'Nómina y honorarios 2015'!A22</f>
        <v>DIRECTOR</v>
      </c>
      <c r="J23" s="264">
        <f>+'Nómina y honorarios 2015'!C22</f>
        <v>1</v>
      </c>
      <c r="K23" s="263">
        <f>+'Nómina y honorarios 2015'!J22</f>
        <v>8729110</v>
      </c>
      <c r="L23" s="494">
        <f>+'Nómina y honorarios 2015'!Y22</f>
        <v>32781840.898819998</v>
      </c>
      <c r="M23" s="266"/>
      <c r="N23" s="258">
        <f t="shared" si="1"/>
        <v>9.0000040582603857E-2</v>
      </c>
      <c r="O23" s="258">
        <f t="shared" si="2"/>
        <v>-0.72822977982211057</v>
      </c>
      <c r="P23" s="254"/>
      <c r="Q23" s="254"/>
      <c r="R23" s="254"/>
      <c r="S23" s="254"/>
    </row>
    <row r="24" spans="1:19" x14ac:dyDescent="0.2">
      <c r="A24" s="220" t="e">
        <f>+#REF!/12</f>
        <v>#REF!</v>
      </c>
      <c r="B24" s="41"/>
      <c r="C24" s="269"/>
      <c r="D24" s="127" t="s">
        <v>155</v>
      </c>
      <c r="E24" s="303">
        <v>1</v>
      </c>
      <c r="F24" s="263">
        <v>3866137.7028000001</v>
      </c>
      <c r="G24" s="263">
        <v>70618796.534015879</v>
      </c>
      <c r="H24" s="265"/>
      <c r="I24" s="108" t="str">
        <f>+'Nómina y honorarios 2015'!A23</f>
        <v>COORDINADOR DE INFORMACIÓN</v>
      </c>
      <c r="J24" s="264">
        <f>+'Nómina y honorarios 2015'!C23</f>
        <v>1</v>
      </c>
      <c r="K24" s="263">
        <f>'Nómina y honorarios 2015'!H23</f>
        <v>4007638.6507999999</v>
      </c>
      <c r="L24" s="494">
        <f>+'Nómina y honorarios 2015'!Y23</f>
        <v>18257439.095903523</v>
      </c>
      <c r="M24" s="266"/>
      <c r="N24" s="258">
        <f t="shared" si="1"/>
        <v>3.6600079686121792E-2</v>
      </c>
      <c r="O24" s="258">
        <f t="shared" si="2"/>
        <v>-0.74146487915424575</v>
      </c>
      <c r="P24" s="254"/>
      <c r="Q24" s="254"/>
      <c r="R24" s="254"/>
      <c r="S24" s="254"/>
    </row>
    <row r="25" spans="1:19" x14ac:dyDescent="0.2">
      <c r="A25" s="220" t="e">
        <f>+#REF!/12</f>
        <v>#REF!</v>
      </c>
      <c r="B25" s="41"/>
      <c r="C25" s="269"/>
      <c r="D25" s="127" t="s">
        <v>235</v>
      </c>
      <c r="E25" s="303">
        <v>1</v>
      </c>
      <c r="F25" s="263">
        <v>3866137.7028000001</v>
      </c>
      <c r="G25" s="263">
        <v>70618796.534015879</v>
      </c>
      <c r="H25" s="265"/>
      <c r="I25" s="108" t="str">
        <f>+'Nómina y honorarios 2015'!A24</f>
        <v>COORDINADOR ASISTENCIA TÉCNICA</v>
      </c>
      <c r="J25" s="264">
        <f>+'Nómina y honorarios 2015'!C24</f>
        <v>1</v>
      </c>
      <c r="K25" s="263">
        <f>'Nómina y honorarios 2015'!H24</f>
        <v>4007638.6507999999</v>
      </c>
      <c r="L25" s="494">
        <f>+'Nómina y honorarios 2015'!Y24</f>
        <v>18257439.095903523</v>
      </c>
      <c r="M25" s="266"/>
      <c r="N25" s="258">
        <f t="shared" si="1"/>
        <v>3.6600079686121792E-2</v>
      </c>
      <c r="O25" s="258">
        <f t="shared" si="2"/>
        <v>-0.74146487915424575</v>
      </c>
      <c r="P25" s="254"/>
      <c r="Q25" s="254"/>
      <c r="R25" s="254"/>
      <c r="S25" s="254"/>
    </row>
    <row r="26" spans="1:19" x14ac:dyDescent="0.2">
      <c r="A26" s="220"/>
      <c r="B26" s="41"/>
      <c r="C26" s="269"/>
      <c r="D26" s="127" t="s">
        <v>236</v>
      </c>
      <c r="E26" s="303">
        <v>1</v>
      </c>
      <c r="F26" s="263">
        <v>3866137.7028000001</v>
      </c>
      <c r="G26" s="263">
        <v>70618796.534015879</v>
      </c>
      <c r="H26" s="265"/>
      <c r="I26" s="108" t="str">
        <f>+'Nómina y honorarios 2015'!A25</f>
        <v>COORDINADOR CENTRO DE  SERVICIOS</v>
      </c>
      <c r="J26" s="264">
        <f>+'Nómina y honorarios 2015'!C25</f>
        <v>1</v>
      </c>
      <c r="K26" s="263">
        <f>'Nómina y honorarios 2015'!H25</f>
        <v>4007638.6507999999</v>
      </c>
      <c r="L26" s="494">
        <f>+'Nómina y honorarios 2015'!Y25</f>
        <v>18257439.095903523</v>
      </c>
      <c r="M26" s="266"/>
      <c r="N26" s="258">
        <f t="shared" si="1"/>
        <v>3.6600079686121792E-2</v>
      </c>
      <c r="O26" s="258">
        <f t="shared" si="2"/>
        <v>-0.74146487915424575</v>
      </c>
      <c r="P26" s="254"/>
      <c r="Q26" s="254"/>
      <c r="R26" s="254"/>
      <c r="S26" s="254"/>
    </row>
    <row r="27" spans="1:19" x14ac:dyDescent="0.2">
      <c r="A27" s="220"/>
      <c r="B27" s="41"/>
      <c r="C27" s="269"/>
      <c r="D27" s="128"/>
      <c r="E27" s="303"/>
      <c r="F27" s="263"/>
      <c r="G27" s="263"/>
      <c r="H27" s="265"/>
      <c r="I27" s="108" t="str">
        <f>+'Nómina y honorarios 2015'!A26</f>
        <v>COORDINADOR DE CALIDAD E INNOVACIÓN</v>
      </c>
      <c r="J27" s="264">
        <f>+'Nómina y honorarios 2015'!C26</f>
        <v>1</v>
      </c>
      <c r="K27" s="263">
        <f>+'Nómina y honorarios 2015'!H26</f>
        <v>4007638.6507999999</v>
      </c>
      <c r="L27" s="494">
        <f>+'Nómina y honorarios 2015'!Y26</f>
        <v>18257439.095903523</v>
      </c>
      <c r="M27" s="266"/>
      <c r="N27" s="258">
        <v>1</v>
      </c>
      <c r="O27" s="258">
        <v>1</v>
      </c>
      <c r="P27" s="254"/>
      <c r="Q27" s="254"/>
      <c r="R27" s="254"/>
      <c r="S27" s="254"/>
    </row>
    <row r="28" spans="1:19" x14ac:dyDescent="0.2">
      <c r="A28" s="220" t="e">
        <f>+#REF!/12</f>
        <v>#REF!</v>
      </c>
      <c r="B28" s="41"/>
      <c r="C28" s="285"/>
      <c r="D28" s="128" t="s">
        <v>150</v>
      </c>
      <c r="E28" s="303">
        <v>1</v>
      </c>
      <c r="F28" s="263">
        <v>3129143.1042000004</v>
      </c>
      <c r="G28" s="263">
        <v>57156867.444550522</v>
      </c>
      <c r="H28" s="265"/>
      <c r="I28" s="108" t="str">
        <f>+'Nómina y honorarios 2015'!A27</f>
        <v>JEFE FORTALECIMIENTO AL RECAUDO</v>
      </c>
      <c r="J28" s="264">
        <f>+'Nómina y honorarios 2015'!C27</f>
        <v>1</v>
      </c>
      <c r="K28" s="263">
        <f>'Nómina y honorarios 2015'!H27</f>
        <v>3243669.6338</v>
      </c>
      <c r="L28" s="494">
        <f>+'Nómina y honorarios 2015'!Y27</f>
        <v>14827851.870382614</v>
      </c>
      <c r="M28" s="266"/>
      <c r="N28" s="258">
        <f t="shared" si="1"/>
        <v>3.6599965481374015E-2</v>
      </c>
      <c r="O28" s="258">
        <f t="shared" si="2"/>
        <v>-0.74057619786865458</v>
      </c>
      <c r="P28" s="254"/>
      <c r="Q28" s="254"/>
      <c r="R28" s="254"/>
      <c r="S28" s="254"/>
    </row>
    <row r="29" spans="1:19" x14ac:dyDescent="0.2">
      <c r="A29" s="222"/>
      <c r="B29" s="41"/>
      <c r="C29" s="285"/>
      <c r="D29" s="128" t="s">
        <v>21</v>
      </c>
      <c r="E29" s="303">
        <v>1</v>
      </c>
      <c r="F29" s="263">
        <v>3129143.1042000004</v>
      </c>
      <c r="G29" s="263">
        <v>57156867</v>
      </c>
      <c r="H29" s="265"/>
      <c r="I29" s="108" t="str">
        <f>+'Nómina y honorarios 2015'!A28</f>
        <v>JEFE DE CONTROL REGIONAL</v>
      </c>
      <c r="J29" s="264">
        <f>+'Nómina y honorarios 2015'!C28</f>
        <v>1</v>
      </c>
      <c r="K29" s="263">
        <f>'Nómina y honorarios 2015'!H28</f>
        <v>3243669.6338</v>
      </c>
      <c r="L29" s="494">
        <f>+'Nómina y honorarios 2015'!Y28</f>
        <v>14827851.870382614</v>
      </c>
      <c r="M29" s="266"/>
      <c r="N29" s="258">
        <f t="shared" si="1"/>
        <v>3.6599965481374015E-2</v>
      </c>
      <c r="O29" s="258">
        <f t="shared" si="2"/>
        <v>-0.74057619585092693</v>
      </c>
      <c r="P29" s="254"/>
      <c r="Q29" s="254"/>
      <c r="R29" s="254"/>
      <c r="S29" s="254"/>
    </row>
    <row r="30" spans="1:19" x14ac:dyDescent="0.2">
      <c r="A30" s="222"/>
      <c r="B30" s="41"/>
      <c r="C30" s="285"/>
      <c r="D30" s="127" t="s">
        <v>233</v>
      </c>
      <c r="E30" s="303">
        <v>1</v>
      </c>
      <c r="F30" s="263">
        <v>1800000</v>
      </c>
      <c r="G30" s="263">
        <v>32878765.199999999</v>
      </c>
      <c r="H30" s="265"/>
      <c r="I30" s="108" t="str">
        <f>+'Nómina y honorarios 2015'!A29</f>
        <v>PROFESIONAL ECONÓMICO</v>
      </c>
      <c r="J30" s="264">
        <f>+'Nómina y honorarios 2015'!C29</f>
        <v>1</v>
      </c>
      <c r="K30" s="263">
        <f>'Nómina y honorarios 2015'!H29</f>
        <v>1865880</v>
      </c>
      <c r="L30" s="494">
        <f>+'Nómina y honorarios 2015'!Y29</f>
        <v>8500314.8808000013</v>
      </c>
      <c r="M30" s="266"/>
      <c r="N30" s="258">
        <f t="shared" si="1"/>
        <v>3.6600000000000001E-2</v>
      </c>
      <c r="O30" s="258">
        <f t="shared" si="2"/>
        <v>-0.74146489902850732</v>
      </c>
      <c r="P30" s="254"/>
      <c r="Q30" s="254"/>
      <c r="R30" s="254"/>
      <c r="S30" s="254"/>
    </row>
    <row r="31" spans="1:19" x14ac:dyDescent="0.2">
      <c r="A31" s="222"/>
      <c r="B31" s="41"/>
      <c r="C31" s="285"/>
      <c r="D31" s="127" t="s">
        <v>239</v>
      </c>
      <c r="E31" s="303">
        <v>1</v>
      </c>
      <c r="F31" s="263">
        <v>2100000</v>
      </c>
      <c r="G31" s="263">
        <v>38358559.399999999</v>
      </c>
      <c r="H31" s="265"/>
      <c r="I31" s="108" t="str">
        <f>+'Nómina y honorarios 2015'!A30</f>
        <v>PROFESIONAL ECONÓMICO</v>
      </c>
      <c r="J31" s="264">
        <f>+'Nómina y honorarios 2015'!C30</f>
        <v>1</v>
      </c>
      <c r="K31" s="263">
        <f>'Nómina y honorarios 2015'!H30</f>
        <v>2176860</v>
      </c>
      <c r="L31" s="494">
        <f>+'Nómina y honorarios 2015'!Y30</f>
        <v>9917034.0275999997</v>
      </c>
      <c r="M31" s="266"/>
      <c r="N31" s="258">
        <f t="shared" si="1"/>
        <v>3.6600000000000001E-2</v>
      </c>
      <c r="O31" s="258">
        <f t="shared" si="2"/>
        <v>-0.74146489902850732</v>
      </c>
      <c r="P31" s="254"/>
      <c r="Q31" s="254"/>
      <c r="R31" s="254"/>
      <c r="S31" s="254"/>
    </row>
    <row r="32" spans="1:19" x14ac:dyDescent="0.2">
      <c r="A32" s="222"/>
      <c r="B32" s="41"/>
      <c r="C32" s="285"/>
      <c r="D32" s="127" t="s">
        <v>151</v>
      </c>
      <c r="E32" s="303">
        <v>11</v>
      </c>
      <c r="F32" s="263">
        <v>18537981.666600004</v>
      </c>
      <c r="G32" s="263">
        <v>339778859.50154257</v>
      </c>
      <c r="H32" s="265"/>
      <c r="I32" s="108" t="str">
        <f>+'Nómina y honorarios 2015'!A31</f>
        <v>COORDINADORES RECAUDO</v>
      </c>
      <c r="J32" s="262">
        <f>+'Nómina y honorarios 2015'!C31</f>
        <v>11</v>
      </c>
      <c r="K32" s="263">
        <f>'Nómina y honorarios 2015'!H31</f>
        <v>23315985</v>
      </c>
      <c r="L32" s="494">
        <f>+'Nómina y honorarios 2015'!Y31</f>
        <v>106584828.5502</v>
      </c>
      <c r="M32" s="266"/>
      <c r="N32" s="258">
        <f t="shared" si="1"/>
        <v>0.25774129132992696</v>
      </c>
      <c r="O32" s="258">
        <f t="shared" si="2"/>
        <v>-0.68631118278941627</v>
      </c>
      <c r="P32" s="254"/>
      <c r="Q32" s="254"/>
      <c r="R32" s="254"/>
      <c r="S32" s="254"/>
    </row>
    <row r="33" spans="1:19" x14ac:dyDescent="0.2">
      <c r="A33" s="222"/>
      <c r="B33" s="41"/>
      <c r="C33" s="285"/>
      <c r="D33" s="108" t="s">
        <v>15</v>
      </c>
      <c r="E33" s="427">
        <v>1</v>
      </c>
      <c r="F33" s="428">
        <v>1000000</v>
      </c>
      <c r="G33" s="428">
        <v>19321020.666666668</v>
      </c>
      <c r="H33" s="265"/>
      <c r="I33" s="108" t="str">
        <f>+'Nómina y honorarios 2015'!A35</f>
        <v>ASISTENTE ADMINISTRATIVO</v>
      </c>
      <c r="J33" s="262">
        <f>+'Nómina y honorarios 2015'!C32</f>
        <v>1</v>
      </c>
      <c r="K33" s="263">
        <f>'Nómina y honorarios 2015'!H35</f>
        <v>1036600</v>
      </c>
      <c r="L33" s="494">
        <f>+'Nómina y honorarios 2015'!Y35</f>
        <v>4992867.1559999995</v>
      </c>
      <c r="M33" s="266"/>
      <c r="N33" s="258">
        <f t="shared" si="1"/>
        <v>3.6600000000000001E-2</v>
      </c>
      <c r="O33" s="258">
        <f t="shared" si="2"/>
        <v>-0.74158367499632782</v>
      </c>
      <c r="P33" s="254"/>
      <c r="Q33" s="254"/>
      <c r="R33" s="254"/>
      <c r="S33" s="254"/>
    </row>
    <row r="34" spans="1:19" x14ac:dyDescent="0.2">
      <c r="A34" s="222"/>
      <c r="B34" s="41"/>
      <c r="C34" s="285"/>
      <c r="D34" s="215"/>
      <c r="E34" s="215"/>
      <c r="F34" s="215"/>
      <c r="G34" s="215"/>
      <c r="H34" s="266"/>
      <c r="I34" s="108" t="str">
        <f>+'Nómina y honorarios 2015'!A32</f>
        <v>ASISTENTE DE RECAUDO</v>
      </c>
      <c r="J34" s="262">
        <f>+'Nómina y honorarios 2015'!C33</f>
        <v>1</v>
      </c>
      <c r="K34" s="263">
        <f>+'Nómina y honorarios 2015'!H32</f>
        <v>1036600</v>
      </c>
      <c r="L34" s="263">
        <f>+'Nómina y honorarios 2015'!Y32</f>
        <v>4992867.1559999995</v>
      </c>
      <c r="M34" s="266"/>
      <c r="N34" s="258">
        <v>1</v>
      </c>
      <c r="O34" s="258">
        <v>1</v>
      </c>
      <c r="P34" s="254"/>
      <c r="Q34" s="254"/>
      <c r="R34" s="254"/>
      <c r="S34" s="254"/>
    </row>
    <row r="35" spans="1:19" x14ac:dyDescent="0.2">
      <c r="A35" s="222"/>
      <c r="B35" s="41"/>
      <c r="C35" s="285"/>
      <c r="D35" s="215"/>
      <c r="E35" s="215"/>
      <c r="F35" s="215"/>
      <c r="G35" s="215"/>
      <c r="H35" s="266"/>
      <c r="I35" s="108" t="str">
        <f>+'Nómina y honorarios 2015'!A33</f>
        <v>ASISTENTE DE RECAUDO</v>
      </c>
      <c r="J35" s="262">
        <f>+'Nómina y honorarios 2015'!C34</f>
        <v>1</v>
      </c>
      <c r="K35" s="263">
        <f>+'Nómina y honorarios 2015'!H33</f>
        <v>1036600</v>
      </c>
      <c r="L35" s="263">
        <f>+'Nómina y honorarios 2015'!Y33</f>
        <v>4992867.1559999995</v>
      </c>
      <c r="M35" s="266"/>
      <c r="N35" s="258">
        <v>1</v>
      </c>
      <c r="O35" s="258">
        <v>1</v>
      </c>
      <c r="P35" s="254"/>
      <c r="Q35" s="254"/>
      <c r="R35" s="254"/>
      <c r="S35" s="254"/>
    </row>
    <row r="36" spans="1:19" x14ac:dyDescent="0.2">
      <c r="A36" s="222"/>
      <c r="B36" s="41"/>
      <c r="C36" s="285"/>
      <c r="D36" s="215"/>
      <c r="E36" s="215"/>
      <c r="F36" s="215"/>
      <c r="G36" s="215"/>
      <c r="H36" s="266"/>
      <c r="I36" s="108" t="str">
        <f>+'Nómina y honorarios 2015'!A34</f>
        <v>DIGITADOR-CODIFICADOR</v>
      </c>
      <c r="J36" s="262">
        <f>+'Nómina y honorarios 2015'!C35</f>
        <v>1</v>
      </c>
      <c r="K36" s="263">
        <f>+'Nómina y honorarios 2015'!H34</f>
        <v>829280</v>
      </c>
      <c r="L36" s="263">
        <f>+'Nómina y honorarios 2015'!Y34</f>
        <v>4048387.7248</v>
      </c>
      <c r="M36" s="266"/>
      <c r="N36" s="258">
        <v>1</v>
      </c>
      <c r="O36" s="258">
        <v>1</v>
      </c>
      <c r="P36" s="254"/>
      <c r="Q36" s="254"/>
      <c r="R36" s="254"/>
      <c r="S36" s="254"/>
    </row>
    <row r="37" spans="1:19" x14ac:dyDescent="0.2">
      <c r="A37" s="222"/>
      <c r="B37" s="41"/>
      <c r="C37" s="285"/>
      <c r="D37" s="215"/>
      <c r="E37" s="215"/>
      <c r="F37" s="215"/>
      <c r="G37" s="215"/>
      <c r="H37" s="266"/>
      <c r="I37" s="269"/>
      <c r="J37" s="266"/>
      <c r="K37" s="266"/>
      <c r="L37" s="266"/>
      <c r="M37" s="266"/>
      <c r="N37" s="254"/>
      <c r="O37" s="254"/>
      <c r="P37" s="254"/>
      <c r="Q37" s="254"/>
      <c r="R37" s="254"/>
      <c r="S37" s="254"/>
    </row>
    <row r="38" spans="1:19" ht="16.5" customHeight="1" x14ac:dyDescent="0.25">
      <c r="A38" s="41"/>
      <c r="B38" s="41"/>
      <c r="C38" s="269"/>
      <c r="D38" s="78" t="s">
        <v>23</v>
      </c>
      <c r="E38" s="1103" t="s">
        <v>47</v>
      </c>
      <c r="F38" s="1104"/>
      <c r="G38" s="212">
        <f>+G39</f>
        <v>314060752.89142692</v>
      </c>
      <c r="H38" s="213"/>
      <c r="I38" s="78" t="s">
        <v>23</v>
      </c>
      <c r="J38" s="1103" t="s">
        <v>47</v>
      </c>
      <c r="K38" s="1104"/>
      <c r="L38" s="212">
        <f>+L39</f>
        <v>74449496.059123531</v>
      </c>
      <c r="M38" s="266"/>
      <c r="N38" s="214" t="s">
        <v>247</v>
      </c>
      <c r="O38" s="214" t="s">
        <v>248</v>
      </c>
      <c r="P38" s="254"/>
      <c r="Q38" s="254"/>
      <c r="R38" s="254"/>
      <c r="S38" s="254"/>
    </row>
    <row r="39" spans="1:19" x14ac:dyDescent="0.2">
      <c r="A39" s="83" t="e">
        <f>SUM(A40:A45)</f>
        <v>#REF!</v>
      </c>
      <c r="B39" s="83"/>
      <c r="C39" s="274"/>
      <c r="D39" s="82" t="s">
        <v>10</v>
      </c>
      <c r="E39" s="270">
        <v>5</v>
      </c>
      <c r="F39" s="271">
        <f>SUM(F40:F45)</f>
        <v>18540632.9056</v>
      </c>
      <c r="G39" s="271">
        <f>SUM(G40:G45)</f>
        <v>314060752.89142692</v>
      </c>
      <c r="H39" s="281"/>
      <c r="I39" s="82" t="s">
        <v>10</v>
      </c>
      <c r="J39" s="270">
        <f>SUM(J40:J45)</f>
        <v>5</v>
      </c>
      <c r="K39" s="271">
        <f>SUM(K40:K45)</f>
        <v>17816088.650800001</v>
      </c>
      <c r="L39" s="267">
        <f>SUM(L40:L45)</f>
        <v>74449496.059123531</v>
      </c>
      <c r="M39" s="254"/>
      <c r="N39" s="273">
        <f t="shared" ref="N39:O45" si="3">+(K39-F39)/F39</f>
        <v>-3.9078722850996013E-2</v>
      </c>
      <c r="O39" s="273">
        <f t="shared" si="3"/>
        <v>-0.76294555950179088</v>
      </c>
      <c r="P39" s="254"/>
      <c r="Q39" s="254"/>
      <c r="R39" s="254"/>
      <c r="S39" s="254"/>
    </row>
    <row r="40" spans="1:19" x14ac:dyDescent="0.2">
      <c r="A40" s="220" t="e">
        <f>+#REF!/12</f>
        <v>#REF!</v>
      </c>
      <c r="B40" s="220">
        <v>42105401</v>
      </c>
      <c r="C40" s="274"/>
      <c r="D40" s="127" t="s">
        <v>104</v>
      </c>
      <c r="E40" s="264">
        <v>1</v>
      </c>
      <c r="F40" s="263">
        <v>8008357.5</v>
      </c>
      <c r="G40" s="263">
        <v>120623373.9567285</v>
      </c>
      <c r="H40" s="265"/>
      <c r="I40" s="108" t="str">
        <f>+'Nómina y honorarios 2015'!A40</f>
        <v>DIRECTOR</v>
      </c>
      <c r="J40" s="264">
        <f>+'Nómina y honorarios 2015'!C40</f>
        <v>1</v>
      </c>
      <c r="K40" s="263">
        <f>+'Nómina y honorarios 2015'!J40</f>
        <v>8729110</v>
      </c>
      <c r="L40" s="263">
        <f>+'Nómina y honorarios 2015'!Y40</f>
        <v>32781840.898819998</v>
      </c>
      <c r="M40" s="254"/>
      <c r="N40" s="258">
        <f t="shared" si="3"/>
        <v>9.0000040582603857E-2</v>
      </c>
      <c r="O40" s="258">
        <f t="shared" si="3"/>
        <v>-0.72822977982211057</v>
      </c>
      <c r="P40" s="254"/>
      <c r="Q40" s="254"/>
      <c r="R40" s="254"/>
      <c r="S40" s="254"/>
    </row>
    <row r="41" spans="1:19" x14ac:dyDescent="0.2">
      <c r="A41" s="220" t="e">
        <f>+#REF!/12</f>
        <v>#REF!</v>
      </c>
      <c r="B41" s="220"/>
      <c r="C41" s="274"/>
      <c r="D41" s="127" t="s">
        <v>163</v>
      </c>
      <c r="E41" s="264">
        <v>1</v>
      </c>
      <c r="F41" s="263">
        <v>3866137.7028000001</v>
      </c>
      <c r="G41" s="263">
        <v>70618796.534015879</v>
      </c>
      <c r="H41" s="265"/>
      <c r="I41" s="108" t="str">
        <f>+'Nómina y honorarios 2015'!A41</f>
        <v>COORDINADOR  DE PUBLICIDAD</v>
      </c>
      <c r="J41" s="264">
        <f>+'Nómina y honorarios 2015'!C41</f>
        <v>1</v>
      </c>
      <c r="K41" s="263">
        <f>+'Nómina y honorarios 2015'!J41</f>
        <v>4007638.6507999999</v>
      </c>
      <c r="L41" s="263">
        <f>+'Nómina y honorarios 2015'!Y41</f>
        <v>18257439.095903523</v>
      </c>
      <c r="M41" s="254"/>
      <c r="N41" s="258">
        <f t="shared" si="3"/>
        <v>3.6600079686121792E-2</v>
      </c>
      <c r="O41" s="258">
        <f t="shared" si="3"/>
        <v>-0.74146487915424575</v>
      </c>
      <c r="P41" s="254"/>
      <c r="Q41" s="254"/>
      <c r="R41" s="254"/>
      <c r="S41" s="254"/>
    </row>
    <row r="42" spans="1:19" x14ac:dyDescent="0.2">
      <c r="A42" s="220" t="e">
        <f>+#REF!/12</f>
        <v>#REF!</v>
      </c>
      <c r="B42" s="220"/>
      <c r="C42" s="274"/>
      <c r="D42" s="127" t="s">
        <v>664</v>
      </c>
      <c r="E42" s="264">
        <v>1</v>
      </c>
      <c r="F42" s="263">
        <v>3866137.7028000001</v>
      </c>
      <c r="G42" s="263">
        <v>70618796.534015879</v>
      </c>
      <c r="H42" s="265"/>
      <c r="I42" s="108"/>
      <c r="J42" s="264"/>
      <c r="K42" s="263"/>
      <c r="L42" s="263"/>
      <c r="M42" s="254"/>
      <c r="N42" s="258"/>
      <c r="O42" s="258"/>
      <c r="P42" s="254"/>
      <c r="Q42" s="254"/>
      <c r="R42" s="254"/>
      <c r="S42" s="254"/>
    </row>
    <row r="43" spans="1:19" x14ac:dyDescent="0.2">
      <c r="A43" s="222"/>
      <c r="B43" s="222"/>
      <c r="C43" s="274"/>
      <c r="D43" s="277"/>
      <c r="E43" s="293"/>
      <c r="F43" s="265">
        <v>0</v>
      </c>
      <c r="G43" s="265">
        <v>0</v>
      </c>
      <c r="H43" s="265"/>
      <c r="I43" s="108" t="str">
        <f>+'Nómina y honorarios 2015'!A42</f>
        <v>PROFESIONAL DE PUBLICIDAD</v>
      </c>
      <c r="J43" s="276">
        <f>+'Nómina y honorarios 2015'!C42</f>
        <v>1</v>
      </c>
      <c r="K43" s="263">
        <f>+'Nómina y honorarios 2015'!H42</f>
        <v>2176860</v>
      </c>
      <c r="L43" s="263">
        <f>+'Nómina y honorarios 2015'!Y42</f>
        <v>9917034.0275999997</v>
      </c>
      <c r="M43" s="254"/>
      <c r="N43" s="258">
        <v>1</v>
      </c>
      <c r="O43" s="258">
        <v>1</v>
      </c>
      <c r="P43" s="254"/>
      <c r="Q43" s="254"/>
      <c r="R43" s="254"/>
      <c r="S43" s="254"/>
    </row>
    <row r="44" spans="1:19" x14ac:dyDescent="0.2">
      <c r="A44" s="220" t="e">
        <f>+#REF!/12</f>
        <v>#REF!</v>
      </c>
      <c r="B44" s="220"/>
      <c r="C44" s="274"/>
      <c r="D44" s="127" t="s">
        <v>570</v>
      </c>
      <c r="E44" s="264">
        <v>1</v>
      </c>
      <c r="F44" s="263">
        <v>1800000</v>
      </c>
      <c r="G44" s="263">
        <v>32878765.199999999</v>
      </c>
      <c r="H44" s="265"/>
      <c r="I44" s="108" t="str">
        <f>+'Nómina y honorarios 2015'!A43</f>
        <v>PROFESIONAL ESTRATEGIA DIGITAL</v>
      </c>
      <c r="J44" s="276">
        <f>+'Nómina y honorarios 2015'!C43</f>
        <v>1</v>
      </c>
      <c r="K44" s="263">
        <f>+'Nómina y honorarios 2015'!J43</f>
        <v>1865880</v>
      </c>
      <c r="L44" s="263">
        <f>+'Nómina y honorarios 2015'!Y43</f>
        <v>8500314.8808000013</v>
      </c>
      <c r="M44" s="254"/>
      <c r="N44" s="258">
        <f t="shared" si="3"/>
        <v>3.6600000000000001E-2</v>
      </c>
      <c r="O44" s="258">
        <f t="shared" si="3"/>
        <v>-0.74146489902850732</v>
      </c>
      <c r="P44" s="254"/>
      <c r="Q44" s="254"/>
      <c r="R44" s="254"/>
      <c r="S44" s="254"/>
    </row>
    <row r="45" spans="1:19" x14ac:dyDescent="0.2">
      <c r="A45" s="220" t="e">
        <f>+#REF!/12</f>
        <v>#REF!</v>
      </c>
      <c r="B45" s="220">
        <v>10082312</v>
      </c>
      <c r="C45" s="274"/>
      <c r="D45" s="127" t="s">
        <v>15</v>
      </c>
      <c r="E45" s="264">
        <v>1</v>
      </c>
      <c r="F45" s="263">
        <v>1000000</v>
      </c>
      <c r="G45" s="263">
        <v>19321020.666666668</v>
      </c>
      <c r="H45" s="265"/>
      <c r="I45" s="108" t="str">
        <f>+'Nómina y honorarios 2015'!A44</f>
        <v>ASISTENTE ADMINISTRATIVO</v>
      </c>
      <c r="J45" s="276">
        <f>+'Nómina y honorarios 2015'!C44</f>
        <v>1</v>
      </c>
      <c r="K45" s="263">
        <f>+'Nómina y honorarios 2015'!H44</f>
        <v>1036600</v>
      </c>
      <c r="L45" s="263">
        <f>+'Nómina y honorarios 2015'!Y44</f>
        <v>4992867.1559999995</v>
      </c>
      <c r="M45" s="254"/>
      <c r="N45" s="258">
        <f t="shared" si="3"/>
        <v>3.6600000000000001E-2</v>
      </c>
      <c r="O45" s="258">
        <f t="shared" si="3"/>
        <v>-0.74158367499632782</v>
      </c>
      <c r="P45" s="254"/>
      <c r="Q45" s="254"/>
      <c r="R45" s="254"/>
      <c r="S45" s="254"/>
    </row>
    <row r="46" spans="1:19" x14ac:dyDescent="0.2">
      <c r="A46" s="222"/>
      <c r="B46" s="222"/>
      <c r="C46" s="274"/>
      <c r="D46" s="274"/>
      <c r="E46" s="254"/>
      <c r="F46" s="254"/>
      <c r="G46" s="254"/>
      <c r="H46" s="254"/>
      <c r="I46" s="274"/>
      <c r="J46" s="254"/>
      <c r="K46" s="254"/>
      <c r="L46" s="254"/>
      <c r="M46" s="254"/>
      <c r="N46" s="254"/>
      <c r="O46" s="254"/>
      <c r="P46" s="254"/>
      <c r="Q46" s="254"/>
      <c r="R46" s="254"/>
      <c r="S46" s="254"/>
    </row>
    <row r="47" spans="1:19" x14ac:dyDescent="0.2">
      <c r="A47" s="222"/>
      <c r="B47" s="222"/>
      <c r="C47" s="274"/>
      <c r="D47" s="274"/>
      <c r="E47" s="254"/>
      <c r="F47" s="254"/>
      <c r="G47" s="265"/>
      <c r="H47" s="254"/>
      <c r="I47" s="274"/>
      <c r="J47" s="3"/>
      <c r="M47" s="254"/>
      <c r="P47" s="254"/>
      <c r="Q47" s="254"/>
      <c r="R47" s="254"/>
      <c r="S47" s="254"/>
    </row>
    <row r="48" spans="1:19" ht="16.5" customHeight="1" x14ac:dyDescent="0.25">
      <c r="A48" s="209"/>
      <c r="B48" s="209"/>
      <c r="C48" s="274"/>
      <c r="D48" s="78" t="s">
        <v>24</v>
      </c>
      <c r="E48" s="1103" t="s">
        <v>47</v>
      </c>
      <c r="F48" s="1104"/>
      <c r="G48" s="226">
        <f>+G49</f>
        <v>344437177.40196157</v>
      </c>
      <c r="H48" s="275"/>
      <c r="I48" s="78" t="s">
        <v>24</v>
      </c>
      <c r="J48" s="1103" t="s">
        <v>47</v>
      </c>
      <c r="K48" s="1104"/>
      <c r="L48" s="226">
        <f>+L49</f>
        <v>84206620.274227053</v>
      </c>
      <c r="M48" s="254"/>
      <c r="N48" s="214" t="s">
        <v>247</v>
      </c>
      <c r="O48" s="214" t="s">
        <v>248</v>
      </c>
      <c r="P48" s="254"/>
      <c r="Q48" s="254"/>
      <c r="R48" s="254"/>
      <c r="S48" s="254"/>
    </row>
    <row r="49" spans="1:19" x14ac:dyDescent="0.2">
      <c r="A49" s="83" t="e">
        <f>SUM(A50:A56)</f>
        <v>#REF!</v>
      </c>
      <c r="B49" s="83"/>
      <c r="C49" s="274"/>
      <c r="D49" s="82" t="s">
        <v>11</v>
      </c>
      <c r="E49" s="270">
        <f>SUM(E50:E55)</f>
        <v>6</v>
      </c>
      <c r="F49" s="271">
        <f>SUM(F50:F55)</f>
        <v>20203638.307</v>
      </c>
      <c r="G49" s="271">
        <f>SUM(G50:G55)</f>
        <v>344437177.40196157</v>
      </c>
      <c r="H49" s="275"/>
      <c r="I49" s="82" t="s">
        <v>11</v>
      </c>
      <c r="J49" s="50">
        <f>SUM(J50:J55)</f>
        <v>5</v>
      </c>
      <c r="K49" s="271">
        <f>SUM(K50:K55)</f>
        <v>19957847.301600002</v>
      </c>
      <c r="L49" s="271">
        <f>SUM(L50:L55)</f>
        <v>84206620.274227053</v>
      </c>
      <c r="M49" s="254"/>
      <c r="N49" s="273">
        <f t="shared" ref="N49:O55" si="4">+(K49-F49)/F49</f>
        <v>-1.2165680342576639E-2</v>
      </c>
      <c r="O49" s="273">
        <f t="shared" si="4"/>
        <v>-0.75552400902427241</v>
      </c>
      <c r="P49" s="254"/>
      <c r="Q49" s="254"/>
      <c r="R49" s="254"/>
      <c r="S49" s="254"/>
    </row>
    <row r="50" spans="1:19" x14ac:dyDescent="0.2">
      <c r="A50" s="220" t="e">
        <f>+#REF!/12</f>
        <v>#REF!</v>
      </c>
      <c r="B50" s="49"/>
      <c r="C50" s="274"/>
      <c r="D50" s="227" t="s">
        <v>212</v>
      </c>
      <c r="E50" s="303">
        <v>1</v>
      </c>
      <c r="F50" s="263">
        <v>8008357.5</v>
      </c>
      <c r="G50" s="263">
        <v>120623373.9567285</v>
      </c>
      <c r="H50" s="265"/>
      <c r="I50" s="116" t="str">
        <f>+'Nómina y honorarios 2015'!A49</f>
        <v xml:space="preserve">DIRECTOR </v>
      </c>
      <c r="J50" s="682">
        <f>+'Nómina y honorarios 2015'!C40</f>
        <v>1</v>
      </c>
      <c r="K50" s="263">
        <f>+'Nómina y honorarios 2015'!J49</f>
        <v>8729110</v>
      </c>
      <c r="L50" s="263">
        <f>+'Nómina y honorarios 2015'!Y49</f>
        <v>32781840.898819998</v>
      </c>
      <c r="M50" s="254"/>
      <c r="N50" s="258">
        <f t="shared" si="4"/>
        <v>9.0000040582603857E-2</v>
      </c>
      <c r="O50" s="258">
        <f t="shared" si="4"/>
        <v>-0.72822977982211057</v>
      </c>
      <c r="P50" s="254"/>
      <c r="Q50" s="254"/>
      <c r="R50" s="254"/>
      <c r="S50" s="254"/>
    </row>
    <row r="51" spans="1:19" x14ac:dyDescent="0.2">
      <c r="A51" s="220"/>
      <c r="B51" s="49"/>
      <c r="C51" s="274"/>
      <c r="D51" s="127" t="s">
        <v>156</v>
      </c>
      <c r="E51" s="303">
        <v>1</v>
      </c>
      <c r="F51" s="263">
        <v>3866137.7028000001</v>
      </c>
      <c r="G51" s="263">
        <v>70618796.534015879</v>
      </c>
      <c r="H51" s="265"/>
      <c r="I51" s="108" t="str">
        <f>+'Nómina y honorarios 2015'!A50</f>
        <v>COORDINADOR TÉCNICO</v>
      </c>
      <c r="J51" s="682">
        <f>+'Nómina y honorarios 2015'!C41</f>
        <v>1</v>
      </c>
      <c r="K51" s="263">
        <f>+'Nómina y honorarios 2015'!J50</f>
        <v>4007638.6507999999</v>
      </c>
      <c r="L51" s="263">
        <f>+'Nómina y honorarios 2015'!Y50</f>
        <v>18257439.095903523</v>
      </c>
      <c r="M51" s="254"/>
      <c r="N51" s="258">
        <f t="shared" si="4"/>
        <v>3.6600079686121792E-2</v>
      </c>
      <c r="O51" s="258">
        <f t="shared" si="4"/>
        <v>-0.74146487915424575</v>
      </c>
      <c r="P51" s="254"/>
      <c r="Q51" s="254"/>
      <c r="R51" s="254"/>
      <c r="S51" s="254"/>
    </row>
    <row r="52" spans="1:19" x14ac:dyDescent="0.2">
      <c r="A52" s="220"/>
      <c r="B52" s="49"/>
      <c r="C52" s="274"/>
      <c r="D52" s="127" t="s">
        <v>174</v>
      </c>
      <c r="E52" s="303">
        <v>1</v>
      </c>
      <c r="F52" s="263">
        <v>3129143.1042000004</v>
      </c>
      <c r="G52" s="263">
        <v>57156867.444550522</v>
      </c>
      <c r="H52" s="265"/>
      <c r="I52" s="108" t="str">
        <f>+'Nómina y honorarios 2015'!A51</f>
        <v>COORDINADOR DE GESTIÓN AMBIENTAL</v>
      </c>
      <c r="J52" s="682">
        <f>+'Nómina y honorarios 2015'!C42</f>
        <v>1</v>
      </c>
      <c r="K52" s="263">
        <f>+'Nómina y honorarios 2015'!J51</f>
        <v>4007638.6507999999</v>
      </c>
      <c r="L52" s="263">
        <f>+'Nómina y honorarios 2015'!Y51</f>
        <v>18257439.095903523</v>
      </c>
      <c r="M52" s="254"/>
      <c r="N52" s="258">
        <f t="shared" si="4"/>
        <v>0.28074636325224778</v>
      </c>
      <c r="O52" s="258">
        <f>+(L52-G52)/G52</f>
        <v>-0.68057313299026445</v>
      </c>
      <c r="P52" s="254"/>
      <c r="Q52" s="254"/>
      <c r="R52" s="254"/>
      <c r="S52" s="254"/>
    </row>
    <row r="53" spans="1:19" x14ac:dyDescent="0.2">
      <c r="A53" s="220"/>
      <c r="B53" s="49"/>
      <c r="C53" s="274"/>
      <c r="D53" s="108" t="s">
        <v>239</v>
      </c>
      <c r="E53" s="303">
        <v>1</v>
      </c>
      <c r="F53" s="263">
        <v>2100000</v>
      </c>
      <c r="G53" s="263">
        <v>38358559.399999999</v>
      </c>
      <c r="H53" s="265"/>
      <c r="I53" s="108" t="str">
        <f>+'Nómina y honorarios 2015'!A52</f>
        <v>PROFESIONAL TÉCNICO</v>
      </c>
      <c r="J53" s="682">
        <f>+'Nómina y honorarios 2015'!C43</f>
        <v>1</v>
      </c>
      <c r="K53" s="263">
        <f>+'Nómina y honorarios 2015'!H52</f>
        <v>2176860</v>
      </c>
      <c r="L53" s="263">
        <f>+'Nómina y honorarios 2015'!Y52</f>
        <v>9917034.0275999997</v>
      </c>
      <c r="M53" s="254"/>
      <c r="N53" s="258">
        <f t="shared" si="4"/>
        <v>3.6600000000000001E-2</v>
      </c>
      <c r="O53" s="258">
        <f t="shared" si="4"/>
        <v>-0.74146489902850732</v>
      </c>
      <c r="P53" s="254"/>
      <c r="Q53" s="254"/>
      <c r="R53" s="254"/>
      <c r="S53" s="254"/>
    </row>
    <row r="54" spans="1:19" x14ac:dyDescent="0.2">
      <c r="A54" s="220"/>
      <c r="B54" s="49"/>
      <c r="C54" s="274"/>
      <c r="D54" s="108" t="s">
        <v>239</v>
      </c>
      <c r="E54" s="303">
        <v>1</v>
      </c>
      <c r="F54" s="263">
        <v>2100000</v>
      </c>
      <c r="G54" s="263">
        <v>38358559.399999999</v>
      </c>
      <c r="H54" s="265"/>
      <c r="I54" s="108"/>
      <c r="J54" s="682"/>
      <c r="K54" s="263"/>
      <c r="L54" s="263"/>
      <c r="M54" s="254"/>
      <c r="N54" s="258"/>
      <c r="O54" s="258"/>
      <c r="P54" s="254"/>
      <c r="Q54" s="254"/>
      <c r="R54" s="254"/>
      <c r="S54" s="254"/>
    </row>
    <row r="55" spans="1:19" x14ac:dyDescent="0.2">
      <c r="A55" s="220" t="e">
        <f>+#REF!/12</f>
        <v>#REF!</v>
      </c>
      <c r="B55" s="220">
        <v>18896705</v>
      </c>
      <c r="C55" s="274"/>
      <c r="D55" s="127" t="s">
        <v>15</v>
      </c>
      <c r="E55" s="303">
        <v>1</v>
      </c>
      <c r="F55" s="263">
        <v>1000000</v>
      </c>
      <c r="G55" s="263">
        <v>19321020.666666668</v>
      </c>
      <c r="H55" s="265"/>
      <c r="I55" s="108" t="str">
        <f>+'Nómina y honorarios 2015'!A53</f>
        <v>ASISTENTE ADMINISTRATIVO</v>
      </c>
      <c r="J55" s="682">
        <f>+'Nómina y honorarios 2015'!C44</f>
        <v>1</v>
      </c>
      <c r="K55" s="263">
        <f>+'Nómina y honorarios 2015'!H53</f>
        <v>1036600</v>
      </c>
      <c r="L55" s="263">
        <f>+'Nómina y honorarios 2015'!Y53</f>
        <v>4992867.1559999995</v>
      </c>
      <c r="M55" s="254"/>
      <c r="N55" s="258">
        <f t="shared" si="4"/>
        <v>3.6600000000000001E-2</v>
      </c>
      <c r="O55" s="258">
        <f t="shared" si="4"/>
        <v>-0.74158367499632782</v>
      </c>
      <c r="P55" s="254"/>
      <c r="Q55" s="254"/>
      <c r="R55" s="254"/>
      <c r="S55" s="254"/>
    </row>
    <row r="56" spans="1:19" x14ac:dyDescent="0.2">
      <c r="A56" s="222"/>
      <c r="B56" s="222"/>
      <c r="C56" s="274"/>
      <c r="D56" s="277"/>
      <c r="E56" s="277"/>
      <c r="F56" s="277"/>
      <c r="G56" s="277"/>
      <c r="H56" s="254"/>
      <c r="I56" s="277"/>
      <c r="J56" s="254"/>
      <c r="K56" s="254"/>
      <c r="L56" s="254"/>
      <c r="M56" s="254"/>
      <c r="N56" s="254"/>
      <c r="O56" s="254"/>
      <c r="P56" s="254"/>
      <c r="Q56" s="254"/>
      <c r="R56" s="254"/>
      <c r="S56" s="254"/>
    </row>
    <row r="57" spans="1:19" x14ac:dyDescent="0.2">
      <c r="A57" s="222"/>
      <c r="B57" s="222"/>
      <c r="C57" s="274"/>
      <c r="D57" s="277"/>
      <c r="E57" s="277"/>
      <c r="F57" s="277"/>
      <c r="G57" s="277"/>
      <c r="H57" s="254"/>
      <c r="I57" s="277"/>
      <c r="J57" s="254"/>
      <c r="K57" s="254"/>
      <c r="L57" s="254"/>
      <c r="M57" s="254"/>
      <c r="N57" s="254"/>
      <c r="P57" s="254"/>
      <c r="Q57" s="254"/>
      <c r="R57" s="254"/>
      <c r="S57" s="254"/>
    </row>
    <row r="58" spans="1:19" ht="15.75" x14ac:dyDescent="0.2">
      <c r="A58" s="222"/>
      <c r="B58" s="222"/>
      <c r="C58" s="274"/>
      <c r="D58" s="259" t="s">
        <v>447</v>
      </c>
      <c r="E58" s="1103" t="s">
        <v>47</v>
      </c>
      <c r="F58" s="1104"/>
      <c r="G58" s="226">
        <f>+G59</f>
        <v>216661513.42339516</v>
      </c>
      <c r="H58" s="254"/>
      <c r="I58" s="259" t="s">
        <v>447</v>
      </c>
      <c r="J58" s="1103" t="s">
        <v>47</v>
      </c>
      <c r="K58" s="1104"/>
      <c r="L58" s="226">
        <f>+L59</f>
        <v>72385832.113937303</v>
      </c>
      <c r="M58" s="254"/>
      <c r="N58" s="214" t="s">
        <v>247</v>
      </c>
      <c r="O58" s="214" t="s">
        <v>248</v>
      </c>
      <c r="P58" s="254"/>
      <c r="Q58" s="254"/>
      <c r="R58" s="254"/>
      <c r="S58" s="254"/>
    </row>
    <row r="59" spans="1:19" x14ac:dyDescent="0.2">
      <c r="A59" s="222"/>
      <c r="B59" s="222"/>
      <c r="C59" s="274"/>
      <c r="D59" s="272" t="s">
        <v>447</v>
      </c>
      <c r="E59" s="270">
        <f>SUM(E60:E64)</f>
        <v>4</v>
      </c>
      <c r="F59" s="271">
        <f>SUM(F60:F64)</f>
        <v>13208357.5</v>
      </c>
      <c r="G59" s="271">
        <f>SUM(G60:G64)</f>
        <v>216661513.42339516</v>
      </c>
      <c r="H59" s="254"/>
      <c r="I59" s="82" t="s">
        <v>447</v>
      </c>
      <c r="J59" s="50">
        <f>SUM(J60:J64)</f>
        <v>5</v>
      </c>
      <c r="K59" s="271">
        <f>SUM(K60:K64)</f>
        <v>17363099.6338</v>
      </c>
      <c r="L59" s="271">
        <f>SUM(L60:L64)</f>
        <v>72385832.113937303</v>
      </c>
      <c r="M59" s="254"/>
      <c r="N59" s="273">
        <f t="shared" ref="N59:O62" si="5">+(K59-F59)/F59</f>
        <v>0.31455403397432269</v>
      </c>
      <c r="O59" s="273">
        <f t="shared" si="5"/>
        <v>-0.66590359787396791</v>
      </c>
      <c r="P59" s="254"/>
      <c r="Q59" s="254"/>
      <c r="R59" s="254"/>
      <c r="S59" s="254"/>
    </row>
    <row r="60" spans="1:19" x14ac:dyDescent="0.2">
      <c r="A60" s="222"/>
      <c r="B60" s="222"/>
      <c r="C60" s="274"/>
      <c r="D60" s="260" t="s">
        <v>212</v>
      </c>
      <c r="E60" s="276">
        <v>1</v>
      </c>
      <c r="F60" s="263">
        <v>8008357.5</v>
      </c>
      <c r="G60" s="263">
        <v>120623373.9567285</v>
      </c>
      <c r="H60" s="254"/>
      <c r="I60" s="116" t="str">
        <f>+'Nómina y honorarios 2015'!A58</f>
        <v xml:space="preserve">DIRECTOR </v>
      </c>
      <c r="J60" s="682">
        <f>+'Nómina y honorarios 2015'!C58</f>
        <v>1</v>
      </c>
      <c r="K60" s="263">
        <f>+'Nómina y honorarios 2015'!J58</f>
        <v>8729110</v>
      </c>
      <c r="L60" s="263">
        <f>+'Nómina y honorarios 2015'!Y58</f>
        <v>32781840.898819998</v>
      </c>
      <c r="M60" s="254"/>
      <c r="N60" s="258">
        <f t="shared" si="5"/>
        <v>9.0000040582603857E-2</v>
      </c>
      <c r="O60" s="258">
        <f t="shared" si="5"/>
        <v>-0.72822977982211057</v>
      </c>
      <c r="P60" s="254"/>
      <c r="Q60" s="254"/>
      <c r="R60" s="254"/>
      <c r="S60" s="254"/>
    </row>
    <row r="61" spans="1:19" x14ac:dyDescent="0.2">
      <c r="A61" s="222"/>
      <c r="B61" s="222"/>
      <c r="C61" s="274"/>
      <c r="D61" s="277"/>
      <c r="E61" s="651"/>
      <c r="F61" s="652"/>
      <c r="G61" s="265"/>
      <c r="H61" s="254"/>
      <c r="I61" s="108" t="str">
        <f>+'Nómina y honorarios 2015'!A59</f>
        <v>JEFE ANALISIS DIAGNOSTICO</v>
      </c>
      <c r="J61" s="682">
        <f>+'Nómina y honorarios 2015'!C59</f>
        <v>1</v>
      </c>
      <c r="K61" s="263">
        <f>+'Nómina y honorarios 2015'!H59</f>
        <v>3243669.6338</v>
      </c>
      <c r="L61" s="263">
        <f>+'Nómina y honorarios 2015'!Y59</f>
        <v>14777056.003917307</v>
      </c>
      <c r="M61" s="254"/>
      <c r="N61" s="258">
        <v>1</v>
      </c>
      <c r="O61" s="258">
        <v>1</v>
      </c>
      <c r="P61" s="254"/>
      <c r="Q61" s="254"/>
      <c r="R61" s="254"/>
      <c r="S61" s="254"/>
    </row>
    <row r="62" spans="1:19" x14ac:dyDescent="0.2">
      <c r="A62" s="222"/>
      <c r="B62" s="222"/>
      <c r="C62" s="274"/>
      <c r="D62" s="255" t="s">
        <v>571</v>
      </c>
      <c r="E62" s="276">
        <v>1</v>
      </c>
      <c r="F62" s="263">
        <v>2100000</v>
      </c>
      <c r="G62" s="263">
        <v>38358559.399999999</v>
      </c>
      <c r="H62" s="254"/>
      <c r="I62" s="108" t="str">
        <f>+'Nómina y honorarios 2015'!A60</f>
        <v>PROFESIONAL  TRANSFERENCIA</v>
      </c>
      <c r="J62" s="682">
        <f>+'Nómina y honorarios 2015'!C60</f>
        <v>1</v>
      </c>
      <c r="K62" s="263">
        <f>+'Nómina y honorarios 2015'!J60</f>
        <v>2176860</v>
      </c>
      <c r="L62" s="263">
        <f>+'Nómina y honorarios 2015'!Y60</f>
        <v>9917034.0275999997</v>
      </c>
      <c r="M62" s="254"/>
      <c r="N62" s="258">
        <f t="shared" si="5"/>
        <v>3.6600000000000001E-2</v>
      </c>
      <c r="O62" s="258">
        <f t="shared" si="5"/>
        <v>-0.74146489902850732</v>
      </c>
      <c r="P62" s="254"/>
      <c r="Q62" s="254"/>
      <c r="R62" s="254"/>
      <c r="S62" s="254"/>
    </row>
    <row r="63" spans="1:19" x14ac:dyDescent="0.2">
      <c r="A63" s="222"/>
      <c r="B63" s="222"/>
      <c r="C63" s="274"/>
      <c r="D63" s="255" t="s">
        <v>572</v>
      </c>
      <c r="E63" s="276">
        <v>1</v>
      </c>
      <c r="F63" s="263">
        <v>2100000</v>
      </c>
      <c r="G63" s="263">
        <v>38358559.399999999</v>
      </c>
      <c r="H63" s="254"/>
      <c r="I63" s="108" t="str">
        <f>+'Nómina y honorarios 2015'!A61</f>
        <v>PROFESIONAL  INVESTIGACIÓN</v>
      </c>
      <c r="J63" s="682">
        <f>+'Nómina y honorarios 2015'!C61</f>
        <v>1</v>
      </c>
      <c r="K63" s="263">
        <f>+'Nómina y honorarios 2015'!J61</f>
        <v>2176860</v>
      </c>
      <c r="L63" s="263">
        <f>+'Nómina y honorarios 2015'!Y61</f>
        <v>9917034.0275999997</v>
      </c>
      <c r="M63" s="254"/>
      <c r="N63" s="258">
        <f>+IF(F63=0,1,((K63-F63)/F63))</f>
        <v>3.6600000000000001E-2</v>
      </c>
      <c r="O63" s="258">
        <f>IF(G63=0,1,((L63-G63)/G63))</f>
        <v>-0.74146489902850732</v>
      </c>
      <c r="P63" s="254"/>
      <c r="Q63" s="254"/>
      <c r="R63" s="254"/>
      <c r="S63" s="254"/>
    </row>
    <row r="64" spans="1:19" x14ac:dyDescent="0.2">
      <c r="A64" s="222"/>
      <c r="B64" s="222"/>
      <c r="C64" s="274"/>
      <c r="D64" s="255" t="s">
        <v>15</v>
      </c>
      <c r="E64" s="276">
        <v>1</v>
      </c>
      <c r="F64" s="496">
        <v>1000000</v>
      </c>
      <c r="G64" s="263">
        <v>19321020.666666668</v>
      </c>
      <c r="H64" s="254"/>
      <c r="I64" s="108" t="str">
        <f>+'Nómina y honorarios 2015'!A62</f>
        <v>ASISTENTE ADMINISTRATIVO</v>
      </c>
      <c r="J64" s="682">
        <f>+'Nómina y honorarios 2015'!C62</f>
        <v>1</v>
      </c>
      <c r="K64" s="263">
        <f>+'Nómina y honorarios 2015'!H62</f>
        <v>1036600</v>
      </c>
      <c r="L64" s="263">
        <f>+'Nómina y honorarios 2015'!Y62</f>
        <v>4992867.1559999995</v>
      </c>
      <c r="M64" s="254"/>
      <c r="N64" s="258">
        <f>+(K64-F64)/F64</f>
        <v>3.6600000000000001E-2</v>
      </c>
      <c r="O64" s="258">
        <f>+(L64-G64)/G64</f>
        <v>-0.74158367499632782</v>
      </c>
      <c r="P64" s="254"/>
      <c r="Q64" s="254"/>
      <c r="R64" s="254"/>
      <c r="S64" s="254"/>
    </row>
    <row r="65" spans="1:19" x14ac:dyDescent="0.2">
      <c r="A65" s="222"/>
      <c r="B65" s="222"/>
      <c r="C65" s="274"/>
      <c r="D65" s="277"/>
      <c r="E65" s="277"/>
      <c r="F65" s="277"/>
      <c r="G65" s="277"/>
      <c r="H65" s="254"/>
      <c r="I65" s="277"/>
      <c r="J65" s="254"/>
      <c r="K65" s="254"/>
      <c r="L65" s="254"/>
      <c r="M65" s="254"/>
      <c r="N65" s="254"/>
      <c r="O65" s="254"/>
      <c r="P65" s="254"/>
      <c r="Q65" s="254"/>
      <c r="R65" s="254"/>
      <c r="S65" s="254"/>
    </row>
    <row r="66" spans="1:19" ht="15.75" x14ac:dyDescent="0.25">
      <c r="A66" s="222" t="e">
        <f>+#REF!/12</f>
        <v>#REF!</v>
      </c>
      <c r="B66" s="210"/>
      <c r="C66" s="274"/>
      <c r="D66" s="78" t="s">
        <v>573</v>
      </c>
      <c r="E66" s="1105" t="s">
        <v>47</v>
      </c>
      <c r="F66" s="1106"/>
      <c r="G66" s="212">
        <f>+G67</f>
        <v>0</v>
      </c>
      <c r="H66" s="213"/>
      <c r="I66" s="78" t="s">
        <v>573</v>
      </c>
      <c r="J66" s="1105" t="s">
        <v>47</v>
      </c>
      <c r="K66" s="1106"/>
      <c r="L66" s="212">
        <f>+L67</f>
        <v>9917034.0275999997</v>
      </c>
      <c r="M66" s="254"/>
      <c r="N66" s="214" t="s">
        <v>247</v>
      </c>
      <c r="O66" s="214" t="s">
        <v>248</v>
      </c>
      <c r="P66" s="254"/>
      <c r="Q66" s="254"/>
      <c r="R66" s="254"/>
      <c r="S66" s="254"/>
    </row>
    <row r="67" spans="1:19" x14ac:dyDescent="0.2">
      <c r="A67" s="222"/>
      <c r="B67" s="210"/>
      <c r="C67" s="274"/>
      <c r="D67" s="279" t="s">
        <v>573</v>
      </c>
      <c r="E67" s="280">
        <f>SUM(E68:E68)</f>
        <v>0</v>
      </c>
      <c r="F67" s="271">
        <f>SUM(F68:F68)</f>
        <v>0</v>
      </c>
      <c r="G67" s="271">
        <f>SUM(G68:G68)</f>
        <v>0</v>
      </c>
      <c r="H67" s="281"/>
      <c r="I67" s="279" t="s">
        <v>573</v>
      </c>
      <c r="J67" s="681">
        <f>SUM(J68:J68)</f>
        <v>1</v>
      </c>
      <c r="K67" s="271">
        <f>SUM(K68:K68)</f>
        <v>2176860</v>
      </c>
      <c r="L67" s="267">
        <f>SUM(L68:L68)</f>
        <v>9917034.0275999997</v>
      </c>
      <c r="M67" s="254"/>
      <c r="N67" s="273">
        <v>1</v>
      </c>
      <c r="O67" s="273">
        <v>1</v>
      </c>
      <c r="P67" s="254"/>
      <c r="Q67" s="254"/>
      <c r="R67" s="254"/>
      <c r="S67" s="254"/>
    </row>
    <row r="68" spans="1:19" x14ac:dyDescent="0.2">
      <c r="A68" s="222"/>
      <c r="B68" s="210"/>
      <c r="C68" s="274"/>
      <c r="D68" s="284"/>
      <c r="E68" s="264"/>
      <c r="F68" s="263"/>
      <c r="G68" s="263"/>
      <c r="H68" s="265"/>
      <c r="I68" s="108" t="str">
        <f>+'Nómina y honorarios 2015'!A66</f>
        <v>PROFESIONAL SANIDAD</v>
      </c>
      <c r="J68" s="303">
        <f>+'Nómina y honorarios 2015'!C66</f>
        <v>1</v>
      </c>
      <c r="K68" s="263">
        <f>+'Nómina y honorarios 2015'!H66</f>
        <v>2176860</v>
      </c>
      <c r="L68" s="263">
        <f>+'Nómina y honorarios 2015'!Y66</f>
        <v>9917034.0275999997</v>
      </c>
      <c r="M68" s="254"/>
      <c r="N68" s="258">
        <v>1</v>
      </c>
      <c r="O68" s="258">
        <v>1</v>
      </c>
      <c r="P68" s="254"/>
      <c r="Q68" s="254"/>
      <c r="R68" s="254"/>
      <c r="S68" s="254"/>
    </row>
    <row r="69" spans="1:19" x14ac:dyDescent="0.2">
      <c r="A69" s="222"/>
      <c r="B69" s="222"/>
      <c r="C69" s="274"/>
      <c r="D69" s="274"/>
      <c r="E69" s="254"/>
      <c r="F69" s="254"/>
      <c r="G69" s="265"/>
      <c r="H69" s="254"/>
      <c r="I69" s="274"/>
      <c r="J69" s="254"/>
      <c r="K69" s="254"/>
      <c r="L69" s="254"/>
      <c r="M69" s="254"/>
      <c r="N69" s="254"/>
      <c r="P69" s="254"/>
      <c r="Q69" s="254"/>
      <c r="R69" s="254"/>
      <c r="S69" s="254"/>
    </row>
    <row r="70" spans="1:19" ht="16.5" customHeight="1" x14ac:dyDescent="0.25">
      <c r="A70" s="222"/>
      <c r="B70" s="222"/>
      <c r="C70" s="274"/>
      <c r="D70" s="78" t="s">
        <v>128</v>
      </c>
      <c r="E70" s="1105" t="s">
        <v>47</v>
      </c>
      <c r="F70" s="1106"/>
      <c r="G70" s="212">
        <f>+G71</f>
        <v>976137166.03942525</v>
      </c>
      <c r="H70" s="213"/>
      <c r="I70" s="78" t="s">
        <v>128</v>
      </c>
      <c r="J70" s="1107" t="s">
        <v>47</v>
      </c>
      <c r="K70" s="1108"/>
      <c r="L70" s="212">
        <f>+L71</f>
        <v>296340833.96649498</v>
      </c>
      <c r="M70" s="254"/>
      <c r="N70" s="214" t="s">
        <v>247</v>
      </c>
      <c r="O70" s="214" t="s">
        <v>248</v>
      </c>
      <c r="P70" s="254"/>
      <c r="Q70" s="254"/>
      <c r="R70" s="254"/>
      <c r="S70" s="254"/>
    </row>
    <row r="71" spans="1:19" x14ac:dyDescent="0.2">
      <c r="A71" s="278" t="e">
        <f>SUM(A72:A81)</f>
        <v>#REF!</v>
      </c>
      <c r="B71" s="278"/>
      <c r="C71" s="274"/>
      <c r="D71" s="279" t="s">
        <v>95</v>
      </c>
      <c r="E71" s="280">
        <f>SUM(E72:E81)</f>
        <v>29</v>
      </c>
      <c r="F71" s="271">
        <f>SUM(F72:F81)</f>
        <v>54534128.656599998</v>
      </c>
      <c r="G71" s="271">
        <f>SUM(G72:G81)</f>
        <v>976137166.03942525</v>
      </c>
      <c r="H71" s="281"/>
      <c r="I71" s="749" t="s">
        <v>95</v>
      </c>
      <c r="J71" s="681">
        <f>SUM(J72:J81)</f>
        <v>29</v>
      </c>
      <c r="K71" s="271">
        <f>SUM(K72:K81)</f>
        <v>66224722.918400005</v>
      </c>
      <c r="L71" s="267">
        <f>SUM(L72:L81)</f>
        <v>296340833.96649498</v>
      </c>
      <c r="M71" s="254"/>
      <c r="N71" s="273">
        <f t="shared" ref="N71:O77" si="6">+(K71-F71)/F71</f>
        <v>0.21437207396152558</v>
      </c>
      <c r="O71" s="273">
        <f t="shared" si="6"/>
        <v>-0.69641476190393714</v>
      </c>
      <c r="P71" s="254"/>
      <c r="Q71" s="254"/>
      <c r="R71" s="254"/>
      <c r="S71" s="254"/>
    </row>
    <row r="72" spans="1:19" x14ac:dyDescent="0.2">
      <c r="A72" s="282" t="e">
        <f>+#REF!/12</f>
        <v>#REF!</v>
      </c>
      <c r="B72" s="283"/>
      <c r="C72" s="274"/>
      <c r="D72" s="284" t="s">
        <v>104</v>
      </c>
      <c r="E72" s="262">
        <v>1</v>
      </c>
      <c r="F72" s="263">
        <v>8008357.5</v>
      </c>
      <c r="G72" s="263">
        <v>120623373.9567285</v>
      </c>
      <c r="H72" s="265"/>
      <c r="I72" s="249" t="str">
        <f>+'Nómina y honorarios 2015'!A70</f>
        <v>DIRECTOR</v>
      </c>
      <c r="J72" s="303">
        <f>+'Nómina y honorarios 2015'!C70</f>
        <v>1</v>
      </c>
      <c r="K72" s="263">
        <f>+'Nómina y honorarios 2015'!J70</f>
        <v>8729110</v>
      </c>
      <c r="L72" s="263">
        <f>+'Nómina y honorarios 2015'!Y70</f>
        <v>32781840.898819998</v>
      </c>
      <c r="M72" s="254"/>
      <c r="N72" s="258">
        <f t="shared" si="6"/>
        <v>9.0000040582603857E-2</v>
      </c>
      <c r="O72" s="258">
        <f t="shared" si="6"/>
        <v>-0.72822977982211057</v>
      </c>
      <c r="P72" s="254"/>
      <c r="Q72" s="254"/>
      <c r="R72" s="254"/>
      <c r="S72" s="254"/>
    </row>
    <row r="73" spans="1:19" x14ac:dyDescent="0.2">
      <c r="A73" s="282"/>
      <c r="B73" s="283"/>
      <c r="C73" s="274"/>
      <c r="D73" s="284"/>
      <c r="E73" s="262"/>
      <c r="F73" s="263"/>
      <c r="G73" s="263"/>
      <c r="H73" s="265"/>
      <c r="I73" s="249" t="str">
        <f>+'Nómina y honorarios 2015'!A71</f>
        <v>COORDINADOR VIGILANCIA EPIDEMIOLOGICA</v>
      </c>
      <c r="J73" s="303">
        <f>+'Nómina y honorarios 2015'!C71</f>
        <v>1</v>
      </c>
      <c r="K73" s="263">
        <f>+'Nómina y honorarios 2015'!H71</f>
        <v>4007638.6507999999</v>
      </c>
      <c r="L73" s="263">
        <f>+'Nómina y honorarios 2015'!Y71</f>
        <v>18320198.717175052</v>
      </c>
      <c r="M73" s="254"/>
      <c r="N73" s="258">
        <v>1</v>
      </c>
      <c r="O73" s="258">
        <v>1</v>
      </c>
      <c r="P73" s="254"/>
      <c r="Q73" s="254"/>
      <c r="R73" s="254"/>
      <c r="S73" s="254"/>
    </row>
    <row r="74" spans="1:19" x14ac:dyDescent="0.2">
      <c r="A74" s="282" t="e">
        <f>+#REF!/12</f>
        <v>#REF!</v>
      </c>
      <c r="B74" s="282">
        <f>294798628+18896705</f>
        <v>313695333</v>
      </c>
      <c r="C74" s="274"/>
      <c r="D74" s="284" t="s">
        <v>21</v>
      </c>
      <c r="E74" s="264">
        <v>1</v>
      </c>
      <c r="F74" s="263">
        <v>3129143.1042000004</v>
      </c>
      <c r="G74" s="263">
        <v>57353421.439497739</v>
      </c>
      <c r="H74" s="265"/>
      <c r="I74" s="108" t="str">
        <f>+'Nómina y honorarios 2015'!A72</f>
        <v>JEFE CONTROL REGIONAL</v>
      </c>
      <c r="J74" s="303">
        <f>+'Nómina y honorarios 2015'!C72</f>
        <v>1</v>
      </c>
      <c r="K74" s="263">
        <f>+'Nómina y honorarios 2015'!J72</f>
        <v>3243669.6338</v>
      </c>
      <c r="L74" s="263">
        <f>+'Nómina y honorarios 2015'!Y72</f>
        <v>14827851.870382614</v>
      </c>
      <c r="M74" s="254"/>
      <c r="N74" s="258">
        <f t="shared" si="6"/>
        <v>3.6599965481374015E-2</v>
      </c>
      <c r="O74" s="258">
        <f t="shared" si="6"/>
        <v>-0.74146526051589523</v>
      </c>
      <c r="P74" s="254"/>
      <c r="Q74" s="254"/>
      <c r="R74" s="254"/>
      <c r="S74" s="254"/>
    </row>
    <row r="75" spans="1:19" x14ac:dyDescent="0.2">
      <c r="A75" s="282"/>
      <c r="B75" s="282"/>
      <c r="C75" s="274"/>
      <c r="D75" s="284" t="s">
        <v>234</v>
      </c>
      <c r="E75" s="264">
        <v>1</v>
      </c>
      <c r="F75" s="263">
        <v>3129143.1042000004</v>
      </c>
      <c r="G75" s="263">
        <v>57156867.444550522</v>
      </c>
      <c r="H75" s="265"/>
      <c r="I75" s="108" t="str">
        <f>+'Nómina y honorarios 2015'!A73</f>
        <v>JEFE ANÁLISIS EPIDEMIOLÓGICO</v>
      </c>
      <c r="J75" s="303">
        <f>+'Nómina y honorarios 2015'!C73</f>
        <v>1</v>
      </c>
      <c r="K75" s="263">
        <f>+'Nómina y honorarios 2015'!J73</f>
        <v>3243669.6338</v>
      </c>
      <c r="L75" s="263">
        <f>+'Nómina y honorarios 2015'!Y73</f>
        <v>14777056.003917307</v>
      </c>
      <c r="M75" s="254"/>
      <c r="N75" s="258">
        <f t="shared" si="6"/>
        <v>3.6599965481374015E-2</v>
      </c>
      <c r="O75" s="258">
        <f t="shared" si="6"/>
        <v>-0.7414649076376878</v>
      </c>
      <c r="P75" s="254"/>
      <c r="Q75" s="254"/>
      <c r="R75" s="254"/>
      <c r="S75" s="254"/>
    </row>
    <row r="76" spans="1:19" x14ac:dyDescent="0.2">
      <c r="A76" s="282" t="e">
        <f>+#REF!/12</f>
        <v>#REF!</v>
      </c>
      <c r="B76" s="282">
        <v>66481908</v>
      </c>
      <c r="C76" s="274"/>
      <c r="D76" s="284" t="s">
        <v>13</v>
      </c>
      <c r="E76" s="262">
        <v>17</v>
      </c>
      <c r="F76" s="263">
        <v>28649608.030200005</v>
      </c>
      <c r="G76" s="263">
        <v>525112782.86602032</v>
      </c>
      <c r="H76" s="265"/>
      <c r="I76" s="108" t="str">
        <f>+'Nómina y honorarios 2015'!A74</f>
        <v>COORDINADORES REGIONALES</v>
      </c>
      <c r="J76" s="303">
        <f>+'Nómina y honorarios 2015'!C74</f>
        <v>17</v>
      </c>
      <c r="K76" s="263">
        <f>+'Nómina y honorarios 2015'!J74</f>
        <v>36033795</v>
      </c>
      <c r="L76" s="263">
        <f>+'Nómina y honorarios 2015'!Y74</f>
        <v>164722007.75939998</v>
      </c>
      <c r="M76" s="254"/>
      <c r="N76" s="258">
        <f t="shared" si="6"/>
        <v>0.25774129132992701</v>
      </c>
      <c r="O76" s="258">
        <f t="shared" si="6"/>
        <v>-0.68631118278941627</v>
      </c>
      <c r="P76" s="254"/>
      <c r="Q76" s="254"/>
      <c r="R76" s="254"/>
      <c r="S76" s="254"/>
    </row>
    <row r="77" spans="1:19" x14ac:dyDescent="0.2">
      <c r="A77" s="282" t="e">
        <f>+#REF!/12</f>
        <v>#REF!</v>
      </c>
      <c r="B77" s="282"/>
      <c r="C77" s="274"/>
      <c r="D77" s="284" t="s">
        <v>14</v>
      </c>
      <c r="E77" s="262">
        <v>5</v>
      </c>
      <c r="F77" s="263">
        <v>7377876.9180000005</v>
      </c>
      <c r="G77" s="263">
        <v>135227591.1059615</v>
      </c>
      <c r="H77" s="265"/>
      <c r="I77" s="108" t="str">
        <f>+'Nómina y honorarios 2015'!A75</f>
        <v>SUB-COORDINADORES REGIONALES ANTIOQUIA</v>
      </c>
      <c r="J77" s="303">
        <f>+'Nómina y honorarios 2015'!C75</f>
        <v>5</v>
      </c>
      <c r="K77" s="263">
        <f>+'Nómina y honorarios 2015'!J75</f>
        <v>8064360</v>
      </c>
      <c r="L77" s="263">
        <f>+'Nómina y honorarios 2015'!Y75</f>
        <v>36864770.155200005</v>
      </c>
      <c r="M77" s="254"/>
      <c r="N77" s="258">
        <f t="shared" si="6"/>
        <v>9.3046155368242678E-2</v>
      </c>
      <c r="O77" s="258">
        <f t="shared" si="6"/>
        <v>-0.72738721548094765</v>
      </c>
      <c r="P77" s="254"/>
      <c r="Q77" s="254"/>
      <c r="R77" s="254"/>
      <c r="S77" s="254"/>
    </row>
    <row r="78" spans="1:19" x14ac:dyDescent="0.2">
      <c r="A78" s="282" t="e">
        <f>+#REF!/12</f>
        <v>#REF!</v>
      </c>
      <c r="B78" s="282">
        <v>16378338</v>
      </c>
      <c r="C78" s="274"/>
      <c r="D78" s="284" t="s">
        <v>52</v>
      </c>
      <c r="E78" s="262">
        <v>1</v>
      </c>
      <c r="F78" s="263">
        <v>1440000</v>
      </c>
      <c r="G78" s="263">
        <v>26303012.16</v>
      </c>
      <c r="H78" s="265"/>
      <c r="I78" s="108" t="s">
        <v>52</v>
      </c>
      <c r="J78" s="303"/>
      <c r="K78" s="263"/>
      <c r="L78" s="263"/>
      <c r="M78" s="254"/>
      <c r="N78" s="258"/>
      <c r="O78" s="258"/>
      <c r="P78" s="254"/>
      <c r="Q78" s="254"/>
      <c r="R78" s="254"/>
      <c r="S78" s="254"/>
    </row>
    <row r="79" spans="1:19" x14ac:dyDescent="0.2">
      <c r="A79" s="282" t="e">
        <f>+#REF!/12</f>
        <v>#REF!</v>
      </c>
      <c r="B79" s="282">
        <v>11332429</v>
      </c>
      <c r="C79" s="274"/>
      <c r="D79" s="284" t="s">
        <v>204</v>
      </c>
      <c r="E79" s="262">
        <v>1</v>
      </c>
      <c r="F79" s="263">
        <v>1000000</v>
      </c>
      <c r="G79" s="263">
        <v>19321020.666666668</v>
      </c>
      <c r="H79" s="265"/>
      <c r="I79" s="108" t="str">
        <f>+'Nómina y honorarios 2015'!A76</f>
        <v>ASISTENTE DE PEDIDOS Y DESPACHOS</v>
      </c>
      <c r="J79" s="303">
        <f>+'Nómina y honorarios 2015'!C76</f>
        <v>1</v>
      </c>
      <c r="K79" s="263">
        <f>+'Nómina y honorarios 2015'!H76</f>
        <v>1036600</v>
      </c>
      <c r="L79" s="263">
        <f>+'Nómina y honorarios 2015'!Y76</f>
        <v>4992867.1559999995</v>
      </c>
      <c r="M79" s="254"/>
      <c r="N79" s="258">
        <f t="shared" ref="N79:O81" si="7">+(K79-F79)/F79</f>
        <v>3.6600000000000001E-2</v>
      </c>
      <c r="O79" s="258">
        <f t="shared" si="7"/>
        <v>-0.74158367499632782</v>
      </c>
      <c r="P79" s="254"/>
      <c r="Q79" s="254"/>
      <c r="R79" s="254"/>
      <c r="S79" s="254"/>
    </row>
    <row r="80" spans="1:19" x14ac:dyDescent="0.2">
      <c r="A80" s="282"/>
      <c r="B80" s="282"/>
      <c r="C80" s="274"/>
      <c r="D80" s="284" t="s">
        <v>15</v>
      </c>
      <c r="E80" s="262">
        <v>1</v>
      </c>
      <c r="F80" s="263">
        <v>1000000</v>
      </c>
      <c r="G80" s="263">
        <v>19321020.666666668</v>
      </c>
      <c r="H80" s="265"/>
      <c r="I80" s="249" t="str">
        <f>+'Nómina y honorarios 2015'!A77</f>
        <v>ASISTENTE ADMINISTRATIVO</v>
      </c>
      <c r="J80" s="303">
        <f>+'Nómina y honorarios 2015'!C77</f>
        <v>1</v>
      </c>
      <c r="K80" s="263">
        <f>+'Nómina y honorarios 2015'!H77</f>
        <v>1036600</v>
      </c>
      <c r="L80" s="263">
        <f>+'Nómina y honorarios 2015'!Y77</f>
        <v>4992867.1559999995</v>
      </c>
      <c r="M80" s="254"/>
      <c r="N80" s="258">
        <f t="shared" si="7"/>
        <v>3.6600000000000001E-2</v>
      </c>
      <c r="O80" s="258">
        <f t="shared" si="7"/>
        <v>-0.74158367499632782</v>
      </c>
      <c r="P80" s="254"/>
      <c r="Q80" s="254"/>
      <c r="R80" s="254"/>
      <c r="S80" s="254"/>
    </row>
    <row r="81" spans="1:19" x14ac:dyDescent="0.2">
      <c r="A81" s="282"/>
      <c r="B81" s="282"/>
      <c r="C81" s="274"/>
      <c r="D81" s="255" t="s">
        <v>237</v>
      </c>
      <c r="E81" s="262">
        <v>1</v>
      </c>
      <c r="F81" s="263">
        <v>800000</v>
      </c>
      <c r="G81" s="263">
        <v>15718075.733333334</v>
      </c>
      <c r="H81" s="265"/>
      <c r="I81" s="249" t="str">
        <f>+'Nómina y honorarios 2015'!A78</f>
        <v>AUXILIAR DE DESPACHOS</v>
      </c>
      <c r="J81" s="303">
        <f>+'Nómina y honorarios 2015'!C78</f>
        <v>1</v>
      </c>
      <c r="K81" s="263">
        <f>+'Nómina y honorarios 2015'!H78</f>
        <v>829280</v>
      </c>
      <c r="L81" s="263">
        <f>+'Nómina y honorarios 2015'!Y78</f>
        <v>4061374.2496000002</v>
      </c>
      <c r="M81" s="254"/>
      <c r="N81" s="258">
        <f t="shared" si="7"/>
        <v>3.6600000000000001E-2</v>
      </c>
      <c r="O81" s="258">
        <f t="shared" si="7"/>
        <v>-0.74161123037554522</v>
      </c>
      <c r="P81" s="254"/>
      <c r="Q81" s="254"/>
      <c r="R81" s="254"/>
      <c r="S81" s="254"/>
    </row>
    <row r="82" spans="1:19" x14ac:dyDescent="0.2">
      <c r="A82" s="222"/>
      <c r="B82" s="222"/>
      <c r="C82" s="274"/>
      <c r="D82" s="277"/>
      <c r="E82" s="293"/>
      <c r="F82" s="265"/>
      <c r="G82" s="265"/>
      <c r="H82" s="265"/>
      <c r="I82" s="277"/>
      <c r="J82" s="651"/>
      <c r="K82" s="265"/>
      <c r="L82" s="265"/>
      <c r="M82" s="266"/>
      <c r="N82" s="495"/>
      <c r="O82" s="495"/>
      <c r="P82" s="254"/>
      <c r="Q82" s="254"/>
      <c r="R82" s="254"/>
      <c r="S82" s="254"/>
    </row>
    <row r="83" spans="1:19" x14ac:dyDescent="0.2">
      <c r="A83" s="222"/>
      <c r="B83" s="210"/>
      <c r="C83" s="274"/>
      <c r="D83" s="286"/>
      <c r="E83" s="254"/>
      <c r="F83" s="254"/>
      <c r="G83" s="254"/>
      <c r="H83" s="254"/>
      <c r="I83" s="286"/>
      <c r="J83" s="254"/>
      <c r="K83" s="254"/>
      <c r="L83" s="254"/>
      <c r="M83" s="254"/>
      <c r="P83" s="254"/>
      <c r="Q83" s="254"/>
      <c r="R83" s="254"/>
      <c r="S83" s="254"/>
    </row>
    <row r="84" spans="1:19" ht="13.5" thickBot="1" x14ac:dyDescent="0.25">
      <c r="A84" s="228"/>
      <c r="B84" s="210"/>
      <c r="C84" s="274"/>
      <c r="D84" s="274"/>
      <c r="E84" s="254"/>
      <c r="F84" s="254"/>
      <c r="G84" s="254"/>
      <c r="H84" s="254"/>
      <c r="I84" s="274"/>
      <c r="J84" s="254"/>
      <c r="K84" s="254"/>
      <c r="L84" s="254"/>
      <c r="M84" s="254"/>
      <c r="N84" s="1093" t="s">
        <v>249</v>
      </c>
      <c r="O84" s="1094"/>
      <c r="P84" s="254"/>
      <c r="Q84" s="254"/>
      <c r="R84" s="254"/>
      <c r="S84" s="254"/>
    </row>
    <row r="85" spans="1:19" ht="13.5" thickBot="1" x14ac:dyDescent="0.25">
      <c r="A85" s="57"/>
      <c r="B85" s="210"/>
      <c r="C85" s="274"/>
      <c r="D85" s="229" t="s">
        <v>250</v>
      </c>
      <c r="E85" s="90">
        <f>+E71+E49+E39+E22+E8+E59</f>
        <v>78</v>
      </c>
      <c r="F85" s="1095">
        <f>+G7+G21+G38+G48+G70+G58</f>
        <v>3076410940.4040966</v>
      </c>
      <c r="G85" s="1096"/>
      <c r="H85" s="230"/>
      <c r="I85" s="229" t="s">
        <v>250</v>
      </c>
      <c r="J85" s="90">
        <f>+J71+J49+J39+J22+J8+J59+J67</f>
        <v>77</v>
      </c>
      <c r="K85" s="1095">
        <f>+L70+L48+L38+L21+L7+L59+L66</f>
        <v>869929633.51998222</v>
      </c>
      <c r="L85" s="1096"/>
      <c r="M85" s="254"/>
      <c r="N85" s="1097">
        <f>(K85-F85)/F85</f>
        <v>-0.71722580293329918</v>
      </c>
      <c r="O85" s="1098"/>
      <c r="P85" s="254"/>
      <c r="Q85" s="254"/>
      <c r="R85" s="254"/>
      <c r="S85" s="254"/>
    </row>
    <row r="86" spans="1:19" x14ac:dyDescent="0.2">
      <c r="A86" s="210"/>
      <c r="B86" s="210"/>
      <c r="C86" s="274"/>
      <c r="D86" s="287"/>
      <c r="E86" s="288"/>
      <c r="F86" s="289"/>
      <c r="G86" s="289"/>
      <c r="H86" s="289"/>
      <c r="I86" s="287"/>
      <c r="J86" s="288"/>
      <c r="K86" s="289"/>
      <c r="L86" s="289"/>
      <c r="M86" s="266"/>
      <c r="N86" s="1099"/>
      <c r="O86" s="1100"/>
      <c r="P86" s="254"/>
      <c r="Q86" s="254"/>
      <c r="R86" s="254"/>
      <c r="S86" s="254"/>
    </row>
    <row r="87" spans="1:19" ht="13.5" thickBot="1" x14ac:dyDescent="0.25">
      <c r="C87" s="254"/>
      <c r="D87" s="254"/>
      <c r="E87" s="254"/>
      <c r="F87" s="254"/>
      <c r="G87" s="254"/>
      <c r="H87" s="254"/>
      <c r="I87" s="254"/>
      <c r="J87" s="254"/>
      <c r="K87" s="254"/>
      <c r="L87" s="254"/>
      <c r="M87" s="254"/>
      <c r="N87" s="1099"/>
      <c r="O87" s="1100"/>
      <c r="P87" s="254"/>
      <c r="Q87" s="254"/>
      <c r="R87" s="254"/>
      <c r="S87" s="254"/>
    </row>
    <row r="88" spans="1:19" ht="13.5" thickBot="1" x14ac:dyDescent="0.25">
      <c r="C88" s="254"/>
      <c r="D88" s="91" t="s">
        <v>133</v>
      </c>
      <c r="E88" s="208">
        <f>+E85</f>
        <v>78</v>
      </c>
      <c r="F88" s="1095">
        <f>+F85</f>
        <v>3076410940.4040966</v>
      </c>
      <c r="G88" s="1096"/>
      <c r="H88" s="230"/>
      <c r="I88" s="91" t="s">
        <v>133</v>
      </c>
      <c r="J88" s="208">
        <f>+J86+J85</f>
        <v>77</v>
      </c>
      <c r="K88" s="1095">
        <f>+K86+K85</f>
        <v>869929633.51998222</v>
      </c>
      <c r="L88" s="1096"/>
      <c r="M88" s="254"/>
      <c r="N88" s="1101"/>
      <c r="O88" s="1102"/>
      <c r="P88" s="254"/>
      <c r="Q88" s="254"/>
      <c r="R88" s="254"/>
      <c r="S88" s="254"/>
    </row>
    <row r="89" spans="1:19" s="254" customFormat="1" x14ac:dyDescent="0.2">
      <c r="K89" s="253"/>
    </row>
    <row r="90" spans="1:19" s="254" customFormat="1" hidden="1" x14ac:dyDescent="0.2">
      <c r="N90" s="497"/>
      <c r="O90" s="290"/>
    </row>
    <row r="91" spans="1:19" s="254" customFormat="1" hidden="1" x14ac:dyDescent="0.2">
      <c r="K91" s="291"/>
    </row>
    <row r="92" spans="1:19" s="254" customFormat="1" ht="13.5" thickBot="1" x14ac:dyDescent="0.25">
      <c r="N92" s="253"/>
    </row>
    <row r="93" spans="1:19" ht="13.5" thickBot="1" x14ac:dyDescent="0.25">
      <c r="C93" s="254"/>
      <c r="D93" s="1109" t="s">
        <v>251</v>
      </c>
      <c r="E93" s="1110"/>
      <c r="F93" s="1110"/>
      <c r="G93" s="1111"/>
      <c r="H93" s="254"/>
      <c r="I93" s="254"/>
      <c r="J93" s="254"/>
      <c r="K93" s="254"/>
      <c r="L93" s="254"/>
      <c r="M93" s="254"/>
      <c r="N93" s="254"/>
      <c r="O93" s="254"/>
      <c r="P93" s="254"/>
      <c r="Q93" s="254"/>
      <c r="R93" s="254"/>
      <c r="S93" s="254"/>
    </row>
    <row r="94" spans="1:19" ht="13.5" thickBot="1" x14ac:dyDescent="0.25">
      <c r="C94" s="254"/>
      <c r="D94" s="231"/>
      <c r="E94" s="232" t="s">
        <v>252</v>
      </c>
      <c r="F94" s="232"/>
      <c r="G94" s="233"/>
      <c r="H94" s="254"/>
      <c r="I94" s="254"/>
      <c r="J94" s="254"/>
      <c r="K94" s="254"/>
      <c r="L94" s="254"/>
      <c r="M94" s="254"/>
      <c r="N94" s="254"/>
      <c r="O94" s="254"/>
      <c r="P94" s="254"/>
      <c r="Q94" s="254"/>
      <c r="R94" s="254"/>
      <c r="S94" s="254"/>
    </row>
    <row r="95" spans="1:19" ht="13.5" thickBot="1" x14ac:dyDescent="0.25">
      <c r="C95" s="254"/>
      <c r="D95" s="91" t="s">
        <v>133</v>
      </c>
      <c r="E95" s="208">
        <f>+J88-E88</f>
        <v>-1</v>
      </c>
      <c r="F95" s="1095">
        <f>+K88-F88</f>
        <v>-2206481306.8841143</v>
      </c>
      <c r="G95" s="1096"/>
      <c r="H95" s="254"/>
      <c r="I95" s="292"/>
      <c r="J95" s="254"/>
      <c r="K95" s="254"/>
      <c r="L95" s="254"/>
      <c r="M95" s="254"/>
      <c r="N95" s="254"/>
      <c r="O95" s="254"/>
      <c r="P95" s="254"/>
      <c r="Q95" s="254"/>
      <c r="R95" s="254"/>
      <c r="S95" s="254"/>
    </row>
    <row r="96" spans="1:19" s="254" customFormat="1" x14ac:dyDescent="0.2"/>
    <row r="97" spans="16:19" s="254" customFormat="1" x14ac:dyDescent="0.2"/>
    <row r="98" spans="16:19" s="254" customFormat="1" x14ac:dyDescent="0.2"/>
    <row r="99" spans="16:19" s="254" customFormat="1" x14ac:dyDescent="0.2"/>
    <row r="100" spans="16:19" s="254" customFormat="1" x14ac:dyDescent="0.2"/>
    <row r="101" spans="16:19" x14ac:dyDescent="0.2">
      <c r="P101" s="254"/>
      <c r="Q101" s="254"/>
      <c r="R101" s="254"/>
      <c r="S101" s="254"/>
    </row>
    <row r="102" spans="16:19" x14ac:dyDescent="0.2">
      <c r="P102" s="254"/>
      <c r="Q102" s="254"/>
      <c r="R102" s="254"/>
      <c r="S102" s="254"/>
    </row>
    <row r="103" spans="16:19" x14ac:dyDescent="0.2">
      <c r="P103" s="254"/>
      <c r="Q103" s="254"/>
      <c r="R103" s="254"/>
      <c r="S103" s="254"/>
    </row>
    <row r="104" spans="16:19" x14ac:dyDescent="0.2">
      <c r="P104" s="254"/>
      <c r="Q104" s="254"/>
      <c r="R104" s="254"/>
      <c r="S104" s="254"/>
    </row>
    <row r="105" spans="16:19" x14ac:dyDescent="0.2">
      <c r="P105" s="254"/>
      <c r="Q105" s="254"/>
      <c r="R105" s="254"/>
      <c r="S105" s="254"/>
    </row>
  </sheetData>
  <mergeCells count="29">
    <mergeCell ref="D1:G1"/>
    <mergeCell ref="I1:L1"/>
    <mergeCell ref="N1:O1"/>
    <mergeCell ref="D2:G2"/>
    <mergeCell ref="I2:L2"/>
    <mergeCell ref="D3:G3"/>
    <mergeCell ref="I3:L3"/>
    <mergeCell ref="J7:K7"/>
    <mergeCell ref="E21:F21"/>
    <mergeCell ref="J21:K21"/>
    <mergeCell ref="E38:F38"/>
    <mergeCell ref="J38:K38"/>
    <mergeCell ref="E48:F48"/>
    <mergeCell ref="J48:K48"/>
    <mergeCell ref="E7:F7"/>
    <mergeCell ref="E58:F58"/>
    <mergeCell ref="J58:K58"/>
    <mergeCell ref="E70:F70"/>
    <mergeCell ref="J70:K70"/>
    <mergeCell ref="D93:G93"/>
    <mergeCell ref="F95:G95"/>
    <mergeCell ref="E66:F66"/>
    <mergeCell ref="J66:K66"/>
    <mergeCell ref="N84:O84"/>
    <mergeCell ref="F85:G85"/>
    <mergeCell ref="K85:L85"/>
    <mergeCell ref="N85:O88"/>
    <mergeCell ref="F88:G88"/>
    <mergeCell ref="K88:L88"/>
  </mergeCells>
  <printOptions horizontalCentered="1"/>
  <pageMargins left="0" right="0.39370078740157483" top="0.39370078740157483" bottom="0.39370078740157483" header="0.23622047244094491" footer="0.31496062992125984"/>
  <pageSetup scale="45" orientation="landscape" r:id="rId1"/>
  <ignoredErrors>
    <ignoredError sqref="H8 E20:L21 E15:E19 E38:L38 E28:E33 E46:L48 E44:E45 E56:L58 E69:L70 E84:L84 H72 E62:E64 E77:E81 H74:H75 E39:H39 E22:F22 E71:I71 E59:F59 E49:E55 L50 H9:I9 H15:I16 H81 H78:I78 H77 H76 K76:L76 E86:L87 E85 L85 G85:I85 E88 G88:I88 L88 K74:L75 E9:E13 H18:I19 H17 K52:L52 E40:E42 H59:H60 E60 E23:E26 H44:H45 E74:E76 H49:H55 H10:H13 K13:L13 H22:H26 K26:L26 H28:H33 K33:L33 H40:H42 K41:L41 K44:L45 K55:L55 K60:L60 H62:H64 K62:L64 E65:L65 K72:L72 E72 K77:L77 H79 K79:L79 H80 K80:L80 K81:L81 K10:L10 K11:L11 K12:L12 K23:L23 K24:L24 K25:L25 K28:L28 K29:L29 K30:L30 K31:L31 K32:L32 K40:L40 K51:L51" unlockedFormula="1"/>
    <ignoredError sqref="N63:O63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6:E16"/>
  <sheetViews>
    <sheetView workbookViewId="0">
      <selection activeCell="L10" sqref="L10"/>
    </sheetView>
  </sheetViews>
  <sheetFormatPr baseColWidth="10" defaultRowHeight="12.75" x14ac:dyDescent="0.2"/>
  <cols>
    <col min="1" max="1" width="4.28515625" style="740" customWidth="1"/>
    <col min="2" max="2" width="19.140625" style="740" customWidth="1"/>
    <col min="3" max="3" width="24" style="740" customWidth="1"/>
    <col min="4" max="4" width="25.28515625" style="740" customWidth="1"/>
    <col min="5" max="5" width="19.7109375" style="740" customWidth="1"/>
    <col min="6" max="16384" width="11.42578125" style="740"/>
  </cols>
  <sheetData>
    <row r="6" spans="2:5" x14ac:dyDescent="0.2">
      <c r="B6" s="739" t="s">
        <v>705</v>
      </c>
    </row>
    <row r="7" spans="2:5" ht="13.5" thickBot="1" x14ac:dyDescent="0.25"/>
    <row r="8" spans="2:5" ht="29.25" thickBot="1" x14ac:dyDescent="0.25">
      <c r="B8" s="741" t="s">
        <v>695</v>
      </c>
      <c r="C8" s="742" t="s">
        <v>706</v>
      </c>
      <c r="D8" s="742" t="s">
        <v>696</v>
      </c>
      <c r="E8" s="741" t="s">
        <v>697</v>
      </c>
    </row>
    <row r="9" spans="2:5" ht="30.75" thickBot="1" x14ac:dyDescent="0.25">
      <c r="B9" s="743" t="s">
        <v>698</v>
      </c>
      <c r="C9" s="744">
        <f>+'Anexo 2 '!B20</f>
        <v>312981467.67459935</v>
      </c>
      <c r="D9" s="744">
        <v>950545102</v>
      </c>
      <c r="E9" s="745">
        <f t="shared" ref="E9:E15" si="0">+(C9-D9)/D9</f>
        <v>-0.67073475312631781</v>
      </c>
    </row>
    <row r="10" spans="2:5" ht="30.75" thickBot="1" x14ac:dyDescent="0.25">
      <c r="B10" s="743" t="s">
        <v>699</v>
      </c>
      <c r="C10" s="744">
        <f>+'Anexo 2 '!C20</f>
        <v>84856620.274227053</v>
      </c>
      <c r="D10" s="744">
        <v>345037177</v>
      </c>
      <c r="E10" s="745">
        <f t="shared" si="0"/>
        <v>-0.75406528359630343</v>
      </c>
    </row>
    <row r="11" spans="2:5" ht="45.75" thickBot="1" x14ac:dyDescent="0.25">
      <c r="B11" s="743" t="s">
        <v>701</v>
      </c>
      <c r="C11" s="744">
        <f>+'Anexo 2 '!D20</f>
        <v>73035832.113937318</v>
      </c>
      <c r="D11" s="744">
        <v>217261513</v>
      </c>
      <c r="E11" s="745">
        <f>+(C11-D11)/D11</f>
        <v>-0.66383446793939371</v>
      </c>
    </row>
    <row r="12" spans="2:5" ht="15.75" thickBot="1" x14ac:dyDescent="0.25">
      <c r="B12" s="743" t="s">
        <v>707</v>
      </c>
      <c r="C12" s="744">
        <f>+'Anexo 2 '!E20</f>
        <v>9917034.0275999997</v>
      </c>
      <c r="D12" s="744">
        <v>0</v>
      </c>
      <c r="E12" s="748">
        <v>1</v>
      </c>
    </row>
    <row r="13" spans="2:5" ht="45.75" thickBot="1" x14ac:dyDescent="0.25">
      <c r="B13" s="743" t="s">
        <v>700</v>
      </c>
      <c r="C13" s="744">
        <f>+'Anexo 2 '!F20</f>
        <v>75099496.059123501</v>
      </c>
      <c r="D13" s="744">
        <v>314660753</v>
      </c>
      <c r="E13" s="745">
        <f t="shared" si="0"/>
        <v>-0.76133186187626167</v>
      </c>
    </row>
    <row r="14" spans="2:5" ht="15.75" thickBot="1" x14ac:dyDescent="0.25">
      <c r="B14" s="743" t="s">
        <v>702</v>
      </c>
      <c r="C14" s="744">
        <f>+'Anexo 2 '!G20</f>
        <v>297390833.96649498</v>
      </c>
      <c r="D14" s="744">
        <v>977937166</v>
      </c>
      <c r="E14" s="745">
        <f t="shared" si="0"/>
        <v>-0.69589985501533236</v>
      </c>
    </row>
    <row r="15" spans="2:5" ht="30.75" thickBot="1" x14ac:dyDescent="0.25">
      <c r="B15" s="743" t="s">
        <v>703</v>
      </c>
      <c r="C15" s="744">
        <f>+'Anexo 2 '!I20</f>
        <v>95779142.691400006</v>
      </c>
      <c r="D15" s="744">
        <v>463195325</v>
      </c>
      <c r="E15" s="745">
        <f t="shared" si="0"/>
        <v>-0.79322083466321691</v>
      </c>
    </row>
    <row r="16" spans="2:5" ht="30.75" thickBot="1" x14ac:dyDescent="0.25">
      <c r="B16" s="743" t="s">
        <v>704</v>
      </c>
      <c r="C16" s="746">
        <f>SUM(C9:C15)</f>
        <v>949060426.80738235</v>
      </c>
      <c r="D16" s="746">
        <f>SUM(D9:D15)</f>
        <v>3268637036</v>
      </c>
      <c r="E16" s="747">
        <f>+(C16-D16)/D16</f>
        <v>-0.70964643172225794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N28"/>
  <sheetViews>
    <sheetView topLeftCell="A10" zoomScale="90" zoomScaleNormal="90" workbookViewId="0">
      <selection activeCell="C14" sqref="C14"/>
    </sheetView>
  </sheetViews>
  <sheetFormatPr baseColWidth="10" defaultRowHeight="12.75" x14ac:dyDescent="0.2"/>
  <cols>
    <col min="1" max="1" width="35.42578125" customWidth="1"/>
    <col min="2" max="2" width="17.85546875" customWidth="1"/>
    <col min="3" max="3" width="29.140625" customWidth="1"/>
    <col min="4" max="4" width="12.28515625" bestFit="1" customWidth="1"/>
  </cols>
  <sheetData>
    <row r="1" spans="1:8" x14ac:dyDescent="0.2">
      <c r="A1" s="14"/>
      <c r="B1" s="14"/>
      <c r="C1" s="14"/>
    </row>
    <row r="2" spans="1:8" ht="15" x14ac:dyDescent="0.25">
      <c r="A2" s="990" t="s">
        <v>44</v>
      </c>
      <c r="B2" s="990"/>
      <c r="C2" s="990"/>
    </row>
    <row r="3" spans="1:8" ht="15" x14ac:dyDescent="0.25">
      <c r="A3" s="990" t="s">
        <v>42</v>
      </c>
      <c r="B3" s="990"/>
      <c r="C3" s="990"/>
    </row>
    <row r="4" spans="1:8" ht="15" x14ac:dyDescent="0.25">
      <c r="A4" s="990" t="s">
        <v>511</v>
      </c>
      <c r="B4" s="990"/>
      <c r="C4" s="990"/>
    </row>
    <row r="5" spans="1:8" x14ac:dyDescent="0.2">
      <c r="A5" s="14"/>
      <c r="B5" s="14"/>
      <c r="C5" s="14"/>
    </row>
    <row r="6" spans="1:8" ht="38.25" customHeight="1" x14ac:dyDescent="0.25">
      <c r="A6" s="993" t="s">
        <v>198</v>
      </c>
      <c r="B6" s="994"/>
      <c r="C6" s="98">
        <v>2015</v>
      </c>
    </row>
    <row r="7" spans="1:8" s="438" customFormat="1" ht="38.25" customHeight="1" x14ac:dyDescent="0.2">
      <c r="A7" s="991" t="s">
        <v>279</v>
      </c>
      <c r="B7" s="992"/>
      <c r="C7" s="490">
        <v>6754493</v>
      </c>
    </row>
    <row r="8" spans="1:8" s="438" customFormat="1" ht="36" customHeight="1" x14ac:dyDescent="0.2">
      <c r="A8" s="991" t="s">
        <v>487</v>
      </c>
      <c r="B8" s="992"/>
      <c r="C8" s="490">
        <v>1000000</v>
      </c>
    </row>
    <row r="9" spans="1:8" s="438" customFormat="1" ht="36" customHeight="1" x14ac:dyDescent="0.2">
      <c r="A9" s="991" t="s">
        <v>448</v>
      </c>
      <c r="B9" s="992"/>
      <c r="C9" s="490"/>
    </row>
    <row r="10" spans="1:8" s="438" customFormat="1" ht="33.75" customHeight="1" x14ac:dyDescent="0.2">
      <c r="A10" s="991" t="s">
        <v>81</v>
      </c>
      <c r="B10" s="992"/>
      <c r="C10" s="490">
        <v>7000000</v>
      </c>
    </row>
    <row r="11" spans="1:8" ht="49.5" customHeight="1" x14ac:dyDescent="0.2">
      <c r="A11" s="999" t="s">
        <v>217</v>
      </c>
      <c r="B11" s="1000"/>
      <c r="C11" s="15">
        <f>SUM(C7:C10)</f>
        <v>14754493</v>
      </c>
    </row>
    <row r="12" spans="1:8" s="138" customFormat="1" ht="15.75" customHeight="1" x14ac:dyDescent="0.25">
      <c r="A12" s="137"/>
      <c r="B12" s="137"/>
      <c r="C12" s="137"/>
    </row>
    <row r="13" spans="1:8" ht="45" customHeight="1" x14ac:dyDescent="0.25">
      <c r="A13" s="1001" t="s">
        <v>216</v>
      </c>
      <c r="B13" s="1001"/>
      <c r="C13" s="98">
        <v>2015</v>
      </c>
    </row>
    <row r="14" spans="1:8" ht="26.25" customHeight="1" x14ac:dyDescent="0.2">
      <c r="A14" s="997" t="s">
        <v>643</v>
      </c>
      <c r="B14" s="998"/>
      <c r="C14" s="520">
        <f>10000000+6000000</f>
        <v>16000000</v>
      </c>
    </row>
    <row r="15" spans="1:8" ht="26.25" customHeight="1" x14ac:dyDescent="0.2">
      <c r="A15" s="997" t="s">
        <v>644</v>
      </c>
      <c r="B15" s="998"/>
      <c r="C15" s="520">
        <v>10000000</v>
      </c>
    </row>
    <row r="16" spans="1:8" ht="26.25" customHeight="1" x14ac:dyDescent="0.2">
      <c r="A16" s="997" t="s">
        <v>642</v>
      </c>
      <c r="B16" s="998"/>
      <c r="C16" s="520">
        <f>251890000+50000000</f>
        <v>301890000</v>
      </c>
      <c r="D16" s="3"/>
      <c r="E16" s="3"/>
      <c r="F16" s="3"/>
      <c r="G16" s="3"/>
      <c r="H16" s="3"/>
    </row>
    <row r="17" spans="1:40" ht="26.25" hidden="1" customHeight="1" x14ac:dyDescent="0.2">
      <c r="A17" s="1002" t="s">
        <v>490</v>
      </c>
      <c r="B17" s="1002"/>
      <c r="C17" s="520"/>
      <c r="D17" s="3"/>
      <c r="E17" s="3"/>
      <c r="F17" s="3"/>
      <c r="G17" s="3"/>
      <c r="H17" s="3"/>
    </row>
    <row r="18" spans="1:40" ht="26.25" customHeight="1" x14ac:dyDescent="0.2">
      <c r="A18" s="997" t="s">
        <v>849</v>
      </c>
      <c r="B18" s="998"/>
      <c r="C18" s="520">
        <v>1575000000</v>
      </c>
      <c r="D18" s="3"/>
      <c r="E18" s="3"/>
      <c r="F18" s="3"/>
      <c r="G18" s="3"/>
      <c r="H18" s="3"/>
    </row>
    <row r="19" spans="1:40" ht="26.25" customHeight="1" x14ac:dyDescent="0.2">
      <c r="A19" s="997" t="s">
        <v>851</v>
      </c>
      <c r="B19" s="998"/>
      <c r="C19" s="520">
        <v>10000000</v>
      </c>
      <c r="D19" s="3"/>
      <c r="E19" s="3"/>
      <c r="F19" s="3"/>
      <c r="G19" s="3"/>
      <c r="H19" s="3"/>
    </row>
    <row r="20" spans="1:40" ht="34.5" customHeight="1" x14ac:dyDescent="0.2">
      <c r="A20" s="995" t="s">
        <v>218</v>
      </c>
      <c r="B20" s="995"/>
      <c r="C20" s="15">
        <f>SUM(C14:C19)</f>
        <v>1912890000</v>
      </c>
      <c r="D20" s="3"/>
      <c r="E20" s="3"/>
      <c r="F20" s="3"/>
      <c r="G20" s="3"/>
      <c r="H20" s="3"/>
    </row>
    <row r="21" spans="1:40" s="138" customFormat="1" x14ac:dyDescent="0.2">
      <c r="A21" s="996"/>
      <c r="B21" s="996"/>
      <c r="C21" s="996"/>
      <c r="D21" s="29"/>
      <c r="E21" s="29"/>
      <c r="F21" s="29"/>
      <c r="G21" s="29"/>
      <c r="H21" s="29"/>
    </row>
    <row r="22" spans="1:40" s="138" customFormat="1" x14ac:dyDescent="0.2">
      <c r="A22" s="996"/>
      <c r="B22" s="996"/>
      <c r="C22" s="996"/>
      <c r="D22" s="29"/>
      <c r="E22" s="29"/>
      <c r="F22" s="29"/>
      <c r="G22" s="29"/>
      <c r="H22" s="29"/>
    </row>
    <row r="23" spans="1:40" ht="15" x14ac:dyDescent="0.25">
      <c r="A23" s="137"/>
      <c r="B23" s="137"/>
      <c r="C23" s="13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5" x14ac:dyDescent="0.25">
      <c r="A24" s="97"/>
      <c r="B24" s="97"/>
      <c r="C24" s="9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ht="16.5" x14ac:dyDescent="0.3">
      <c r="A25" s="6"/>
      <c r="B25" s="6"/>
      <c r="C25" s="6"/>
    </row>
    <row r="26" spans="1:40" ht="16.5" x14ac:dyDescent="0.3">
      <c r="A26" s="6"/>
      <c r="B26" s="6"/>
      <c r="C26" s="6"/>
    </row>
    <row r="27" spans="1:40" ht="16.5" x14ac:dyDescent="0.3">
      <c r="A27" s="6"/>
      <c r="B27" s="6"/>
      <c r="C27" s="6"/>
    </row>
    <row r="28" spans="1:40" ht="16.5" x14ac:dyDescent="0.3">
      <c r="A28" s="6"/>
      <c r="B28" s="6"/>
      <c r="C28" s="6"/>
    </row>
  </sheetData>
  <mergeCells count="18">
    <mergeCell ref="A20:B20"/>
    <mergeCell ref="A21:C22"/>
    <mergeCell ref="A14:B14"/>
    <mergeCell ref="A19:B19"/>
    <mergeCell ref="A11:B11"/>
    <mergeCell ref="A16:B16"/>
    <mergeCell ref="A13:B13"/>
    <mergeCell ref="A17:B17"/>
    <mergeCell ref="A15:B15"/>
    <mergeCell ref="A18:B18"/>
    <mergeCell ref="A2:C2"/>
    <mergeCell ref="A3:C3"/>
    <mergeCell ref="A4:C4"/>
    <mergeCell ref="A8:B8"/>
    <mergeCell ref="A6:B6"/>
    <mergeCell ref="A10:B10"/>
    <mergeCell ref="A7:B7"/>
    <mergeCell ref="A9:B9"/>
  </mergeCells>
  <phoneticPr fontId="11" type="noConversion"/>
  <printOptions horizontalCentered="1"/>
  <pageMargins left="0.39370078740157483" right="0.39370078740157483" top="0.39370078740157483" bottom="0.39370078740157483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pageSetUpPr fitToPage="1"/>
  </sheetPr>
  <dimension ref="A1:K75"/>
  <sheetViews>
    <sheetView topLeftCell="A19" zoomScale="90" zoomScaleNormal="90" workbookViewId="0">
      <pane xSplit="1" topLeftCell="B1" activePane="topRight" state="frozen"/>
      <selection activeCell="C13" sqref="C13"/>
      <selection pane="topRight" activeCell="K69" sqref="K69"/>
    </sheetView>
  </sheetViews>
  <sheetFormatPr baseColWidth="10" defaultRowHeight="12.75" x14ac:dyDescent="0.2"/>
  <cols>
    <col min="1" max="1" width="75.5703125" style="304" customWidth="1"/>
    <col min="2" max="3" width="16.28515625" style="304" bestFit="1" customWidth="1"/>
    <col min="4" max="4" width="16.28515625" style="304" customWidth="1"/>
    <col min="5" max="8" width="16.28515625" style="304" bestFit="1" customWidth="1"/>
    <col min="9" max="9" width="15" style="304" bestFit="1" customWidth="1"/>
    <col min="10" max="11" width="19.140625" style="304" bestFit="1" customWidth="1"/>
    <col min="12" max="16384" width="11.42578125" style="304"/>
  </cols>
  <sheetData>
    <row r="1" spans="1:11" ht="25.5" x14ac:dyDescent="0.35">
      <c r="A1" s="1003" t="s">
        <v>567</v>
      </c>
      <c r="B1" s="1004"/>
      <c r="C1" s="1004"/>
      <c r="D1" s="1004"/>
      <c r="E1" s="1004"/>
      <c r="F1" s="1004"/>
      <c r="G1" s="1004"/>
      <c r="H1" s="1004"/>
      <c r="I1" s="1004"/>
      <c r="J1" s="1004"/>
      <c r="K1" s="1005"/>
    </row>
    <row r="2" spans="1:11" ht="15.75" thickBot="1" x14ac:dyDescent="0.3">
      <c r="A2" s="461"/>
      <c r="B2" s="462"/>
      <c r="C2" s="462"/>
      <c r="D2" s="462"/>
      <c r="E2" s="317"/>
      <c r="F2" s="317"/>
      <c r="G2" s="317"/>
      <c r="H2" s="462"/>
      <c r="I2" s="462"/>
      <c r="J2" s="462"/>
      <c r="K2" s="463"/>
    </row>
    <row r="3" spans="1:11" ht="15" thickBot="1" x14ac:dyDescent="0.25">
      <c r="A3" s="316" t="s">
        <v>276</v>
      </c>
      <c r="B3" s="315" t="s">
        <v>254</v>
      </c>
      <c r="C3" s="314" t="s">
        <v>255</v>
      </c>
      <c r="D3" s="314" t="s">
        <v>256</v>
      </c>
      <c r="E3" s="314" t="s">
        <v>257</v>
      </c>
      <c r="F3" s="314" t="s">
        <v>258</v>
      </c>
      <c r="G3" s="314" t="s">
        <v>259</v>
      </c>
      <c r="H3" s="314" t="s">
        <v>260</v>
      </c>
      <c r="I3" s="314" t="s">
        <v>261</v>
      </c>
      <c r="J3" s="314" t="s">
        <v>551</v>
      </c>
      <c r="K3" s="314" t="s">
        <v>262</v>
      </c>
    </row>
    <row r="4" spans="1:11" ht="15" x14ac:dyDescent="0.25">
      <c r="A4" s="622" t="s">
        <v>555</v>
      </c>
      <c r="B4" s="623">
        <v>172927115</v>
      </c>
      <c r="C4" s="623">
        <v>97709075</v>
      </c>
      <c r="D4" s="623">
        <v>107355914</v>
      </c>
      <c r="E4" s="623">
        <v>237801471</v>
      </c>
      <c r="F4" s="623">
        <v>232148540</v>
      </c>
      <c r="G4" s="623">
        <v>199874528</v>
      </c>
      <c r="H4" s="623">
        <v>234623299</v>
      </c>
      <c r="I4" s="623">
        <v>209458594</v>
      </c>
      <c r="J4" s="623">
        <v>291076974</v>
      </c>
      <c r="K4" s="624">
        <f t="shared" ref="K4:K11" si="0">SUM(B4:J4)/9</f>
        <v>198108390</v>
      </c>
    </row>
    <row r="5" spans="1:11" ht="15" x14ac:dyDescent="0.25">
      <c r="A5" s="625" t="s">
        <v>263</v>
      </c>
      <c r="B5" s="626">
        <v>532344</v>
      </c>
      <c r="C5" s="626">
        <v>222133</v>
      </c>
      <c r="D5" s="626">
        <v>299585</v>
      </c>
      <c r="E5" s="626">
        <v>336972</v>
      </c>
      <c r="F5" s="626">
        <v>501921</v>
      </c>
      <c r="G5" s="626">
        <v>389364</v>
      </c>
      <c r="H5" s="626">
        <v>588807</v>
      </c>
      <c r="I5" s="626">
        <v>477289</v>
      </c>
      <c r="J5" s="626">
        <v>561695</v>
      </c>
      <c r="K5" s="500">
        <f t="shared" si="0"/>
        <v>434456.66666666669</v>
      </c>
    </row>
    <row r="6" spans="1:11" ht="15" x14ac:dyDescent="0.25">
      <c r="A6" s="622" t="s">
        <v>556</v>
      </c>
      <c r="B6" s="626">
        <v>21255470</v>
      </c>
      <c r="C6" s="626">
        <v>173850305</v>
      </c>
      <c r="D6" s="626">
        <v>249429688</v>
      </c>
      <c r="E6" s="626">
        <v>45316560</v>
      </c>
      <c r="F6" s="626">
        <v>89768271</v>
      </c>
      <c r="G6" s="626">
        <v>179362917</v>
      </c>
      <c r="H6" s="626">
        <v>39250854</v>
      </c>
      <c r="I6" s="626">
        <v>233255959</v>
      </c>
      <c r="J6" s="626">
        <v>247596070</v>
      </c>
      <c r="K6" s="627">
        <f t="shared" si="0"/>
        <v>142120677.1111111</v>
      </c>
    </row>
    <row r="7" spans="1:11" ht="15" x14ac:dyDescent="0.25">
      <c r="A7" s="625" t="s">
        <v>264</v>
      </c>
      <c r="B7" s="626">
        <v>66602</v>
      </c>
      <c r="C7" s="626">
        <v>146220</v>
      </c>
      <c r="D7" s="626">
        <v>69503</v>
      </c>
      <c r="E7" s="626">
        <v>63777</v>
      </c>
      <c r="F7" s="626">
        <v>84471</v>
      </c>
      <c r="G7" s="626">
        <v>88719</v>
      </c>
      <c r="H7" s="626">
        <v>61271</v>
      </c>
      <c r="I7" s="626">
        <v>118452</v>
      </c>
      <c r="J7" s="626">
        <v>125023</v>
      </c>
      <c r="K7" s="500">
        <f t="shared" si="0"/>
        <v>91559.777777777781</v>
      </c>
    </row>
    <row r="8" spans="1:11" ht="15" x14ac:dyDescent="0.25">
      <c r="A8" s="625" t="s">
        <v>569</v>
      </c>
      <c r="B8" s="626">
        <v>2322941</v>
      </c>
      <c r="C8" s="626">
        <v>2328991</v>
      </c>
      <c r="D8" s="626">
        <v>2337653</v>
      </c>
      <c r="E8" s="626">
        <v>2344227</v>
      </c>
      <c r="F8" s="626">
        <v>2351610</v>
      </c>
      <c r="G8" s="626">
        <v>2357352</v>
      </c>
      <c r="H8" s="626">
        <v>2363163</v>
      </c>
      <c r="I8" s="626">
        <v>2369831</v>
      </c>
      <c r="J8" s="626">
        <v>0</v>
      </c>
      <c r="K8" s="627">
        <f t="shared" si="0"/>
        <v>2086196.4444444445</v>
      </c>
    </row>
    <row r="9" spans="1:11" ht="15" x14ac:dyDescent="0.25">
      <c r="A9" s="625" t="s">
        <v>495</v>
      </c>
      <c r="B9" s="626">
        <v>6032</v>
      </c>
      <c r="C9" s="626">
        <v>6050</v>
      </c>
      <c r="D9" s="626">
        <v>8662</v>
      </c>
      <c r="E9" s="626">
        <v>6573</v>
      </c>
      <c r="F9" s="626">
        <v>7383</v>
      </c>
      <c r="G9" s="626">
        <v>5743</v>
      </c>
      <c r="H9" s="626">
        <v>5810</v>
      </c>
      <c r="I9" s="626">
        <v>6668</v>
      </c>
      <c r="J9" s="626">
        <v>6224</v>
      </c>
      <c r="K9" s="500">
        <f t="shared" si="0"/>
        <v>6571.666666666667</v>
      </c>
    </row>
    <row r="10" spans="1:11" ht="15" x14ac:dyDescent="0.25">
      <c r="A10" s="625" t="s">
        <v>552</v>
      </c>
      <c r="B10" s="628">
        <v>6144383683</v>
      </c>
      <c r="C10" s="628">
        <v>5859918980</v>
      </c>
      <c r="D10" s="628">
        <v>6518519876</v>
      </c>
      <c r="E10" s="628">
        <v>6151369363</v>
      </c>
      <c r="F10" s="628">
        <v>6252343316</v>
      </c>
      <c r="G10" s="628">
        <v>6462046683</v>
      </c>
      <c r="H10" s="628">
        <v>6377228263</v>
      </c>
      <c r="I10" s="628">
        <v>5744222744</v>
      </c>
      <c r="J10" s="628">
        <v>5952280310</v>
      </c>
      <c r="K10" s="627">
        <f t="shared" si="0"/>
        <v>6162479246.4444447</v>
      </c>
    </row>
    <row r="11" spans="1:11" ht="15" x14ac:dyDescent="0.25">
      <c r="A11" s="625" t="s">
        <v>495</v>
      </c>
      <c r="B11" s="626">
        <v>13957247</v>
      </c>
      <c r="C11" s="626">
        <f>15535297-73110</f>
        <v>15462187</v>
      </c>
      <c r="D11" s="626">
        <v>22566718</v>
      </c>
      <c r="E11" s="626">
        <v>17532027</v>
      </c>
      <c r="F11" s="626">
        <v>18911835</v>
      </c>
      <c r="G11" s="626">
        <v>15079793</v>
      </c>
      <c r="H11" s="626">
        <v>15181580</v>
      </c>
      <c r="I11" s="626">
        <v>16994481</v>
      </c>
      <c r="J11" s="626">
        <v>14793009</v>
      </c>
      <c r="K11" s="500">
        <f t="shared" si="0"/>
        <v>16719875.222222222</v>
      </c>
    </row>
    <row r="12" spans="1:11" ht="15.75" thickBot="1" x14ac:dyDescent="0.3">
      <c r="A12" s="464"/>
      <c r="B12" s="448"/>
      <c r="C12" s="448"/>
      <c r="D12" s="448"/>
      <c r="E12" s="448"/>
      <c r="F12" s="448"/>
      <c r="G12" s="448"/>
      <c r="H12" s="448"/>
      <c r="I12" s="448"/>
      <c r="J12" s="448"/>
      <c r="K12" s="465"/>
    </row>
    <row r="13" spans="1:11" ht="15" thickBot="1" x14ac:dyDescent="0.25">
      <c r="A13" s="618" t="s">
        <v>277</v>
      </c>
      <c r="B13" s="619">
        <f t="shared" ref="B13:J13" si="1">+B5+B7+B9+B11</f>
        <v>14562225</v>
      </c>
      <c r="C13" s="619">
        <f t="shared" si="1"/>
        <v>15836590</v>
      </c>
      <c r="D13" s="619">
        <f t="shared" si="1"/>
        <v>22944468</v>
      </c>
      <c r="E13" s="619">
        <f t="shared" si="1"/>
        <v>17939349</v>
      </c>
      <c r="F13" s="619">
        <f t="shared" si="1"/>
        <v>19505610</v>
      </c>
      <c r="G13" s="619">
        <f t="shared" si="1"/>
        <v>15563619</v>
      </c>
      <c r="H13" s="619">
        <f t="shared" si="1"/>
        <v>15837468</v>
      </c>
      <c r="I13" s="619">
        <f t="shared" si="1"/>
        <v>17596890</v>
      </c>
      <c r="J13" s="619">
        <f t="shared" si="1"/>
        <v>15485951</v>
      </c>
      <c r="K13" s="619">
        <f>+K5+K7+K47+K11</f>
        <v>19589271.333333332</v>
      </c>
    </row>
    <row r="14" spans="1:11" x14ac:dyDescent="0.2">
      <c r="A14" s="466"/>
      <c r="B14" s="415"/>
      <c r="C14" s="415"/>
      <c r="D14" s="415"/>
      <c r="E14" s="415"/>
      <c r="F14" s="415"/>
      <c r="G14" s="415"/>
      <c r="H14" s="415"/>
      <c r="I14" s="415"/>
      <c r="J14" s="415"/>
      <c r="K14" s="467"/>
    </row>
    <row r="15" spans="1:11" ht="13.5" thickBot="1" x14ac:dyDescent="0.25">
      <c r="A15" s="466"/>
      <c r="B15" s="415"/>
      <c r="C15" s="415"/>
      <c r="D15" s="415"/>
      <c r="E15" s="415"/>
      <c r="F15" s="415"/>
      <c r="G15" s="415"/>
      <c r="H15" s="415"/>
      <c r="I15" s="415"/>
      <c r="J15" s="415"/>
      <c r="K15" s="467"/>
    </row>
    <row r="16" spans="1:11" ht="15" thickBot="1" x14ac:dyDescent="0.25">
      <c r="A16" s="309" t="s">
        <v>265</v>
      </c>
      <c r="B16" s="308" t="s">
        <v>254</v>
      </c>
      <c r="C16" s="308" t="s">
        <v>255</v>
      </c>
      <c r="D16" s="308" t="s">
        <v>256</v>
      </c>
      <c r="E16" s="308" t="s">
        <v>257</v>
      </c>
      <c r="F16" s="308" t="s">
        <v>258</v>
      </c>
      <c r="G16" s="308" t="s">
        <v>259</v>
      </c>
      <c r="H16" s="308" t="s">
        <v>260</v>
      </c>
      <c r="I16" s="308" t="s">
        <v>261</v>
      </c>
      <c r="J16" s="314" t="s">
        <v>551</v>
      </c>
      <c r="K16" s="307" t="s">
        <v>266</v>
      </c>
    </row>
    <row r="17" spans="1:11" ht="15" x14ac:dyDescent="0.25">
      <c r="A17" s="629" t="s">
        <v>267</v>
      </c>
      <c r="B17" s="630">
        <v>135165</v>
      </c>
      <c r="C17" s="630">
        <v>421511</v>
      </c>
      <c r="D17" s="630">
        <v>13071</v>
      </c>
      <c r="E17" s="630">
        <v>129981</v>
      </c>
      <c r="F17" s="630">
        <v>21059</v>
      </c>
      <c r="G17" s="630"/>
      <c r="H17" s="630"/>
      <c r="I17" s="630">
        <v>151698</v>
      </c>
      <c r="J17" s="630">
        <v>230410</v>
      </c>
      <c r="K17" s="500">
        <f>SUM(B17:J17)/9</f>
        <v>122543.88888888889</v>
      </c>
    </row>
    <row r="18" spans="1:11" ht="15" x14ac:dyDescent="0.25">
      <c r="A18" s="631" t="s">
        <v>268</v>
      </c>
      <c r="B18" s="632"/>
      <c r="C18" s="632">
        <v>108</v>
      </c>
      <c r="D18" s="632">
        <v>819</v>
      </c>
      <c r="E18" s="632">
        <v>1613</v>
      </c>
      <c r="F18" s="632">
        <v>4757</v>
      </c>
      <c r="G18" s="632">
        <v>496</v>
      </c>
      <c r="H18" s="632">
        <v>602</v>
      </c>
      <c r="I18" s="632">
        <v>1710</v>
      </c>
      <c r="J18" s="632"/>
      <c r="K18" s="500">
        <f>SUM(B18:J18)/7</f>
        <v>1443.5714285714287</v>
      </c>
    </row>
    <row r="19" spans="1:11" ht="15" x14ac:dyDescent="0.25">
      <c r="A19" s="631" t="s">
        <v>269</v>
      </c>
      <c r="B19" s="632">
        <v>2237</v>
      </c>
      <c r="C19" s="632">
        <v>307</v>
      </c>
      <c r="D19" s="632"/>
      <c r="E19" s="632"/>
      <c r="F19" s="632"/>
      <c r="G19" s="632">
        <v>258600</v>
      </c>
      <c r="H19" s="632"/>
      <c r="I19" s="632"/>
      <c r="J19" s="632"/>
      <c r="K19" s="500">
        <f>SUM(B19:I19)/3</f>
        <v>87048</v>
      </c>
    </row>
    <row r="20" spans="1:11" ht="15" x14ac:dyDescent="0.25">
      <c r="A20" s="631" t="s">
        <v>315</v>
      </c>
      <c r="B20" s="632"/>
      <c r="C20" s="632"/>
      <c r="D20" s="632"/>
      <c r="E20" s="632"/>
      <c r="F20" s="632"/>
      <c r="G20" s="632"/>
      <c r="H20" s="632"/>
      <c r="I20" s="632"/>
      <c r="J20" s="632"/>
      <c r="K20" s="455">
        <f>SUM(B20:I20)/7</f>
        <v>0</v>
      </c>
    </row>
    <row r="21" spans="1:11" ht="15" x14ac:dyDescent="0.25">
      <c r="A21" s="631" t="s">
        <v>270</v>
      </c>
      <c r="B21" s="632"/>
      <c r="C21" s="632"/>
      <c r="D21" s="632"/>
      <c r="E21" s="632"/>
      <c r="F21" s="632"/>
      <c r="G21" s="632"/>
      <c r="H21" s="632"/>
      <c r="I21" s="632"/>
      <c r="J21" s="632"/>
      <c r="K21" s="500">
        <f>SUM(B21:I21)/2</f>
        <v>0</v>
      </c>
    </row>
    <row r="22" spans="1:11" ht="15" x14ac:dyDescent="0.25">
      <c r="A22" s="633" t="s">
        <v>271</v>
      </c>
      <c r="B22" s="632">
        <v>11078</v>
      </c>
      <c r="C22" s="632">
        <v>72684</v>
      </c>
      <c r="D22" s="632"/>
      <c r="E22" s="632"/>
      <c r="F22" s="632">
        <v>785</v>
      </c>
      <c r="G22" s="632"/>
      <c r="H22" s="632">
        <v>2</v>
      </c>
      <c r="I22" s="632"/>
      <c r="J22" s="632">
        <v>392</v>
      </c>
      <c r="K22" s="500">
        <f>SUM(B22:J22)/5</f>
        <v>16988.2</v>
      </c>
    </row>
    <row r="23" spans="1:11" ht="15" x14ac:dyDescent="0.25">
      <c r="A23" s="633" t="s">
        <v>398</v>
      </c>
      <c r="B23" s="632"/>
      <c r="C23" s="632"/>
      <c r="D23" s="632"/>
      <c r="E23" s="632"/>
      <c r="F23" s="632"/>
      <c r="G23" s="632"/>
      <c r="H23" s="632"/>
      <c r="I23" s="632"/>
      <c r="J23" s="632"/>
      <c r="K23" s="500">
        <f>SUM(B23:I23)/4</f>
        <v>0</v>
      </c>
    </row>
    <row r="24" spans="1:11" ht="15" x14ac:dyDescent="0.25">
      <c r="A24" s="633" t="s">
        <v>397</v>
      </c>
      <c r="B24" s="632"/>
      <c r="C24" s="632"/>
      <c r="D24" s="632"/>
      <c r="E24" s="632"/>
      <c r="F24" s="632"/>
      <c r="G24" s="632"/>
      <c r="H24" s="632"/>
      <c r="I24" s="632"/>
      <c r="J24" s="632"/>
      <c r="K24" s="500">
        <f>SUM(B24:I24)/1</f>
        <v>0</v>
      </c>
    </row>
    <row r="25" spans="1:11" ht="15" x14ac:dyDescent="0.25">
      <c r="A25" s="633" t="s">
        <v>272</v>
      </c>
      <c r="B25" s="632"/>
      <c r="C25" s="632"/>
      <c r="D25" s="632"/>
      <c r="E25" s="632"/>
      <c r="F25" s="632">
        <v>160609</v>
      </c>
      <c r="G25" s="632"/>
      <c r="H25" s="632"/>
      <c r="I25" s="632"/>
      <c r="J25" s="632"/>
      <c r="K25" s="500">
        <f>SUM(B25:I25)/1</f>
        <v>160609</v>
      </c>
    </row>
    <row r="26" spans="1:11" ht="13.5" thickBot="1" x14ac:dyDescent="0.25">
      <c r="A26" s="466"/>
      <c r="B26" s="468"/>
      <c r="C26" s="468"/>
      <c r="D26" s="468"/>
      <c r="E26" s="468"/>
      <c r="F26" s="468"/>
      <c r="G26" s="468"/>
      <c r="H26" s="468"/>
      <c r="I26" s="468"/>
      <c r="J26" s="468"/>
      <c r="K26" s="469"/>
    </row>
    <row r="27" spans="1:11" ht="15" thickBot="1" x14ac:dyDescent="0.25">
      <c r="A27" s="618" t="s">
        <v>278</v>
      </c>
      <c r="B27" s="619">
        <f t="shared" ref="B27:J27" si="2">SUM(B17:B25)</f>
        <v>148480</v>
      </c>
      <c r="C27" s="619">
        <f t="shared" si="2"/>
        <v>494610</v>
      </c>
      <c r="D27" s="619">
        <f t="shared" si="2"/>
        <v>13890</v>
      </c>
      <c r="E27" s="619">
        <f t="shared" si="2"/>
        <v>131594</v>
      </c>
      <c r="F27" s="619">
        <f t="shared" si="2"/>
        <v>187210</v>
      </c>
      <c r="G27" s="619">
        <f t="shared" si="2"/>
        <v>259096</v>
      </c>
      <c r="H27" s="619">
        <f t="shared" si="2"/>
        <v>604</v>
      </c>
      <c r="I27" s="619">
        <f t="shared" si="2"/>
        <v>153408</v>
      </c>
      <c r="J27" s="619">
        <f t="shared" si="2"/>
        <v>230802</v>
      </c>
      <c r="K27" s="620">
        <f>+K17+K18+K19+K20+K21+K22+K23+K24+K25</f>
        <v>388632.66031746031</v>
      </c>
    </row>
    <row r="28" spans="1:11" s="321" customFormat="1" ht="14.25" x14ac:dyDescent="0.2">
      <c r="A28" s="470"/>
      <c r="B28" s="456"/>
      <c r="C28" s="456"/>
      <c r="D28" s="456"/>
      <c r="E28" s="456"/>
      <c r="F28" s="456"/>
      <c r="G28" s="456"/>
      <c r="H28" s="456"/>
      <c r="I28" s="456"/>
      <c r="J28" s="456"/>
      <c r="K28" s="471"/>
    </row>
    <row r="29" spans="1:11" s="321" customFormat="1" ht="14.25" hidden="1" x14ac:dyDescent="0.2">
      <c r="A29" s="470" t="s">
        <v>133</v>
      </c>
      <c r="B29" s="456">
        <f>+B13+B27</f>
        <v>14710705</v>
      </c>
      <c r="C29" s="456">
        <f t="shared" ref="C29:I29" si="3">+C13+C27</f>
        <v>16331200</v>
      </c>
      <c r="D29" s="456">
        <f t="shared" si="3"/>
        <v>22958358</v>
      </c>
      <c r="E29" s="456">
        <f t="shared" si="3"/>
        <v>18070943</v>
      </c>
      <c r="F29" s="456">
        <f t="shared" si="3"/>
        <v>19692820</v>
      </c>
      <c r="G29" s="456">
        <f t="shared" si="3"/>
        <v>15822715</v>
      </c>
      <c r="H29" s="456">
        <f t="shared" si="3"/>
        <v>15838072</v>
      </c>
      <c r="I29" s="456">
        <f t="shared" si="3"/>
        <v>17750298</v>
      </c>
      <c r="J29" s="456">
        <f>+J13+J27</f>
        <v>15716753</v>
      </c>
      <c r="K29" s="472">
        <f>+K13+K27</f>
        <v>19977903.993650794</v>
      </c>
    </row>
    <row r="30" spans="1:11" s="458" customFormat="1" ht="15" hidden="1" x14ac:dyDescent="0.25">
      <c r="A30" s="473"/>
      <c r="B30" s="457">
        <f>89030457.56-7764912.05-B29</f>
        <v>66554840.510000005</v>
      </c>
      <c r="C30" s="457">
        <f>18227985.03-25797681.37-C29</f>
        <v>-23900896.34</v>
      </c>
      <c r="D30" s="457">
        <f>15632641.19-27872.12-D29</f>
        <v>-7353588.9299999997</v>
      </c>
      <c r="E30" s="457">
        <f>13576526.04-56785.5-E29</f>
        <v>-4551202.4600000009</v>
      </c>
      <c r="F30" s="457">
        <f>5093791.6-F29</f>
        <v>-14599028.4</v>
      </c>
      <c r="G30" s="457">
        <f>1059020.6-5334257.09-G29</f>
        <v>-20097951.490000002</v>
      </c>
      <c r="H30" s="457">
        <f>15268016.45-30640-H29</f>
        <v>-600695.55000000075</v>
      </c>
      <c r="I30" s="457"/>
      <c r="J30" s="457">
        <f>15268016.45-30640-J29</f>
        <v>-479376.55000000075</v>
      </c>
      <c r="K30" s="474"/>
    </row>
    <row r="31" spans="1:11" ht="26.25" thickBot="1" x14ac:dyDescent="0.4">
      <c r="A31" s="1006" t="s">
        <v>566</v>
      </c>
      <c r="B31" s="1007"/>
      <c r="C31" s="1007"/>
      <c r="D31" s="1007"/>
      <c r="E31" s="1007"/>
      <c r="F31" s="1007"/>
      <c r="G31" s="1007"/>
      <c r="H31" s="1007"/>
      <c r="I31" s="1007"/>
      <c r="J31" s="1007"/>
      <c r="K31" s="1008"/>
    </row>
    <row r="32" spans="1:11" ht="15" thickBot="1" x14ac:dyDescent="0.25">
      <c r="A32" s="307"/>
      <c r="B32" s="313" t="s">
        <v>254</v>
      </c>
      <c r="C32" s="312" t="s">
        <v>255</v>
      </c>
      <c r="D32" s="312" t="s">
        <v>256</v>
      </c>
      <c r="E32" s="312" t="s">
        <v>257</v>
      </c>
      <c r="F32" s="312" t="s">
        <v>258</v>
      </c>
      <c r="G32" s="312" t="s">
        <v>259</v>
      </c>
      <c r="H32" s="312" t="s">
        <v>260</v>
      </c>
      <c r="I32" s="312" t="s">
        <v>261</v>
      </c>
      <c r="J32" s="314" t="s">
        <v>551</v>
      </c>
      <c r="K32" s="312" t="s">
        <v>262</v>
      </c>
    </row>
    <row r="33" spans="1:11" ht="15" x14ac:dyDescent="0.25">
      <c r="A33" s="622" t="s">
        <v>553</v>
      </c>
      <c r="B33" s="626">
        <v>133908236</v>
      </c>
      <c r="C33" s="626">
        <v>148067335</v>
      </c>
      <c r="D33" s="626">
        <v>136494297</v>
      </c>
      <c r="E33" s="626">
        <v>157692853</v>
      </c>
      <c r="F33" s="626">
        <v>329778983</v>
      </c>
      <c r="G33" s="626">
        <v>586465359</v>
      </c>
      <c r="H33" s="626">
        <v>258795985</v>
      </c>
      <c r="I33" s="626">
        <v>266107319</v>
      </c>
      <c r="J33" s="626">
        <v>2020066999</v>
      </c>
      <c r="K33" s="627">
        <f>SUM(B33:J33)/9</f>
        <v>448597485.1111111</v>
      </c>
    </row>
    <row r="34" spans="1:11" ht="15" x14ac:dyDescent="0.25">
      <c r="A34" s="625" t="s">
        <v>264</v>
      </c>
      <c r="B34" s="626">
        <v>195125</v>
      </c>
      <c r="C34" s="626">
        <v>88577</v>
      </c>
      <c r="D34" s="626">
        <v>44933</v>
      </c>
      <c r="E34" s="626">
        <v>255858</v>
      </c>
      <c r="F34" s="626">
        <v>105630</v>
      </c>
      <c r="G34" s="626">
        <v>211938</v>
      </c>
      <c r="H34" s="626">
        <v>288350</v>
      </c>
      <c r="I34" s="626">
        <v>103857</v>
      </c>
      <c r="J34" s="626">
        <v>88762</v>
      </c>
      <c r="K34" s="627">
        <f>SUM(B34:J34)/9</f>
        <v>153670</v>
      </c>
    </row>
    <row r="35" spans="1:11" ht="15" hidden="1" x14ac:dyDescent="0.25">
      <c r="A35" s="311" t="s">
        <v>554</v>
      </c>
      <c r="B35" s="446"/>
      <c r="C35" s="446"/>
      <c r="D35" s="446"/>
      <c r="E35" s="446"/>
      <c r="F35" s="446"/>
      <c r="G35" s="446"/>
      <c r="H35" s="446"/>
      <c r="I35" s="446"/>
      <c r="J35" s="446"/>
      <c r="K35" s="450">
        <f>SUM(B35:I35)/7</f>
        <v>0</v>
      </c>
    </row>
    <row r="36" spans="1:11" ht="15" hidden="1" x14ac:dyDescent="0.25">
      <c r="A36" s="310" t="s">
        <v>273</v>
      </c>
      <c r="B36" s="446"/>
      <c r="C36" s="446"/>
      <c r="D36" s="446"/>
      <c r="E36" s="446"/>
      <c r="F36" s="446"/>
      <c r="G36" s="446"/>
      <c r="H36" s="446"/>
      <c r="I36" s="446"/>
      <c r="J36" s="446"/>
      <c r="K36" s="455">
        <f>SUM(B36:I36)/7</f>
        <v>0</v>
      </c>
    </row>
    <row r="37" spans="1:11" ht="15" x14ac:dyDescent="0.25">
      <c r="A37" s="464"/>
      <c r="B37" s="475"/>
      <c r="C37" s="475"/>
      <c r="D37" s="475"/>
      <c r="E37" s="475"/>
      <c r="F37" s="475"/>
      <c r="G37" s="475"/>
      <c r="H37" s="475"/>
      <c r="I37" s="475"/>
      <c r="J37" s="475"/>
      <c r="K37" s="476"/>
    </row>
    <row r="38" spans="1:11" ht="15.75" thickBot="1" x14ac:dyDescent="0.3">
      <c r="A38" s="464"/>
      <c r="B38" s="475"/>
      <c r="C38" s="475"/>
      <c r="D38" s="475"/>
      <c r="E38" s="475"/>
      <c r="F38" s="475"/>
      <c r="G38" s="475"/>
      <c r="H38" s="475"/>
      <c r="I38" s="475"/>
      <c r="J38" s="475"/>
      <c r="K38" s="476"/>
    </row>
    <row r="39" spans="1:11" ht="15" thickBot="1" x14ac:dyDescent="0.25">
      <c r="A39" s="443" t="s">
        <v>399</v>
      </c>
      <c r="B39" s="308" t="s">
        <v>254</v>
      </c>
      <c r="C39" s="308" t="s">
        <v>255</v>
      </c>
      <c r="D39" s="308" t="s">
        <v>256</v>
      </c>
      <c r="E39" s="308" t="s">
        <v>257</v>
      </c>
      <c r="F39" s="308" t="s">
        <v>258</v>
      </c>
      <c r="G39" s="308" t="s">
        <v>259</v>
      </c>
      <c r="H39" s="308" t="s">
        <v>260</v>
      </c>
      <c r="I39" s="308" t="s">
        <v>261</v>
      </c>
      <c r="J39" s="314" t="s">
        <v>551</v>
      </c>
      <c r="K39" s="307" t="s">
        <v>266</v>
      </c>
    </row>
    <row r="40" spans="1:11" ht="15" x14ac:dyDescent="0.25">
      <c r="A40" s="634" t="s">
        <v>564</v>
      </c>
      <c r="B40" s="630">
        <v>88624245</v>
      </c>
      <c r="C40" s="630">
        <v>8373596</v>
      </c>
      <c r="D40" s="630"/>
      <c r="E40" s="630"/>
      <c r="F40" s="630"/>
      <c r="G40" s="630"/>
      <c r="H40" s="630"/>
      <c r="I40" s="635"/>
      <c r="J40" s="630"/>
      <c r="K40" s="636">
        <f>SUM(B40:J40)/2</f>
        <v>48498920.5</v>
      </c>
    </row>
    <row r="41" spans="1:11" ht="15" x14ac:dyDescent="0.25">
      <c r="A41" s="637" t="s">
        <v>486</v>
      </c>
      <c r="B41" s="638">
        <v>245044</v>
      </c>
      <c r="C41" s="638">
        <v>164562</v>
      </c>
      <c r="D41" s="638">
        <f>97097+17063</f>
        <v>114160</v>
      </c>
      <c r="E41" s="638"/>
      <c r="F41" s="639"/>
      <c r="G41" s="639"/>
      <c r="H41" s="639"/>
      <c r="I41" s="640"/>
      <c r="J41" s="639"/>
      <c r="K41" s="500">
        <f>SUM(B41:J41)/3</f>
        <v>174588.66666666666</v>
      </c>
    </row>
    <row r="42" spans="1:11" ht="15" x14ac:dyDescent="0.25">
      <c r="A42" s="641" t="s">
        <v>560</v>
      </c>
      <c r="B42" s="632">
        <v>500000000</v>
      </c>
      <c r="C42" s="632">
        <v>500000000</v>
      </c>
      <c r="D42" s="632">
        <v>500000000</v>
      </c>
      <c r="E42" s="632">
        <v>500000000</v>
      </c>
      <c r="F42" s="632">
        <v>500000000</v>
      </c>
      <c r="G42" s="632">
        <v>500000000</v>
      </c>
      <c r="H42" s="632">
        <v>500000000</v>
      </c>
      <c r="I42" s="626">
        <v>500000000</v>
      </c>
      <c r="J42" s="632">
        <v>500000000</v>
      </c>
      <c r="K42" s="627">
        <f t="shared" ref="K42:K47" si="4">SUM(B42:J42)/9</f>
        <v>500000000</v>
      </c>
    </row>
    <row r="43" spans="1:11" ht="15.75" thickBot="1" x14ac:dyDescent="0.3">
      <c r="A43" s="642" t="s">
        <v>561</v>
      </c>
      <c r="B43" s="643">
        <v>1848591</v>
      </c>
      <c r="C43" s="643">
        <v>1664833</v>
      </c>
      <c r="D43" s="643">
        <v>1843208</v>
      </c>
      <c r="E43" s="643">
        <v>2318667</v>
      </c>
      <c r="F43" s="643">
        <v>1783750</v>
      </c>
      <c r="G43" s="643">
        <v>1783750</v>
      </c>
      <c r="H43" s="643">
        <v>914528</v>
      </c>
      <c r="I43" s="644">
        <v>977778</v>
      </c>
      <c r="J43" s="643">
        <v>1833333</v>
      </c>
      <c r="K43" s="500">
        <f t="shared" si="4"/>
        <v>1663159.7777777778</v>
      </c>
    </row>
    <row r="44" spans="1:11" ht="15" x14ac:dyDescent="0.25">
      <c r="A44" s="641" t="s">
        <v>562</v>
      </c>
      <c r="B44" s="632">
        <v>500000000</v>
      </c>
      <c r="C44" s="632">
        <v>500000000</v>
      </c>
      <c r="D44" s="632">
        <v>500000000</v>
      </c>
      <c r="E44" s="632">
        <v>500000000</v>
      </c>
      <c r="F44" s="632">
        <v>500000000</v>
      </c>
      <c r="G44" s="632">
        <v>500000000</v>
      </c>
      <c r="H44" s="632">
        <v>500000000</v>
      </c>
      <c r="I44" s="626">
        <v>500000000</v>
      </c>
      <c r="J44" s="632">
        <v>500000000</v>
      </c>
      <c r="K44" s="627">
        <f t="shared" si="4"/>
        <v>500000000</v>
      </c>
    </row>
    <row r="45" spans="1:11" ht="15.75" thickBot="1" x14ac:dyDescent="0.3">
      <c r="A45" s="642" t="s">
        <v>563</v>
      </c>
      <c r="B45" s="643">
        <v>1904167</v>
      </c>
      <c r="C45" s="643">
        <v>1777222</v>
      </c>
      <c r="D45" s="643">
        <v>2479334</v>
      </c>
      <c r="E45" s="643">
        <v>1904167</v>
      </c>
      <c r="F45" s="643">
        <v>1904167</v>
      </c>
      <c r="G45" s="643">
        <v>1547443</v>
      </c>
      <c r="H45" s="643">
        <v>1904167</v>
      </c>
      <c r="I45" s="644">
        <v>1904167</v>
      </c>
      <c r="J45" s="643">
        <v>2130666</v>
      </c>
      <c r="K45" s="500">
        <f t="shared" si="4"/>
        <v>1939500</v>
      </c>
    </row>
    <row r="46" spans="1:11" ht="15" x14ac:dyDescent="0.25">
      <c r="A46" s="645" t="s">
        <v>565</v>
      </c>
      <c r="B46" s="626">
        <v>980186187</v>
      </c>
      <c r="C46" s="626">
        <v>1582986416</v>
      </c>
      <c r="D46" s="626">
        <v>1288052872</v>
      </c>
      <c r="E46" s="626">
        <v>790467322</v>
      </c>
      <c r="F46" s="626">
        <v>642510559</v>
      </c>
      <c r="G46" s="626">
        <v>543885665</v>
      </c>
      <c r="H46" s="626">
        <v>424047542</v>
      </c>
      <c r="I46" s="626">
        <v>425244124</v>
      </c>
      <c r="J46" s="626">
        <v>5768091</v>
      </c>
      <c r="K46" s="627">
        <f t="shared" si="4"/>
        <v>742572086.44444442</v>
      </c>
    </row>
    <row r="47" spans="1:11" ht="15" x14ac:dyDescent="0.25">
      <c r="A47" s="645" t="s">
        <v>495</v>
      </c>
      <c r="B47" s="626">
        <v>3058914</v>
      </c>
      <c r="C47" s="626">
        <v>2800229</v>
      </c>
      <c r="D47" s="626">
        <v>5762781</v>
      </c>
      <c r="E47" s="626">
        <v>2414450</v>
      </c>
      <c r="F47" s="626">
        <v>2043237</v>
      </c>
      <c r="G47" s="626">
        <v>1375106</v>
      </c>
      <c r="H47" s="626">
        <v>1271692</v>
      </c>
      <c r="I47" s="626">
        <v>1196581</v>
      </c>
      <c r="J47" s="626">
        <v>1167427</v>
      </c>
      <c r="K47" s="500">
        <f t="shared" si="4"/>
        <v>2343379.6666666665</v>
      </c>
    </row>
    <row r="48" spans="1:11" ht="13.5" thickBot="1" x14ac:dyDescent="0.25">
      <c r="A48" s="466"/>
      <c r="B48" s="468"/>
      <c r="C48" s="415"/>
      <c r="D48" s="415"/>
      <c r="E48" s="415"/>
      <c r="F48" s="415"/>
      <c r="G48" s="415"/>
      <c r="H48" s="415"/>
      <c r="I48" s="415"/>
      <c r="J48" s="415"/>
      <c r="K48" s="467"/>
    </row>
    <row r="49" spans="1:11" ht="15" thickBot="1" x14ac:dyDescent="0.25">
      <c r="A49" s="426" t="s">
        <v>277</v>
      </c>
      <c r="B49" s="451">
        <f>+B34+B41+B43+B45+B47</f>
        <v>7251841</v>
      </c>
      <c r="C49" s="451">
        <f>+C34+C41+C43+C45+C47</f>
        <v>6495423</v>
      </c>
      <c r="D49" s="451">
        <f>+D34+D41+D43+D45+D47</f>
        <v>10244416</v>
      </c>
      <c r="E49" s="451">
        <f>+E47+E45+E43+E34</f>
        <v>6893142</v>
      </c>
      <c r="F49" s="451">
        <f>+F47+F45+F43+F34</f>
        <v>5836784</v>
      </c>
      <c r="G49" s="451">
        <f>+G47+G45+G43+G34</f>
        <v>4918237</v>
      </c>
      <c r="H49" s="451">
        <f>+H47+H45+H43+H34</f>
        <v>4378737</v>
      </c>
      <c r="I49" s="451">
        <f>+I47+I45+I43+I34</f>
        <v>4182383</v>
      </c>
      <c r="J49" s="451">
        <f>+J47+J45+J43+J41</f>
        <v>5131426</v>
      </c>
      <c r="K49" s="621">
        <f>SUM(B49:J49)/9</f>
        <v>6148043.222222222</v>
      </c>
    </row>
    <row r="50" spans="1:11" ht="13.5" thickBot="1" x14ac:dyDescent="0.25">
      <c r="A50" s="466"/>
      <c r="B50" s="468"/>
      <c r="C50" s="415"/>
      <c r="D50" s="415"/>
      <c r="E50" s="415"/>
      <c r="F50" s="415"/>
      <c r="G50" s="415"/>
      <c r="H50" s="415"/>
      <c r="I50" s="415"/>
      <c r="J50" s="415"/>
      <c r="K50" s="467"/>
    </row>
    <row r="51" spans="1:11" ht="15" thickBot="1" x14ac:dyDescent="0.25">
      <c r="A51" s="443" t="s">
        <v>274</v>
      </c>
      <c r="B51" s="308" t="s">
        <v>254</v>
      </c>
      <c r="C51" s="308" t="s">
        <v>255</v>
      </c>
      <c r="D51" s="308" t="s">
        <v>256</v>
      </c>
      <c r="E51" s="308" t="s">
        <v>257</v>
      </c>
      <c r="F51" s="308" t="s">
        <v>258</v>
      </c>
      <c r="G51" s="308" t="s">
        <v>259</v>
      </c>
      <c r="H51" s="308" t="s">
        <v>260</v>
      </c>
      <c r="I51" s="308" t="s">
        <v>261</v>
      </c>
      <c r="J51" s="314" t="s">
        <v>551</v>
      </c>
      <c r="K51" s="307" t="s">
        <v>266</v>
      </c>
    </row>
    <row r="52" spans="1:11" ht="15" x14ac:dyDescent="0.25">
      <c r="A52" s="631" t="s">
        <v>268</v>
      </c>
      <c r="B52" s="632"/>
      <c r="C52" s="632"/>
      <c r="D52" s="632"/>
      <c r="E52" s="632"/>
      <c r="F52" s="632"/>
      <c r="G52" s="632"/>
      <c r="H52" s="632"/>
      <c r="I52" s="632"/>
      <c r="J52" s="632"/>
      <c r="K52" s="500">
        <f>SUM(B52:I52)/3</f>
        <v>0</v>
      </c>
    </row>
    <row r="53" spans="1:11" ht="15" x14ac:dyDescent="0.25">
      <c r="A53" s="631" t="s">
        <v>269</v>
      </c>
      <c r="B53" s="632">
        <v>60549</v>
      </c>
      <c r="C53" s="632">
        <v>12599</v>
      </c>
      <c r="D53" s="632">
        <v>1933001</v>
      </c>
      <c r="E53" s="632">
        <v>5696099</v>
      </c>
      <c r="F53" s="632">
        <v>179967</v>
      </c>
      <c r="G53" s="632">
        <v>2861</v>
      </c>
      <c r="H53" s="632">
        <v>498071</v>
      </c>
      <c r="I53" s="632">
        <v>863628</v>
      </c>
      <c r="J53" s="632">
        <v>4994</v>
      </c>
      <c r="K53" s="500">
        <f>SUM(B53:J53)/9</f>
        <v>1027974.3333333334</v>
      </c>
    </row>
    <row r="54" spans="1:11" ht="15" x14ac:dyDescent="0.25">
      <c r="A54" s="631" t="s">
        <v>391</v>
      </c>
      <c r="B54" s="632"/>
      <c r="C54" s="632"/>
      <c r="D54" s="632"/>
      <c r="E54" s="632"/>
      <c r="F54" s="632"/>
      <c r="G54" s="632"/>
      <c r="H54" s="632"/>
      <c r="I54" s="632"/>
      <c r="J54" s="632"/>
      <c r="K54" s="500">
        <f t="shared" ref="K54:K60" si="5">SUM(B54:I54)/7</f>
        <v>0</v>
      </c>
    </row>
    <row r="55" spans="1:11" ht="15" x14ac:dyDescent="0.25">
      <c r="A55" s="631" t="s">
        <v>272</v>
      </c>
      <c r="B55" s="632"/>
      <c r="C55" s="632"/>
      <c r="D55" s="632"/>
      <c r="E55" s="632"/>
      <c r="F55" s="632"/>
      <c r="G55" s="632"/>
      <c r="H55" s="632"/>
      <c r="I55" s="632"/>
      <c r="J55" s="632"/>
      <c r="K55" s="500">
        <f t="shared" si="5"/>
        <v>0</v>
      </c>
    </row>
    <row r="56" spans="1:11" ht="15" x14ac:dyDescent="0.25">
      <c r="A56" s="631" t="s">
        <v>397</v>
      </c>
      <c r="B56" s="632"/>
      <c r="C56" s="632"/>
      <c r="D56" s="632"/>
      <c r="E56" s="632"/>
      <c r="F56" s="632"/>
      <c r="G56" s="632"/>
      <c r="H56" s="632"/>
      <c r="I56" s="632"/>
      <c r="J56" s="632"/>
      <c r="K56" s="500">
        <f t="shared" si="5"/>
        <v>0</v>
      </c>
    </row>
    <row r="57" spans="1:11" ht="15" x14ac:dyDescent="0.25">
      <c r="A57" s="631" t="s">
        <v>316</v>
      </c>
      <c r="B57" s="632">
        <v>18979</v>
      </c>
      <c r="C57" s="632"/>
      <c r="D57" s="632"/>
      <c r="E57" s="632"/>
      <c r="F57" s="632"/>
      <c r="G57" s="632"/>
      <c r="H57" s="632"/>
      <c r="I57" s="632"/>
      <c r="J57" s="632">
        <v>80804</v>
      </c>
      <c r="K57" s="646">
        <f>SUM(B57:J57)/2</f>
        <v>49891.5</v>
      </c>
    </row>
    <row r="58" spans="1:11" ht="15" x14ac:dyDescent="0.25">
      <c r="A58" s="631" t="s">
        <v>270</v>
      </c>
      <c r="B58" s="632"/>
      <c r="C58" s="632"/>
      <c r="D58" s="632"/>
      <c r="E58" s="632"/>
      <c r="F58" s="632"/>
      <c r="G58" s="632">
        <f>1087</f>
        <v>1087</v>
      </c>
      <c r="H58" s="632"/>
      <c r="I58" s="632">
        <v>288</v>
      </c>
      <c r="J58" s="632"/>
      <c r="K58" s="500">
        <f>SUM(B58:J58)/2</f>
        <v>687.5</v>
      </c>
    </row>
    <row r="59" spans="1:11" ht="14.25" x14ac:dyDescent="0.2">
      <c r="A59" s="445" t="s">
        <v>389</v>
      </c>
      <c r="B59" s="452">
        <v>7423769</v>
      </c>
      <c r="C59" s="452">
        <v>4713224</v>
      </c>
      <c r="D59" s="452">
        <v>408739</v>
      </c>
      <c r="E59" s="452">
        <v>1163952</v>
      </c>
      <c r="F59" s="452">
        <v>59707</v>
      </c>
      <c r="G59" s="452">
        <v>294692</v>
      </c>
      <c r="H59" s="452">
        <v>232720</v>
      </c>
      <c r="I59" s="452"/>
      <c r="J59" s="452">
        <v>232720</v>
      </c>
      <c r="K59" s="498">
        <f>SUM(B59:I59)/7</f>
        <v>2042400.4285714286</v>
      </c>
    </row>
    <row r="60" spans="1:11" ht="15" x14ac:dyDescent="0.25">
      <c r="A60" s="444" t="s">
        <v>317</v>
      </c>
      <c r="B60" s="449"/>
      <c r="C60" s="449"/>
      <c r="D60" s="449"/>
      <c r="E60" s="449"/>
      <c r="F60" s="449"/>
      <c r="G60" s="449"/>
      <c r="H60" s="449"/>
      <c r="I60" s="449"/>
      <c r="J60" s="449"/>
      <c r="K60" s="447">
        <f t="shared" si="5"/>
        <v>0</v>
      </c>
    </row>
    <row r="61" spans="1:11" ht="15" x14ac:dyDescent="0.25">
      <c r="A61" s="633" t="s">
        <v>318</v>
      </c>
      <c r="B61" s="632">
        <v>320000</v>
      </c>
      <c r="C61" s="632">
        <v>590000</v>
      </c>
      <c r="D61" s="632">
        <v>110000</v>
      </c>
      <c r="E61" s="632">
        <v>340000</v>
      </c>
      <c r="F61" s="632">
        <v>160000</v>
      </c>
      <c r="G61" s="632">
        <v>425000</v>
      </c>
      <c r="H61" s="632">
        <v>3775005</v>
      </c>
      <c r="I61" s="632">
        <v>295001</v>
      </c>
      <c r="J61" s="632">
        <v>60002</v>
      </c>
      <c r="K61" s="646">
        <f>SUM(B61:J61)/9</f>
        <v>675000.88888888888</v>
      </c>
    </row>
    <row r="62" spans="1:11" ht="15" x14ac:dyDescent="0.25">
      <c r="A62" s="633" t="s">
        <v>275</v>
      </c>
      <c r="B62" s="632"/>
      <c r="C62" s="632"/>
      <c r="D62" s="632"/>
      <c r="E62" s="632">
        <v>20000</v>
      </c>
      <c r="F62" s="632">
        <v>10000</v>
      </c>
      <c r="G62" s="632"/>
      <c r="H62" s="632"/>
      <c r="I62" s="632"/>
      <c r="J62" s="632"/>
      <c r="K62" s="500">
        <f>SUM(B62:J62)/3</f>
        <v>10000</v>
      </c>
    </row>
    <row r="63" spans="1:11" ht="15" x14ac:dyDescent="0.25">
      <c r="A63" s="631" t="s">
        <v>319</v>
      </c>
      <c r="B63" s="632"/>
      <c r="C63" s="632"/>
      <c r="D63" s="632">
        <v>3850464</v>
      </c>
      <c r="E63" s="632">
        <v>-3850464</v>
      </c>
      <c r="F63" s="632"/>
      <c r="G63" s="632"/>
      <c r="H63" s="632">
        <v>15000</v>
      </c>
      <c r="I63" s="632">
        <v>140423</v>
      </c>
      <c r="J63" s="632">
        <v>44447</v>
      </c>
      <c r="K63" s="500">
        <f>SUM(B63:J63)/3</f>
        <v>66623.333333333328</v>
      </c>
    </row>
    <row r="64" spans="1:11" ht="15.75" thickBot="1" x14ac:dyDescent="0.3">
      <c r="A64" s="477"/>
      <c r="B64" s="415"/>
      <c r="C64" s="415"/>
      <c r="D64" s="415"/>
      <c r="E64" s="478"/>
      <c r="F64" s="415"/>
      <c r="G64" s="415"/>
      <c r="H64" s="415"/>
      <c r="I64" s="415"/>
      <c r="J64" s="415"/>
      <c r="K64" s="467"/>
    </row>
    <row r="65" spans="1:11" ht="15" thickBot="1" x14ac:dyDescent="0.25">
      <c r="A65" s="426" t="s">
        <v>278</v>
      </c>
      <c r="B65" s="451">
        <f>SUM(B52:B63)</f>
        <v>7823297</v>
      </c>
      <c r="C65" s="451">
        <f t="shared" ref="C65:I65" si="6">SUM(C52:C63)</f>
        <v>5315823</v>
      </c>
      <c r="D65" s="451">
        <f t="shared" si="6"/>
        <v>6302204</v>
      </c>
      <c r="E65" s="451">
        <f t="shared" si="6"/>
        <v>3369587</v>
      </c>
      <c r="F65" s="451">
        <f t="shared" si="6"/>
        <v>409674</v>
      </c>
      <c r="G65" s="451">
        <f>SUM(G52:G63)</f>
        <v>723640</v>
      </c>
      <c r="H65" s="451">
        <f>SUM(H52:H63)</f>
        <v>4520796</v>
      </c>
      <c r="I65" s="451">
        <f t="shared" si="6"/>
        <v>1299340</v>
      </c>
      <c r="J65" s="451">
        <f>SUM(J52:J63)</f>
        <v>422967</v>
      </c>
      <c r="K65" s="451">
        <f>+K52+K53+K54+K55+K56+K57+K58+K60+K61+K62+K63</f>
        <v>1830177.5555555557</v>
      </c>
    </row>
    <row r="66" spans="1:11" x14ac:dyDescent="0.2">
      <c r="A66" s="479"/>
      <c r="B66" s="337"/>
      <c r="C66" s="337"/>
      <c r="D66" s="337"/>
      <c r="E66" s="337"/>
      <c r="F66" s="337"/>
      <c r="G66" s="337"/>
      <c r="H66" s="337"/>
      <c r="I66" s="337"/>
      <c r="J66" s="337"/>
      <c r="K66" s="480"/>
    </row>
    <row r="67" spans="1:11" s="459" customFormat="1" ht="14.25" x14ac:dyDescent="0.2">
      <c r="A67" s="481" t="s">
        <v>657</v>
      </c>
      <c r="B67" s="482">
        <f t="shared" ref="B67:H67" si="7">+B65+B49</f>
        <v>15075138</v>
      </c>
      <c r="C67" s="482">
        <f t="shared" si="7"/>
        <v>11811246</v>
      </c>
      <c r="D67" s="482">
        <f t="shared" si="7"/>
        <v>16546620</v>
      </c>
      <c r="E67" s="482">
        <f t="shared" si="7"/>
        <v>10262729</v>
      </c>
      <c r="F67" s="482">
        <f t="shared" si="7"/>
        <v>6246458</v>
      </c>
      <c r="G67" s="482">
        <f t="shared" si="7"/>
        <v>5641877</v>
      </c>
      <c r="H67" s="482">
        <f t="shared" si="7"/>
        <v>8899533</v>
      </c>
      <c r="I67" s="482"/>
      <c r="J67" s="482">
        <f>+J65+J49</f>
        <v>5554393</v>
      </c>
      <c r="K67" s="483"/>
    </row>
    <row r="68" spans="1:11" hidden="1" x14ac:dyDescent="0.2">
      <c r="A68" s="479"/>
      <c r="B68" s="484">
        <f>1347820926.44-1217872153.8-B67</f>
        <v>114873634.6400001</v>
      </c>
      <c r="C68" s="484">
        <f>28633307.76-43000530.63-C67</f>
        <v>-26178468.870000001</v>
      </c>
      <c r="D68" s="484">
        <f>17472867.23-17819.88-D67</f>
        <v>908427.35000000149</v>
      </c>
      <c r="E68" s="484">
        <f>53778849.94-4656331.5-E67</f>
        <v>38859789.439999998</v>
      </c>
      <c r="F68" s="484">
        <f>15036191.79-6361.25-F67</f>
        <v>8783372.5399999991</v>
      </c>
      <c r="G68" s="484">
        <f>5755303.33-3310087.48-G67</f>
        <v>-3196661.15</v>
      </c>
      <c r="H68" s="484">
        <f>188275998.95-90000000-H67</f>
        <v>89376465.949999988</v>
      </c>
      <c r="I68" s="337"/>
      <c r="J68" s="484">
        <f>188275998.95-90000000-J67</f>
        <v>92721605.949999988</v>
      </c>
      <c r="K68" s="480"/>
    </row>
    <row r="69" spans="1:11" ht="14.25" x14ac:dyDescent="0.2">
      <c r="A69" s="485" t="s">
        <v>390</v>
      </c>
      <c r="B69" s="453">
        <v>0</v>
      </c>
      <c r="C69" s="453">
        <v>579478</v>
      </c>
      <c r="D69" s="453">
        <v>1740675</v>
      </c>
      <c r="E69" s="453">
        <v>1096200</v>
      </c>
      <c r="F69" s="453">
        <v>7834270</v>
      </c>
      <c r="G69" s="453">
        <v>1835008</v>
      </c>
      <c r="H69" s="453">
        <v>4478544</v>
      </c>
      <c r="I69" s="453"/>
      <c r="J69" s="453">
        <v>4478544</v>
      </c>
      <c r="K69" s="499">
        <f>SUM(B69:I69)/7</f>
        <v>2509167.8571428573</v>
      </c>
    </row>
    <row r="70" spans="1:11" x14ac:dyDescent="0.2">
      <c r="A70" s="479"/>
      <c r="B70" s="337"/>
      <c r="C70" s="337"/>
      <c r="D70" s="337"/>
      <c r="E70" s="337"/>
      <c r="F70" s="337"/>
      <c r="G70" s="337"/>
      <c r="H70" s="337"/>
      <c r="I70" s="337"/>
      <c r="J70" s="337"/>
      <c r="K70" s="480"/>
    </row>
    <row r="71" spans="1:11" x14ac:dyDescent="0.2">
      <c r="A71" s="479"/>
      <c r="B71" s="337"/>
      <c r="C71" s="337"/>
      <c r="D71" s="337"/>
      <c r="E71" s="337"/>
      <c r="F71" s="337"/>
      <c r="G71" s="337"/>
      <c r="H71" s="337"/>
      <c r="I71" s="337"/>
      <c r="J71" s="337"/>
      <c r="K71" s="480"/>
    </row>
    <row r="72" spans="1:11" ht="15" x14ac:dyDescent="0.25">
      <c r="A72" s="460" t="s">
        <v>55</v>
      </c>
      <c r="B72" s="454">
        <f>1328192334.26-1217872153.8</f>
        <v>110320180.46000004</v>
      </c>
      <c r="C72" s="454">
        <f>9018101.84-43000530.63</f>
        <v>-33982428.790000007</v>
      </c>
      <c r="D72" s="454">
        <f>1094720.63-7356.88</f>
        <v>1087363.75</v>
      </c>
      <c r="E72" s="454">
        <f>1409240.64-13907.5</f>
        <v>1395333.14</v>
      </c>
      <c r="F72" s="454">
        <f>253278.12-6361.25</f>
        <v>246916.87</v>
      </c>
      <c r="G72" s="454">
        <f>3778-552584.37</f>
        <v>-548806.37</v>
      </c>
      <c r="H72" s="454">
        <v>3644023.14</v>
      </c>
      <c r="I72" s="454"/>
      <c r="J72" s="454">
        <v>3644023.14</v>
      </c>
      <c r="K72" s="675">
        <f>SUM(B72:I72)/7</f>
        <v>11737511.742857147</v>
      </c>
    </row>
    <row r="75" spans="1:11" x14ac:dyDescent="0.2">
      <c r="B75" s="305"/>
      <c r="C75" s="305"/>
      <c r="D75" s="305"/>
      <c r="E75" s="305"/>
      <c r="F75" s="305"/>
      <c r="G75" s="305"/>
      <c r="H75" s="305"/>
      <c r="I75" s="305"/>
      <c r="J75" s="305"/>
      <c r="K75" s="305"/>
    </row>
  </sheetData>
  <mergeCells count="2">
    <mergeCell ref="A1:K1"/>
    <mergeCell ref="A31:K31"/>
  </mergeCells>
  <pageMargins left="0" right="0" top="0" bottom="0" header="0.31496062992125984" footer="0.31496062992125984"/>
  <pageSetup paperSize="9" scale="5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108"/>
  <sheetViews>
    <sheetView zoomScale="90" zoomScaleNormal="90" workbookViewId="0">
      <pane xSplit="2" ySplit="5" topLeftCell="C58" activePane="bottomRight" state="frozen"/>
      <selection pane="topRight" activeCell="C1" sqref="C1"/>
      <selection pane="bottomLeft" activeCell="A9" sqref="A9"/>
      <selection pane="bottomRight" activeCell="I81" sqref="I81"/>
    </sheetView>
  </sheetViews>
  <sheetFormatPr baseColWidth="10" defaultRowHeight="12.75" x14ac:dyDescent="0.2"/>
  <cols>
    <col min="1" max="1" width="56.42578125" style="304" bestFit="1" customWidth="1"/>
    <col min="2" max="2" width="19" style="304" bestFit="1" customWidth="1"/>
    <col min="3" max="4" width="16.28515625" style="304" bestFit="1" customWidth="1"/>
    <col min="5" max="5" width="29.85546875" style="304" customWidth="1"/>
    <col min="6" max="6" width="21.85546875" style="304" bestFit="1" customWidth="1"/>
    <col min="7" max="7" width="24.7109375" style="304" bestFit="1" customWidth="1"/>
    <col min="8" max="8" width="20.85546875" style="304" customWidth="1"/>
    <col min="9" max="9" width="14.28515625" style="321" customWidth="1"/>
    <col min="10" max="10" width="13.7109375" style="320" hidden="1" customWidth="1"/>
    <col min="11" max="11" width="16.5703125" style="320" hidden="1" customWidth="1"/>
    <col min="12" max="12" width="16.140625" style="320" hidden="1" customWidth="1"/>
    <col min="13" max="13" width="14.85546875" style="304" customWidth="1"/>
    <col min="14" max="14" width="14.140625" style="304" customWidth="1"/>
    <col min="15" max="15" width="11.5703125" style="304" bestFit="1" customWidth="1"/>
    <col min="16" max="16384" width="11.42578125" style="304"/>
  </cols>
  <sheetData>
    <row r="1" spans="1:16" x14ac:dyDescent="0.2">
      <c r="F1" s="390"/>
    </row>
    <row r="2" spans="1:16" x14ac:dyDescent="0.2">
      <c r="A2" s="1023" t="s">
        <v>385</v>
      </c>
      <c r="B2" s="1023"/>
      <c r="C2" s="1023"/>
    </row>
    <row r="3" spans="1:16" x14ac:dyDescent="0.2">
      <c r="A3" s="331"/>
      <c r="B3" s="331">
        <v>2014</v>
      </c>
      <c r="C3" s="331">
        <v>2015</v>
      </c>
    </row>
    <row r="4" spans="1:16" x14ac:dyDescent="0.2">
      <c r="A4" s="417" t="s">
        <v>384</v>
      </c>
      <c r="B4" s="331"/>
      <c r="C4" s="416">
        <v>0.04</v>
      </c>
      <c r="D4" s="337"/>
      <c r="E4" s="337"/>
      <c r="F4" s="487"/>
      <c r="G4" s="337"/>
      <c r="H4" s="337"/>
      <c r="I4" s="371"/>
      <c r="J4" s="410"/>
      <c r="K4" s="410"/>
      <c r="L4" s="410"/>
      <c r="M4" s="337"/>
      <c r="N4" s="337"/>
      <c r="O4" s="337"/>
      <c r="P4" s="337"/>
    </row>
    <row r="5" spans="1:16" x14ac:dyDescent="0.2">
      <c r="A5" s="417" t="s">
        <v>383</v>
      </c>
      <c r="B5" s="331"/>
      <c r="C5" s="416">
        <v>0.04</v>
      </c>
      <c r="D5" s="337"/>
      <c r="E5" s="337"/>
      <c r="F5" s="362"/>
      <c r="G5" s="337"/>
      <c r="H5" s="337"/>
      <c r="I5" s="371"/>
      <c r="J5" s="410"/>
      <c r="K5" s="410"/>
      <c r="L5" s="410"/>
      <c r="M5" s="337"/>
      <c r="N5" s="337"/>
      <c r="O5" s="337"/>
      <c r="P5" s="337"/>
    </row>
    <row r="6" spans="1:16" x14ac:dyDescent="0.2">
      <c r="A6" s="329" t="s">
        <v>401</v>
      </c>
      <c r="B6" s="399">
        <v>660</v>
      </c>
      <c r="C6" s="412">
        <f>+B6*1.04</f>
        <v>686.4</v>
      </c>
      <c r="D6" s="337"/>
      <c r="E6" s="648"/>
      <c r="F6" s="415"/>
      <c r="G6" s="414"/>
      <c r="H6" s="389"/>
      <c r="I6" s="371"/>
      <c r="J6" s="410"/>
      <c r="K6" s="410"/>
      <c r="L6" s="410"/>
      <c r="M6" s="647"/>
      <c r="N6" s="647"/>
      <c r="O6" s="648"/>
      <c r="P6" s="337"/>
    </row>
    <row r="7" spans="1:16" x14ac:dyDescent="0.2">
      <c r="A7" s="329" t="s">
        <v>402</v>
      </c>
      <c r="B7" s="399">
        <v>0</v>
      </c>
      <c r="C7" s="412">
        <v>0</v>
      </c>
      <c r="D7" s="337"/>
      <c r="E7" s="648"/>
      <c r="F7" s="415"/>
      <c r="G7" s="414"/>
      <c r="H7" s="647"/>
      <c r="I7" s="371"/>
      <c r="J7" s="410"/>
      <c r="K7" s="410"/>
      <c r="L7" s="410"/>
      <c r="M7" s="647"/>
      <c r="N7" s="647"/>
      <c r="O7" s="647"/>
      <c r="P7" s="337"/>
    </row>
    <row r="8" spans="1:16" x14ac:dyDescent="0.2">
      <c r="A8" s="329" t="s">
        <v>382</v>
      </c>
      <c r="B8" s="399"/>
      <c r="C8" s="409">
        <v>0.03</v>
      </c>
      <c r="D8" s="337"/>
      <c r="E8" s="1024"/>
      <c r="F8" s="415"/>
      <c r="G8" s="414"/>
      <c r="H8" s="1020"/>
      <c r="I8" s="371"/>
      <c r="J8" s="410"/>
      <c r="K8" s="410"/>
      <c r="L8" s="410"/>
      <c r="M8" s="1020"/>
      <c r="N8" s="1020"/>
      <c r="O8" s="1020"/>
      <c r="P8" s="337"/>
    </row>
    <row r="9" spans="1:16" x14ac:dyDescent="0.2">
      <c r="A9" s="329" t="s">
        <v>381</v>
      </c>
      <c r="B9" s="413">
        <v>0</v>
      </c>
      <c r="C9" s="412">
        <f>+B9*(1+$C$8)</f>
        <v>0</v>
      </c>
      <c r="D9" s="337"/>
      <c r="E9" s="1024"/>
      <c r="F9" s="415"/>
      <c r="G9" s="414"/>
      <c r="H9" s="1020"/>
      <c r="I9" s="371"/>
      <c r="J9" s="410"/>
      <c r="K9" s="410"/>
      <c r="L9" s="410"/>
      <c r="M9" s="1024"/>
      <c r="N9" s="1020"/>
      <c r="O9" s="1024"/>
      <c r="P9" s="337"/>
    </row>
    <row r="10" spans="1:16" x14ac:dyDescent="0.2">
      <c r="A10" s="329" t="s">
        <v>380</v>
      </c>
      <c r="B10" s="413">
        <v>0</v>
      </c>
      <c r="C10" s="412">
        <f>+B10*(1+$C$8)</f>
        <v>0</v>
      </c>
      <c r="D10" s="337"/>
      <c r="E10" s="1018"/>
      <c r="F10" s="337"/>
      <c r="G10" s="362"/>
      <c r="H10" s="1019"/>
      <c r="I10" s="371"/>
      <c r="J10" s="410"/>
      <c r="K10" s="410"/>
      <c r="L10" s="410"/>
      <c r="M10" s="1020"/>
      <c r="N10" s="1019"/>
      <c r="O10" s="1019"/>
      <c r="P10" s="337"/>
    </row>
    <row r="11" spans="1:16" x14ac:dyDescent="0.2">
      <c r="A11" s="654" t="s">
        <v>645</v>
      </c>
      <c r="B11" s="655"/>
      <c r="C11" s="656">
        <v>0.16500000000000001</v>
      </c>
      <c r="D11" s="337"/>
      <c r="E11" s="1018"/>
      <c r="F11" s="337"/>
      <c r="G11" s="362"/>
      <c r="H11" s="1019"/>
      <c r="I11" s="371"/>
      <c r="J11" s="410"/>
      <c r="K11" s="410"/>
      <c r="L11" s="410"/>
      <c r="M11" s="1020"/>
      <c r="N11" s="1019"/>
      <c r="O11" s="1019"/>
      <c r="P11" s="337"/>
    </row>
    <row r="12" spans="1:16" x14ac:dyDescent="0.2">
      <c r="A12" s="329" t="s">
        <v>379</v>
      </c>
      <c r="B12" s="411">
        <v>165</v>
      </c>
      <c r="C12" s="406">
        <f>+B12*C5+B12</f>
        <v>171.6</v>
      </c>
      <c r="D12" s="337"/>
      <c r="E12" s="1018"/>
      <c r="F12" s="337"/>
      <c r="G12" s="362"/>
      <c r="H12" s="1019"/>
      <c r="I12" s="371"/>
      <c r="J12" s="410"/>
      <c r="K12" s="410"/>
      <c r="L12" s="410"/>
      <c r="M12" s="1020"/>
      <c r="N12" s="1019"/>
      <c r="O12" s="1021"/>
      <c r="P12" s="337"/>
    </row>
    <row r="13" spans="1:16" x14ac:dyDescent="0.2">
      <c r="A13" s="329" t="s">
        <v>378</v>
      </c>
      <c r="B13" s="399">
        <v>259</v>
      </c>
      <c r="C13" s="406">
        <f>+B13</f>
        <v>259</v>
      </c>
      <c r="D13" s="337"/>
      <c r="E13" s="337"/>
      <c r="F13" s="337"/>
      <c r="G13" s="337"/>
      <c r="H13" s="337"/>
      <c r="I13" s="371"/>
      <c r="J13" s="410"/>
      <c r="K13" s="410"/>
      <c r="L13" s="410"/>
      <c r="M13" s="337"/>
      <c r="N13" s="337"/>
      <c r="O13" s="337"/>
      <c r="P13" s="337"/>
    </row>
    <row r="14" spans="1:16" x14ac:dyDescent="0.2">
      <c r="A14" s="329" t="s">
        <v>51</v>
      </c>
      <c r="B14" s="395">
        <v>0.16</v>
      </c>
      <c r="C14" s="409">
        <v>0.16</v>
      </c>
      <c r="D14" s="371"/>
      <c r="E14" s="371"/>
      <c r="F14" s="371"/>
      <c r="G14" s="360"/>
      <c r="H14" s="360"/>
      <c r="I14" s="371"/>
      <c r="J14" s="403"/>
      <c r="K14" s="403"/>
      <c r="L14" s="403"/>
      <c r="M14" s="371"/>
      <c r="N14" s="337"/>
      <c r="O14" s="337"/>
      <c r="P14" s="337"/>
    </row>
    <row r="15" spans="1:16" x14ac:dyDescent="0.2">
      <c r="A15" s="329" t="s">
        <v>377</v>
      </c>
      <c r="B15" s="408">
        <f>+B12*B14</f>
        <v>26.400000000000002</v>
      </c>
      <c r="C15" s="407">
        <f>+C12*C14</f>
        <v>27.456</v>
      </c>
      <c r="D15" s="1022"/>
      <c r="E15" s="1022"/>
      <c r="F15" s="1015"/>
      <c r="G15" s="371"/>
      <c r="H15" s="404"/>
      <c r="I15" s="371"/>
      <c r="J15" s="403"/>
      <c r="K15" s="403"/>
      <c r="L15" s="403"/>
      <c r="M15" s="371"/>
      <c r="N15" s="337"/>
      <c r="O15" s="337"/>
      <c r="P15" s="337"/>
    </row>
    <row r="16" spans="1:16" x14ac:dyDescent="0.2">
      <c r="A16" s="329" t="s">
        <v>376</v>
      </c>
      <c r="B16" s="325">
        <f>+B13*B14</f>
        <v>41.44</v>
      </c>
      <c r="C16" s="657">
        <f>+C13*C14</f>
        <v>41.44</v>
      </c>
      <c r="D16" s="360"/>
      <c r="E16" s="360"/>
      <c r="F16" s="1015"/>
      <c r="G16" s="371"/>
      <c r="H16" s="404"/>
      <c r="I16" s="371"/>
      <c r="J16" s="403"/>
      <c r="K16" s="403"/>
      <c r="L16" s="403"/>
      <c r="M16" s="371"/>
      <c r="N16" s="337"/>
      <c r="O16" s="337"/>
      <c r="P16" s="337"/>
    </row>
    <row r="17" spans="1:16" x14ac:dyDescent="0.2">
      <c r="A17" s="329" t="s">
        <v>498</v>
      </c>
      <c r="B17" s="399">
        <f>+B13+B16</f>
        <v>300.44</v>
      </c>
      <c r="C17" s="406">
        <f>(B17*C8)+B17</f>
        <v>309.45319999999998</v>
      </c>
      <c r="D17" s="405"/>
      <c r="E17" s="658"/>
      <c r="F17" s="1015"/>
      <c r="G17" s="371"/>
      <c r="H17" s="404"/>
      <c r="I17" s="371"/>
      <c r="J17" s="403"/>
      <c r="K17" s="403"/>
      <c r="L17" s="403"/>
      <c r="M17" s="371"/>
      <c r="N17" s="337"/>
      <c r="O17" s="337"/>
      <c r="P17" s="337"/>
    </row>
    <row r="18" spans="1:16" x14ac:dyDescent="0.2">
      <c r="A18" s="329" t="s">
        <v>499</v>
      </c>
      <c r="B18" s="399">
        <v>259</v>
      </c>
      <c r="C18" s="406">
        <f>B18</f>
        <v>259</v>
      </c>
      <c r="D18" s="405"/>
      <c r="E18" s="371"/>
      <c r="F18" s="1015"/>
      <c r="G18" s="371"/>
      <c r="H18" s="404"/>
      <c r="I18" s="371"/>
      <c r="J18" s="403"/>
      <c r="K18" s="403"/>
      <c r="L18" s="403"/>
      <c r="M18" s="371"/>
      <c r="N18" s="337"/>
      <c r="O18" s="337"/>
      <c r="P18" s="337"/>
    </row>
    <row r="19" spans="1:16" x14ac:dyDescent="0.2">
      <c r="A19" s="329" t="s">
        <v>375</v>
      </c>
      <c r="B19" s="399">
        <f>+B18*B14</f>
        <v>41.44</v>
      </c>
      <c r="C19" s="406">
        <f>+C18*C14</f>
        <v>41.44</v>
      </c>
      <c r="D19" s="405"/>
      <c r="E19" s="371"/>
      <c r="F19" s="1015"/>
      <c r="G19" s="371"/>
      <c r="H19" s="404"/>
      <c r="I19" s="371"/>
      <c r="J19" s="403"/>
      <c r="K19" s="403"/>
      <c r="L19" s="403"/>
      <c r="M19" s="371"/>
      <c r="N19" s="337"/>
      <c r="O19" s="337"/>
      <c r="P19" s="337"/>
    </row>
    <row r="20" spans="1:16" x14ac:dyDescent="0.2">
      <c r="A20" s="329" t="s">
        <v>500</v>
      </c>
      <c r="B20" s="399">
        <f>+B18+B19</f>
        <v>300.44</v>
      </c>
      <c r="C20" s="406">
        <f>B20*C8+B20</f>
        <v>309.45319999999998</v>
      </c>
      <c r="D20" s="405"/>
      <c r="E20" s="658"/>
      <c r="F20" s="1015"/>
      <c r="G20" s="371"/>
      <c r="H20" s="404"/>
      <c r="I20" s="371"/>
      <c r="J20" s="403"/>
      <c r="K20" s="403"/>
      <c r="L20" s="403"/>
      <c r="M20" s="371"/>
      <c r="N20" s="337"/>
      <c r="O20" s="337"/>
      <c r="P20" s="337"/>
    </row>
    <row r="21" spans="1:16" x14ac:dyDescent="0.2">
      <c r="A21" s="329" t="s">
        <v>374</v>
      </c>
      <c r="B21" s="395">
        <v>0</v>
      </c>
      <c r="C21" s="402">
        <v>0</v>
      </c>
      <c r="D21" s="321"/>
      <c r="E21" s="321"/>
      <c r="F21" s="321"/>
      <c r="G21" s="321"/>
      <c r="H21" s="321"/>
      <c r="J21" s="401"/>
      <c r="K21" s="401"/>
      <c r="L21" s="401"/>
      <c r="M21" s="321"/>
    </row>
    <row r="22" spans="1:16" x14ac:dyDescent="0.2">
      <c r="A22" s="329" t="s">
        <v>373</v>
      </c>
      <c r="B22" s="399">
        <v>0</v>
      </c>
      <c r="C22" s="399">
        <v>0</v>
      </c>
      <c r="F22" s="336"/>
    </row>
    <row r="23" spans="1:16" x14ac:dyDescent="0.2">
      <c r="A23" s="329" t="s">
        <v>372</v>
      </c>
      <c r="B23" s="399">
        <v>259</v>
      </c>
      <c r="C23" s="399">
        <f>B23</f>
        <v>259</v>
      </c>
      <c r="F23" s="336"/>
    </row>
    <row r="24" spans="1:16" x14ac:dyDescent="0.2">
      <c r="A24" s="400" t="s">
        <v>371</v>
      </c>
      <c r="B24" s="399">
        <f>+B23*16%</f>
        <v>41.44</v>
      </c>
      <c r="C24" s="399">
        <f>+C23*16%</f>
        <v>41.44</v>
      </c>
      <c r="F24" s="336"/>
    </row>
    <row r="25" spans="1:16" x14ac:dyDescent="0.2">
      <c r="A25" s="400" t="s">
        <v>370</v>
      </c>
      <c r="B25" s="399">
        <f>+B23+B24</f>
        <v>300.44</v>
      </c>
      <c r="C25" s="399">
        <f>+B25*C8+B25</f>
        <v>309.45319999999998</v>
      </c>
      <c r="F25" s="336"/>
    </row>
    <row r="26" spans="1:16" x14ac:dyDescent="0.2">
      <c r="A26" s="400" t="s">
        <v>369</v>
      </c>
      <c r="B26" s="399">
        <f>+B25+B22</f>
        <v>300.44</v>
      </c>
      <c r="C26" s="399">
        <f>+C25+C22</f>
        <v>309.45319999999998</v>
      </c>
      <c r="F26" s="336"/>
    </row>
    <row r="27" spans="1:16" x14ac:dyDescent="0.2">
      <c r="A27" s="327" t="s">
        <v>368</v>
      </c>
      <c r="B27" s="325"/>
      <c r="C27" s="325"/>
      <c r="F27" s="336"/>
    </row>
    <row r="28" spans="1:16" x14ac:dyDescent="0.2">
      <c r="A28" s="329" t="s">
        <v>403</v>
      </c>
      <c r="B28" s="325"/>
      <c r="C28" s="395">
        <v>1</v>
      </c>
    </row>
    <row r="29" spans="1:16" x14ac:dyDescent="0.2">
      <c r="A29" s="329" t="s">
        <v>367</v>
      </c>
      <c r="B29" s="325"/>
      <c r="C29" s="325"/>
    </row>
    <row r="30" spans="1:16" x14ac:dyDescent="0.2">
      <c r="A30" s="329" t="s">
        <v>363</v>
      </c>
      <c r="B30" s="325"/>
      <c r="C30" s="395">
        <v>1</v>
      </c>
    </row>
    <row r="31" spans="1:16" x14ac:dyDescent="0.2">
      <c r="A31" s="329" t="s">
        <v>366</v>
      </c>
      <c r="B31" s="325"/>
      <c r="C31" s="395"/>
    </row>
    <row r="32" spans="1:16" x14ac:dyDescent="0.2">
      <c r="A32" s="329" t="s">
        <v>403</v>
      </c>
      <c r="B32" s="325"/>
      <c r="C32" s="395">
        <v>1</v>
      </c>
    </row>
    <row r="33" spans="1:3" x14ac:dyDescent="0.2">
      <c r="A33" s="329" t="s">
        <v>365</v>
      </c>
      <c r="B33" s="325"/>
      <c r="C33" s="395"/>
    </row>
    <row r="34" spans="1:3" x14ac:dyDescent="0.2">
      <c r="A34" s="398" t="s">
        <v>364</v>
      </c>
      <c r="B34" s="325"/>
      <c r="C34" s="397">
        <v>1</v>
      </c>
    </row>
    <row r="35" spans="1:3" x14ac:dyDescent="0.2">
      <c r="A35" s="396" t="s">
        <v>404</v>
      </c>
      <c r="B35" s="325"/>
      <c r="C35" s="395">
        <v>1</v>
      </c>
    </row>
    <row r="36" spans="1:3" x14ac:dyDescent="0.2">
      <c r="A36" s="329" t="s">
        <v>363</v>
      </c>
      <c r="B36" s="325"/>
      <c r="C36" s="395">
        <v>1</v>
      </c>
    </row>
    <row r="37" spans="1:3" x14ac:dyDescent="0.2">
      <c r="A37" s="329" t="s">
        <v>362</v>
      </c>
      <c r="B37" s="325"/>
      <c r="C37" s="394">
        <f>SUM(C38:C41)</f>
        <v>1117000</v>
      </c>
    </row>
    <row r="38" spans="1:3" x14ac:dyDescent="0.2">
      <c r="A38" s="329" t="s">
        <v>361</v>
      </c>
      <c r="B38" s="325"/>
      <c r="C38" s="330">
        <v>0</v>
      </c>
    </row>
    <row r="39" spans="1:3" x14ac:dyDescent="0.2">
      <c r="A39" s="329" t="s">
        <v>360</v>
      </c>
      <c r="B39" s="325"/>
      <c r="C39" s="330">
        <v>937000</v>
      </c>
    </row>
    <row r="40" spans="1:3" x14ac:dyDescent="0.2">
      <c r="A40" s="329" t="s">
        <v>359</v>
      </c>
      <c r="B40" s="325"/>
      <c r="C40" s="330">
        <v>0</v>
      </c>
    </row>
    <row r="41" spans="1:3" x14ac:dyDescent="0.2">
      <c r="A41" s="329" t="s">
        <v>358</v>
      </c>
      <c r="B41" s="325"/>
      <c r="C41" s="330">
        <v>180000</v>
      </c>
    </row>
    <row r="42" spans="1:3" x14ac:dyDescent="0.2">
      <c r="A42" s="327" t="s">
        <v>357</v>
      </c>
      <c r="B42" s="327"/>
      <c r="C42" s="394">
        <f>SUM(C43:C46)</f>
        <v>4734727</v>
      </c>
    </row>
    <row r="43" spans="1:3" x14ac:dyDescent="0.2">
      <c r="A43" s="393" t="s">
        <v>356</v>
      </c>
      <c r="B43" s="392"/>
      <c r="C43" s="391">
        <v>3060205</v>
      </c>
    </row>
    <row r="44" spans="1:3" x14ac:dyDescent="0.2">
      <c r="A44" s="393" t="s">
        <v>405</v>
      </c>
      <c r="B44" s="392"/>
      <c r="C44" s="391">
        <v>737522</v>
      </c>
    </row>
    <row r="45" spans="1:3" x14ac:dyDescent="0.2">
      <c r="A45" s="393" t="s">
        <v>355</v>
      </c>
      <c r="B45" s="392"/>
      <c r="C45" s="391">
        <v>809800</v>
      </c>
    </row>
    <row r="46" spans="1:3" x14ac:dyDescent="0.2">
      <c r="A46" s="393" t="s">
        <v>646</v>
      </c>
      <c r="B46" s="392"/>
      <c r="C46" s="391">
        <v>127200</v>
      </c>
    </row>
    <row r="47" spans="1:3" x14ac:dyDescent="0.2">
      <c r="A47" s="393" t="s">
        <v>647</v>
      </c>
      <c r="B47" s="392"/>
      <c r="C47" s="391">
        <v>28000</v>
      </c>
    </row>
    <row r="48" spans="1:3" x14ac:dyDescent="0.2">
      <c r="A48" s="393" t="s">
        <v>648</v>
      </c>
      <c r="B48" s="659"/>
      <c r="C48" s="391">
        <v>94000</v>
      </c>
    </row>
    <row r="49" spans="1:12" x14ac:dyDescent="0.2">
      <c r="A49" s="365"/>
      <c r="B49" s="365"/>
      <c r="C49" s="365"/>
      <c r="G49" s="336"/>
    </row>
    <row r="50" spans="1:12" x14ac:dyDescent="0.2">
      <c r="D50" s="365"/>
      <c r="E50" s="364"/>
      <c r="F50" s="364"/>
      <c r="G50" s="364"/>
      <c r="H50" s="364"/>
      <c r="I50" s="364"/>
      <c r="J50" s="363"/>
      <c r="K50" s="363"/>
      <c r="L50" s="488"/>
    </row>
    <row r="51" spans="1:12" x14ac:dyDescent="0.2">
      <c r="A51" s="385" t="s">
        <v>354</v>
      </c>
      <c r="D51" s="365"/>
      <c r="E51" s="364"/>
      <c r="F51" s="364"/>
      <c r="G51" s="364"/>
      <c r="H51" s="364"/>
      <c r="I51" s="364"/>
      <c r="J51" s="363"/>
      <c r="K51" s="363"/>
      <c r="L51" s="488"/>
    </row>
    <row r="52" spans="1:12" x14ac:dyDescent="0.2">
      <c r="A52" s="367"/>
      <c r="D52" s="365"/>
      <c r="E52" s="364"/>
      <c r="F52" s="364"/>
      <c r="G52" s="364"/>
      <c r="H52" s="364"/>
      <c r="I52" s="364"/>
      <c r="J52" s="363"/>
      <c r="K52" s="363"/>
      <c r="L52" s="488"/>
    </row>
    <row r="53" spans="1:12" x14ac:dyDescent="0.2">
      <c r="A53" s="1016">
        <v>2015</v>
      </c>
      <c r="B53" s="1016"/>
      <c r="C53" s="1016"/>
      <c r="D53" s="1016"/>
      <c r="E53" s="1016"/>
      <c r="F53" s="1016"/>
      <c r="G53" s="1016"/>
      <c r="H53" s="1016"/>
      <c r="I53" s="364"/>
      <c r="J53" s="363"/>
      <c r="K53" s="363"/>
      <c r="L53" s="488"/>
    </row>
    <row r="54" spans="1:12" x14ac:dyDescent="0.2">
      <c r="A54" s="384" t="s">
        <v>406</v>
      </c>
      <c r="B54" s="358" t="s">
        <v>352</v>
      </c>
      <c r="C54" s="358"/>
      <c r="D54" s="358"/>
      <c r="E54" s="358" t="s">
        <v>351</v>
      </c>
      <c r="F54" s="358"/>
      <c r="G54" s="1017" t="s">
        <v>350</v>
      </c>
      <c r="H54" s="1017" t="s">
        <v>339</v>
      </c>
      <c r="I54" s="489"/>
      <c r="J54" s="363"/>
      <c r="K54" s="363"/>
      <c r="L54" s="488"/>
    </row>
    <row r="55" spans="1:12" ht="25.5" x14ac:dyDescent="0.2">
      <c r="A55" s="383" t="s">
        <v>349</v>
      </c>
      <c r="B55" s="356" t="s">
        <v>348</v>
      </c>
      <c r="C55" s="356" t="s">
        <v>347</v>
      </c>
      <c r="D55" s="356" t="s">
        <v>346</v>
      </c>
      <c r="E55" s="356" t="s">
        <v>340</v>
      </c>
      <c r="F55" s="356" t="s">
        <v>54</v>
      </c>
      <c r="G55" s="1017"/>
      <c r="H55" s="1017"/>
      <c r="I55" s="388"/>
      <c r="J55" s="363"/>
      <c r="K55" s="363"/>
      <c r="L55" s="488"/>
    </row>
    <row r="56" spans="1:12" x14ac:dyDescent="0.2">
      <c r="A56" s="382" t="s">
        <v>408</v>
      </c>
      <c r="B56" s="381">
        <f>+C6</f>
        <v>686.4</v>
      </c>
      <c r="C56" s="381">
        <v>0</v>
      </c>
      <c r="D56" s="381">
        <v>0</v>
      </c>
      <c r="E56" s="380">
        <f>+C39*C35</f>
        <v>937000</v>
      </c>
      <c r="F56" s="380">
        <f>+E56*B56</f>
        <v>643156800</v>
      </c>
      <c r="G56" s="379"/>
      <c r="H56" s="379"/>
      <c r="I56" s="387"/>
      <c r="J56" s="363"/>
      <c r="K56" s="363"/>
      <c r="L56" s="488"/>
    </row>
    <row r="57" spans="1:12" x14ac:dyDescent="0.2">
      <c r="A57" s="378" t="s">
        <v>407</v>
      </c>
      <c r="B57" s="376"/>
      <c r="C57" s="376"/>
      <c r="D57" s="376"/>
      <c r="E57" s="377">
        <f>SUM(E56:E56)</f>
        <v>937000</v>
      </c>
      <c r="F57" s="376">
        <f>SUM(F56:F56)</f>
        <v>643156800</v>
      </c>
      <c r="G57" s="376">
        <f>SUM(G56:G56)</f>
        <v>0</v>
      </c>
      <c r="H57" s="376">
        <f>SUM(H56:H56)</f>
        <v>0</v>
      </c>
      <c r="I57" s="386"/>
      <c r="J57" s="363"/>
      <c r="K57" s="363"/>
      <c r="L57" s="488"/>
    </row>
    <row r="58" spans="1:12" x14ac:dyDescent="0.2">
      <c r="A58" s="367"/>
      <c r="B58" s="366"/>
      <c r="D58" s="365"/>
      <c r="E58" s="364"/>
      <c r="F58" s="364"/>
      <c r="G58" s="364"/>
      <c r="H58" s="364"/>
      <c r="I58" s="364"/>
      <c r="J58" s="363"/>
      <c r="K58" s="363"/>
      <c r="L58" s="488"/>
    </row>
    <row r="59" spans="1:12" s="321" customFormat="1" x14ac:dyDescent="0.2">
      <c r="A59" s="360"/>
      <c r="B59" s="371"/>
      <c r="C59" s="371"/>
      <c r="D59" s="370"/>
      <c r="E59" s="369"/>
      <c r="F59" s="369"/>
      <c r="G59" s="369"/>
      <c r="H59" s="369"/>
      <c r="I59" s="369"/>
      <c r="J59" s="368"/>
      <c r="K59" s="368"/>
      <c r="L59" s="368"/>
    </row>
    <row r="60" spans="1:12" s="321" customFormat="1" x14ac:dyDescent="0.2">
      <c r="A60" s="385" t="s">
        <v>353</v>
      </c>
      <c r="B60" s="304"/>
      <c r="C60" s="304"/>
      <c r="D60" s="365"/>
      <c r="E60" s="364"/>
      <c r="F60" s="364"/>
      <c r="G60" s="364"/>
      <c r="H60" s="364"/>
      <c r="I60" s="369"/>
      <c r="J60" s="368"/>
      <c r="K60" s="368"/>
      <c r="L60" s="368"/>
    </row>
    <row r="61" spans="1:12" s="321" customFormat="1" x14ac:dyDescent="0.2">
      <c r="A61" s="367"/>
      <c r="B61" s="304"/>
      <c r="C61" s="304"/>
      <c r="D61" s="365"/>
      <c r="E61" s="364"/>
      <c r="F61" s="364"/>
      <c r="G61" s="364"/>
      <c r="H61" s="364"/>
      <c r="I61" s="369"/>
      <c r="J61" s="368"/>
      <c r="K61" s="368"/>
      <c r="L61" s="368"/>
    </row>
    <row r="62" spans="1:12" s="321" customFormat="1" x14ac:dyDescent="0.2">
      <c r="A62" s="1016">
        <v>2015</v>
      </c>
      <c r="B62" s="1016"/>
      <c r="C62" s="1016"/>
      <c r="D62" s="1016"/>
      <c r="E62" s="1016"/>
      <c r="F62" s="1016"/>
      <c r="G62" s="1016"/>
      <c r="H62" s="1016"/>
      <c r="I62" s="369"/>
      <c r="J62" s="368"/>
      <c r="K62" s="368"/>
      <c r="L62" s="368"/>
    </row>
    <row r="63" spans="1:12" s="321" customFormat="1" x14ac:dyDescent="0.2">
      <c r="A63" s="384" t="s">
        <v>406</v>
      </c>
      <c r="B63" s="358" t="s">
        <v>352</v>
      </c>
      <c r="C63" s="358"/>
      <c r="D63" s="358"/>
      <c r="E63" s="358" t="s">
        <v>351</v>
      </c>
      <c r="F63" s="358"/>
      <c r="G63" s="1017" t="s">
        <v>350</v>
      </c>
      <c r="H63" s="1017" t="s">
        <v>339</v>
      </c>
      <c r="I63" s="369"/>
      <c r="J63" s="368"/>
      <c r="K63" s="368"/>
      <c r="L63" s="368"/>
    </row>
    <row r="64" spans="1:12" s="321" customFormat="1" ht="25.5" x14ac:dyDescent="0.2">
      <c r="A64" s="383" t="s">
        <v>349</v>
      </c>
      <c r="B64" s="356" t="s">
        <v>348</v>
      </c>
      <c r="C64" s="356" t="s">
        <v>347</v>
      </c>
      <c r="D64" s="356" t="s">
        <v>346</v>
      </c>
      <c r="E64" s="356" t="s">
        <v>340</v>
      </c>
      <c r="F64" s="356" t="s">
        <v>54</v>
      </c>
      <c r="G64" s="1017"/>
      <c r="H64" s="1017"/>
      <c r="I64" s="369"/>
      <c r="J64" s="368"/>
      <c r="K64" s="368"/>
      <c r="L64" s="368"/>
    </row>
    <row r="65" spans="1:15" s="321" customFormat="1" x14ac:dyDescent="0.2">
      <c r="A65" s="382" t="s">
        <v>409</v>
      </c>
      <c r="B65" s="381">
        <f>+C6</f>
        <v>686.4</v>
      </c>
      <c r="C65" s="381">
        <v>0</v>
      </c>
      <c r="D65" s="381">
        <v>0</v>
      </c>
      <c r="E65" s="380">
        <f>+C41</f>
        <v>180000</v>
      </c>
      <c r="F65" s="380">
        <f>+E65*B65</f>
        <v>123552000</v>
      </c>
      <c r="G65" s="379"/>
      <c r="H65" s="379"/>
      <c r="I65" s="369"/>
      <c r="J65" s="368"/>
      <c r="K65" s="368"/>
      <c r="L65" s="368"/>
    </row>
    <row r="66" spans="1:15" s="321" customFormat="1" x14ac:dyDescent="0.2">
      <c r="A66" s="378" t="s">
        <v>407</v>
      </c>
      <c r="B66" s="376"/>
      <c r="C66" s="376"/>
      <c r="D66" s="376"/>
      <c r="E66" s="377">
        <f>SUM(E65:E65)</f>
        <v>180000</v>
      </c>
      <c r="F66" s="376">
        <f>SUM(F65:F65)</f>
        <v>123552000</v>
      </c>
      <c r="G66" s="376">
        <f>SUM(G65:G65)</f>
        <v>0</v>
      </c>
      <c r="H66" s="376">
        <f>SUM(H65:H65)</f>
        <v>0</v>
      </c>
      <c r="I66" s="369"/>
      <c r="J66" s="368"/>
      <c r="K66" s="368"/>
      <c r="L66" s="368"/>
    </row>
    <row r="67" spans="1:15" s="321" customFormat="1" x14ac:dyDescent="0.2">
      <c r="A67" s="367"/>
      <c r="B67" s="366"/>
      <c r="C67" s="304"/>
      <c r="D67" s="365"/>
      <c r="E67" s="364"/>
      <c r="F67" s="364"/>
      <c r="G67" s="364"/>
      <c r="H67" s="364"/>
      <c r="I67" s="369"/>
      <c r="J67" s="368"/>
      <c r="K67" s="368"/>
      <c r="L67" s="368"/>
    </row>
    <row r="68" spans="1:15" s="321" customFormat="1" x14ac:dyDescent="0.2">
      <c r="A68" s="367"/>
      <c r="B68" s="366"/>
      <c r="C68" s="304"/>
      <c r="D68" s="365"/>
      <c r="E68" s="364"/>
      <c r="F68" s="364"/>
      <c r="G68" s="364"/>
      <c r="H68" s="364"/>
      <c r="I68" s="369"/>
      <c r="J68" s="368"/>
      <c r="K68" s="368"/>
      <c r="L68" s="368"/>
    </row>
    <row r="69" spans="1:15" s="321" customFormat="1" x14ac:dyDescent="0.2">
      <c r="A69" s="375" t="s">
        <v>133</v>
      </c>
      <c r="B69" s="374"/>
      <c r="C69" s="374"/>
      <c r="D69" s="373"/>
      <c r="E69" s="372">
        <f>+E66+E57</f>
        <v>1117000</v>
      </c>
      <c r="F69" s="372">
        <f>+F66+F57</f>
        <v>766708800</v>
      </c>
      <c r="G69" s="372">
        <f>+G66+G57</f>
        <v>0</v>
      </c>
      <c r="H69" s="372"/>
      <c r="I69" s="369"/>
      <c r="J69" s="368"/>
      <c r="K69" s="368"/>
      <c r="L69" s="368"/>
    </row>
    <row r="70" spans="1:15" s="321" customFormat="1" x14ac:dyDescent="0.2">
      <c r="A70" s="360"/>
      <c r="B70" s="371"/>
      <c r="C70" s="371"/>
      <c r="D70" s="370"/>
      <c r="E70" s="369"/>
      <c r="F70" s="369"/>
      <c r="G70" s="369"/>
      <c r="H70" s="369"/>
      <c r="I70" s="369"/>
      <c r="J70" s="368"/>
      <c r="K70" s="368"/>
      <c r="L70" s="368"/>
    </row>
    <row r="71" spans="1:15" x14ac:dyDescent="0.2">
      <c r="A71" s="337"/>
      <c r="B71" s="337"/>
      <c r="C71" s="362"/>
      <c r="I71" s="333"/>
      <c r="O71" s="337"/>
    </row>
    <row r="72" spans="1:15" x14ac:dyDescent="0.2">
      <c r="A72" s="361" t="s">
        <v>80</v>
      </c>
      <c r="D72" s="336"/>
      <c r="H72" s="333"/>
      <c r="J72" s="304"/>
      <c r="K72" s="304"/>
      <c r="L72" s="304"/>
    </row>
    <row r="73" spans="1:15" x14ac:dyDescent="0.2">
      <c r="B73" s="360"/>
      <c r="C73" s="359"/>
      <c r="E73" s="360"/>
      <c r="F73" s="321"/>
      <c r="G73" s="321"/>
      <c r="H73" s="321"/>
      <c r="I73" s="359"/>
      <c r="J73" s="304"/>
      <c r="K73" s="304"/>
      <c r="L73" s="304"/>
    </row>
    <row r="74" spans="1:15" ht="25.5" x14ac:dyDescent="0.2">
      <c r="A74" s="358" t="s">
        <v>345</v>
      </c>
      <c r="B74" s="356" t="s">
        <v>344</v>
      </c>
      <c r="C74" s="356" t="s">
        <v>343</v>
      </c>
      <c r="D74" s="356" t="s">
        <v>342</v>
      </c>
      <c r="E74" s="357" t="s">
        <v>341</v>
      </c>
      <c r="F74" s="356" t="s">
        <v>340</v>
      </c>
      <c r="G74" s="356" t="s">
        <v>54</v>
      </c>
      <c r="H74" s="356" t="s">
        <v>339</v>
      </c>
      <c r="I74" s="355" t="s">
        <v>338</v>
      </c>
      <c r="J74" s="304"/>
      <c r="K74" s="304"/>
      <c r="L74" s="304"/>
    </row>
    <row r="75" spans="1:15" x14ac:dyDescent="0.2">
      <c r="A75" s="351" t="s">
        <v>337</v>
      </c>
      <c r="B75" s="350">
        <f>+C12</f>
        <v>171.6</v>
      </c>
      <c r="C75" s="350"/>
      <c r="D75" s="350">
        <f t="shared" ref="D75:D80" si="0">+$C$12</f>
        <v>171.6</v>
      </c>
      <c r="E75" s="353">
        <f>+C17</f>
        <v>309.45319999999998</v>
      </c>
      <c r="F75" s="348">
        <f>+C43</f>
        <v>3060205</v>
      </c>
      <c r="G75" s="348">
        <f t="shared" ref="G75:G80" si="1">+F75*D75</f>
        <v>525131178</v>
      </c>
      <c r="H75" s="347">
        <f t="shared" ref="H75:H80" si="2">+E75-D75</f>
        <v>137.85319999999999</v>
      </c>
      <c r="I75" s="352">
        <f t="shared" ref="I75:I80" si="3">+F75*E75</f>
        <v>946990229.9059999</v>
      </c>
      <c r="J75" s="304"/>
      <c r="K75" s="304"/>
      <c r="L75" s="304"/>
    </row>
    <row r="76" spans="1:15" x14ac:dyDescent="0.2">
      <c r="A76" s="351" t="s">
        <v>649</v>
      </c>
      <c r="B76" s="350">
        <f>+$C$12</f>
        <v>171.6</v>
      </c>
      <c r="C76" s="350"/>
      <c r="D76" s="350">
        <f t="shared" si="0"/>
        <v>171.6</v>
      </c>
      <c r="E76" s="349">
        <f>+$C$17</f>
        <v>309.45319999999998</v>
      </c>
      <c r="F76" s="348">
        <f>+C46</f>
        <v>127200</v>
      </c>
      <c r="G76" s="348">
        <f t="shared" si="1"/>
        <v>21827520</v>
      </c>
      <c r="H76" s="347">
        <f t="shared" si="2"/>
        <v>137.85319999999999</v>
      </c>
      <c r="I76" s="354">
        <f t="shared" si="3"/>
        <v>39362447.039999999</v>
      </c>
      <c r="J76" s="304"/>
      <c r="K76" s="304"/>
      <c r="L76" s="304"/>
    </row>
    <row r="77" spans="1:15" x14ac:dyDescent="0.2">
      <c r="A77" s="351" t="s">
        <v>336</v>
      </c>
      <c r="B77" s="350">
        <f>+$C$12</f>
        <v>171.6</v>
      </c>
      <c r="C77" s="350"/>
      <c r="D77" s="350">
        <f t="shared" si="0"/>
        <v>171.6</v>
      </c>
      <c r="E77" s="349">
        <v>0</v>
      </c>
      <c r="F77" s="348">
        <f>+C45</f>
        <v>809800</v>
      </c>
      <c r="G77" s="348">
        <f t="shared" si="1"/>
        <v>138961680</v>
      </c>
      <c r="H77" s="347">
        <f t="shared" si="2"/>
        <v>-171.6</v>
      </c>
      <c r="I77" s="346">
        <f t="shared" si="3"/>
        <v>0</v>
      </c>
      <c r="J77" s="304"/>
      <c r="K77" s="304"/>
      <c r="L77" s="304"/>
    </row>
    <row r="78" spans="1:15" x14ac:dyDescent="0.2">
      <c r="A78" s="351" t="s">
        <v>650</v>
      </c>
      <c r="B78" s="350">
        <f>+$C$12</f>
        <v>171.6</v>
      </c>
      <c r="C78" s="350"/>
      <c r="D78" s="350">
        <f t="shared" si="0"/>
        <v>171.6</v>
      </c>
      <c r="E78" s="353">
        <f>+C17</f>
        <v>309.45319999999998</v>
      </c>
      <c r="F78" s="348">
        <f>+C44</f>
        <v>737522</v>
      </c>
      <c r="G78" s="348">
        <f t="shared" si="1"/>
        <v>126558775.2</v>
      </c>
      <c r="H78" s="347">
        <f t="shared" si="2"/>
        <v>137.85319999999999</v>
      </c>
      <c r="I78" s="352">
        <f t="shared" si="3"/>
        <v>228228542.97039998</v>
      </c>
      <c r="J78" s="304"/>
      <c r="K78" s="304"/>
      <c r="L78" s="304"/>
    </row>
    <row r="79" spans="1:15" x14ac:dyDescent="0.2">
      <c r="A79" s="351" t="s">
        <v>410</v>
      </c>
      <c r="B79" s="350">
        <f>+$C$12</f>
        <v>171.6</v>
      </c>
      <c r="C79" s="350"/>
      <c r="D79" s="350">
        <f t="shared" si="0"/>
        <v>171.6</v>
      </c>
      <c r="E79" s="349">
        <v>0</v>
      </c>
      <c r="F79" s="348">
        <f>+C48</f>
        <v>94000</v>
      </c>
      <c r="G79" s="348">
        <f t="shared" si="1"/>
        <v>16130400</v>
      </c>
      <c r="H79" s="347">
        <f t="shared" si="2"/>
        <v>-171.6</v>
      </c>
      <c r="I79" s="346">
        <f t="shared" si="3"/>
        <v>0</v>
      </c>
      <c r="J79" s="304"/>
      <c r="K79" s="304"/>
      <c r="L79" s="304"/>
    </row>
    <row r="80" spans="1:15" x14ac:dyDescent="0.2">
      <c r="A80" s="351" t="s">
        <v>651</v>
      </c>
      <c r="B80" s="350">
        <f>+$C$12</f>
        <v>171.6</v>
      </c>
      <c r="C80" s="350"/>
      <c r="D80" s="350">
        <f t="shared" si="0"/>
        <v>171.6</v>
      </c>
      <c r="E80" s="349">
        <v>0</v>
      </c>
      <c r="F80" s="348">
        <f>+C47</f>
        <v>28000</v>
      </c>
      <c r="G80" s="348">
        <f t="shared" si="1"/>
        <v>4804800</v>
      </c>
      <c r="H80" s="347">
        <f t="shared" si="2"/>
        <v>-171.6</v>
      </c>
      <c r="I80" s="346">
        <f t="shared" si="3"/>
        <v>0</v>
      </c>
      <c r="J80" s="304"/>
      <c r="K80" s="304"/>
      <c r="L80" s="304"/>
    </row>
    <row r="81" spans="1:13" x14ac:dyDescent="0.2">
      <c r="A81" s="345" t="s">
        <v>242</v>
      </c>
      <c r="B81" s="344"/>
      <c r="C81" s="344"/>
      <c r="D81" s="343"/>
      <c r="E81" s="342"/>
      <c r="F81" s="341">
        <f>SUM(F75:F79)</f>
        <v>4828727</v>
      </c>
      <c r="G81" s="340">
        <f>SUM(G75:G79)</f>
        <v>828609553.20000005</v>
      </c>
      <c r="H81" s="339"/>
      <c r="I81" s="338">
        <f>SUM(I75:I80)</f>
        <v>1214581219.9164</v>
      </c>
      <c r="J81" s="304"/>
      <c r="K81" s="304"/>
      <c r="L81" s="304"/>
    </row>
    <row r="82" spans="1:13" x14ac:dyDescent="0.2">
      <c r="A82" s="306"/>
      <c r="J82" s="337"/>
      <c r="K82" s="337"/>
      <c r="L82" s="337"/>
      <c r="M82" s="337"/>
    </row>
    <row r="83" spans="1:13" x14ac:dyDescent="0.2">
      <c r="A83" s="1009" t="s">
        <v>125</v>
      </c>
      <c r="B83" s="1009"/>
      <c r="E83" s="335"/>
      <c r="J83" s="337"/>
      <c r="K83" s="337"/>
      <c r="L83" s="337"/>
      <c r="M83" s="337"/>
    </row>
    <row r="84" spans="1:13" x14ac:dyDescent="0.2">
      <c r="E84" s="336"/>
      <c r="K84" s="304"/>
      <c r="L84" s="304"/>
      <c r="M84" s="335"/>
    </row>
    <row r="85" spans="1:13" x14ac:dyDescent="0.2">
      <c r="A85" s="1010" t="s">
        <v>125</v>
      </c>
      <c r="B85" s="1011"/>
      <c r="C85" s="334"/>
      <c r="F85" s="335"/>
      <c r="K85" s="304"/>
      <c r="L85" s="304"/>
    </row>
    <row r="86" spans="1:13" x14ac:dyDescent="0.2">
      <c r="A86" s="332"/>
      <c r="B86" s="331" t="s">
        <v>335</v>
      </c>
      <c r="H86" s="321"/>
      <c r="J86" s="304"/>
      <c r="K86" s="304"/>
      <c r="L86" s="304"/>
    </row>
    <row r="87" spans="1:13" x14ac:dyDescent="0.2">
      <c r="A87" s="325" t="s">
        <v>334</v>
      </c>
      <c r="B87" s="330">
        <v>500</v>
      </c>
      <c r="D87" s="305"/>
      <c r="H87" s="321"/>
      <c r="J87" s="304"/>
      <c r="K87" s="304"/>
      <c r="L87" s="304"/>
    </row>
    <row r="88" spans="1:13" x14ac:dyDescent="0.2">
      <c r="A88" s="329" t="s">
        <v>333</v>
      </c>
      <c r="B88" s="324">
        <v>30000</v>
      </c>
      <c r="H88" s="321"/>
      <c r="J88" s="304"/>
      <c r="K88" s="304"/>
      <c r="L88" s="304"/>
    </row>
    <row r="89" spans="1:13" x14ac:dyDescent="0.2">
      <c r="A89" s="329" t="s">
        <v>332</v>
      </c>
      <c r="B89" s="324">
        <f>+B88*16%</f>
        <v>4800</v>
      </c>
      <c r="H89" s="321"/>
      <c r="J89" s="304"/>
      <c r="K89" s="304"/>
      <c r="L89" s="304"/>
    </row>
    <row r="90" spans="1:13" x14ac:dyDescent="0.2">
      <c r="A90" s="329" t="s">
        <v>331</v>
      </c>
      <c r="B90" s="324">
        <f>+B88+B89</f>
        <v>34800</v>
      </c>
      <c r="H90" s="321"/>
      <c r="J90" s="304"/>
      <c r="K90" s="304"/>
      <c r="L90" s="304"/>
    </row>
    <row r="91" spans="1:13" x14ac:dyDescent="0.2">
      <c r="A91" s="329" t="s">
        <v>330</v>
      </c>
      <c r="B91" s="324">
        <v>52500</v>
      </c>
      <c r="H91" s="321"/>
      <c r="J91" s="304"/>
      <c r="K91" s="304"/>
      <c r="L91" s="304"/>
    </row>
    <row r="92" spans="1:13" x14ac:dyDescent="0.2">
      <c r="A92" s="329" t="s">
        <v>329</v>
      </c>
      <c r="B92" s="324">
        <v>8400</v>
      </c>
      <c r="H92" s="321"/>
      <c r="J92" s="304"/>
      <c r="K92" s="304"/>
      <c r="L92" s="304"/>
    </row>
    <row r="93" spans="1:13" x14ac:dyDescent="0.2">
      <c r="A93" s="329" t="s">
        <v>328</v>
      </c>
      <c r="B93" s="324">
        <f>+B91+B92</f>
        <v>60900</v>
      </c>
      <c r="H93" s="321"/>
      <c r="J93" s="304"/>
      <c r="K93" s="304"/>
      <c r="L93" s="304"/>
    </row>
    <row r="94" spans="1:13" x14ac:dyDescent="0.2">
      <c r="A94" s="325" t="s">
        <v>327</v>
      </c>
      <c r="B94" s="328">
        <f>+B87*B90</f>
        <v>17400000</v>
      </c>
      <c r="H94" s="321"/>
      <c r="J94" s="304"/>
      <c r="K94" s="304"/>
      <c r="L94" s="304"/>
    </row>
    <row r="95" spans="1:13" x14ac:dyDescent="0.2">
      <c r="A95" s="323" t="s">
        <v>326</v>
      </c>
      <c r="B95" s="322">
        <f>+B93*B87</f>
        <v>30450000</v>
      </c>
      <c r="H95" s="321"/>
      <c r="J95" s="304"/>
      <c r="K95" s="304"/>
      <c r="L95" s="304"/>
    </row>
    <row r="96" spans="1:13" x14ac:dyDescent="0.2">
      <c r="A96" s="327" t="s">
        <v>325</v>
      </c>
      <c r="B96" s="326">
        <f>+B95-B94</f>
        <v>13050000</v>
      </c>
      <c r="H96" s="321"/>
      <c r="J96" s="304"/>
      <c r="K96" s="304"/>
      <c r="L96" s="304"/>
    </row>
    <row r="97" spans="1:12" x14ac:dyDescent="0.2">
      <c r="K97" s="304"/>
      <c r="L97" s="304"/>
    </row>
    <row r="98" spans="1:12" x14ac:dyDescent="0.2">
      <c r="K98" s="304"/>
      <c r="L98" s="304"/>
    </row>
    <row r="99" spans="1:12" x14ac:dyDescent="0.2">
      <c r="A99" s="1012" t="s">
        <v>126</v>
      </c>
      <c r="B99" s="1012"/>
      <c r="K99" s="304"/>
      <c r="L99" s="304"/>
    </row>
    <row r="100" spans="1:12" x14ac:dyDescent="0.2">
      <c r="A100" s="325" t="s">
        <v>324</v>
      </c>
      <c r="B100" s="325">
        <v>0</v>
      </c>
      <c r="K100" s="304"/>
      <c r="L100" s="304"/>
    </row>
    <row r="101" spans="1:12" x14ac:dyDescent="0.2">
      <c r="A101" s="325" t="s">
        <v>323</v>
      </c>
      <c r="B101" s="324">
        <v>3740</v>
      </c>
      <c r="K101" s="304"/>
      <c r="L101" s="304"/>
    </row>
    <row r="102" spans="1:12" x14ac:dyDescent="0.2">
      <c r="A102" s="323" t="s">
        <v>322</v>
      </c>
      <c r="B102" s="322">
        <f>+B101*B100</f>
        <v>0</v>
      </c>
      <c r="K102" s="304"/>
      <c r="L102" s="304"/>
    </row>
    <row r="103" spans="1:12" x14ac:dyDescent="0.2">
      <c r="K103" s="304"/>
      <c r="L103" s="304"/>
    </row>
    <row r="104" spans="1:12" x14ac:dyDescent="0.2">
      <c r="K104" s="304"/>
      <c r="L104" s="304"/>
    </row>
    <row r="106" spans="1:12" ht="15" x14ac:dyDescent="0.25">
      <c r="A106" s="1013" t="s">
        <v>411</v>
      </c>
      <c r="B106" s="1014"/>
      <c r="G106" s="321"/>
      <c r="H106" s="321"/>
      <c r="K106" s="304"/>
      <c r="L106" s="304"/>
    </row>
    <row r="107" spans="1:12" ht="15" x14ac:dyDescent="0.25">
      <c r="A107" s="660" t="s">
        <v>321</v>
      </c>
      <c r="B107" s="661"/>
      <c r="F107" s="662"/>
      <c r="G107" s="321"/>
      <c r="H107" s="321"/>
      <c r="J107" s="304"/>
      <c r="K107" s="304"/>
      <c r="L107" s="304"/>
    </row>
    <row r="108" spans="1:12" x14ac:dyDescent="0.2">
      <c r="A108" s="663" t="s">
        <v>320</v>
      </c>
      <c r="B108" s="664">
        <f>+G69+I81+B95+B102</f>
        <v>1245031219.9164</v>
      </c>
      <c r="F108" s="662"/>
      <c r="G108" s="321"/>
      <c r="H108" s="321"/>
      <c r="J108" s="304"/>
      <c r="K108" s="304"/>
      <c r="L108" s="304"/>
    </row>
  </sheetData>
  <mergeCells count="24">
    <mergeCell ref="A2:C2"/>
    <mergeCell ref="E8:E9"/>
    <mergeCell ref="H8:H9"/>
    <mergeCell ref="M8:M9"/>
    <mergeCell ref="N8:N9"/>
    <mergeCell ref="O8:O9"/>
    <mergeCell ref="H63:H64"/>
    <mergeCell ref="E10:E12"/>
    <mergeCell ref="H10:H12"/>
    <mergeCell ref="M10:M12"/>
    <mergeCell ref="N10:N12"/>
    <mergeCell ref="O10:O12"/>
    <mergeCell ref="D15:E15"/>
    <mergeCell ref="F15:F17"/>
    <mergeCell ref="A83:B83"/>
    <mergeCell ref="A85:B85"/>
    <mergeCell ref="A99:B99"/>
    <mergeCell ref="A106:B106"/>
    <mergeCell ref="F18:F20"/>
    <mergeCell ref="A53:H53"/>
    <mergeCell ref="G54:G55"/>
    <mergeCell ref="H54:H55"/>
    <mergeCell ref="A62:H62"/>
    <mergeCell ref="G63:G64"/>
  </mergeCells>
  <hyperlinks>
    <hyperlink ref="A2:C2" location="'justificacion formulada'!A30" display="SUPUESTOS CALCULO DE INGRESOS PPC"/>
  </hyperlinks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pageSetUpPr fitToPage="1"/>
  </sheetPr>
  <dimension ref="B2:H45"/>
  <sheetViews>
    <sheetView zoomScaleNormal="100" zoomScaleSheetLayoutView="100" workbookViewId="0">
      <pane xSplit="2" ySplit="9" topLeftCell="C10" activePane="bottomRight" state="frozen"/>
      <selection activeCell="C13" sqref="C13"/>
      <selection pane="topRight" activeCell="C13" sqref="C13"/>
      <selection pane="bottomLeft" activeCell="C13" sqref="C13"/>
      <selection pane="bottomRight" activeCell="E27" sqref="E27"/>
    </sheetView>
  </sheetViews>
  <sheetFormatPr baseColWidth="10" defaultRowHeight="14.25" x14ac:dyDescent="0.2"/>
  <cols>
    <col min="1" max="1" width="1" style="143" customWidth="1"/>
    <col min="2" max="2" width="43.85546875" style="142" bestFit="1" customWidth="1"/>
    <col min="3" max="3" width="16.7109375" style="143" customWidth="1"/>
    <col min="4" max="4" width="17.28515625" style="143" customWidth="1"/>
    <col min="5" max="5" width="18.42578125" style="142" customWidth="1"/>
    <col min="6" max="6" width="19.140625" style="142" customWidth="1"/>
    <col min="7" max="7" width="14.5703125" style="143" customWidth="1"/>
    <col min="8" max="8" width="20" style="143" bestFit="1" customWidth="1"/>
    <col min="9" max="16384" width="11.42578125" style="143"/>
  </cols>
  <sheetData>
    <row r="2" spans="2:8" ht="15" thickBot="1" x14ac:dyDescent="0.25">
      <c r="D2" s="144"/>
      <c r="E2" s="145"/>
    </row>
    <row r="3" spans="2:8" ht="14.25" customHeight="1" thickTop="1" x14ac:dyDescent="0.2">
      <c r="B3" s="1025" t="s">
        <v>514</v>
      </c>
      <c r="C3" s="1026"/>
      <c r="D3" s="1026"/>
      <c r="E3" s="1026"/>
      <c r="F3" s="1026"/>
      <c r="G3" s="1027"/>
    </row>
    <row r="4" spans="2:8" ht="15" customHeight="1" thickBot="1" x14ac:dyDescent="0.25">
      <c r="B4" s="1028"/>
      <c r="C4" s="1029"/>
      <c r="D4" s="1029"/>
      <c r="E4" s="1029"/>
      <c r="F4" s="1029"/>
      <c r="G4" s="1030"/>
    </row>
    <row r="5" spans="2:8" ht="15" hidden="1" thickBot="1" x14ac:dyDescent="0.25">
      <c r="B5" s="867"/>
      <c r="C5" s="868"/>
      <c r="D5" s="869"/>
      <c r="E5" s="870"/>
      <c r="F5" s="871">
        <f>+F12/3077</f>
        <v>6646170.3607409811</v>
      </c>
      <c r="G5" s="872"/>
    </row>
    <row r="6" spans="2:8" ht="15" hidden="1" thickBot="1" x14ac:dyDescent="0.25">
      <c r="B6" s="867"/>
      <c r="C6" s="868"/>
      <c r="D6" s="873"/>
      <c r="E6" s="874"/>
      <c r="F6" s="870"/>
      <c r="G6" s="872"/>
    </row>
    <row r="7" spans="2:8" ht="30" x14ac:dyDescent="0.25">
      <c r="B7" s="875" t="s">
        <v>32</v>
      </c>
      <c r="C7" s="429" t="s">
        <v>105</v>
      </c>
      <c r="D7" s="546" t="s">
        <v>79</v>
      </c>
      <c r="E7" s="546" t="s">
        <v>79</v>
      </c>
      <c r="F7" s="429" t="s">
        <v>48</v>
      </c>
      <c r="G7" s="876" t="s">
        <v>107</v>
      </c>
    </row>
    <row r="8" spans="2:8" ht="15" x14ac:dyDescent="0.25">
      <c r="B8" s="877"/>
      <c r="C8" s="430" t="s">
        <v>123</v>
      </c>
      <c r="D8" s="430" t="s">
        <v>219</v>
      </c>
      <c r="E8" s="430" t="s">
        <v>220</v>
      </c>
      <c r="F8" s="430" t="s">
        <v>147</v>
      </c>
      <c r="G8" s="878" t="s">
        <v>147</v>
      </c>
    </row>
    <row r="9" spans="2:8" ht="15.75" thickBot="1" x14ac:dyDescent="0.3">
      <c r="B9" s="879"/>
      <c r="C9" s="431" t="s">
        <v>394</v>
      </c>
      <c r="D9" s="431" t="s">
        <v>394</v>
      </c>
      <c r="E9" s="431" t="s">
        <v>394</v>
      </c>
      <c r="F9" s="431" t="s">
        <v>515</v>
      </c>
      <c r="G9" s="880"/>
    </row>
    <row r="10" spans="2:8" ht="15" x14ac:dyDescent="0.25">
      <c r="B10" s="881" t="s">
        <v>108</v>
      </c>
      <c r="C10" s="565">
        <f>+C12+C16+C20</f>
        <v>29893931724.625355</v>
      </c>
      <c r="D10" s="521">
        <f>+D12+D16+D20</f>
        <v>10266433782.5</v>
      </c>
      <c r="E10" s="508">
        <f>+E12+E16+E20</f>
        <v>20887591094.725353</v>
      </c>
      <c r="F10" s="508">
        <f>+D10+E10</f>
        <v>31154024877.225353</v>
      </c>
      <c r="G10" s="882">
        <f>+F10/C10</f>
        <v>1.0421521385747325</v>
      </c>
    </row>
    <row r="11" spans="2:8" ht="15" x14ac:dyDescent="0.25">
      <c r="B11" s="883"/>
      <c r="C11" s="566"/>
      <c r="D11" s="522"/>
      <c r="E11" s="507"/>
      <c r="F11" s="507"/>
      <c r="G11" s="884"/>
    </row>
    <row r="12" spans="2:8" ht="15" x14ac:dyDescent="0.25">
      <c r="B12" s="885" t="s">
        <v>146</v>
      </c>
      <c r="C12" s="521">
        <f>+C13+C14</f>
        <v>19725321798.400002</v>
      </c>
      <c r="D12" s="521">
        <f>+D13+D14</f>
        <v>8725124968</v>
      </c>
      <c r="E12" s="508">
        <f>+E13+E14</f>
        <v>11725141232</v>
      </c>
      <c r="F12" s="508">
        <f>+D12+E12</f>
        <v>20450266200</v>
      </c>
      <c r="G12" s="886">
        <f>+F12/C12</f>
        <v>1.0367519683080051</v>
      </c>
    </row>
    <row r="13" spans="2:8" x14ac:dyDescent="0.2">
      <c r="B13" s="887" t="s">
        <v>109</v>
      </c>
      <c r="C13" s="566">
        <v>12328326124</v>
      </c>
      <c r="D13" s="523">
        <v>5453203122.375</v>
      </c>
      <c r="E13" s="523">
        <v>7328213253</v>
      </c>
      <c r="F13" s="509">
        <f>+D13+E13</f>
        <v>12781416375.375</v>
      </c>
      <c r="G13" s="888">
        <f>+F13/C13</f>
        <v>1.036751968338423</v>
      </c>
      <c r="H13" s="156"/>
    </row>
    <row r="14" spans="2:8" x14ac:dyDescent="0.2">
      <c r="B14" s="887" t="s">
        <v>110</v>
      </c>
      <c r="C14" s="566">
        <v>7396995674.3999996</v>
      </c>
      <c r="D14" s="523">
        <v>3271921845.625</v>
      </c>
      <c r="E14" s="523">
        <v>4396927979</v>
      </c>
      <c r="F14" s="509">
        <f>+D14+E14</f>
        <v>7668849824.625</v>
      </c>
      <c r="G14" s="888">
        <f t="shared" ref="G14:G35" si="0">+F14/C14</f>
        <v>1.036751968257309</v>
      </c>
      <c r="H14" s="156"/>
    </row>
    <row r="15" spans="2:8" x14ac:dyDescent="0.2">
      <c r="B15" s="887"/>
      <c r="C15" s="566"/>
      <c r="D15" s="523"/>
      <c r="E15" s="523"/>
      <c r="F15" s="509"/>
      <c r="G15" s="888"/>
    </row>
    <row r="16" spans="2:8" ht="15" x14ac:dyDescent="0.25">
      <c r="B16" s="885" t="s">
        <v>55</v>
      </c>
      <c r="C16" s="567">
        <f>+C17+C18</f>
        <v>132649368</v>
      </c>
      <c r="D16" s="521">
        <f>+D17+D18</f>
        <v>667798119</v>
      </c>
      <c r="E16" s="521">
        <f>+E17+E18</f>
        <v>0</v>
      </c>
      <c r="F16" s="508">
        <f>+D16+E16</f>
        <v>667798119</v>
      </c>
      <c r="G16" s="886">
        <f t="shared" si="0"/>
        <v>5.0343105969415554</v>
      </c>
    </row>
    <row r="17" spans="2:7" x14ac:dyDescent="0.2">
      <c r="B17" s="887" t="s">
        <v>109</v>
      </c>
      <c r="C17" s="566">
        <v>82905855</v>
      </c>
      <c r="D17" s="523">
        <v>417373825</v>
      </c>
      <c r="E17" s="523">
        <v>0</v>
      </c>
      <c r="F17" s="509">
        <f>+D17+E17</f>
        <v>417373825</v>
      </c>
      <c r="G17" s="888">
        <f>+F17/C17</f>
        <v>5.0343106044802264</v>
      </c>
    </row>
    <row r="18" spans="2:7" x14ac:dyDescent="0.2">
      <c r="B18" s="887" t="s">
        <v>110</v>
      </c>
      <c r="C18" s="566">
        <v>49743513</v>
      </c>
      <c r="D18" s="523">
        <v>250424294</v>
      </c>
      <c r="E18" s="523">
        <v>0</v>
      </c>
      <c r="F18" s="509">
        <f>+D18+E18</f>
        <v>250424294</v>
      </c>
      <c r="G18" s="888">
        <f t="shared" si="0"/>
        <v>5.0343105843771028</v>
      </c>
    </row>
    <row r="19" spans="2:7" x14ac:dyDescent="0.2">
      <c r="B19" s="887"/>
      <c r="C19" s="566"/>
      <c r="D19" s="523"/>
      <c r="E19" s="523"/>
      <c r="F19" s="509"/>
      <c r="G19" s="888"/>
    </row>
    <row r="20" spans="2:7" ht="15" x14ac:dyDescent="0.25">
      <c r="B20" s="885" t="s">
        <v>111</v>
      </c>
      <c r="C20" s="567">
        <f>+C21+C22</f>
        <v>10035960558.225353</v>
      </c>
      <c r="D20" s="521">
        <f>+D21+D22</f>
        <v>873510695.5</v>
      </c>
      <c r="E20" s="508">
        <f>+C20-D20</f>
        <v>9162449862.7253532</v>
      </c>
      <c r="F20" s="508">
        <f>+D20+E20</f>
        <v>10035960558.225353</v>
      </c>
      <c r="G20" s="886">
        <f t="shared" si="0"/>
        <v>1</v>
      </c>
    </row>
    <row r="21" spans="2:7" x14ac:dyDescent="0.2">
      <c r="B21" s="887" t="s">
        <v>109</v>
      </c>
      <c r="C21" s="568">
        <v>2192341418.1755028</v>
      </c>
      <c r="D21" s="523">
        <v>873510695.5</v>
      </c>
      <c r="E21" s="509">
        <v>1318830722</v>
      </c>
      <c r="F21" s="509">
        <f>+D21+E21</f>
        <v>2192341417.5</v>
      </c>
      <c r="G21" s="888">
        <f t="shared" si="0"/>
        <v>0.99999999969188069</v>
      </c>
    </row>
    <row r="22" spans="2:7" x14ac:dyDescent="0.2">
      <c r="B22" s="887" t="s">
        <v>110</v>
      </c>
      <c r="C22" s="566">
        <v>7843619140.0498514</v>
      </c>
      <c r="D22" s="523">
        <v>0</v>
      </c>
      <c r="E22" s="509">
        <v>7843619140</v>
      </c>
      <c r="F22" s="509">
        <f>+D22+E22</f>
        <v>7843619140</v>
      </c>
      <c r="G22" s="888">
        <f t="shared" si="0"/>
        <v>0.99999999999364431</v>
      </c>
    </row>
    <row r="23" spans="2:7" x14ac:dyDescent="0.2">
      <c r="B23" s="887"/>
      <c r="C23" s="566"/>
      <c r="D23" s="523"/>
      <c r="E23" s="509"/>
      <c r="F23" s="509"/>
      <c r="G23" s="888"/>
    </row>
    <row r="24" spans="2:7" ht="15" x14ac:dyDescent="0.25">
      <c r="B24" s="885" t="s">
        <v>112</v>
      </c>
      <c r="C24" s="567">
        <f>+C26+C30</f>
        <v>2561803423.5108924</v>
      </c>
      <c r="D24" s="521">
        <f>+D26+D30</f>
        <v>1222228873.1148658</v>
      </c>
      <c r="E24" s="508">
        <f>+E26+E30</f>
        <v>1531594222</v>
      </c>
      <c r="F24" s="508">
        <f>+D24+E24</f>
        <v>2753823095.1148658</v>
      </c>
      <c r="G24" s="886">
        <f t="shared" si="0"/>
        <v>1.0749548813315328</v>
      </c>
    </row>
    <row r="25" spans="2:7" x14ac:dyDescent="0.2">
      <c r="B25" s="887"/>
      <c r="C25" s="566"/>
      <c r="D25" s="523"/>
      <c r="E25" s="509"/>
      <c r="F25" s="509"/>
      <c r="G25" s="888"/>
    </row>
    <row r="26" spans="2:7" ht="15" x14ac:dyDescent="0.25">
      <c r="B26" s="885" t="s">
        <v>113</v>
      </c>
      <c r="C26" s="567">
        <f>+C27+C28</f>
        <v>283981020.45946342</v>
      </c>
      <c r="D26" s="521">
        <f>+D27+D28</f>
        <v>147991706.11486584</v>
      </c>
      <c r="E26" s="508">
        <f>+E27+E28</f>
        <v>125225710</v>
      </c>
      <c r="F26" s="508">
        <f>+D26+E26</f>
        <v>273217416.11486584</v>
      </c>
      <c r="G26" s="886">
        <f t="shared" si="0"/>
        <v>0.96209745169876937</v>
      </c>
    </row>
    <row r="27" spans="2:7" x14ac:dyDescent="0.2">
      <c r="B27" s="887" t="s">
        <v>74</v>
      </c>
      <c r="C27" s="566">
        <v>117384048.41981643</v>
      </c>
      <c r="D27" s="523">
        <v>41639844.104954109</v>
      </c>
      <c r="E27" s="523">
        <f>(13692546/3)*3+13692546</f>
        <v>27385092</v>
      </c>
      <c r="F27" s="523">
        <f>+D27+E27</f>
        <v>69024936.104954109</v>
      </c>
      <c r="G27" s="889">
        <f t="shared" si="0"/>
        <v>0.58802654222736384</v>
      </c>
    </row>
    <row r="28" spans="2:7" x14ac:dyDescent="0.2">
      <c r="B28" s="887" t="s">
        <v>75</v>
      </c>
      <c r="C28" s="566">
        <v>166596972.03964698</v>
      </c>
      <c r="D28" s="523">
        <v>106351862.00991175</v>
      </c>
      <c r="E28" s="523">
        <f>(48920309*2)</f>
        <v>97840618</v>
      </c>
      <c r="F28" s="523">
        <f>+D28+E28</f>
        <v>204192480.00991175</v>
      </c>
      <c r="G28" s="889">
        <f t="shared" si="0"/>
        <v>1.2256674146593596</v>
      </c>
    </row>
    <row r="29" spans="2:7" x14ac:dyDescent="0.2">
      <c r="B29" s="887"/>
      <c r="C29" s="566"/>
      <c r="D29" s="523"/>
      <c r="E29" s="509"/>
      <c r="F29" s="509"/>
      <c r="G29" s="888"/>
    </row>
    <row r="30" spans="2:7" ht="15" x14ac:dyDescent="0.25">
      <c r="B30" s="885" t="s">
        <v>114</v>
      </c>
      <c r="C30" s="567">
        <f>SUM(C31:C36)</f>
        <v>2277822403.0514288</v>
      </c>
      <c r="D30" s="521">
        <f>+D31+D32+D33+D34+D35+D36</f>
        <v>1074237167</v>
      </c>
      <c r="E30" s="508">
        <f>SUM(E31:E36)</f>
        <v>1406368512</v>
      </c>
      <c r="F30" s="508">
        <f t="shared" ref="F30:F36" si="1">+D30+E30</f>
        <v>2480605679</v>
      </c>
      <c r="G30" s="886">
        <f t="shared" si="0"/>
        <v>1.0890250599330824</v>
      </c>
    </row>
    <row r="31" spans="2:7" x14ac:dyDescent="0.2">
      <c r="B31" s="887" t="s">
        <v>115</v>
      </c>
      <c r="C31" s="566">
        <v>1432685040</v>
      </c>
      <c r="D31" s="523">
        <v>779442185</v>
      </c>
      <c r="E31" s="523">
        <v>790828510</v>
      </c>
      <c r="F31" s="509">
        <f t="shared" si="1"/>
        <v>1570270695</v>
      </c>
      <c r="G31" s="888">
        <f>+F31/C31</f>
        <v>1.0960334275564154</v>
      </c>
    </row>
    <row r="32" spans="2:7" x14ac:dyDescent="0.2">
      <c r="B32" s="887" t="s">
        <v>77</v>
      </c>
      <c r="C32" s="566">
        <v>14266640.571428571</v>
      </c>
      <c r="D32" s="523">
        <v>32447740</v>
      </c>
      <c r="E32" s="523">
        <v>22839816</v>
      </c>
      <c r="F32" s="509">
        <f t="shared" si="1"/>
        <v>55287556</v>
      </c>
      <c r="G32" s="888">
        <f t="shared" si="0"/>
        <v>3.8753030696464692</v>
      </c>
    </row>
    <row r="33" spans="2:7" x14ac:dyDescent="0.2">
      <c r="B33" s="887" t="s">
        <v>78</v>
      </c>
      <c r="C33" s="566">
        <v>5304017.4800000004</v>
      </c>
      <c r="D33" s="523">
        <v>1234879</v>
      </c>
      <c r="E33" s="523">
        <f>497153*2</f>
        <v>994306</v>
      </c>
      <c r="F33" s="509">
        <f t="shared" si="1"/>
        <v>2229185</v>
      </c>
      <c r="G33" s="888">
        <f t="shared" si="0"/>
        <v>0.42028236302117161</v>
      </c>
    </row>
    <row r="34" spans="2:7" x14ac:dyDescent="0.2">
      <c r="B34" s="887" t="s">
        <v>76</v>
      </c>
      <c r="C34" s="566">
        <v>109017973</v>
      </c>
      <c r="D34" s="523">
        <v>93765607</v>
      </c>
      <c r="E34" s="509">
        <f>21251952*2</f>
        <v>42503904</v>
      </c>
      <c r="F34" s="509">
        <f t="shared" si="1"/>
        <v>136269511</v>
      </c>
      <c r="G34" s="888">
        <f t="shared" si="0"/>
        <v>1.2499728920845006</v>
      </c>
    </row>
    <row r="35" spans="2:7" x14ac:dyDescent="0.2">
      <c r="B35" s="887" t="s">
        <v>144</v>
      </c>
      <c r="C35" s="566">
        <v>716548732</v>
      </c>
      <c r="D35" s="523">
        <v>167346756</v>
      </c>
      <c r="E35" s="523">
        <f>+C35-D35</f>
        <v>549201976</v>
      </c>
      <c r="F35" s="523">
        <f t="shared" si="1"/>
        <v>716548732</v>
      </c>
      <c r="G35" s="888">
        <f t="shared" si="0"/>
        <v>1</v>
      </c>
    </row>
    <row r="36" spans="2:7" x14ac:dyDescent="0.2">
      <c r="B36" s="887" t="s">
        <v>145</v>
      </c>
      <c r="C36" s="566">
        <v>0</v>
      </c>
      <c r="D36" s="523">
        <v>0</v>
      </c>
      <c r="E36" s="509">
        <f>+C36-D36</f>
        <v>0</v>
      </c>
      <c r="F36" s="509">
        <f t="shared" si="1"/>
        <v>0</v>
      </c>
      <c r="G36" s="888"/>
    </row>
    <row r="37" spans="2:7" x14ac:dyDescent="0.2">
      <c r="B37" s="887"/>
      <c r="C37" s="566"/>
      <c r="D37" s="523"/>
      <c r="E37" s="509"/>
      <c r="F37" s="509"/>
      <c r="G37" s="890"/>
    </row>
    <row r="38" spans="2:7" ht="15.75" thickBot="1" x14ac:dyDescent="0.3">
      <c r="B38" s="891" t="s">
        <v>116</v>
      </c>
      <c r="C38" s="892">
        <f>+C24+C10</f>
        <v>32455735148.136246</v>
      </c>
      <c r="D38" s="893">
        <f>+D24+D10</f>
        <v>11488662655.614866</v>
      </c>
      <c r="E38" s="894">
        <f>+E24+E10</f>
        <v>22419185316.725353</v>
      </c>
      <c r="F38" s="894">
        <f>+D38+E38</f>
        <v>33907847972.340218</v>
      </c>
      <c r="G38" s="895">
        <f>+F38/C38</f>
        <v>1.0447413320812533</v>
      </c>
    </row>
    <row r="39" spans="2:7" ht="15.75" thickTop="1" thickBot="1" x14ac:dyDescent="0.25">
      <c r="D39" s="146"/>
      <c r="E39" s="149"/>
    </row>
    <row r="40" spans="2:7" ht="16.5" thickBot="1" x14ac:dyDescent="0.3">
      <c r="B40" s="1031" t="s">
        <v>222</v>
      </c>
      <c r="C40" s="1032"/>
      <c r="D40" s="1032"/>
      <c r="E40" s="1032"/>
      <c r="F40" s="571">
        <f>(+F13+F17+F21+F27+F32+F34+F35)</f>
        <v>16368262352.979954</v>
      </c>
      <c r="G40" s="155"/>
    </row>
    <row r="41" spans="2:7" ht="16.5" thickBot="1" x14ac:dyDescent="0.3">
      <c r="B41" s="147"/>
      <c r="C41" s="148"/>
      <c r="D41" s="146"/>
      <c r="E41" s="149"/>
      <c r="F41" s="153"/>
      <c r="G41" s="241"/>
    </row>
    <row r="42" spans="2:7" ht="16.5" thickBot="1" x14ac:dyDescent="0.3">
      <c r="B42" s="1031" t="s">
        <v>223</v>
      </c>
      <c r="C42" s="1032"/>
      <c r="D42" s="1032"/>
      <c r="E42" s="1032"/>
      <c r="F42" s="571">
        <f>+F14+F18+F22+F28+F31+F33+F36</f>
        <v>17539585618.634911</v>
      </c>
      <c r="G42" s="319"/>
    </row>
    <row r="43" spans="2:7" x14ac:dyDescent="0.2">
      <c r="C43" s="151" t="s">
        <v>197</v>
      </c>
      <c r="D43" s="152">
        <v>62903792</v>
      </c>
      <c r="F43" s="150"/>
      <c r="G43" s="156"/>
    </row>
    <row r="44" spans="2:7" x14ac:dyDescent="0.2">
      <c r="F44" s="318"/>
    </row>
    <row r="45" spans="2:7" x14ac:dyDescent="0.2">
      <c r="F45" s="318"/>
    </row>
  </sheetData>
  <mergeCells count="3">
    <mergeCell ref="B3:G4"/>
    <mergeCell ref="B40:E40"/>
    <mergeCell ref="B42:E42"/>
  </mergeCells>
  <phoneticPr fontId="11" type="noConversion"/>
  <printOptions horizontalCentered="1"/>
  <pageMargins left="0.39370078740157483" right="0.39370078740157483" top="0.39370078740157483" bottom="0.39370078740157483" header="0.19685039370078741" footer="0"/>
  <pageSetup scale="76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FF0000"/>
  </sheetPr>
  <dimension ref="A1:X280"/>
  <sheetViews>
    <sheetView view="pageBreakPreview" zoomScale="93" zoomScaleNormal="85" zoomScaleSheetLayoutView="93"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I6" sqref="I6"/>
    </sheetView>
  </sheetViews>
  <sheetFormatPr baseColWidth="10" defaultRowHeight="12.75" outlineLevelRow="4" outlineLevelCol="2" x14ac:dyDescent="0.2"/>
  <cols>
    <col min="1" max="1" width="103.42578125" style="3" customWidth="1"/>
    <col min="2" max="2" width="16.7109375" style="3" hidden="1" customWidth="1" outlineLevel="2"/>
    <col min="3" max="3" width="18" style="3" hidden="1" customWidth="1" outlineLevel="2"/>
    <col min="4" max="4" width="18.7109375" style="3" hidden="1" customWidth="1" outlineLevel="2"/>
    <col min="5" max="5" width="16.7109375" style="3" hidden="1" customWidth="1" outlineLevel="2"/>
    <col min="6" max="6" width="15.28515625" style="3" hidden="1" customWidth="1" outlineLevel="2"/>
    <col min="7" max="7" width="16.5703125" style="3" hidden="1" customWidth="1" outlineLevel="2"/>
    <col min="8" max="8" width="19.85546875" style="3" hidden="1" customWidth="1" outlineLevel="2"/>
    <col min="9" max="9" width="21.140625" style="3" customWidth="1" collapsed="1"/>
    <col min="10" max="10" width="16.85546875" style="3" hidden="1" customWidth="1" outlineLevel="1"/>
    <col min="11" max="11" width="16" style="3" hidden="1" customWidth="1" outlineLevel="1"/>
    <col min="12" max="12" width="17.5703125" style="3" hidden="1" customWidth="1" outlineLevel="1"/>
    <col min="13" max="13" width="20.42578125" style="572" customWidth="1" collapsed="1"/>
    <col min="14" max="14" width="17.28515625" style="3" hidden="1" customWidth="1" outlineLevel="1"/>
    <col min="15" max="15" width="17.42578125" style="3" hidden="1" customWidth="1" outlineLevel="1"/>
    <col min="16" max="17" width="18" style="3" hidden="1" customWidth="1" outlineLevel="1"/>
    <col min="18" max="18" width="19.5703125" style="3" customWidth="1" collapsed="1"/>
    <col min="19" max="19" width="19.7109375" style="3" bestFit="1" customWidth="1"/>
    <col min="20" max="20" width="17" style="3" bestFit="1" customWidth="1"/>
    <col min="21" max="21" width="17" style="3" customWidth="1"/>
    <col min="22" max="23" width="14.5703125" style="3" bestFit="1" customWidth="1"/>
    <col min="24" max="24" width="16.42578125" style="3" bestFit="1" customWidth="1"/>
    <col min="25" max="16384" width="11.42578125" style="3"/>
  </cols>
  <sheetData>
    <row r="1" spans="1:24" ht="15" x14ac:dyDescent="0.25">
      <c r="A1" s="1035" t="s">
        <v>25</v>
      </c>
      <c r="B1" s="1035"/>
      <c r="C1" s="1035"/>
      <c r="D1" s="1035"/>
      <c r="E1" s="1035"/>
      <c r="F1" s="1035"/>
      <c r="G1" s="1035"/>
      <c r="H1" s="1035"/>
      <c r="I1" s="1035"/>
      <c r="J1" s="1035"/>
      <c r="K1" s="1035"/>
      <c r="L1" s="1035"/>
      <c r="M1" s="1035"/>
      <c r="N1" s="1035"/>
      <c r="O1" s="1035"/>
      <c r="P1" s="1035"/>
      <c r="Q1" s="1035"/>
      <c r="R1" s="1035"/>
      <c r="S1" s="1035"/>
    </row>
    <row r="2" spans="1:24" ht="15" x14ac:dyDescent="0.25">
      <c r="A2" s="1035" t="s">
        <v>42</v>
      </c>
      <c r="B2" s="1035"/>
      <c r="C2" s="1035"/>
      <c r="D2" s="1035"/>
      <c r="E2" s="1035"/>
      <c r="F2" s="1035"/>
      <c r="G2" s="1035"/>
      <c r="H2" s="1035"/>
      <c r="I2" s="1035"/>
      <c r="J2" s="1035"/>
      <c r="K2" s="1035"/>
      <c r="L2" s="1035"/>
      <c r="M2" s="1035"/>
      <c r="N2" s="1035"/>
      <c r="O2" s="1035"/>
      <c r="P2" s="1035"/>
      <c r="Q2" s="1035"/>
      <c r="R2" s="1035"/>
      <c r="S2" s="1035"/>
    </row>
    <row r="3" spans="1:24" ht="15" x14ac:dyDescent="0.25">
      <c r="A3" s="1035" t="s">
        <v>396</v>
      </c>
      <c r="B3" s="1035"/>
      <c r="C3" s="1035"/>
      <c r="D3" s="1035"/>
      <c r="E3" s="1035"/>
      <c r="F3" s="1035"/>
      <c r="G3" s="1035"/>
      <c r="H3" s="1035"/>
      <c r="I3" s="1035"/>
      <c r="J3" s="1035"/>
      <c r="K3" s="1035"/>
      <c r="L3" s="1035"/>
      <c r="M3" s="1035"/>
      <c r="N3" s="1035"/>
      <c r="O3" s="1035"/>
      <c r="P3" s="1035"/>
      <c r="Q3" s="1035"/>
      <c r="R3" s="1035"/>
      <c r="S3" s="1035"/>
    </row>
    <row r="4" spans="1:24" ht="15" x14ac:dyDescent="0.25">
      <c r="A4" s="1035" t="s">
        <v>213</v>
      </c>
      <c r="B4" s="1035"/>
      <c r="C4" s="1035"/>
      <c r="D4" s="1035"/>
      <c r="E4" s="1035"/>
      <c r="F4" s="1035"/>
      <c r="G4" s="1035"/>
      <c r="H4" s="1035"/>
      <c r="I4" s="1035"/>
      <c r="J4" s="1035"/>
      <c r="K4" s="1035"/>
      <c r="L4" s="1035"/>
      <c r="M4" s="1035"/>
      <c r="N4" s="1035"/>
      <c r="O4" s="1035"/>
      <c r="P4" s="1035"/>
      <c r="Q4" s="1035"/>
      <c r="R4" s="1035"/>
      <c r="S4" s="1035"/>
    </row>
    <row r="5" spans="1:24" ht="15.75" thickBot="1" x14ac:dyDescent="0.3">
      <c r="A5" s="168"/>
      <c r="B5" s="419"/>
      <c r="C5" s="170"/>
      <c r="D5" s="170"/>
      <c r="E5" s="169"/>
      <c r="F5" s="169"/>
      <c r="G5" s="437"/>
      <c r="H5" s="169"/>
    </row>
    <row r="6" spans="1:24" ht="90.75" thickTop="1" x14ac:dyDescent="0.2">
      <c r="A6" s="171" t="s">
        <v>32</v>
      </c>
      <c r="B6" s="172" t="s">
        <v>134</v>
      </c>
      <c r="C6" s="172" t="s">
        <v>135</v>
      </c>
      <c r="D6" s="172" t="s">
        <v>311</v>
      </c>
      <c r="E6" s="172" t="s">
        <v>140</v>
      </c>
      <c r="F6" s="172" t="s">
        <v>136</v>
      </c>
      <c r="G6" s="172" t="s">
        <v>137</v>
      </c>
      <c r="H6" s="172" t="s">
        <v>17</v>
      </c>
      <c r="I6" s="172" t="s">
        <v>534</v>
      </c>
      <c r="J6" s="573" t="s">
        <v>519</v>
      </c>
      <c r="K6" s="573" t="s">
        <v>520</v>
      </c>
      <c r="L6" s="573" t="s">
        <v>521</v>
      </c>
      <c r="M6" s="172" t="s">
        <v>522</v>
      </c>
      <c r="N6" s="172" t="s">
        <v>530</v>
      </c>
      <c r="O6" s="172" t="s">
        <v>531</v>
      </c>
      <c r="P6" s="172" t="s">
        <v>532</v>
      </c>
      <c r="Q6" s="172" t="s">
        <v>533</v>
      </c>
      <c r="R6" s="172" t="s">
        <v>518</v>
      </c>
      <c r="S6" s="719" t="s">
        <v>221</v>
      </c>
    </row>
    <row r="7" spans="1:24" ht="15" x14ac:dyDescent="0.25">
      <c r="A7" s="16" t="s">
        <v>138</v>
      </c>
      <c r="B7" s="20"/>
      <c r="C7" s="20"/>
      <c r="D7" s="20"/>
      <c r="E7" s="20"/>
      <c r="F7" s="20"/>
      <c r="G7" s="20"/>
      <c r="H7" s="20"/>
      <c r="I7" s="20"/>
      <c r="J7" s="574"/>
      <c r="K7" s="574"/>
      <c r="L7" s="574"/>
      <c r="M7" s="20"/>
      <c r="N7" s="20"/>
      <c r="O7" s="20"/>
      <c r="P7" s="20"/>
      <c r="Q7" s="20"/>
      <c r="R7" s="20"/>
      <c r="S7" s="720"/>
      <c r="T7" s="1033" t="s">
        <v>128</v>
      </c>
      <c r="U7" s="1033"/>
      <c r="V7" s="1033"/>
      <c r="W7" s="1033"/>
      <c r="X7" s="1034"/>
    </row>
    <row r="8" spans="1:24" ht="15" x14ac:dyDescent="0.25">
      <c r="A8" s="33" t="s">
        <v>127</v>
      </c>
      <c r="B8" s="26">
        <f t="shared" ref="B8:G8" si="0">SUM(B9:B18)</f>
        <v>950545102.02003372</v>
      </c>
      <c r="C8" s="26">
        <f t="shared" si="0"/>
        <v>345037177.40196157</v>
      </c>
      <c r="D8" s="26">
        <f t="shared" si="0"/>
        <v>217261513.42339516</v>
      </c>
      <c r="E8" s="26">
        <f t="shared" si="0"/>
        <v>977937166.03942537</v>
      </c>
      <c r="F8" s="26">
        <f t="shared" si="0"/>
        <v>314660752.89142698</v>
      </c>
      <c r="G8" s="26">
        <f t="shared" si="0"/>
        <v>2805441711.7762427</v>
      </c>
      <c r="H8" s="26">
        <f>SUM(H9:H18)</f>
        <v>456419325.31609225</v>
      </c>
      <c r="I8" s="26">
        <f>SUM(I9:I18)</f>
        <v>3261861037.0923347</v>
      </c>
      <c r="J8" s="26">
        <f>SUM(J9:J18)</f>
        <v>6776000</v>
      </c>
      <c r="K8" s="26">
        <f>SUM(K9:K18)</f>
        <v>0</v>
      </c>
      <c r="L8" s="575">
        <f>SUM(L9:L18)</f>
        <v>0</v>
      </c>
      <c r="M8" s="26">
        <f t="shared" ref="M8:M19" si="1">+I8+J8+K8+L8</f>
        <v>3268637037.0923347</v>
      </c>
      <c r="N8" s="26">
        <f>SUM(N9:N18)</f>
        <v>679456627.99999988</v>
      </c>
      <c r="O8" s="26">
        <f>SUM(O9:O18)</f>
        <v>775641663.85402393</v>
      </c>
      <c r="P8" s="26">
        <f>SUM(P9:P18)</f>
        <v>754864269.08627188</v>
      </c>
      <c r="Q8" s="26">
        <f>SUM(Q9:Q18)</f>
        <v>1058674476.4766177</v>
      </c>
      <c r="R8" s="26">
        <f t="shared" ref="R8:R19" si="2">+N8+O8+P8+Q8</f>
        <v>3268637037.4169135</v>
      </c>
      <c r="S8" s="721">
        <f>+R8/M8</f>
        <v>1.000000000099301</v>
      </c>
      <c r="T8" s="602" t="s">
        <v>545</v>
      </c>
      <c r="U8" s="602" t="s">
        <v>663</v>
      </c>
      <c r="V8" s="603" t="s">
        <v>546</v>
      </c>
      <c r="W8" s="603" t="s">
        <v>547</v>
      </c>
      <c r="X8" s="604" t="s">
        <v>48</v>
      </c>
    </row>
    <row r="9" spans="1:24" ht="14.25" x14ac:dyDescent="0.2">
      <c r="A9" s="22" t="s">
        <v>141</v>
      </c>
      <c r="B9" s="23">
        <v>594146296.41691339</v>
      </c>
      <c r="C9" s="23">
        <v>243983514.29423335</v>
      </c>
      <c r="D9" s="23">
        <v>159806968.58333334</v>
      </c>
      <c r="E9" s="23">
        <v>658826548.16775346</v>
      </c>
      <c r="F9" s="23">
        <v>223972015.96405336</v>
      </c>
      <c r="G9" s="112">
        <f t="shared" ref="G9:G18" si="3">+B9+C9+E9+F9+D9</f>
        <v>1880735343.4262867</v>
      </c>
      <c r="H9" s="23">
        <v>230092412.35387334</v>
      </c>
      <c r="I9" s="236">
        <f t="shared" ref="I9:I18" si="4">+G9+H9</f>
        <v>2110827755.78016</v>
      </c>
      <c r="J9" s="23">
        <f>((616000*25%)*11)*4</f>
        <v>6776000</v>
      </c>
      <c r="K9" s="576"/>
      <c r="L9" s="576"/>
      <c r="M9" s="236">
        <f t="shared" si="1"/>
        <v>2117603755.78016</v>
      </c>
      <c r="N9" s="236">
        <v>493006721.99999988</v>
      </c>
      <c r="O9" s="236">
        <v>519503491</v>
      </c>
      <c r="P9" s="236">
        <v>532077229.37040007</v>
      </c>
      <c r="Q9" s="236">
        <v>573016313.04651344</v>
      </c>
      <c r="R9" s="236">
        <f>+N9+O9+P9+Q9</f>
        <v>2117603755.4169135</v>
      </c>
      <c r="S9" s="722">
        <f t="shared" ref="S9:S72" si="5">+R9/M9</f>
        <v>0.99999999982846344</v>
      </c>
      <c r="T9" s="605">
        <v>155689616.99999994</v>
      </c>
      <c r="U9" s="607">
        <v>160570451</v>
      </c>
      <c r="V9" s="606">
        <v>164250385.96980003</v>
      </c>
      <c r="W9" s="606">
        <v>178316094.0302</v>
      </c>
      <c r="X9" s="607">
        <f t="shared" ref="X9:X18" si="6">SUM(T9:W9)</f>
        <v>658826548</v>
      </c>
    </row>
    <row r="10" spans="1:24" ht="14.25" x14ac:dyDescent="0.2">
      <c r="A10" s="22" t="s">
        <v>1</v>
      </c>
      <c r="B10" s="23">
        <v>24687519.241700005</v>
      </c>
      <c r="C10" s="23">
        <v>10137819.1535</v>
      </c>
      <c r="D10" s="23">
        <v>6640178.75</v>
      </c>
      <c r="E10" s="23">
        <v>27375064.328299999</v>
      </c>
      <c r="F10" s="23">
        <v>9306316.4528000001</v>
      </c>
      <c r="G10" s="112">
        <f>+B10+C10+E10+F10+D10</f>
        <v>78146897.926300004</v>
      </c>
      <c r="H10" s="23">
        <v>8636585.302099999</v>
      </c>
      <c r="I10" s="236">
        <f t="shared" si="4"/>
        <v>86783483.228400007</v>
      </c>
      <c r="J10" s="23"/>
      <c r="K10" s="576"/>
      <c r="L10" s="576"/>
      <c r="M10" s="236">
        <f t="shared" si="1"/>
        <v>86783483.228400007</v>
      </c>
      <c r="N10" s="236">
        <v>677897.00000000186</v>
      </c>
      <c r="O10" s="236">
        <v>1315892.0000000007</v>
      </c>
      <c r="P10" s="236">
        <v>4339173.8071000008</v>
      </c>
      <c r="Q10" s="236">
        <v>80450519.192900002</v>
      </c>
      <c r="R10" s="236">
        <f t="shared" si="2"/>
        <v>86783482</v>
      </c>
      <c r="S10" s="722">
        <f t="shared" si="5"/>
        <v>0.99999998584523275</v>
      </c>
      <c r="T10" s="605">
        <v>30996</v>
      </c>
      <c r="U10" s="607">
        <v>429674</v>
      </c>
      <c r="V10" s="606">
        <v>1368753.0820749998</v>
      </c>
      <c r="W10" s="606">
        <v>25545640.917925</v>
      </c>
      <c r="X10" s="607">
        <f t="shared" si="6"/>
        <v>27375064</v>
      </c>
    </row>
    <row r="11" spans="1:24" ht="14.25" x14ac:dyDescent="0.2">
      <c r="A11" s="22" t="s">
        <v>0</v>
      </c>
      <c r="B11" s="23">
        <v>41366680.983400002</v>
      </c>
      <c r="C11" s="23">
        <v>12267280.807</v>
      </c>
      <c r="D11" s="23">
        <v>5272000</v>
      </c>
      <c r="E11" s="23">
        <v>46741771.156600006</v>
      </c>
      <c r="F11" s="23">
        <v>10604275.4056</v>
      </c>
      <c r="G11" s="112">
        <f>+B11+C11+E11+F11+D11</f>
        <v>116252008.35259999</v>
      </c>
      <c r="H11" s="23">
        <v>17273170.604199998</v>
      </c>
      <c r="I11" s="236">
        <f t="shared" si="4"/>
        <v>133525178.95679998</v>
      </c>
      <c r="J11" s="23"/>
      <c r="K11" s="576"/>
      <c r="L11" s="576"/>
      <c r="M11" s="236">
        <f t="shared" si="1"/>
        <v>133525178.95679998</v>
      </c>
      <c r="N11" s="236">
        <v>984786.00000000373</v>
      </c>
      <c r="O11" s="236">
        <v>64299941</v>
      </c>
      <c r="P11" s="236">
        <v>6676259.7392000016</v>
      </c>
      <c r="Q11" s="236">
        <v>61564192.260799997</v>
      </c>
      <c r="R11" s="236">
        <f t="shared" si="2"/>
        <v>133525179</v>
      </c>
      <c r="S11" s="722">
        <f t="shared" si="5"/>
        <v>1.0000000003235345</v>
      </c>
      <c r="T11" s="605">
        <v>12000.000000007451</v>
      </c>
      <c r="U11" s="607">
        <v>22821910</v>
      </c>
      <c r="V11" s="606">
        <v>2337088.7891500015</v>
      </c>
      <c r="W11" s="606">
        <v>21570772.210849993</v>
      </c>
      <c r="X11" s="607">
        <f t="shared" si="6"/>
        <v>46741771</v>
      </c>
    </row>
    <row r="12" spans="1:24" ht="14.25" x14ac:dyDescent="0.2">
      <c r="A12" s="22" t="s">
        <v>26</v>
      </c>
      <c r="B12" s="112">
        <v>72617844.809000015</v>
      </c>
      <c r="C12" s="238"/>
      <c r="D12" s="238"/>
      <c r="E12" s="244"/>
      <c r="F12" s="244"/>
      <c r="G12" s="112">
        <f>+B12+C12+E12+F12+D12</f>
        <v>72617844.809000015</v>
      </c>
      <c r="H12" s="236">
        <v>113448561.95919999</v>
      </c>
      <c r="I12" s="236">
        <f>+G12+H12</f>
        <v>186066406.76820001</v>
      </c>
      <c r="J12" s="23"/>
      <c r="K12" s="576"/>
      <c r="L12" s="576"/>
      <c r="M12" s="236">
        <f t="shared" si="1"/>
        <v>186066406.76820001</v>
      </c>
      <c r="N12" s="236">
        <v>40837148</v>
      </c>
      <c r="O12" s="236">
        <v>43762802</v>
      </c>
      <c r="P12" s="236">
        <v>49374245.489799999</v>
      </c>
      <c r="Q12" s="236">
        <v>52092211.510199994</v>
      </c>
      <c r="R12" s="236">
        <f t="shared" si="2"/>
        <v>186066407</v>
      </c>
      <c r="S12" s="722">
        <f t="shared" si="5"/>
        <v>1.0000000012457917</v>
      </c>
      <c r="T12" s="605"/>
      <c r="U12" s="607"/>
      <c r="V12" s="606"/>
      <c r="W12" s="606"/>
      <c r="X12" s="607">
        <f t="shared" si="6"/>
        <v>0</v>
      </c>
    </row>
    <row r="13" spans="1:24" ht="14.25" x14ac:dyDescent="0.2">
      <c r="A13" s="22" t="s">
        <v>139</v>
      </c>
      <c r="B13" s="23">
        <v>600000</v>
      </c>
      <c r="C13" s="23">
        <v>600000</v>
      </c>
      <c r="D13" s="23">
        <v>600000</v>
      </c>
      <c r="E13" s="23">
        <v>1800000</v>
      </c>
      <c r="F13" s="23">
        <v>600000</v>
      </c>
      <c r="G13" s="112">
        <f>+B13+C13+E13+F13+D13</f>
        <v>4200000</v>
      </c>
      <c r="H13" s="23">
        <v>2400000</v>
      </c>
      <c r="I13" s="236">
        <f t="shared" si="4"/>
        <v>6600000</v>
      </c>
      <c r="J13" s="23"/>
      <c r="K13" s="576"/>
      <c r="L13" s="576"/>
      <c r="M13" s="236">
        <f t="shared" si="1"/>
        <v>6600000</v>
      </c>
      <c r="N13" s="236">
        <v>0</v>
      </c>
      <c r="O13" s="236">
        <v>2200000</v>
      </c>
      <c r="P13" s="236">
        <v>2200000</v>
      </c>
      <c r="Q13" s="236">
        <v>2200000</v>
      </c>
      <c r="R13" s="236">
        <f t="shared" si="2"/>
        <v>6600000</v>
      </c>
      <c r="S13" s="722">
        <f t="shared" si="5"/>
        <v>1</v>
      </c>
      <c r="T13" s="605">
        <v>0</v>
      </c>
      <c r="U13" s="607">
        <v>600000</v>
      </c>
      <c r="V13" s="606">
        <v>600000</v>
      </c>
      <c r="W13" s="606">
        <v>600000</v>
      </c>
      <c r="X13" s="607">
        <f t="shared" si="6"/>
        <v>1800000</v>
      </c>
    </row>
    <row r="14" spans="1:24" ht="14.25" x14ac:dyDescent="0.2">
      <c r="A14" s="22" t="s">
        <v>4</v>
      </c>
      <c r="B14" s="23">
        <v>41366680.983400002</v>
      </c>
      <c r="C14" s="23">
        <v>12267280.807</v>
      </c>
      <c r="D14" s="23">
        <v>5272000</v>
      </c>
      <c r="E14" s="23">
        <v>46741771.156600006</v>
      </c>
      <c r="F14" s="23">
        <v>10604275.4056</v>
      </c>
      <c r="G14" s="112">
        <f>+B14+C14+E14+F14+D14</f>
        <v>116252008.35259999</v>
      </c>
      <c r="H14" s="23">
        <v>17273170.604199998</v>
      </c>
      <c r="I14" s="236">
        <f t="shared" si="4"/>
        <v>133525178.95679998</v>
      </c>
      <c r="J14" s="23"/>
      <c r="K14" s="576"/>
      <c r="L14" s="576"/>
      <c r="M14" s="236">
        <f t="shared" si="1"/>
        <v>133525178.95679998</v>
      </c>
      <c r="N14" s="236">
        <v>984787.00000000373</v>
      </c>
      <c r="O14" s="236">
        <v>1519133.0000000019</v>
      </c>
      <c r="P14" s="236">
        <v>6676259.7392000016</v>
      </c>
      <c r="Q14" s="236">
        <v>124344999.26079999</v>
      </c>
      <c r="R14" s="236">
        <f t="shared" si="2"/>
        <v>133525179</v>
      </c>
      <c r="S14" s="722">
        <f t="shared" si="5"/>
        <v>1.0000000003235345</v>
      </c>
      <c r="T14" s="605">
        <v>12000.000000007451</v>
      </c>
      <c r="U14" s="607">
        <v>737466.00000000186</v>
      </c>
      <c r="V14" s="606">
        <v>2337088.7891500015</v>
      </c>
      <c r="W14" s="606">
        <v>43655216.210849985</v>
      </c>
      <c r="X14" s="607">
        <f t="shared" si="6"/>
        <v>46741771</v>
      </c>
    </row>
    <row r="15" spans="1:24" ht="14.25" x14ac:dyDescent="0.2">
      <c r="A15" s="22" t="s">
        <v>5</v>
      </c>
      <c r="B15" s="23">
        <v>4964001.7180080004</v>
      </c>
      <c r="C15" s="23">
        <v>1472073.6968399999</v>
      </c>
      <c r="D15" s="23">
        <v>632640</v>
      </c>
      <c r="E15" s="23">
        <v>5609012.5387920002</v>
      </c>
      <c r="F15" s="23">
        <v>1272513.0486719999</v>
      </c>
      <c r="G15" s="112">
        <f t="shared" si="3"/>
        <v>13950241.002311999</v>
      </c>
      <c r="H15" s="23">
        <v>2072780.4725039999</v>
      </c>
      <c r="I15" s="236">
        <f t="shared" si="4"/>
        <v>16023021.474815998</v>
      </c>
      <c r="J15" s="23"/>
      <c r="K15" s="576"/>
      <c r="L15" s="576"/>
      <c r="M15" s="236">
        <f t="shared" si="1"/>
        <v>16023021.474815998</v>
      </c>
      <c r="N15" s="236">
        <v>24723.999999999767</v>
      </c>
      <c r="O15" s="236">
        <v>57037</v>
      </c>
      <c r="P15" s="236">
        <v>801153.36870400026</v>
      </c>
      <c r="Q15" s="236">
        <v>15140107.631296001</v>
      </c>
      <c r="R15" s="236">
        <f t="shared" si="2"/>
        <v>16023022.000000002</v>
      </c>
      <c r="S15" s="722">
        <f t="shared" si="5"/>
        <v>1.0000000327768395</v>
      </c>
      <c r="T15" s="605">
        <v>12</v>
      </c>
      <c r="U15" s="607">
        <v>22123</v>
      </c>
      <c r="V15" s="606">
        <v>280451.13469800004</v>
      </c>
      <c r="W15" s="606">
        <v>5306426.8653020002</v>
      </c>
      <c r="X15" s="607">
        <f t="shared" si="6"/>
        <v>5609013</v>
      </c>
    </row>
    <row r="16" spans="1:24" ht="14.25" x14ac:dyDescent="0.2">
      <c r="A16" s="22" t="s">
        <v>2</v>
      </c>
      <c r="B16" s="23">
        <v>120002802.54184006</v>
      </c>
      <c r="C16" s="23">
        <v>45030583.708657227</v>
      </c>
      <c r="D16" s="23">
        <v>27334990.26931183</v>
      </c>
      <c r="E16" s="23">
        <v>134384452.70803204</v>
      </c>
      <c r="F16" s="23">
        <v>40823766.529686794</v>
      </c>
      <c r="G16" s="112">
        <f t="shared" si="3"/>
        <v>367576595.75752801</v>
      </c>
      <c r="H16" s="23">
        <v>46827704.255666256</v>
      </c>
      <c r="I16" s="236">
        <f t="shared" si="4"/>
        <v>414404300.01319426</v>
      </c>
      <c r="J16" s="23"/>
      <c r="K16" s="576"/>
      <c r="L16" s="576"/>
      <c r="M16" s="236">
        <f t="shared" si="1"/>
        <v>414404300.01319426</v>
      </c>
      <c r="N16" s="236">
        <v>100213784</v>
      </c>
      <c r="O16" s="236">
        <v>100311208</v>
      </c>
      <c r="P16" s="236">
        <v>103314091.41603181</v>
      </c>
      <c r="Q16" s="236">
        <v>110565217.58396819</v>
      </c>
      <c r="R16" s="236">
        <f t="shared" si="2"/>
        <v>414404301</v>
      </c>
      <c r="S16" s="722">
        <f t="shared" si="5"/>
        <v>1.0000000023812632</v>
      </c>
      <c r="T16" s="605">
        <v>32669730.000000004</v>
      </c>
      <c r="U16" s="607">
        <v>31609617</v>
      </c>
      <c r="V16" s="606">
        <v>33503049.151586939</v>
      </c>
      <c r="W16" s="606">
        <v>36602056.848413065</v>
      </c>
      <c r="X16" s="607">
        <f t="shared" si="6"/>
        <v>134384453</v>
      </c>
    </row>
    <row r="17" spans="1:24" ht="14.25" x14ac:dyDescent="0.2">
      <c r="A17" s="22" t="s">
        <v>6</v>
      </c>
      <c r="B17" s="23">
        <v>22574789.033676535</v>
      </c>
      <c r="C17" s="23">
        <v>8568277.7487693354</v>
      </c>
      <c r="D17" s="23">
        <v>5201215.9203333333</v>
      </c>
      <c r="E17" s="23">
        <v>25092687.103710134</v>
      </c>
      <c r="F17" s="23">
        <v>7767817.8155621337</v>
      </c>
      <c r="G17" s="112">
        <f t="shared" si="3"/>
        <v>69204787.622051477</v>
      </c>
      <c r="H17" s="23">
        <v>8175528.7841549339</v>
      </c>
      <c r="I17" s="236">
        <f t="shared" si="4"/>
        <v>77380316.406206414</v>
      </c>
      <c r="J17" s="23"/>
      <c r="K17" s="576"/>
      <c r="L17" s="576"/>
      <c r="M17" s="236">
        <f t="shared" si="1"/>
        <v>77380316.406206414</v>
      </c>
      <c r="N17" s="236">
        <v>18990420</v>
      </c>
      <c r="O17" s="236">
        <v>18966200.157343999</v>
      </c>
      <c r="P17" s="236">
        <v>22291491.624816</v>
      </c>
      <c r="Q17" s="236">
        <v>17132205.217840001</v>
      </c>
      <c r="R17" s="236">
        <f t="shared" si="2"/>
        <v>77380317</v>
      </c>
      <c r="S17" s="722">
        <f t="shared" si="5"/>
        <v>1.0000000076737032</v>
      </c>
      <c r="T17" s="605">
        <v>6156000</v>
      </c>
      <c r="U17" s="607">
        <v>5957080</v>
      </c>
      <c r="V17" s="606">
        <v>6755794.5687920004</v>
      </c>
      <c r="W17" s="606">
        <v>6223812.4312079996</v>
      </c>
      <c r="X17" s="607">
        <f t="shared" si="6"/>
        <v>25092687</v>
      </c>
    </row>
    <row r="18" spans="1:24" ht="14.25" x14ac:dyDescent="0.2">
      <c r="A18" s="22" t="s">
        <v>3</v>
      </c>
      <c r="B18" s="23">
        <v>28218486.292095672</v>
      </c>
      <c r="C18" s="23">
        <v>10710347.185961666</v>
      </c>
      <c r="D18" s="23">
        <v>6501519.9004166676</v>
      </c>
      <c r="E18" s="23">
        <v>31365858.879637673</v>
      </c>
      <c r="F18" s="23">
        <v>9709772.2694526669</v>
      </c>
      <c r="G18" s="112">
        <f t="shared" si="3"/>
        <v>86505984.527564347</v>
      </c>
      <c r="H18" s="23">
        <v>10219410.980193667</v>
      </c>
      <c r="I18" s="236">
        <f t="shared" si="4"/>
        <v>96725395.507758021</v>
      </c>
      <c r="J18" s="23"/>
      <c r="K18" s="576"/>
      <c r="L18" s="576"/>
      <c r="M18" s="236">
        <f t="shared" si="1"/>
        <v>96725395.507758021</v>
      </c>
      <c r="N18" s="236">
        <v>23736360</v>
      </c>
      <c r="O18" s="236">
        <v>23705959.696680002</v>
      </c>
      <c r="P18" s="236">
        <v>27114364.531019997</v>
      </c>
      <c r="Q18" s="236">
        <v>22168710.772299998</v>
      </c>
      <c r="R18" s="236">
        <f t="shared" si="2"/>
        <v>96725395</v>
      </c>
      <c r="S18" s="722">
        <f t="shared" si="5"/>
        <v>0.99999999475052004</v>
      </c>
      <c r="T18" s="605">
        <v>7693400</v>
      </c>
      <c r="U18" s="607">
        <v>7444660</v>
      </c>
      <c r="V18" s="606">
        <v>8319743.2109899996</v>
      </c>
      <c r="W18" s="606">
        <v>7908055.7890099995</v>
      </c>
      <c r="X18" s="607">
        <f t="shared" si="6"/>
        <v>31365859</v>
      </c>
    </row>
    <row r="19" spans="1:24" ht="15" x14ac:dyDescent="0.25">
      <c r="A19" s="27" t="s">
        <v>129</v>
      </c>
      <c r="B19" s="237">
        <f>SUM(B9:B18)</f>
        <v>950545102.02003372</v>
      </c>
      <c r="C19" s="237">
        <f>SUM(C9:C18)</f>
        <v>345037177.40196157</v>
      </c>
      <c r="D19" s="237">
        <f>SUM(D9:D18)</f>
        <v>217261513.42339516</v>
      </c>
      <c r="E19" s="237">
        <f>SUM(E9:E18)</f>
        <v>977937166.03942537</v>
      </c>
      <c r="F19" s="237">
        <f>SUM(F9:F18)</f>
        <v>314660752.89142698</v>
      </c>
      <c r="G19" s="237">
        <f>+B19+C19+E19+F19+D19</f>
        <v>2805441711.7762427</v>
      </c>
      <c r="H19" s="237">
        <f>SUM(H9:H18)</f>
        <v>456419325.31609225</v>
      </c>
      <c r="I19" s="237">
        <f>SUM(I9:I18)</f>
        <v>3261861037.0923347</v>
      </c>
      <c r="J19" s="21">
        <f>SUM(J9:J18)</f>
        <v>6776000</v>
      </c>
      <c r="K19" s="21">
        <f>SUM(K9:K18)</f>
        <v>0</v>
      </c>
      <c r="L19" s="577">
        <f>SUM(L9:L18)</f>
        <v>0</v>
      </c>
      <c r="M19" s="237">
        <f t="shared" si="1"/>
        <v>3268637037.0923347</v>
      </c>
      <c r="N19" s="237">
        <f>SUM(N9:N18)</f>
        <v>679456627.99999988</v>
      </c>
      <c r="O19" s="237">
        <f>SUM(O9:O18)</f>
        <v>775641663.85402393</v>
      </c>
      <c r="P19" s="237">
        <f>SUM(P9:P18)</f>
        <v>754864269.08627188</v>
      </c>
      <c r="Q19" s="237">
        <f>SUM(Q9:Q18)</f>
        <v>1058674476.4766177</v>
      </c>
      <c r="R19" s="237">
        <f t="shared" si="2"/>
        <v>3268637037.4169135</v>
      </c>
      <c r="S19" s="723">
        <f t="shared" si="5"/>
        <v>1.000000000099301</v>
      </c>
      <c r="T19" s="608">
        <f>SUM(T9:T18)</f>
        <v>202263754.99999994</v>
      </c>
      <c r="U19" s="610">
        <f>SUM(U9:U18)</f>
        <v>230192981</v>
      </c>
      <c r="V19" s="609">
        <f>SUM(V9:V18)</f>
        <v>219752354.69624197</v>
      </c>
      <c r="W19" s="609">
        <f>SUM(W9:W18)</f>
        <v>325728075.30375808</v>
      </c>
      <c r="X19" s="610">
        <f>SUM(X9:X18)</f>
        <v>977937166</v>
      </c>
    </row>
    <row r="20" spans="1:24" ht="15" x14ac:dyDescent="0.25">
      <c r="A20" s="16" t="s">
        <v>27</v>
      </c>
      <c r="B20" s="236"/>
      <c r="C20" s="236"/>
      <c r="D20" s="236"/>
      <c r="E20" s="245"/>
      <c r="F20" s="236"/>
      <c r="G20" s="236"/>
      <c r="H20" s="237"/>
      <c r="I20" s="236"/>
      <c r="J20" s="23"/>
      <c r="K20" s="576"/>
      <c r="L20" s="576"/>
      <c r="M20" s="236"/>
      <c r="N20" s="236"/>
      <c r="O20" s="236"/>
      <c r="P20" s="236"/>
      <c r="Q20" s="236"/>
      <c r="R20" s="236"/>
      <c r="S20" s="722"/>
      <c r="T20" s="605"/>
      <c r="U20" s="607"/>
      <c r="V20" s="606"/>
      <c r="W20" s="606"/>
      <c r="X20" s="607"/>
    </row>
    <row r="21" spans="1:24" ht="14.25" x14ac:dyDescent="0.2">
      <c r="A21" s="24" t="s">
        <v>34</v>
      </c>
      <c r="B21" s="578">
        <v>322685800</v>
      </c>
      <c r="C21" s="578">
        <v>4000000</v>
      </c>
      <c r="D21" s="579">
        <v>0</v>
      </c>
      <c r="E21" s="578">
        <v>30400000</v>
      </c>
      <c r="F21" s="579">
        <v>6116400.0000000009</v>
      </c>
      <c r="G21" s="579">
        <f t="shared" ref="G21:G37" si="7">+B21+C21+E21+F21+D21</f>
        <v>363202200</v>
      </c>
      <c r="H21" s="236">
        <v>77932896.557400003</v>
      </c>
      <c r="I21" s="23">
        <f>+H21+G21</f>
        <v>441135096.55739999</v>
      </c>
      <c r="J21" s="23">
        <v>123065063</v>
      </c>
      <c r="K21" s="576"/>
      <c r="L21" s="576"/>
      <c r="M21" s="23">
        <f t="shared" ref="M21:M83" si="8">+I21+J21+K21+L21</f>
        <v>564200159.55739999</v>
      </c>
      <c r="N21" s="23">
        <v>80381502</v>
      </c>
      <c r="O21" s="23">
        <v>178394307</v>
      </c>
      <c r="P21" s="23">
        <v>151659074.23815</v>
      </c>
      <c r="Q21" s="23">
        <v>153748562.76185</v>
      </c>
      <c r="R21" s="23">
        <f t="shared" ref="R21:R37" si="9">+N21+O21+P21+Q21</f>
        <v>564183446</v>
      </c>
      <c r="S21" s="720">
        <f t="shared" si="5"/>
        <v>0.99997037654613019</v>
      </c>
      <c r="T21" s="605">
        <v>25532835</v>
      </c>
      <c r="U21" s="607">
        <v>284300</v>
      </c>
      <c r="V21" s="606">
        <v>1600000</v>
      </c>
      <c r="W21" s="606">
        <v>2982865</v>
      </c>
      <c r="X21" s="607">
        <f>SUM(T21:W21)</f>
        <v>30400000</v>
      </c>
    </row>
    <row r="22" spans="1:24" ht="14.25" x14ac:dyDescent="0.2">
      <c r="A22" s="24" t="s">
        <v>119</v>
      </c>
      <c r="B22" s="23">
        <v>29138175.212128002</v>
      </c>
      <c r="C22" s="578">
        <v>2500000</v>
      </c>
      <c r="D22" s="579">
        <v>0</v>
      </c>
      <c r="E22" s="23">
        <v>12000000</v>
      </c>
      <c r="F22" s="579">
        <v>0</v>
      </c>
      <c r="G22" s="579">
        <f t="shared" si="7"/>
        <v>43638175.212127998</v>
      </c>
      <c r="H22" s="236">
        <v>10927571.453400001</v>
      </c>
      <c r="I22" s="23">
        <f t="shared" ref="I22:I35" si="10">+G22+H22</f>
        <v>54565746.665527999</v>
      </c>
      <c r="J22" s="23"/>
      <c r="K22" s="576"/>
      <c r="L22" s="576"/>
      <c r="M22" s="23">
        <f t="shared" si="8"/>
        <v>54565746.665527999</v>
      </c>
      <c r="N22" s="23">
        <v>10070483</v>
      </c>
      <c r="O22" s="23">
        <v>3043395</v>
      </c>
      <c r="P22" s="23">
        <v>8834432.1226000004</v>
      </c>
      <c r="Q22" s="23">
        <v>32617435.8774</v>
      </c>
      <c r="R22" s="23">
        <f t="shared" si="9"/>
        <v>54565746</v>
      </c>
      <c r="S22" s="720">
        <f t="shared" si="5"/>
        <v>0.99999998780319088</v>
      </c>
      <c r="T22" s="605">
        <v>3000000</v>
      </c>
      <c r="U22" s="607">
        <v>331650</v>
      </c>
      <c r="V22" s="606">
        <v>3000000</v>
      </c>
      <c r="W22" s="606">
        <v>5668350</v>
      </c>
      <c r="X22" s="607">
        <f>SUM(T22:W22)</f>
        <v>12000000</v>
      </c>
    </row>
    <row r="23" spans="1:24" ht="14.25" x14ac:dyDescent="0.2">
      <c r="A23" s="24" t="s">
        <v>36</v>
      </c>
      <c r="B23" s="578">
        <v>0</v>
      </c>
      <c r="C23" s="578">
        <v>0</v>
      </c>
      <c r="D23" s="579"/>
      <c r="E23" s="578">
        <v>9600000</v>
      </c>
      <c r="F23" s="579">
        <v>0</v>
      </c>
      <c r="G23" s="579">
        <f t="shared" si="7"/>
        <v>9600000</v>
      </c>
      <c r="H23" s="236">
        <v>18452732.3028</v>
      </c>
      <c r="I23" s="23">
        <f t="shared" si="10"/>
        <v>28052732.3028</v>
      </c>
      <c r="J23" s="23"/>
      <c r="K23" s="576"/>
      <c r="L23" s="576"/>
      <c r="M23" s="23">
        <f t="shared" si="8"/>
        <v>28052732.3028</v>
      </c>
      <c r="N23" s="23">
        <v>4264762</v>
      </c>
      <c r="O23" s="23">
        <v>5368365</v>
      </c>
      <c r="P23" s="23">
        <v>7313183.0756999999</v>
      </c>
      <c r="Q23" s="23">
        <v>11106421.9243</v>
      </c>
      <c r="R23" s="23">
        <f t="shared" si="9"/>
        <v>28052732</v>
      </c>
      <c r="S23" s="720">
        <f t="shared" si="5"/>
        <v>0.99999998920604249</v>
      </c>
      <c r="T23" s="605">
        <v>1782290</v>
      </c>
      <c r="U23" s="607">
        <v>1749148</v>
      </c>
      <c r="V23" s="606">
        <v>2700000</v>
      </c>
      <c r="W23" s="606">
        <v>3368562</v>
      </c>
      <c r="X23" s="607">
        <f>SUM(T23:W23)</f>
        <v>9600000</v>
      </c>
    </row>
    <row r="24" spans="1:24" ht="14.25" x14ac:dyDescent="0.2">
      <c r="A24" s="24" t="s">
        <v>30</v>
      </c>
      <c r="B24" s="23">
        <v>32796615.999552004</v>
      </c>
      <c r="C24" s="578">
        <v>10265000</v>
      </c>
      <c r="D24" s="578">
        <v>6159000</v>
      </c>
      <c r="E24" s="578">
        <v>161871034</v>
      </c>
      <c r="F24" s="579">
        <v>9640256.8230000008</v>
      </c>
      <c r="G24" s="579">
        <f t="shared" si="7"/>
        <v>220731906.82255203</v>
      </c>
      <c r="H24" s="236">
        <v>25485000.000000004</v>
      </c>
      <c r="I24" s="23">
        <f t="shared" si="10"/>
        <v>246216906.82255203</v>
      </c>
      <c r="J24" s="23"/>
      <c r="K24" s="576"/>
      <c r="L24" s="576">
        <v>30000000</v>
      </c>
      <c r="M24" s="23">
        <f t="shared" si="8"/>
        <v>276216906.82255203</v>
      </c>
      <c r="N24" s="23">
        <v>44040732</v>
      </c>
      <c r="O24" s="23">
        <v>44541593</v>
      </c>
      <c r="P24" s="23">
        <v>66457415</v>
      </c>
      <c r="Q24" s="23">
        <v>120215619</v>
      </c>
      <c r="R24" s="23">
        <f t="shared" si="9"/>
        <v>275255359</v>
      </c>
      <c r="S24" s="720">
        <f t="shared" si="5"/>
        <v>0.99651886688033275</v>
      </c>
      <c r="T24" s="605">
        <v>29706432</v>
      </c>
      <c r="U24" s="607">
        <v>33999809</v>
      </c>
      <c r="V24" s="606">
        <v>45000000</v>
      </c>
      <c r="W24" s="606">
        <v>83164793</v>
      </c>
      <c r="X24" s="607">
        <f>SUM(T24:W24)</f>
        <v>191871034</v>
      </c>
    </row>
    <row r="25" spans="1:24" ht="14.25" x14ac:dyDescent="0.2">
      <c r="A25" s="24" t="s">
        <v>33</v>
      </c>
      <c r="B25" s="578">
        <v>2242680</v>
      </c>
      <c r="C25" s="578">
        <v>2463600</v>
      </c>
      <c r="D25" s="578">
        <v>2053000</v>
      </c>
      <c r="E25" s="578">
        <v>2160000</v>
      </c>
      <c r="F25" s="579">
        <v>2324232</v>
      </c>
      <c r="G25" s="579">
        <f t="shared" si="7"/>
        <v>11243512</v>
      </c>
      <c r="H25" s="236">
        <v>4376177.1630000006</v>
      </c>
      <c r="I25" s="23">
        <f t="shared" si="10"/>
        <v>15619689.163000001</v>
      </c>
      <c r="J25" s="23"/>
      <c r="K25" s="576"/>
      <c r="L25" s="576"/>
      <c r="M25" s="23">
        <f t="shared" si="8"/>
        <v>15619689.163000001</v>
      </c>
      <c r="N25" s="23">
        <v>1828450.0000000002</v>
      </c>
      <c r="O25" s="23">
        <v>2753940</v>
      </c>
      <c r="P25" s="23">
        <v>3657744.2907500002</v>
      </c>
      <c r="Q25" s="23">
        <v>7379554.7092499994</v>
      </c>
      <c r="R25" s="23">
        <f t="shared" si="9"/>
        <v>15619689</v>
      </c>
      <c r="S25" s="720">
        <f t="shared" si="5"/>
        <v>0.99999998956445302</v>
      </c>
      <c r="T25" s="605">
        <v>452600</v>
      </c>
      <c r="U25" s="607">
        <v>494590</v>
      </c>
      <c r="V25" s="606">
        <v>583700</v>
      </c>
      <c r="W25" s="606">
        <v>629110</v>
      </c>
      <c r="X25" s="607">
        <f>SUM(T25:W25)</f>
        <v>2160000</v>
      </c>
    </row>
    <row r="26" spans="1:24" ht="14.25" x14ac:dyDescent="0.2">
      <c r="A26" s="22" t="s">
        <v>122</v>
      </c>
      <c r="B26" s="578">
        <v>0</v>
      </c>
      <c r="C26" s="578">
        <v>0</v>
      </c>
      <c r="D26" s="578">
        <v>0</v>
      </c>
      <c r="E26" s="578">
        <v>0</v>
      </c>
      <c r="F26" s="578">
        <v>0</v>
      </c>
      <c r="G26" s="578">
        <f t="shared" si="7"/>
        <v>0</v>
      </c>
      <c r="H26" s="23">
        <v>25000000</v>
      </c>
      <c r="I26" s="23">
        <f t="shared" si="10"/>
        <v>25000000</v>
      </c>
      <c r="J26" s="23"/>
      <c r="K26" s="576"/>
      <c r="L26" s="576"/>
      <c r="M26" s="23">
        <f t="shared" si="8"/>
        <v>25000000</v>
      </c>
      <c r="N26" s="23">
        <v>11755300</v>
      </c>
      <c r="O26" s="23">
        <v>1465600</v>
      </c>
      <c r="P26" s="23">
        <v>5200000</v>
      </c>
      <c r="Q26" s="23">
        <v>6579100</v>
      </c>
      <c r="R26" s="23">
        <f t="shared" si="9"/>
        <v>25000000</v>
      </c>
      <c r="S26" s="720">
        <f t="shared" si="5"/>
        <v>1</v>
      </c>
      <c r="T26" s="605"/>
      <c r="U26" s="607"/>
      <c r="V26" s="606"/>
      <c r="W26" s="606"/>
      <c r="X26" s="607">
        <v>0</v>
      </c>
    </row>
    <row r="27" spans="1:24" ht="14.25" x14ac:dyDescent="0.2">
      <c r="A27" s="24" t="s">
        <v>28</v>
      </c>
      <c r="B27" s="578">
        <v>5971270.060800001</v>
      </c>
      <c r="C27" s="578">
        <v>5971270.060800001</v>
      </c>
      <c r="D27" s="579">
        <v>5971270.060800001</v>
      </c>
      <c r="E27" s="578">
        <v>5971270.060800001</v>
      </c>
      <c r="F27" s="579">
        <v>5971270.060800001</v>
      </c>
      <c r="G27" s="579">
        <f t="shared" si="7"/>
        <v>29856350.304000005</v>
      </c>
      <c r="H27" s="236">
        <v>21158609.313600004</v>
      </c>
      <c r="I27" s="23">
        <f t="shared" si="10"/>
        <v>51014959.617600009</v>
      </c>
      <c r="J27" s="23"/>
      <c r="K27" s="576"/>
      <c r="L27" s="576"/>
      <c r="M27" s="23">
        <f t="shared" si="8"/>
        <v>51014959.617600009</v>
      </c>
      <c r="N27" s="23">
        <v>6868952.0000000019</v>
      </c>
      <c r="O27" s="23">
        <v>11942544</v>
      </c>
      <c r="P27" s="23">
        <v>12753739.904400002</v>
      </c>
      <c r="Q27" s="23">
        <v>19449723.095599998</v>
      </c>
      <c r="R27" s="23">
        <f t="shared" si="9"/>
        <v>51014959</v>
      </c>
      <c r="S27" s="720">
        <f t="shared" si="5"/>
        <v>0.999999987893747</v>
      </c>
      <c r="T27" s="605">
        <v>995214.00000000023</v>
      </c>
      <c r="U27" s="607">
        <v>1990424</v>
      </c>
      <c r="V27" s="606">
        <v>1492817.5152000003</v>
      </c>
      <c r="W27" s="606">
        <v>1492814.4847999997</v>
      </c>
      <c r="X27" s="607">
        <f t="shared" ref="X27:X34" si="11">SUM(T27:W27)</f>
        <v>5971270</v>
      </c>
    </row>
    <row r="28" spans="1:24" ht="14.25" x14ac:dyDescent="0.2">
      <c r="A28" s="422" t="s">
        <v>38</v>
      </c>
      <c r="B28" s="578">
        <v>6000000</v>
      </c>
      <c r="C28" s="578">
        <v>1000000</v>
      </c>
      <c r="D28" s="579">
        <v>5000000</v>
      </c>
      <c r="E28" s="578">
        <v>36000000</v>
      </c>
      <c r="F28" s="579">
        <v>0</v>
      </c>
      <c r="G28" s="579">
        <f t="shared" si="7"/>
        <v>48000000</v>
      </c>
      <c r="H28" s="236">
        <v>22000000</v>
      </c>
      <c r="I28" s="23">
        <f t="shared" si="10"/>
        <v>70000000</v>
      </c>
      <c r="J28" s="23"/>
      <c r="K28" s="576"/>
      <c r="L28" s="576"/>
      <c r="M28" s="23">
        <f t="shared" si="8"/>
        <v>70000000</v>
      </c>
      <c r="N28" s="23">
        <v>4568330</v>
      </c>
      <c r="O28" s="23">
        <v>3326136</v>
      </c>
      <c r="P28" s="23">
        <v>17800000</v>
      </c>
      <c r="Q28" s="23">
        <v>42305534</v>
      </c>
      <c r="R28" s="23">
        <f t="shared" si="9"/>
        <v>68000000</v>
      </c>
      <c r="S28" s="720">
        <f t="shared" si="5"/>
        <v>0.97142857142857142</v>
      </c>
      <c r="T28" s="605">
        <v>2453000</v>
      </c>
      <c r="U28" s="607">
        <v>2797470</v>
      </c>
      <c r="V28" s="606">
        <v>9000000</v>
      </c>
      <c r="W28" s="606">
        <v>21749530</v>
      </c>
      <c r="X28" s="607">
        <f t="shared" si="11"/>
        <v>36000000</v>
      </c>
    </row>
    <row r="29" spans="1:24" ht="14.25" x14ac:dyDescent="0.2">
      <c r="A29" s="24" t="s">
        <v>40</v>
      </c>
      <c r="B29" s="578">
        <v>0</v>
      </c>
      <c r="C29" s="578">
        <v>0</v>
      </c>
      <c r="D29" s="579"/>
      <c r="E29" s="578">
        <v>57600000</v>
      </c>
      <c r="F29" s="579">
        <v>0</v>
      </c>
      <c r="G29" s="579">
        <f t="shared" si="7"/>
        <v>57600000</v>
      </c>
      <c r="H29" s="23">
        <v>87550663</v>
      </c>
      <c r="I29" s="23">
        <f t="shared" si="10"/>
        <v>145150663</v>
      </c>
      <c r="J29" s="23"/>
      <c r="K29" s="576"/>
      <c r="L29" s="576"/>
      <c r="M29" s="23">
        <f t="shared" si="8"/>
        <v>145150663</v>
      </c>
      <c r="N29" s="23">
        <v>26037832</v>
      </c>
      <c r="O29" s="23">
        <v>30907772</v>
      </c>
      <c r="P29" s="23">
        <v>36287665.75</v>
      </c>
      <c r="Q29" s="23">
        <v>51917393.25</v>
      </c>
      <c r="R29" s="23">
        <f t="shared" si="9"/>
        <v>145150663</v>
      </c>
      <c r="S29" s="720">
        <f t="shared" si="5"/>
        <v>1</v>
      </c>
      <c r="T29" s="605">
        <v>4285170</v>
      </c>
      <c r="U29" s="607">
        <v>9020106</v>
      </c>
      <c r="V29" s="606">
        <v>14400000</v>
      </c>
      <c r="W29" s="606">
        <v>29894724</v>
      </c>
      <c r="X29" s="607">
        <f t="shared" si="11"/>
        <v>57600000</v>
      </c>
    </row>
    <row r="30" spans="1:24" ht="14.25" x14ac:dyDescent="0.2">
      <c r="A30" s="24" t="s">
        <v>148</v>
      </c>
      <c r="B30" s="23">
        <v>12000000</v>
      </c>
      <c r="C30" s="23">
        <v>15773199</v>
      </c>
      <c r="D30" s="236">
        <v>7493450</v>
      </c>
      <c r="E30" s="23">
        <v>202291936.69599998</v>
      </c>
      <c r="F30" s="579">
        <v>20388000</v>
      </c>
      <c r="G30" s="579">
        <f t="shared" si="7"/>
        <v>257946585.69599998</v>
      </c>
      <c r="H30" s="236">
        <v>25000000</v>
      </c>
      <c r="I30" s="23">
        <f t="shared" si="10"/>
        <v>282946585.69599998</v>
      </c>
      <c r="J30" s="23"/>
      <c r="K30" s="576">
        <v>61000000</v>
      </c>
      <c r="L30" s="576"/>
      <c r="M30" s="23">
        <f t="shared" si="8"/>
        <v>343946585.69599998</v>
      </c>
      <c r="N30" s="23">
        <v>63562642</v>
      </c>
      <c r="O30" s="23">
        <v>72255744</v>
      </c>
      <c r="P30" s="23">
        <v>99500000</v>
      </c>
      <c r="Q30" s="23">
        <v>108505724</v>
      </c>
      <c r="R30" s="23">
        <f t="shared" si="9"/>
        <v>343824110</v>
      </c>
      <c r="S30" s="720">
        <f t="shared" si="5"/>
        <v>0.99964391070854175</v>
      </c>
      <c r="T30" s="605">
        <v>50015017</v>
      </c>
      <c r="U30" s="607">
        <v>56488183</v>
      </c>
      <c r="V30" s="606">
        <v>73500000</v>
      </c>
      <c r="W30" s="606">
        <v>83288737</v>
      </c>
      <c r="X30" s="607">
        <f t="shared" si="11"/>
        <v>263291937</v>
      </c>
    </row>
    <row r="31" spans="1:24" ht="14.25" x14ac:dyDescent="0.2">
      <c r="A31" s="24" t="s">
        <v>35</v>
      </c>
      <c r="B31" s="578">
        <v>0</v>
      </c>
      <c r="C31" s="578">
        <v>0</v>
      </c>
      <c r="D31" s="579"/>
      <c r="E31" s="578">
        <v>0</v>
      </c>
      <c r="F31" s="579">
        <v>0</v>
      </c>
      <c r="G31" s="579">
        <f t="shared" si="7"/>
        <v>0</v>
      </c>
      <c r="H31" s="236">
        <v>8225132.878800001</v>
      </c>
      <c r="I31" s="23">
        <f t="shared" si="10"/>
        <v>8225132.878800001</v>
      </c>
      <c r="J31" s="23"/>
      <c r="K31" s="576"/>
      <c r="L31" s="576"/>
      <c r="M31" s="23">
        <f t="shared" si="8"/>
        <v>8225132.878800001</v>
      </c>
      <c r="N31" s="23">
        <v>3785686</v>
      </c>
      <c r="O31" s="23">
        <v>1399253</v>
      </c>
      <c r="P31" s="23">
        <v>1458474.6937500001</v>
      </c>
      <c r="Q31" s="23">
        <v>1581719.3062500004</v>
      </c>
      <c r="R31" s="23">
        <f t="shared" si="9"/>
        <v>8225133</v>
      </c>
      <c r="S31" s="720">
        <f t="shared" si="5"/>
        <v>1.0000000147353241</v>
      </c>
      <c r="T31" s="605"/>
      <c r="U31" s="607"/>
      <c r="V31" s="606"/>
      <c r="W31" s="606"/>
      <c r="X31" s="607">
        <f t="shared" si="11"/>
        <v>0</v>
      </c>
    </row>
    <row r="32" spans="1:24" ht="14.25" x14ac:dyDescent="0.2">
      <c r="A32" s="24" t="s">
        <v>37</v>
      </c>
      <c r="B32" s="23">
        <v>9398460.2400000002</v>
      </c>
      <c r="C32" s="23">
        <v>3654956.7600000002</v>
      </c>
      <c r="D32" s="236">
        <v>1566410.04</v>
      </c>
      <c r="E32" s="23">
        <v>7309098.0000000009</v>
      </c>
      <c r="F32" s="236">
        <v>9398460.2400000002</v>
      </c>
      <c r="G32" s="579">
        <f t="shared" si="7"/>
        <v>31327385.280000001</v>
      </c>
      <c r="H32" s="236">
        <v>26628970.680000003</v>
      </c>
      <c r="I32" s="23">
        <f t="shared" si="10"/>
        <v>57956355.960000008</v>
      </c>
      <c r="J32" s="23"/>
      <c r="K32" s="576"/>
      <c r="L32" s="576"/>
      <c r="M32" s="23">
        <f t="shared" si="8"/>
        <v>57956355.960000008</v>
      </c>
      <c r="N32" s="23">
        <v>11814935.120000001</v>
      </c>
      <c r="O32" s="23">
        <v>12725331.120000001</v>
      </c>
      <c r="P32" s="23">
        <v>14521814.43</v>
      </c>
      <c r="Q32" s="23">
        <v>18894275.329999998</v>
      </c>
      <c r="R32" s="23">
        <f t="shared" si="9"/>
        <v>57956356</v>
      </c>
      <c r="S32" s="720">
        <f t="shared" si="5"/>
        <v>1.0000000006901744</v>
      </c>
      <c r="T32" s="605">
        <v>1614796.0000000002</v>
      </c>
      <c r="U32" s="607">
        <v>1777780</v>
      </c>
      <c r="V32" s="606">
        <v>1860000</v>
      </c>
      <c r="W32" s="606">
        <v>2056522</v>
      </c>
      <c r="X32" s="607">
        <f t="shared" si="11"/>
        <v>7309098</v>
      </c>
    </row>
    <row r="33" spans="1:24" ht="14.25" x14ac:dyDescent="0.2">
      <c r="A33" s="24" t="s">
        <v>29</v>
      </c>
      <c r="B33" s="578">
        <v>3000000</v>
      </c>
      <c r="C33" s="578">
        <v>0</v>
      </c>
      <c r="D33" s="579"/>
      <c r="E33" s="578">
        <v>7970880</v>
      </c>
      <c r="F33" s="579">
        <v>18000000</v>
      </c>
      <c r="G33" s="579">
        <f>+B33+C33+E33+F33+D33</f>
        <v>28970880</v>
      </c>
      <c r="H33" s="236">
        <v>47026034.165400006</v>
      </c>
      <c r="I33" s="23">
        <f>+G33+H33</f>
        <v>75996914.165399998</v>
      </c>
      <c r="J33" s="23"/>
      <c r="K33" s="576"/>
      <c r="L33" s="576"/>
      <c r="M33" s="23">
        <f t="shared" si="8"/>
        <v>75996914.165399998</v>
      </c>
      <c r="N33" s="23">
        <v>13314310</v>
      </c>
      <c r="O33" s="23">
        <v>18237712</v>
      </c>
      <c r="P33" s="23">
        <v>23556508.54135</v>
      </c>
      <c r="Q33" s="23">
        <v>20888383.45865</v>
      </c>
      <c r="R33" s="23">
        <f t="shared" si="9"/>
        <v>75996914</v>
      </c>
      <c r="S33" s="720">
        <f t="shared" si="5"/>
        <v>0.99999999782359583</v>
      </c>
      <c r="T33" s="605">
        <v>1012240</v>
      </c>
      <c r="U33" s="607">
        <v>986207</v>
      </c>
      <c r="V33" s="606">
        <v>2050000</v>
      </c>
      <c r="W33" s="606">
        <v>3922433</v>
      </c>
      <c r="X33" s="607">
        <f t="shared" si="11"/>
        <v>7970880</v>
      </c>
    </row>
    <row r="34" spans="1:24" ht="14.25" x14ac:dyDescent="0.2">
      <c r="A34" s="24" t="s">
        <v>41</v>
      </c>
      <c r="B34" s="578">
        <v>0</v>
      </c>
      <c r="C34" s="578">
        <v>0</v>
      </c>
      <c r="D34" s="579"/>
      <c r="E34" s="579">
        <v>0</v>
      </c>
      <c r="F34" s="579">
        <v>0</v>
      </c>
      <c r="G34" s="579">
        <f t="shared" si="7"/>
        <v>0</v>
      </c>
      <c r="H34" s="236">
        <v>44009060.740200005</v>
      </c>
      <c r="I34" s="23">
        <f t="shared" si="10"/>
        <v>44009060.740200005</v>
      </c>
      <c r="J34" s="23"/>
      <c r="K34" s="576"/>
      <c r="L34" s="576"/>
      <c r="M34" s="23">
        <f t="shared" si="8"/>
        <v>44009060.740200005</v>
      </c>
      <c r="N34" s="23">
        <v>0</v>
      </c>
      <c r="O34" s="23">
        <v>0</v>
      </c>
      <c r="P34" s="23">
        <v>41532732.740200005</v>
      </c>
      <c r="Q34" s="23">
        <v>2476328</v>
      </c>
      <c r="R34" s="23">
        <f t="shared" si="9"/>
        <v>44009060.740200005</v>
      </c>
      <c r="S34" s="720">
        <f t="shared" si="5"/>
        <v>1</v>
      </c>
      <c r="T34" s="605"/>
      <c r="U34" s="607"/>
      <c r="V34" s="606"/>
      <c r="W34" s="606"/>
      <c r="X34" s="607">
        <f t="shared" si="11"/>
        <v>0</v>
      </c>
    </row>
    <row r="35" spans="1:24" ht="14.25" x14ac:dyDescent="0.2">
      <c r="A35" s="24" t="s">
        <v>39</v>
      </c>
      <c r="B35" s="578">
        <v>0</v>
      </c>
      <c r="C35" s="579">
        <v>0</v>
      </c>
      <c r="D35" s="579"/>
      <c r="E35" s="578">
        <v>0</v>
      </c>
      <c r="F35" s="579">
        <v>0</v>
      </c>
      <c r="G35" s="579">
        <f t="shared" si="7"/>
        <v>0</v>
      </c>
      <c r="H35" s="236">
        <v>20202139.933800001</v>
      </c>
      <c r="I35" s="23">
        <f t="shared" si="10"/>
        <v>20202139.933800001</v>
      </c>
      <c r="J35" s="23"/>
      <c r="K35" s="576"/>
      <c r="L35" s="576"/>
      <c r="M35" s="23">
        <f t="shared" si="8"/>
        <v>20202139.933800001</v>
      </c>
      <c r="N35" s="23">
        <v>7685051.9669000003</v>
      </c>
      <c r="O35" s="23">
        <v>1400392</v>
      </c>
      <c r="P35" s="23">
        <v>4320053.9834500002</v>
      </c>
      <c r="Q35" s="23">
        <v>6796642.0496499985</v>
      </c>
      <c r="R35" s="23">
        <f t="shared" si="9"/>
        <v>20202140</v>
      </c>
      <c r="S35" s="720">
        <f t="shared" si="5"/>
        <v>1.0000000032768805</v>
      </c>
      <c r="T35" s="605"/>
      <c r="U35" s="607"/>
      <c r="V35" s="606"/>
      <c r="W35" s="606"/>
      <c r="X35" s="607"/>
    </row>
    <row r="36" spans="1:24" ht="15" x14ac:dyDescent="0.25">
      <c r="A36" s="27" t="s">
        <v>130</v>
      </c>
      <c r="B36" s="21">
        <f t="shared" ref="B36:G36" si="12">SUM(B21:B35)</f>
        <v>423233001.51248002</v>
      </c>
      <c r="C36" s="21">
        <f t="shared" si="12"/>
        <v>45628025.820799999</v>
      </c>
      <c r="D36" s="21">
        <f t="shared" si="12"/>
        <v>28243130.1008</v>
      </c>
      <c r="E36" s="21">
        <f t="shared" si="12"/>
        <v>533174218.7568</v>
      </c>
      <c r="F36" s="21">
        <f t="shared" si="12"/>
        <v>71838619.123800009</v>
      </c>
      <c r="G36" s="580">
        <f t="shared" si="12"/>
        <v>1102116995.3146801</v>
      </c>
      <c r="H36" s="21">
        <f>SUM(H21:H35)</f>
        <v>463974988.18839997</v>
      </c>
      <c r="I36" s="21">
        <f>SUM(I21:I35)</f>
        <v>1566091983.5030801</v>
      </c>
      <c r="J36" s="21">
        <f>SUM(J21:J35)</f>
        <v>123065063</v>
      </c>
      <c r="K36" s="21">
        <f>SUM(K21:K35)</f>
        <v>61000000</v>
      </c>
      <c r="L36" s="577">
        <f>SUM(L21:L35)</f>
        <v>30000000</v>
      </c>
      <c r="M36" s="21">
        <f t="shared" si="8"/>
        <v>1780157046.5030801</v>
      </c>
      <c r="N36" s="21">
        <f>SUM(N21:N35)</f>
        <v>289978968.0869</v>
      </c>
      <c r="O36" s="21">
        <f>SUM(O21:O35)</f>
        <v>387762084.12</v>
      </c>
      <c r="P36" s="21">
        <f>SUM(P21:P35)</f>
        <v>494852838.77035004</v>
      </c>
      <c r="Q36" s="21">
        <f>SUM(Q21:Q35)</f>
        <v>604462416.76294994</v>
      </c>
      <c r="R36" s="21">
        <f>+N36+O36+P36+Q36</f>
        <v>1777056307.7402</v>
      </c>
      <c r="S36" s="724">
        <f t="shared" si="5"/>
        <v>0.99825816561017966</v>
      </c>
      <c r="T36" s="608">
        <f>SUM(T21:T34)</f>
        <v>120849594</v>
      </c>
      <c r="U36" s="608">
        <f>SUM(U21:U34)</f>
        <v>109919667</v>
      </c>
      <c r="V36" s="609">
        <f>SUM(V21:V34)</f>
        <v>155186517.51520002</v>
      </c>
      <c r="W36" s="609">
        <f>SUM(W21:W34)</f>
        <v>238218440.48479998</v>
      </c>
      <c r="X36" s="610">
        <f>SUM(X21:X34)</f>
        <v>624174219</v>
      </c>
    </row>
    <row r="37" spans="1:24" ht="15" x14ac:dyDescent="0.25">
      <c r="A37" s="562" t="s">
        <v>131</v>
      </c>
      <c r="B37" s="563">
        <f>+B36+B19</f>
        <v>1373778103.5325136</v>
      </c>
      <c r="C37" s="563">
        <f>+C36+C19</f>
        <v>390665203.22276157</v>
      </c>
      <c r="D37" s="563">
        <f>+D36+D19</f>
        <v>245504643.52419516</v>
      </c>
      <c r="E37" s="563">
        <f>+E36+E19</f>
        <v>1511111384.7962253</v>
      </c>
      <c r="F37" s="563">
        <f>+F36+F19</f>
        <v>386499372.01522696</v>
      </c>
      <c r="G37" s="581">
        <f t="shared" si="7"/>
        <v>3907558707.0909224</v>
      </c>
      <c r="H37" s="563">
        <f>+H36+H19</f>
        <v>920394313.50449228</v>
      </c>
      <c r="I37" s="563">
        <f>+I36+I19</f>
        <v>4827953020.5954151</v>
      </c>
      <c r="J37" s="563">
        <f>+J36+J19</f>
        <v>129841063</v>
      </c>
      <c r="K37" s="563">
        <f>+K36+K19</f>
        <v>61000000</v>
      </c>
      <c r="L37" s="582">
        <f>+L36+L19</f>
        <v>30000000</v>
      </c>
      <c r="M37" s="563">
        <f t="shared" si="8"/>
        <v>5048794083.5954151</v>
      </c>
      <c r="N37" s="563">
        <f>+N36+N19</f>
        <v>969435596.08689988</v>
      </c>
      <c r="O37" s="563">
        <f>+O36+O19</f>
        <v>1163403747.9740238</v>
      </c>
      <c r="P37" s="563">
        <f>+P36+P19</f>
        <v>1249717107.856622</v>
      </c>
      <c r="Q37" s="563">
        <f>+Q36+Q19</f>
        <v>1663136893.2395678</v>
      </c>
      <c r="R37" s="563">
        <f t="shared" si="9"/>
        <v>5045693345.1571131</v>
      </c>
      <c r="S37" s="725">
        <f t="shared" si="5"/>
        <v>0.99938584573128519</v>
      </c>
      <c r="T37" s="608">
        <f>+T36+T19</f>
        <v>323113348.99999994</v>
      </c>
      <c r="U37" s="608">
        <f>+U36+U19</f>
        <v>340112648</v>
      </c>
      <c r="V37" s="609">
        <f>+V36+V19</f>
        <v>374938872.21144199</v>
      </c>
      <c r="W37" s="609">
        <f>+W36+W19</f>
        <v>563946515.78855801</v>
      </c>
      <c r="X37" s="610">
        <f>+X36+X19</f>
        <v>1602111385</v>
      </c>
    </row>
    <row r="38" spans="1:24" ht="14.25" x14ac:dyDescent="0.2">
      <c r="A38" s="560"/>
      <c r="B38" s="561"/>
      <c r="C38" s="561"/>
      <c r="D38" s="561"/>
      <c r="E38" s="561"/>
      <c r="F38" s="561"/>
      <c r="G38" s="561"/>
      <c r="H38" s="561"/>
      <c r="I38" s="561"/>
      <c r="J38" s="561"/>
      <c r="K38" s="583"/>
      <c r="L38" s="583"/>
      <c r="M38" s="561"/>
      <c r="N38" s="561"/>
      <c r="O38" s="561"/>
      <c r="P38" s="561"/>
      <c r="Q38" s="561"/>
      <c r="R38" s="561"/>
      <c r="S38" s="726"/>
    </row>
    <row r="39" spans="1:24" ht="15" x14ac:dyDescent="0.25">
      <c r="A39" s="547" t="s">
        <v>18</v>
      </c>
      <c r="B39" s="548">
        <f>+B41+B118+B155+B162</f>
        <v>2530342451.1877999</v>
      </c>
      <c r="C39" s="548">
        <f>+C41+C46+C85+C118+C141+C155+C162+C172</f>
        <v>1434294138.488276</v>
      </c>
      <c r="D39" s="548">
        <f>+D41+D46+D85+D118+D141+D155+D162+D172</f>
        <v>727120000</v>
      </c>
      <c r="E39" s="548">
        <f>+E41+E46+E85+E118+E141+E155+E162+E172</f>
        <v>5333730331.8923998</v>
      </c>
      <c r="F39" s="548">
        <f>+F41+F46+F85+F118+F141+F155+F162+F172</f>
        <v>6172979626.9136</v>
      </c>
      <c r="G39" s="548">
        <f>+B39+C39+E39+F39+D39</f>
        <v>16198466548.482075</v>
      </c>
      <c r="H39" s="548">
        <v>0</v>
      </c>
      <c r="I39" s="548">
        <f>+H39+G39</f>
        <v>16198466548.482075</v>
      </c>
      <c r="J39" s="548">
        <f>+J41+J46+J85+J118+J141+J155+J162+J172</f>
        <v>2464768221</v>
      </c>
      <c r="K39" s="548">
        <f>+K41+K46+K85+K118+K141+K155+K162+K172</f>
        <v>-12200000</v>
      </c>
      <c r="L39" s="584">
        <f>+L41+L46+L85+L118+L141+L155+L162+L172</f>
        <v>-2848337768</v>
      </c>
      <c r="M39" s="548">
        <f t="shared" si="8"/>
        <v>15802697001.482075</v>
      </c>
      <c r="N39" s="548">
        <f>+N41+N46+N85+N118+N141+N155+N162+N172</f>
        <v>2846800230.7351999</v>
      </c>
      <c r="O39" s="548">
        <f>+O41+O46+O85+O118+O141+O155+O162+O172</f>
        <v>4090899181.0251999</v>
      </c>
      <c r="P39" s="548">
        <f>+P41+P46+P85+P118+P141+P155+P162+P172</f>
        <v>5221359542.6970005</v>
      </c>
      <c r="Q39" s="548">
        <f>+Q41+Q46+Q85+Q118+Q141+Q155+Q162+Q172</f>
        <v>3638057136.4635005</v>
      </c>
      <c r="R39" s="548">
        <f>+N39+O39+P39+Q39</f>
        <v>15797116090.920902</v>
      </c>
      <c r="S39" s="727">
        <f t="shared" si="5"/>
        <v>0.99964683809601307</v>
      </c>
    </row>
    <row r="40" spans="1:24" ht="15" x14ac:dyDescent="0.25">
      <c r="A40" s="27"/>
      <c r="B40" s="21"/>
      <c r="C40" s="21"/>
      <c r="D40" s="21"/>
      <c r="E40" s="21"/>
      <c r="F40" s="21"/>
      <c r="G40" s="21"/>
      <c r="H40" s="21"/>
      <c r="I40" s="21"/>
      <c r="J40" s="21"/>
      <c r="K40" s="577"/>
      <c r="L40" s="577"/>
      <c r="M40" s="21"/>
      <c r="N40" s="21"/>
      <c r="O40" s="21"/>
      <c r="P40" s="21"/>
      <c r="Q40" s="21"/>
      <c r="R40" s="21"/>
      <c r="S40" s="724"/>
    </row>
    <row r="41" spans="1:24" s="254" customFormat="1" ht="15" x14ac:dyDescent="0.25">
      <c r="A41" s="250" t="s">
        <v>280</v>
      </c>
      <c r="B41" s="251">
        <f>+B42</f>
        <v>121989971.18940002</v>
      </c>
      <c r="C41" s="251"/>
      <c r="D41" s="251"/>
      <c r="E41" s="251"/>
      <c r="F41" s="251"/>
      <c r="G41" s="251">
        <f>+G42</f>
        <v>121989971.18940002</v>
      </c>
      <c r="H41" s="251"/>
      <c r="I41" s="251">
        <f>+I42</f>
        <v>121989971.18940002</v>
      </c>
      <c r="J41" s="251">
        <f>+J42</f>
        <v>0</v>
      </c>
      <c r="K41" s="251">
        <f>+K42</f>
        <v>0</v>
      </c>
      <c r="L41" s="585">
        <f>+L42</f>
        <v>-15000000</v>
      </c>
      <c r="M41" s="251">
        <f>+I41+J41+K41+L41</f>
        <v>106989971.18940002</v>
      </c>
      <c r="N41" s="251">
        <f>+N42</f>
        <v>20443107.735200003</v>
      </c>
      <c r="O41" s="251">
        <f>+O42</f>
        <v>26329357.735200003</v>
      </c>
      <c r="P41" s="251">
        <f>+P42</f>
        <v>27989594</v>
      </c>
      <c r="Q41" s="251">
        <f>+Q42</f>
        <v>32227912</v>
      </c>
      <c r="R41" s="251">
        <f t="shared" ref="R41:R83" si="13">+N41+O41+P41+Q41</f>
        <v>106989971.47040001</v>
      </c>
      <c r="S41" s="728">
        <f t="shared" si="5"/>
        <v>1.0000000026264142</v>
      </c>
    </row>
    <row r="42" spans="1:24" s="202" customFormat="1" ht="15" x14ac:dyDescent="0.25">
      <c r="A42" s="252" t="s">
        <v>9</v>
      </c>
      <c r="B42" s="243">
        <f>+SUM(B43:B45)</f>
        <v>121989971.18940002</v>
      </c>
      <c r="C42" s="243"/>
      <c r="D42" s="243"/>
      <c r="E42" s="243"/>
      <c r="F42" s="243"/>
      <c r="G42" s="243">
        <f>+SUM(G43:G45)</f>
        <v>121989971.18940002</v>
      </c>
      <c r="H42" s="243"/>
      <c r="I42" s="243">
        <f>+SUM(I43:I45)</f>
        <v>121989971.18940002</v>
      </c>
      <c r="J42" s="243">
        <f>+SUM(J43:J45)</f>
        <v>0</v>
      </c>
      <c r="K42" s="243">
        <f>+SUM(K43:K45)</f>
        <v>0</v>
      </c>
      <c r="L42" s="586">
        <f>+SUM(L43:L45)</f>
        <v>-15000000</v>
      </c>
      <c r="M42" s="243">
        <f t="shared" ref="M42:M49" si="14">+I42+J42+K42+L42</f>
        <v>106989971.18940002</v>
      </c>
      <c r="N42" s="243">
        <f>+SUM(N43:N45)</f>
        <v>20443107.735200003</v>
      </c>
      <c r="O42" s="243">
        <f>+SUM(O43:O45)</f>
        <v>26329357.735200003</v>
      </c>
      <c r="P42" s="243">
        <f>+SUM(P43:P45)</f>
        <v>27989594</v>
      </c>
      <c r="Q42" s="243">
        <f>+SUM(Q43:Q45)</f>
        <v>32227912</v>
      </c>
      <c r="R42" s="243">
        <f t="shared" si="13"/>
        <v>106989971.47040001</v>
      </c>
      <c r="S42" s="729">
        <f t="shared" si="5"/>
        <v>1.0000000026264142</v>
      </c>
    </row>
    <row r="43" spans="1:24" s="202" customFormat="1" ht="15" hidden="1" outlineLevel="1" x14ac:dyDescent="0.25">
      <c r="A43" s="295" t="s">
        <v>453</v>
      </c>
      <c r="B43" s="23">
        <v>38291550.940800004</v>
      </c>
      <c r="C43" s="243"/>
      <c r="D43" s="243"/>
      <c r="E43" s="243"/>
      <c r="F43" s="243"/>
      <c r="G43" s="245">
        <f>+B43+C43+D43+E43+F43</f>
        <v>38291550.940800004</v>
      </c>
      <c r="H43" s="243"/>
      <c r="I43" s="244">
        <f>+G43+H43</f>
        <v>38291550.940800004</v>
      </c>
      <c r="J43" s="244"/>
      <c r="K43" s="587"/>
      <c r="L43" s="587"/>
      <c r="M43" s="244">
        <f t="shared" si="14"/>
        <v>38291550.940800004</v>
      </c>
      <c r="N43" s="244">
        <v>9572887.7352000009</v>
      </c>
      <c r="O43" s="244">
        <v>9572888.7352000009</v>
      </c>
      <c r="P43" s="244">
        <v>9572889</v>
      </c>
      <c r="Q43" s="244">
        <v>9572886</v>
      </c>
      <c r="R43" s="244">
        <f t="shared" si="13"/>
        <v>38291551.470400006</v>
      </c>
      <c r="S43" s="730">
        <f t="shared" si="5"/>
        <v>1.0000000138307275</v>
      </c>
    </row>
    <row r="44" spans="1:24" s="202" customFormat="1" ht="15" hidden="1" outlineLevel="1" x14ac:dyDescent="0.25">
      <c r="A44" s="295" t="s">
        <v>454</v>
      </c>
      <c r="B44" s="23">
        <v>15000000</v>
      </c>
      <c r="C44" s="243"/>
      <c r="D44" s="243"/>
      <c r="E44" s="243"/>
      <c r="F44" s="243"/>
      <c r="G44" s="245">
        <f>+B44+C44+D44+E44+F44</f>
        <v>15000000</v>
      </c>
      <c r="H44" s="243"/>
      <c r="I44" s="244">
        <f>+G44+H44</f>
        <v>15000000</v>
      </c>
      <c r="J44" s="244"/>
      <c r="K44" s="587"/>
      <c r="L44" s="588">
        <v>-15000000</v>
      </c>
      <c r="M44" s="244">
        <f t="shared" si="14"/>
        <v>0</v>
      </c>
      <c r="N44" s="244">
        <v>0</v>
      </c>
      <c r="O44" s="244">
        <v>0</v>
      </c>
      <c r="P44" s="244">
        <v>0</v>
      </c>
      <c r="Q44" s="244">
        <v>0</v>
      </c>
      <c r="R44" s="244">
        <f t="shared" si="13"/>
        <v>0</v>
      </c>
      <c r="S44" s="730">
        <v>0</v>
      </c>
    </row>
    <row r="45" spans="1:24" s="202" customFormat="1" ht="15" hidden="1" outlineLevel="1" x14ac:dyDescent="0.25">
      <c r="A45" s="295" t="s">
        <v>231</v>
      </c>
      <c r="B45" s="23">
        <v>68698420.248600006</v>
      </c>
      <c r="C45" s="243"/>
      <c r="D45" s="243"/>
      <c r="E45" s="243"/>
      <c r="F45" s="243"/>
      <c r="G45" s="245">
        <f>+B45+C45+D45+E45+F45</f>
        <v>68698420.248600006</v>
      </c>
      <c r="H45" s="243"/>
      <c r="I45" s="244">
        <f>+G45+H45</f>
        <v>68698420.248600006</v>
      </c>
      <c r="J45" s="244"/>
      <c r="K45" s="587"/>
      <c r="L45" s="587"/>
      <c r="M45" s="244">
        <f t="shared" si="14"/>
        <v>68698420.248600006</v>
      </c>
      <c r="N45" s="244">
        <v>10870220</v>
      </c>
      <c r="O45" s="244">
        <v>16756469</v>
      </c>
      <c r="P45" s="244">
        <v>18416705</v>
      </c>
      <c r="Q45" s="244">
        <v>22655026</v>
      </c>
      <c r="R45" s="244">
        <f t="shared" si="13"/>
        <v>68698420</v>
      </c>
      <c r="S45" s="730">
        <f t="shared" si="5"/>
        <v>0.99999999638128501</v>
      </c>
    </row>
    <row r="46" spans="1:24" s="254" customFormat="1" ht="15" collapsed="1" x14ac:dyDescent="0.25">
      <c r="A46" s="250" t="s">
        <v>281</v>
      </c>
      <c r="B46" s="251"/>
      <c r="C46" s="251"/>
      <c r="D46" s="251"/>
      <c r="E46" s="251"/>
      <c r="F46" s="251">
        <f>+F47+F54+F79+F60+F65+F68+F71</f>
        <v>5882033932.6736002</v>
      </c>
      <c r="G46" s="251">
        <f>+G47+G54+G79+G60+G65+G68+G71</f>
        <v>5882033932.6736002</v>
      </c>
      <c r="H46" s="251"/>
      <c r="I46" s="251">
        <f>+I47+I54+I79+I60+I65+I68+I71</f>
        <v>5882033932.6736002</v>
      </c>
      <c r="J46" s="251">
        <f>+J47+J54+J79+J60+J65+J68+J71</f>
        <v>0</v>
      </c>
      <c r="K46" s="251">
        <f>+K47+K54+K79+K60+K65+K68+K71</f>
        <v>0</v>
      </c>
      <c r="L46" s="585">
        <f>+L47+L54+L79+L60+L65+L68+L71</f>
        <v>-43700000</v>
      </c>
      <c r="M46" s="251">
        <f t="shared" si="14"/>
        <v>5838333932.6736002</v>
      </c>
      <c r="N46" s="251">
        <f>+N47+N54+N79+N60+N65+N68+N71</f>
        <v>860987393</v>
      </c>
      <c r="O46" s="251">
        <f>+O47+O54+O79+O60+O65+O68+O71</f>
        <v>1905717029.29</v>
      </c>
      <c r="P46" s="251">
        <f>+P47+P54+P79+P60+P65+P68+P71</f>
        <v>1708225723</v>
      </c>
      <c r="Q46" s="251">
        <f>+Q47+Q54+Q79+Q60+Q65+Q68+Q71</f>
        <v>1359703809.71</v>
      </c>
      <c r="R46" s="251">
        <f t="shared" si="13"/>
        <v>5834633955</v>
      </c>
      <c r="S46" s="728">
        <f t="shared" si="5"/>
        <v>0.9993662613827391</v>
      </c>
    </row>
    <row r="47" spans="1:24" ht="15" x14ac:dyDescent="0.25">
      <c r="A47" s="252" t="s">
        <v>310</v>
      </c>
      <c r="B47" s="589"/>
      <c r="C47" s="245"/>
      <c r="D47" s="245"/>
      <c r="E47" s="245"/>
      <c r="F47" s="26">
        <f>SUM(F48:F53)</f>
        <v>282424916.01880002</v>
      </c>
      <c r="G47" s="26">
        <f>SUM(G48:G53)</f>
        <v>282424916.01880002</v>
      </c>
      <c r="H47" s="245"/>
      <c r="I47" s="26">
        <f>SUM(I48:I53)</f>
        <v>282424916.01880002</v>
      </c>
      <c r="J47" s="26">
        <f>SUM(J48:J53)</f>
        <v>0</v>
      </c>
      <c r="K47" s="26">
        <f>SUM(K48:K53)</f>
        <v>0</v>
      </c>
      <c r="L47" s="575">
        <f>SUM(L48:L53)</f>
        <v>-43700000</v>
      </c>
      <c r="M47" s="26">
        <f t="shared" si="14"/>
        <v>238724916.01880002</v>
      </c>
      <c r="N47" s="26">
        <f>SUM(N48:N53)</f>
        <v>2095912</v>
      </c>
      <c r="O47" s="26">
        <f>SUM(O48:O53)</f>
        <v>8383648</v>
      </c>
      <c r="P47" s="26">
        <f>SUM(P48:P53)</f>
        <v>127666594</v>
      </c>
      <c r="Q47" s="26">
        <f>SUM(Q48:Q53)</f>
        <v>100578754</v>
      </c>
      <c r="R47" s="26">
        <f t="shared" si="13"/>
        <v>238724908</v>
      </c>
      <c r="S47" s="721">
        <f t="shared" si="5"/>
        <v>0.99999996640987399</v>
      </c>
    </row>
    <row r="48" spans="1:24" ht="15" hidden="1" outlineLevel="1" x14ac:dyDescent="0.25">
      <c r="A48" s="295" t="s">
        <v>412</v>
      </c>
      <c r="B48" s="589"/>
      <c r="C48" s="245"/>
      <c r="D48" s="245"/>
      <c r="E48" s="245"/>
      <c r="F48" s="112">
        <v>41378857.655200005</v>
      </c>
      <c r="G48" s="244">
        <f>+B48+C48+D48+E48+F48</f>
        <v>41378857.655200005</v>
      </c>
      <c r="H48" s="245"/>
      <c r="I48" s="244">
        <f t="shared" ref="I48:I53" si="15">+H48+G48</f>
        <v>41378857.655200005</v>
      </c>
      <c r="J48" s="244"/>
      <c r="K48" s="587"/>
      <c r="L48" s="587"/>
      <c r="M48" s="244">
        <f t="shared" si="14"/>
        <v>41378857.655200005</v>
      </c>
      <c r="N48" s="244"/>
      <c r="O48" s="244"/>
      <c r="P48" s="244">
        <v>41378858</v>
      </c>
      <c r="Q48" s="244">
        <v>0</v>
      </c>
      <c r="R48" s="244">
        <f t="shared" si="13"/>
        <v>41378858</v>
      </c>
      <c r="S48" s="730">
        <f t="shared" si="5"/>
        <v>1.0000000083327578</v>
      </c>
    </row>
    <row r="49" spans="1:19" ht="15" hidden="1" outlineLevel="1" x14ac:dyDescent="0.25">
      <c r="A49" s="295" t="s">
        <v>413</v>
      </c>
      <c r="B49" s="589"/>
      <c r="C49" s="245"/>
      <c r="D49" s="245"/>
      <c r="E49" s="245"/>
      <c r="F49" s="112">
        <v>75481833.629000008</v>
      </c>
      <c r="G49" s="244">
        <f>+B49+C49+D49+E49+F49</f>
        <v>75481833.629000008</v>
      </c>
      <c r="H49" s="245"/>
      <c r="I49" s="244">
        <f t="shared" si="15"/>
        <v>75481833.629000008</v>
      </c>
      <c r="J49" s="244"/>
      <c r="K49" s="587"/>
      <c r="L49" s="587"/>
      <c r="M49" s="244">
        <f t="shared" si="14"/>
        <v>75481833.629000008</v>
      </c>
      <c r="N49" s="244"/>
      <c r="O49" s="244"/>
      <c r="P49" s="244">
        <v>0</v>
      </c>
      <c r="Q49" s="244">
        <v>75481834</v>
      </c>
      <c r="R49" s="244">
        <f t="shared" si="13"/>
        <v>75481834</v>
      </c>
      <c r="S49" s="730">
        <f t="shared" si="5"/>
        <v>1.0000000049150899</v>
      </c>
    </row>
    <row r="50" spans="1:19" ht="15" hidden="1" outlineLevel="1" x14ac:dyDescent="0.25">
      <c r="A50" s="295" t="s">
        <v>414</v>
      </c>
      <c r="B50" s="589"/>
      <c r="C50" s="245"/>
      <c r="D50" s="245"/>
      <c r="E50" s="245"/>
      <c r="F50" s="112">
        <v>18796920.48</v>
      </c>
      <c r="G50" s="244">
        <f>+B50+C50+D50+E50+F50</f>
        <v>18796920.48</v>
      </c>
      <c r="H50" s="245"/>
      <c r="I50" s="244">
        <f t="shared" si="15"/>
        <v>18796920.48</v>
      </c>
      <c r="J50" s="244"/>
      <c r="K50" s="587"/>
      <c r="L50" s="587"/>
      <c r="M50" s="244">
        <f t="shared" si="8"/>
        <v>18796920.48</v>
      </c>
      <c r="N50" s="244"/>
      <c r="O50" s="244"/>
      <c r="P50" s="244">
        <v>0</v>
      </c>
      <c r="Q50" s="244">
        <v>18796920</v>
      </c>
      <c r="R50" s="244">
        <f t="shared" si="13"/>
        <v>18796920</v>
      </c>
      <c r="S50" s="730">
        <f t="shared" si="5"/>
        <v>0.99999997446390221</v>
      </c>
    </row>
    <row r="51" spans="1:19" ht="15" hidden="1" outlineLevel="1" x14ac:dyDescent="0.25">
      <c r="A51" s="295" t="s">
        <v>509</v>
      </c>
      <c r="B51" s="589"/>
      <c r="C51" s="245"/>
      <c r="D51" s="245"/>
      <c r="E51" s="245"/>
      <c r="F51" s="112">
        <v>90000000</v>
      </c>
      <c r="G51" s="244">
        <f>+B51+C51+D51+E51+F51</f>
        <v>90000000</v>
      </c>
      <c r="H51" s="245"/>
      <c r="I51" s="244">
        <f t="shared" si="15"/>
        <v>90000000</v>
      </c>
      <c r="J51" s="244"/>
      <c r="K51" s="587"/>
      <c r="L51" s="587">
        <v>-43700000</v>
      </c>
      <c r="M51" s="244">
        <f>+I51+J51+K51+L51-30000000</f>
        <v>16300000</v>
      </c>
      <c r="N51" s="244"/>
      <c r="O51" s="244"/>
      <c r="P51" s="244">
        <v>10000000</v>
      </c>
      <c r="Q51" s="244">
        <v>6300000</v>
      </c>
      <c r="R51" s="244">
        <f t="shared" si="13"/>
        <v>16300000</v>
      </c>
      <c r="S51" s="730">
        <f t="shared" si="5"/>
        <v>1</v>
      </c>
    </row>
    <row r="52" spans="1:19" ht="15" hidden="1" outlineLevel="1" x14ac:dyDescent="0.25">
      <c r="A52" s="295" t="s">
        <v>415</v>
      </c>
      <c r="B52" s="589"/>
      <c r="C52" s="245"/>
      <c r="D52" s="245"/>
      <c r="E52" s="245"/>
      <c r="F52" s="112">
        <v>16767304.254600001</v>
      </c>
      <c r="G52" s="244">
        <f>+B52+C52+D52+E52+F52</f>
        <v>16767304.254600001</v>
      </c>
      <c r="H52" s="245"/>
      <c r="I52" s="244">
        <f t="shared" si="15"/>
        <v>16767304.254600001</v>
      </c>
      <c r="J52" s="244"/>
      <c r="K52" s="587"/>
      <c r="L52" s="587"/>
      <c r="M52" s="244">
        <f t="shared" si="8"/>
        <v>16767304.254600001</v>
      </c>
      <c r="N52" s="244">
        <v>2095912</v>
      </c>
      <c r="O52" s="244">
        <v>8383648</v>
      </c>
      <c r="P52" s="244">
        <v>6287736</v>
      </c>
      <c r="Q52" s="244">
        <v>0</v>
      </c>
      <c r="R52" s="244">
        <f t="shared" si="13"/>
        <v>16767296</v>
      </c>
      <c r="S52" s="730">
        <f t="shared" si="5"/>
        <v>0.99999950769665324</v>
      </c>
    </row>
    <row r="53" spans="1:19" ht="15" hidden="1" outlineLevel="1" x14ac:dyDescent="0.25">
      <c r="A53" s="295" t="s">
        <v>455</v>
      </c>
      <c r="B53" s="589"/>
      <c r="C53" s="245"/>
      <c r="D53" s="245"/>
      <c r="E53" s="245"/>
      <c r="F53" s="112">
        <v>40000000</v>
      </c>
      <c r="G53" s="244">
        <f t="shared" ref="G53:G70" si="16">+B53+C53+D53+E53+F53</f>
        <v>40000000</v>
      </c>
      <c r="H53" s="245"/>
      <c r="I53" s="244">
        <f t="shared" si="15"/>
        <v>40000000</v>
      </c>
      <c r="J53" s="244"/>
      <c r="K53" s="587"/>
      <c r="L53" s="587"/>
      <c r="M53" s="244">
        <f>+I53+J53+K53+L53+30000000</f>
        <v>70000000</v>
      </c>
      <c r="N53" s="244"/>
      <c r="O53" s="244"/>
      <c r="P53" s="244">
        <v>70000000</v>
      </c>
      <c r="Q53" s="244">
        <v>0</v>
      </c>
      <c r="R53" s="244">
        <f t="shared" si="13"/>
        <v>70000000</v>
      </c>
      <c r="S53" s="731">
        <f t="shared" si="5"/>
        <v>1</v>
      </c>
    </row>
    <row r="54" spans="1:19" ht="15" collapsed="1" x14ac:dyDescent="0.25">
      <c r="A54" s="525" t="s">
        <v>472</v>
      </c>
      <c r="B54" s="589"/>
      <c r="C54" s="245"/>
      <c r="D54" s="245"/>
      <c r="E54" s="245"/>
      <c r="F54" s="26">
        <f>SUM(F55:F59)</f>
        <v>609934155.1342001</v>
      </c>
      <c r="G54" s="26">
        <f>SUM(G55:G59)</f>
        <v>609934155.1342001</v>
      </c>
      <c r="H54" s="245"/>
      <c r="I54" s="26">
        <f>SUM(I55:I59)</f>
        <v>609934155.1342001</v>
      </c>
      <c r="J54" s="26">
        <f>SUM(J55:J59)</f>
        <v>0</v>
      </c>
      <c r="K54" s="26">
        <f>SUM(K55:K59)</f>
        <v>0</v>
      </c>
      <c r="L54" s="575">
        <f>SUM(L55:L59)</f>
        <v>0</v>
      </c>
      <c r="M54" s="26">
        <f t="shared" si="8"/>
        <v>609934155.1342001</v>
      </c>
      <c r="N54" s="26">
        <f>SUM(N55:N59)</f>
        <v>162716839</v>
      </c>
      <c r="O54" s="26">
        <f>SUM(O55:O59)</f>
        <v>156120725</v>
      </c>
      <c r="P54" s="26">
        <f>SUM(P55:P59)</f>
        <v>161718455</v>
      </c>
      <c r="Q54" s="26">
        <f>SUM(Q55:Q59)</f>
        <v>128029631</v>
      </c>
      <c r="R54" s="26">
        <f t="shared" si="13"/>
        <v>608585650</v>
      </c>
      <c r="S54" s="721">
        <f t="shared" si="5"/>
        <v>0.9977890971954122</v>
      </c>
    </row>
    <row r="55" spans="1:19" ht="15" hidden="1" outlineLevel="1" x14ac:dyDescent="0.25">
      <c r="A55" s="297" t="s">
        <v>416</v>
      </c>
      <c r="B55" s="589"/>
      <c r="C55" s="245"/>
      <c r="D55" s="245"/>
      <c r="E55" s="245"/>
      <c r="F55" s="112">
        <v>270600000</v>
      </c>
      <c r="G55" s="244">
        <f t="shared" si="16"/>
        <v>270600000</v>
      </c>
      <c r="H55" s="245"/>
      <c r="I55" s="244">
        <f t="shared" ref="I55:I70" si="17">+H55+G55</f>
        <v>270600000</v>
      </c>
      <c r="J55" s="244"/>
      <c r="K55" s="587"/>
      <c r="L55" s="587"/>
      <c r="M55" s="244">
        <f t="shared" si="8"/>
        <v>270600000</v>
      </c>
      <c r="N55" s="244">
        <v>59406669</v>
      </c>
      <c r="O55" s="244">
        <v>73800000</v>
      </c>
      <c r="P55" s="244">
        <v>73800000</v>
      </c>
      <c r="Q55" s="244">
        <v>63593331</v>
      </c>
      <c r="R55" s="244">
        <f t="shared" si="13"/>
        <v>270600000</v>
      </c>
      <c r="S55" s="730">
        <f t="shared" si="5"/>
        <v>1</v>
      </c>
    </row>
    <row r="56" spans="1:19" ht="15" hidden="1" outlineLevel="1" x14ac:dyDescent="0.25">
      <c r="A56" s="297" t="s">
        <v>473</v>
      </c>
      <c r="B56" s="589"/>
      <c r="C56" s="245"/>
      <c r="D56" s="245"/>
      <c r="E56" s="245"/>
      <c r="F56" s="112">
        <v>132000000</v>
      </c>
      <c r="G56" s="244">
        <f t="shared" si="16"/>
        <v>132000000</v>
      </c>
      <c r="H56" s="245"/>
      <c r="I56" s="244">
        <f t="shared" si="17"/>
        <v>132000000</v>
      </c>
      <c r="J56" s="244"/>
      <c r="K56" s="587"/>
      <c r="L56" s="587"/>
      <c r="M56" s="244">
        <f t="shared" si="8"/>
        <v>132000000</v>
      </c>
      <c r="N56" s="244">
        <v>22333335</v>
      </c>
      <c r="O56" s="244">
        <v>36000000</v>
      </c>
      <c r="P56" s="244">
        <v>36000000</v>
      </c>
      <c r="Q56" s="244">
        <v>37666665</v>
      </c>
      <c r="R56" s="244">
        <f t="shared" si="13"/>
        <v>132000000</v>
      </c>
      <c r="S56" s="730">
        <f t="shared" si="5"/>
        <v>1</v>
      </c>
    </row>
    <row r="57" spans="1:19" ht="15" hidden="1" outlineLevel="1" x14ac:dyDescent="0.25">
      <c r="A57" s="297" t="s">
        <v>456</v>
      </c>
      <c r="B57" s="589"/>
      <c r="C57" s="245"/>
      <c r="D57" s="245"/>
      <c r="E57" s="245"/>
      <c r="F57" s="112">
        <v>150911465.28060001</v>
      </c>
      <c r="G57" s="244">
        <f t="shared" si="16"/>
        <v>150911465.28060001</v>
      </c>
      <c r="H57" s="245"/>
      <c r="I57" s="244">
        <f t="shared" si="17"/>
        <v>150911465.28060001</v>
      </c>
      <c r="J57" s="244"/>
      <c r="K57" s="587"/>
      <c r="L57" s="587"/>
      <c r="M57" s="244">
        <f t="shared" si="8"/>
        <v>150911465.28060001</v>
      </c>
      <c r="N57" s="244">
        <v>53285904</v>
      </c>
      <c r="O57" s="244">
        <v>36591694</v>
      </c>
      <c r="P57" s="244">
        <v>42400000</v>
      </c>
      <c r="Q57" s="244">
        <v>18633867</v>
      </c>
      <c r="R57" s="244">
        <f t="shared" si="13"/>
        <v>150911465</v>
      </c>
      <c r="S57" s="730">
        <f t="shared" si="5"/>
        <v>0.99999999814063156</v>
      </c>
    </row>
    <row r="58" spans="1:19" ht="15" hidden="1" outlineLevel="1" x14ac:dyDescent="0.25">
      <c r="A58" s="297" t="s">
        <v>418</v>
      </c>
      <c r="B58" s="589"/>
      <c r="C58" s="245"/>
      <c r="D58" s="245"/>
      <c r="E58" s="245"/>
      <c r="F58" s="112">
        <v>21763089.853600003</v>
      </c>
      <c r="G58" s="244">
        <f t="shared" si="16"/>
        <v>21763089.853600003</v>
      </c>
      <c r="H58" s="245"/>
      <c r="I58" s="244">
        <f t="shared" si="17"/>
        <v>21763089.853600003</v>
      </c>
      <c r="J58" s="244"/>
      <c r="K58" s="587"/>
      <c r="L58" s="587"/>
      <c r="M58" s="244">
        <f t="shared" si="8"/>
        <v>21763089.853600003</v>
      </c>
      <c r="N58" s="244">
        <v>20414585.000000004</v>
      </c>
      <c r="O58" s="244">
        <v>0</v>
      </c>
      <c r="P58" s="244">
        <v>0</v>
      </c>
      <c r="Q58" s="244">
        <v>0</v>
      </c>
      <c r="R58" s="244">
        <f t="shared" si="13"/>
        <v>20414585.000000004</v>
      </c>
      <c r="S58" s="730">
        <f t="shared" si="5"/>
        <v>0.93803706814283394</v>
      </c>
    </row>
    <row r="59" spans="1:19" ht="15" hidden="1" outlineLevel="1" x14ac:dyDescent="0.25">
      <c r="A59" s="297" t="s">
        <v>474</v>
      </c>
      <c r="B59" s="589"/>
      <c r="C59" s="245"/>
      <c r="D59" s="245"/>
      <c r="E59" s="245"/>
      <c r="F59" s="112">
        <v>34659600</v>
      </c>
      <c r="G59" s="244">
        <f t="shared" si="16"/>
        <v>34659600</v>
      </c>
      <c r="H59" s="245"/>
      <c r="I59" s="244">
        <f t="shared" si="17"/>
        <v>34659600</v>
      </c>
      <c r="J59" s="244"/>
      <c r="K59" s="587"/>
      <c r="L59" s="587"/>
      <c r="M59" s="244">
        <f t="shared" si="8"/>
        <v>34659600</v>
      </c>
      <c r="N59" s="244">
        <v>7276346</v>
      </c>
      <c r="O59" s="244">
        <v>9729031</v>
      </c>
      <c r="P59" s="244">
        <v>9518455</v>
      </c>
      <c r="Q59" s="244">
        <v>8135768</v>
      </c>
      <c r="R59" s="244">
        <f t="shared" si="13"/>
        <v>34659600</v>
      </c>
      <c r="S59" s="730">
        <f t="shared" si="5"/>
        <v>1</v>
      </c>
    </row>
    <row r="60" spans="1:19" ht="15" collapsed="1" x14ac:dyDescent="0.25">
      <c r="A60" s="296" t="s">
        <v>208</v>
      </c>
      <c r="B60" s="589"/>
      <c r="C60" s="245"/>
      <c r="D60" s="245"/>
      <c r="E60" s="245"/>
      <c r="F60" s="26">
        <f>SUM(F61:F64)</f>
        <v>3656294892.0293999</v>
      </c>
      <c r="G60" s="26">
        <f>SUM(G61:G64)</f>
        <v>3656294892.0293999</v>
      </c>
      <c r="H60" s="245"/>
      <c r="I60" s="26">
        <f>SUM(I61:I64)</f>
        <v>3656294892.0293999</v>
      </c>
      <c r="J60" s="26">
        <f>SUM(J61:J64)</f>
        <v>0</v>
      </c>
      <c r="K60" s="26">
        <f>SUM(K61:K64)</f>
        <v>0</v>
      </c>
      <c r="L60" s="575">
        <f>SUM(L61:L64)</f>
        <v>0</v>
      </c>
      <c r="M60" s="26">
        <f t="shared" si="8"/>
        <v>3656294892.0293999</v>
      </c>
      <c r="N60" s="26">
        <f>SUM(N61:N64)</f>
        <v>611511568</v>
      </c>
      <c r="O60" s="26">
        <f>SUM(O61:O64)</f>
        <v>1338708373.29</v>
      </c>
      <c r="P60" s="26">
        <f>SUM(P61:P64)</f>
        <v>975933816</v>
      </c>
      <c r="Q60" s="26">
        <f>SUM(Q61:Q64)</f>
        <v>730044334.71000004</v>
      </c>
      <c r="R60" s="26">
        <f t="shared" si="13"/>
        <v>3656198092</v>
      </c>
      <c r="S60" s="721">
        <f t="shared" si="5"/>
        <v>0.99997352510334692</v>
      </c>
    </row>
    <row r="61" spans="1:19" ht="15" hidden="1" outlineLevel="1" x14ac:dyDescent="0.25">
      <c r="A61" s="295" t="s">
        <v>420</v>
      </c>
      <c r="B61" s="589"/>
      <c r="C61" s="245"/>
      <c r="D61" s="245"/>
      <c r="E61" s="245"/>
      <c r="F61" s="112">
        <v>3513731689</v>
      </c>
      <c r="G61" s="244">
        <f>+B61+C61+D61+E61+F61</f>
        <v>3513731689</v>
      </c>
      <c r="H61" s="245"/>
      <c r="I61" s="244">
        <f t="shared" si="17"/>
        <v>3513731689</v>
      </c>
      <c r="J61" s="244"/>
      <c r="K61" s="587"/>
      <c r="L61" s="587"/>
      <c r="M61" s="244">
        <f t="shared" si="8"/>
        <v>3513731689</v>
      </c>
      <c r="N61" s="244">
        <v>599026328</v>
      </c>
      <c r="O61" s="244">
        <v>1295559316.29</v>
      </c>
      <c r="P61" s="244">
        <v>921624453</v>
      </c>
      <c r="Q61" s="244">
        <v>697521591.71000004</v>
      </c>
      <c r="R61" s="244">
        <f t="shared" si="13"/>
        <v>3513731689</v>
      </c>
      <c r="S61" s="730">
        <f t="shared" si="5"/>
        <v>1</v>
      </c>
    </row>
    <row r="62" spans="1:19" ht="15" hidden="1" outlineLevel="1" x14ac:dyDescent="0.25">
      <c r="A62" s="295" t="s">
        <v>421</v>
      </c>
      <c r="B62" s="589"/>
      <c r="C62" s="245"/>
      <c r="D62" s="245"/>
      <c r="E62" s="245"/>
      <c r="F62" s="112">
        <v>40776000</v>
      </c>
      <c r="G62" s="244">
        <f t="shared" si="16"/>
        <v>40776000</v>
      </c>
      <c r="H62" s="245"/>
      <c r="I62" s="244">
        <f t="shared" si="17"/>
        <v>40776000</v>
      </c>
      <c r="J62" s="244"/>
      <c r="K62" s="587"/>
      <c r="L62" s="587"/>
      <c r="M62" s="244">
        <f t="shared" si="8"/>
        <v>40776000</v>
      </c>
      <c r="N62" s="244">
        <v>0</v>
      </c>
      <c r="O62" s="244">
        <v>15103200</v>
      </c>
      <c r="P62" s="244">
        <v>25576000</v>
      </c>
      <c r="Q62" s="244">
        <v>0</v>
      </c>
      <c r="R62" s="244">
        <f t="shared" si="13"/>
        <v>40679200</v>
      </c>
      <c r="S62" s="730">
        <f t="shared" si="5"/>
        <v>0.99762605454188735</v>
      </c>
    </row>
    <row r="63" spans="1:19" ht="15" hidden="1" outlineLevel="1" x14ac:dyDescent="0.25">
      <c r="A63" s="295" t="s">
        <v>496</v>
      </c>
      <c r="B63" s="589"/>
      <c r="C63" s="245"/>
      <c r="D63" s="245"/>
      <c r="E63" s="245"/>
      <c r="F63" s="112">
        <v>50000000</v>
      </c>
      <c r="G63" s="244">
        <f t="shared" si="16"/>
        <v>50000000</v>
      </c>
      <c r="H63" s="245"/>
      <c r="I63" s="244">
        <f t="shared" si="17"/>
        <v>50000000</v>
      </c>
      <c r="J63" s="244"/>
      <c r="K63" s="587"/>
      <c r="L63" s="587"/>
      <c r="M63" s="244">
        <f t="shared" si="8"/>
        <v>50000000</v>
      </c>
      <c r="N63" s="244">
        <v>4640000</v>
      </c>
      <c r="O63" s="244">
        <v>15000000</v>
      </c>
      <c r="P63" s="244">
        <v>15100000</v>
      </c>
      <c r="Q63" s="244">
        <v>15260000</v>
      </c>
      <c r="R63" s="244">
        <f t="shared" si="13"/>
        <v>50000000</v>
      </c>
      <c r="S63" s="730">
        <f t="shared" si="5"/>
        <v>1</v>
      </c>
    </row>
    <row r="64" spans="1:19" ht="15" hidden="1" outlineLevel="1" x14ac:dyDescent="0.25">
      <c r="A64" s="440" t="s">
        <v>475</v>
      </c>
      <c r="B64" s="589"/>
      <c r="C64" s="245"/>
      <c r="D64" s="245"/>
      <c r="E64" s="245"/>
      <c r="F64" s="112">
        <v>51787203.029400006</v>
      </c>
      <c r="G64" s="244">
        <f t="shared" si="16"/>
        <v>51787203.029400006</v>
      </c>
      <c r="H64" s="245"/>
      <c r="I64" s="244">
        <f t="shared" si="17"/>
        <v>51787203.029400006</v>
      </c>
      <c r="J64" s="244"/>
      <c r="K64" s="587"/>
      <c r="L64" s="587"/>
      <c r="M64" s="244">
        <f t="shared" si="8"/>
        <v>51787203.029400006</v>
      </c>
      <c r="N64" s="244">
        <v>7845240</v>
      </c>
      <c r="O64" s="244">
        <v>13045857</v>
      </c>
      <c r="P64" s="244">
        <v>13633363</v>
      </c>
      <c r="Q64" s="244">
        <v>17262743</v>
      </c>
      <c r="R64" s="244">
        <f t="shared" si="13"/>
        <v>51787203</v>
      </c>
      <c r="S64" s="730">
        <f t="shared" si="5"/>
        <v>0.99999999943229212</v>
      </c>
    </row>
    <row r="65" spans="1:19" ht="15" collapsed="1" x14ac:dyDescent="0.25">
      <c r="A65" s="418" t="s">
        <v>451</v>
      </c>
      <c r="B65" s="589"/>
      <c r="C65" s="245"/>
      <c r="D65" s="245"/>
      <c r="E65" s="245"/>
      <c r="F65" s="26">
        <f>+SUM(F66:F67)</f>
        <v>157413000</v>
      </c>
      <c r="G65" s="26">
        <f>+SUM(G66:G67)</f>
        <v>157413000</v>
      </c>
      <c r="H65" s="245"/>
      <c r="I65" s="26">
        <f>+SUM(I66:I67)</f>
        <v>157413000</v>
      </c>
      <c r="J65" s="26">
        <f>+SUM(J66:J67)</f>
        <v>0</v>
      </c>
      <c r="K65" s="26">
        <f>+SUM(K66:K67)</f>
        <v>0</v>
      </c>
      <c r="L65" s="575">
        <f>+SUM(L66:L67)</f>
        <v>0</v>
      </c>
      <c r="M65" s="26">
        <f t="shared" si="8"/>
        <v>157413000</v>
      </c>
      <c r="N65" s="26">
        <f>+SUM(N66:N67)</f>
        <v>0</v>
      </c>
      <c r="O65" s="26">
        <f>+SUM(O66:O67)</f>
        <v>74786260</v>
      </c>
      <c r="P65" s="26">
        <f>+SUM(P66:P67)</f>
        <v>50000000</v>
      </c>
      <c r="Q65" s="26">
        <f>+SUM(Q66:Q67)</f>
        <v>32626740</v>
      </c>
      <c r="R65" s="26">
        <f t="shared" si="13"/>
        <v>157413000</v>
      </c>
      <c r="S65" s="721">
        <f t="shared" si="5"/>
        <v>1</v>
      </c>
    </row>
    <row r="66" spans="1:19" ht="15" hidden="1" outlineLevel="1" x14ac:dyDescent="0.25">
      <c r="A66" s="295" t="s">
        <v>422</v>
      </c>
      <c r="B66" s="589"/>
      <c r="C66" s="245"/>
      <c r="D66" s="245"/>
      <c r="E66" s="245"/>
      <c r="F66" s="112">
        <v>65000000</v>
      </c>
      <c r="G66" s="244">
        <f t="shared" si="16"/>
        <v>65000000</v>
      </c>
      <c r="H66" s="245"/>
      <c r="I66" s="244">
        <f t="shared" si="17"/>
        <v>65000000</v>
      </c>
      <c r="J66" s="244"/>
      <c r="K66" s="587"/>
      <c r="L66" s="587"/>
      <c r="M66" s="244">
        <f t="shared" si="8"/>
        <v>65000000</v>
      </c>
      <c r="N66" s="244"/>
      <c r="O66" s="244">
        <v>30185952</v>
      </c>
      <c r="P66" s="244">
        <v>20000000</v>
      </c>
      <c r="Q66" s="244">
        <v>14814048</v>
      </c>
      <c r="R66" s="244">
        <f t="shared" si="13"/>
        <v>65000000</v>
      </c>
      <c r="S66" s="731">
        <f t="shared" si="5"/>
        <v>1</v>
      </c>
    </row>
    <row r="67" spans="1:19" ht="15" hidden="1" outlineLevel="1" x14ac:dyDescent="0.25">
      <c r="A67" s="295" t="s">
        <v>423</v>
      </c>
      <c r="B67" s="589"/>
      <c r="C67" s="245"/>
      <c r="D67" s="245"/>
      <c r="E67" s="245"/>
      <c r="F67" s="112">
        <v>92413000</v>
      </c>
      <c r="G67" s="244">
        <f t="shared" si="16"/>
        <v>92413000</v>
      </c>
      <c r="H67" s="245"/>
      <c r="I67" s="244">
        <f t="shared" si="17"/>
        <v>92413000</v>
      </c>
      <c r="J67" s="244"/>
      <c r="K67" s="587"/>
      <c r="L67" s="587"/>
      <c r="M67" s="244">
        <f t="shared" si="8"/>
        <v>92413000</v>
      </c>
      <c r="N67" s="244"/>
      <c r="O67" s="244">
        <v>44600308</v>
      </c>
      <c r="P67" s="244">
        <v>30000000</v>
      </c>
      <c r="Q67" s="244">
        <v>17812692</v>
      </c>
      <c r="R67" s="244">
        <f t="shared" si="13"/>
        <v>92413000</v>
      </c>
      <c r="S67" s="731">
        <f t="shared" si="5"/>
        <v>1</v>
      </c>
    </row>
    <row r="68" spans="1:19" ht="15" collapsed="1" x14ac:dyDescent="0.25">
      <c r="A68" s="296" t="s">
        <v>209</v>
      </c>
      <c r="B68" s="589"/>
      <c r="C68" s="245"/>
      <c r="D68" s="245"/>
      <c r="E68" s="245"/>
      <c r="F68" s="26">
        <f>+SUM(F69:F70)</f>
        <v>213421881.4912</v>
      </c>
      <c r="G68" s="26">
        <f>+SUM(G69:G70)</f>
        <v>213421881.4912</v>
      </c>
      <c r="H68" s="245"/>
      <c r="I68" s="26">
        <f>+SUM(I69:I70)</f>
        <v>213421881.4912</v>
      </c>
      <c r="J68" s="26">
        <f>+SUM(J69:J70)</f>
        <v>0</v>
      </c>
      <c r="K68" s="26">
        <f>+SUM(K69:K70)</f>
        <v>0</v>
      </c>
      <c r="L68" s="575">
        <f>+SUM(L69:L70)</f>
        <v>0</v>
      </c>
      <c r="M68" s="26">
        <f t="shared" si="8"/>
        <v>213421881.4912</v>
      </c>
      <c r="N68" s="26">
        <f>+SUM(N69:N70)</f>
        <v>5242404</v>
      </c>
      <c r="O68" s="26">
        <f>+SUM(O69:O70)</f>
        <v>25920402</v>
      </c>
      <c r="P68" s="26">
        <f>+SUM(P69:P70)</f>
        <v>60863603</v>
      </c>
      <c r="Q68" s="26">
        <f>+SUM(Q69:Q70)</f>
        <v>121395472</v>
      </c>
      <c r="R68" s="26">
        <f t="shared" si="13"/>
        <v>213421881</v>
      </c>
      <c r="S68" s="721">
        <f t="shared" si="5"/>
        <v>0.99999999769845527</v>
      </c>
    </row>
    <row r="69" spans="1:19" ht="15" hidden="1" outlineLevel="1" x14ac:dyDescent="0.25">
      <c r="A69" s="295" t="s">
        <v>424</v>
      </c>
      <c r="B69" s="589"/>
      <c r="C69" s="245"/>
      <c r="D69" s="245"/>
      <c r="E69" s="245"/>
      <c r="F69" s="244">
        <v>143421881.4912</v>
      </c>
      <c r="G69" s="244">
        <f t="shared" si="16"/>
        <v>143421881.4912</v>
      </c>
      <c r="H69" s="245"/>
      <c r="I69" s="244">
        <f t="shared" si="17"/>
        <v>143421881.4912</v>
      </c>
      <c r="J69" s="244"/>
      <c r="K69" s="587"/>
      <c r="L69" s="587"/>
      <c r="M69" s="244">
        <f t="shared" si="8"/>
        <v>143421881.4912</v>
      </c>
      <c r="N69" s="244">
        <v>5242404</v>
      </c>
      <c r="O69" s="244">
        <v>25920402</v>
      </c>
      <c r="P69" s="244">
        <v>42863603</v>
      </c>
      <c r="Q69" s="244">
        <v>69395472</v>
      </c>
      <c r="R69" s="244">
        <f t="shared" si="13"/>
        <v>143421881</v>
      </c>
      <c r="S69" s="730">
        <f t="shared" si="5"/>
        <v>0.99999999657513905</v>
      </c>
    </row>
    <row r="70" spans="1:19" ht="15" hidden="1" outlineLevel="1" x14ac:dyDescent="0.25">
      <c r="A70" s="295" t="s">
        <v>425</v>
      </c>
      <c r="B70" s="589"/>
      <c r="C70" s="245"/>
      <c r="D70" s="245"/>
      <c r="E70" s="245"/>
      <c r="F70" s="244">
        <v>70000000</v>
      </c>
      <c r="G70" s="244">
        <f t="shared" si="16"/>
        <v>70000000</v>
      </c>
      <c r="H70" s="245"/>
      <c r="I70" s="244">
        <f t="shared" si="17"/>
        <v>70000000</v>
      </c>
      <c r="J70" s="244"/>
      <c r="K70" s="587"/>
      <c r="L70" s="587"/>
      <c r="M70" s="244">
        <f t="shared" si="8"/>
        <v>70000000</v>
      </c>
      <c r="N70" s="244"/>
      <c r="O70" s="244"/>
      <c r="P70" s="244">
        <v>18000000</v>
      </c>
      <c r="Q70" s="244">
        <v>52000000</v>
      </c>
      <c r="R70" s="244">
        <f t="shared" si="13"/>
        <v>70000000</v>
      </c>
      <c r="S70" s="730">
        <f t="shared" si="5"/>
        <v>1</v>
      </c>
    </row>
    <row r="71" spans="1:19" ht="15" collapsed="1" x14ac:dyDescent="0.25">
      <c r="A71" s="418" t="s">
        <v>452</v>
      </c>
      <c r="B71" s="590"/>
      <c r="C71" s="242"/>
      <c r="D71" s="242"/>
      <c r="E71" s="242"/>
      <c r="F71" s="26">
        <f>SUM(F72:F78)</f>
        <v>804651340</v>
      </c>
      <c r="G71" s="26">
        <f>SUM(G72:G78)</f>
        <v>804651340</v>
      </c>
      <c r="H71" s="242"/>
      <c r="I71" s="26">
        <f>SUM(I72:I78)</f>
        <v>804651340</v>
      </c>
      <c r="J71" s="26">
        <f>SUM(J72:J78)</f>
        <v>0</v>
      </c>
      <c r="K71" s="26">
        <f>SUM(K72:K78)</f>
        <v>0</v>
      </c>
      <c r="L71" s="575">
        <f>SUM(L72:L78)</f>
        <v>0</v>
      </c>
      <c r="M71" s="26">
        <f t="shared" si="8"/>
        <v>804651340</v>
      </c>
      <c r="N71" s="26">
        <f>SUM(N72:N78)</f>
        <v>60742118</v>
      </c>
      <c r="O71" s="26">
        <f>SUM(O72:O78)</f>
        <v>255398867</v>
      </c>
      <c r="P71" s="26">
        <f>SUM(P72:P78)</f>
        <v>291820646</v>
      </c>
      <c r="Q71" s="26">
        <f>SUM(Q72:Q78)</f>
        <v>194435045</v>
      </c>
      <c r="R71" s="26">
        <f t="shared" si="13"/>
        <v>802396676</v>
      </c>
      <c r="S71" s="721">
        <f t="shared" si="5"/>
        <v>0.99719796154195184</v>
      </c>
    </row>
    <row r="72" spans="1:19" ht="15" hidden="1" outlineLevel="1" x14ac:dyDescent="0.25">
      <c r="A72" s="295" t="s">
        <v>476</v>
      </c>
      <c r="B72" s="589"/>
      <c r="C72" s="245"/>
      <c r="D72" s="245"/>
      <c r="E72" s="245"/>
      <c r="F72" s="112">
        <v>71800000</v>
      </c>
      <c r="G72" s="244">
        <f t="shared" ref="G72:G78" si="18">+B72+C72+D72+E72+F72</f>
        <v>71800000</v>
      </c>
      <c r="H72" s="245"/>
      <c r="I72" s="244">
        <f t="shared" ref="I72:I78" si="19">+H72+G72</f>
        <v>71800000</v>
      </c>
      <c r="J72" s="244"/>
      <c r="K72" s="587"/>
      <c r="L72" s="587"/>
      <c r="M72" s="244">
        <f t="shared" si="8"/>
        <v>71800000</v>
      </c>
      <c r="N72" s="244">
        <v>10951424</v>
      </c>
      <c r="O72" s="244">
        <v>12682127</v>
      </c>
      <c r="P72" s="244">
        <v>18760000</v>
      </c>
      <c r="Q72" s="244">
        <v>29406449</v>
      </c>
      <c r="R72" s="244">
        <f t="shared" si="13"/>
        <v>71800000</v>
      </c>
      <c r="S72" s="730">
        <f t="shared" si="5"/>
        <v>1</v>
      </c>
    </row>
    <row r="73" spans="1:19" ht="15" hidden="1" outlineLevel="1" x14ac:dyDescent="0.25">
      <c r="A73" s="295" t="s">
        <v>417</v>
      </c>
      <c r="B73" s="589"/>
      <c r="C73" s="245"/>
      <c r="D73" s="245"/>
      <c r="E73" s="245"/>
      <c r="F73" s="112">
        <v>202851340</v>
      </c>
      <c r="G73" s="244">
        <f t="shared" si="18"/>
        <v>202851340</v>
      </c>
      <c r="H73" s="245"/>
      <c r="I73" s="244">
        <f t="shared" si="19"/>
        <v>202851340</v>
      </c>
      <c r="J73" s="244"/>
      <c r="K73" s="587"/>
      <c r="L73" s="587"/>
      <c r="M73" s="244">
        <f t="shared" si="8"/>
        <v>202851340</v>
      </c>
      <c r="N73" s="244">
        <v>49790694</v>
      </c>
      <c r="O73" s="244">
        <v>64928842</v>
      </c>
      <c r="P73" s="244">
        <v>88060646</v>
      </c>
      <c r="Q73" s="244">
        <v>0</v>
      </c>
      <c r="R73" s="244">
        <f t="shared" si="13"/>
        <v>202780182</v>
      </c>
      <c r="S73" s="730">
        <f t="shared" ref="S73:S136" si="20">+R73/M73</f>
        <v>0.99964921109222149</v>
      </c>
    </row>
    <row r="74" spans="1:19" ht="15" hidden="1" outlineLevel="1" x14ac:dyDescent="0.25">
      <c r="A74" s="295" t="s">
        <v>457</v>
      </c>
      <c r="B74" s="589"/>
      <c r="C74" s="245"/>
      <c r="D74" s="245"/>
      <c r="E74" s="245"/>
      <c r="F74" s="112">
        <v>270000000</v>
      </c>
      <c r="G74" s="244">
        <f t="shared" si="18"/>
        <v>270000000</v>
      </c>
      <c r="H74" s="245"/>
      <c r="I74" s="244">
        <f t="shared" si="19"/>
        <v>270000000</v>
      </c>
      <c r="J74" s="244"/>
      <c r="K74" s="587"/>
      <c r="L74" s="587"/>
      <c r="M74" s="244">
        <f t="shared" si="8"/>
        <v>270000000</v>
      </c>
      <c r="N74" s="244"/>
      <c r="O74" s="244">
        <v>88480926</v>
      </c>
      <c r="P74" s="244">
        <v>90000000</v>
      </c>
      <c r="Q74" s="244">
        <v>91519074</v>
      </c>
      <c r="R74" s="244">
        <f t="shared" si="13"/>
        <v>270000000</v>
      </c>
      <c r="S74" s="730">
        <f t="shared" si="20"/>
        <v>1</v>
      </c>
    </row>
    <row r="75" spans="1:19" ht="15" hidden="1" outlineLevel="1" x14ac:dyDescent="0.25">
      <c r="A75" s="295" t="s">
        <v>458</v>
      </c>
      <c r="B75" s="589"/>
      <c r="C75" s="245"/>
      <c r="D75" s="245"/>
      <c r="E75" s="245"/>
      <c r="F75" s="112">
        <v>90000000</v>
      </c>
      <c r="G75" s="244">
        <f t="shared" si="18"/>
        <v>90000000</v>
      </c>
      <c r="H75" s="245"/>
      <c r="I75" s="244">
        <f t="shared" si="19"/>
        <v>90000000</v>
      </c>
      <c r="J75" s="244"/>
      <c r="K75" s="587"/>
      <c r="L75" s="587"/>
      <c r="M75" s="244">
        <f t="shared" si="8"/>
        <v>90000000</v>
      </c>
      <c r="N75" s="244"/>
      <c r="O75" s="244">
        <v>24958090</v>
      </c>
      <c r="P75" s="244">
        <v>45000000</v>
      </c>
      <c r="Q75" s="244">
        <v>20041910</v>
      </c>
      <c r="R75" s="244">
        <f t="shared" si="13"/>
        <v>90000000</v>
      </c>
      <c r="S75" s="730">
        <f t="shared" si="20"/>
        <v>1</v>
      </c>
    </row>
    <row r="76" spans="1:19" ht="15" hidden="1" outlineLevel="1" x14ac:dyDescent="0.25">
      <c r="A76" s="295" t="s">
        <v>459</v>
      </c>
      <c r="B76" s="589"/>
      <c r="C76" s="245"/>
      <c r="D76" s="245"/>
      <c r="E76" s="245"/>
      <c r="F76" s="112">
        <v>30000000</v>
      </c>
      <c r="G76" s="244">
        <f t="shared" si="18"/>
        <v>30000000</v>
      </c>
      <c r="H76" s="245"/>
      <c r="I76" s="244">
        <f t="shared" si="19"/>
        <v>30000000</v>
      </c>
      <c r="J76" s="244"/>
      <c r="K76" s="587"/>
      <c r="L76" s="587"/>
      <c r="M76" s="244">
        <f t="shared" si="8"/>
        <v>30000000</v>
      </c>
      <c r="N76" s="244"/>
      <c r="O76" s="244">
        <v>11990526</v>
      </c>
      <c r="P76" s="244">
        <v>0</v>
      </c>
      <c r="Q76" s="244">
        <v>18009474</v>
      </c>
      <c r="R76" s="244">
        <f t="shared" si="13"/>
        <v>30000000</v>
      </c>
      <c r="S76" s="730">
        <f t="shared" si="20"/>
        <v>1</v>
      </c>
    </row>
    <row r="77" spans="1:19" ht="15" hidden="1" outlineLevel="1" x14ac:dyDescent="0.25">
      <c r="A77" s="295" t="s">
        <v>460</v>
      </c>
      <c r="B77" s="589"/>
      <c r="C77" s="245"/>
      <c r="D77" s="245"/>
      <c r="E77" s="245"/>
      <c r="F77" s="112">
        <v>30000000</v>
      </c>
      <c r="G77" s="244">
        <f t="shared" si="18"/>
        <v>30000000</v>
      </c>
      <c r="H77" s="245"/>
      <c r="I77" s="244">
        <f t="shared" si="19"/>
        <v>30000000</v>
      </c>
      <c r="J77" s="244"/>
      <c r="K77" s="587"/>
      <c r="L77" s="587"/>
      <c r="M77" s="244">
        <f t="shared" si="8"/>
        <v>30000000</v>
      </c>
      <c r="N77" s="244"/>
      <c r="O77" s="244">
        <v>27816494</v>
      </c>
      <c r="P77" s="244">
        <v>0</v>
      </c>
      <c r="Q77" s="244">
        <v>0</v>
      </c>
      <c r="R77" s="244">
        <f t="shared" si="13"/>
        <v>27816494</v>
      </c>
      <c r="S77" s="730">
        <f t="shared" si="20"/>
        <v>0.92721646666666668</v>
      </c>
    </row>
    <row r="78" spans="1:19" ht="15" hidden="1" outlineLevel="1" x14ac:dyDescent="0.25">
      <c r="A78" s="510" t="s">
        <v>477</v>
      </c>
      <c r="B78" s="589"/>
      <c r="C78" s="245"/>
      <c r="D78" s="245"/>
      <c r="E78" s="245"/>
      <c r="F78" s="112">
        <v>110000000</v>
      </c>
      <c r="G78" s="244">
        <f t="shared" si="18"/>
        <v>110000000</v>
      </c>
      <c r="H78" s="245"/>
      <c r="I78" s="244">
        <f t="shared" si="19"/>
        <v>110000000</v>
      </c>
      <c r="J78" s="244"/>
      <c r="K78" s="587"/>
      <c r="L78" s="587"/>
      <c r="M78" s="244">
        <f t="shared" si="8"/>
        <v>110000000</v>
      </c>
      <c r="N78" s="244"/>
      <c r="O78" s="244">
        <v>24541862</v>
      </c>
      <c r="P78" s="244">
        <v>50000000</v>
      </c>
      <c r="Q78" s="244">
        <v>35458138</v>
      </c>
      <c r="R78" s="244">
        <f t="shared" si="13"/>
        <v>110000000</v>
      </c>
      <c r="S78" s="730">
        <f t="shared" si="20"/>
        <v>1</v>
      </c>
    </row>
    <row r="79" spans="1:19" ht="17.25" customHeight="1" collapsed="1" x14ac:dyDescent="0.25">
      <c r="A79" s="296" t="s">
        <v>503</v>
      </c>
      <c r="B79" s="589"/>
      <c r="C79" s="245"/>
      <c r="D79" s="245"/>
      <c r="E79" s="245"/>
      <c r="F79" s="26">
        <f>SUM(F80:F83)</f>
        <v>157893748</v>
      </c>
      <c r="G79" s="26">
        <f>SUM(G80:G83)</f>
        <v>157893748</v>
      </c>
      <c r="H79" s="245"/>
      <c r="I79" s="26">
        <f>SUM(I80:I83)</f>
        <v>157893748</v>
      </c>
      <c r="J79" s="26">
        <f>SUM(J80:J83)</f>
        <v>0</v>
      </c>
      <c r="K79" s="26">
        <f>SUM(K80:K83)</f>
        <v>0</v>
      </c>
      <c r="L79" s="575">
        <f>SUM(L80:L83)</f>
        <v>0</v>
      </c>
      <c r="M79" s="26">
        <f t="shared" si="8"/>
        <v>157893748</v>
      </c>
      <c r="N79" s="26">
        <f>SUM(N80:N83)</f>
        <v>18678552</v>
      </c>
      <c r="O79" s="26">
        <f>SUM(O80:O83)</f>
        <v>46398754</v>
      </c>
      <c r="P79" s="26">
        <f>SUM(P80:P83)</f>
        <v>40222609</v>
      </c>
      <c r="Q79" s="26">
        <f>SUM(Q80:Q83)</f>
        <v>52593833</v>
      </c>
      <c r="R79" s="26">
        <f t="shared" si="13"/>
        <v>157893748</v>
      </c>
      <c r="S79" s="721">
        <f t="shared" si="20"/>
        <v>1</v>
      </c>
    </row>
    <row r="80" spans="1:19" ht="15" hidden="1" outlineLevel="1" x14ac:dyDescent="0.25">
      <c r="A80" s="295" t="s">
        <v>478</v>
      </c>
      <c r="B80" s="589"/>
      <c r="C80" s="245"/>
      <c r="D80" s="245"/>
      <c r="E80" s="245"/>
      <c r="F80" s="112">
        <v>33000000</v>
      </c>
      <c r="G80" s="244">
        <f>+B80+C80+D80+E80+F80</f>
        <v>33000000</v>
      </c>
      <c r="H80" s="245"/>
      <c r="I80" s="244">
        <f>+H80+G80</f>
        <v>33000000</v>
      </c>
      <c r="J80" s="244"/>
      <c r="K80" s="587"/>
      <c r="L80" s="587"/>
      <c r="M80" s="244">
        <f t="shared" si="8"/>
        <v>33000000</v>
      </c>
      <c r="N80" s="244">
        <v>7100000</v>
      </c>
      <c r="O80" s="244">
        <v>9000000</v>
      </c>
      <c r="P80" s="244">
        <v>9000000</v>
      </c>
      <c r="Q80" s="244">
        <v>7900000</v>
      </c>
      <c r="R80" s="244">
        <f t="shared" si="13"/>
        <v>33000000</v>
      </c>
      <c r="S80" s="730">
        <f t="shared" si="20"/>
        <v>1</v>
      </c>
    </row>
    <row r="81" spans="1:19" ht="15" hidden="1" outlineLevel="1" x14ac:dyDescent="0.25">
      <c r="A81" s="295" t="s">
        <v>419</v>
      </c>
      <c r="B81" s="589"/>
      <c r="C81" s="245"/>
      <c r="D81" s="245"/>
      <c r="E81" s="245"/>
      <c r="F81" s="112">
        <v>24893748.000000004</v>
      </c>
      <c r="G81" s="244">
        <f>+B81+C81+D81+E81+F81</f>
        <v>24893748.000000004</v>
      </c>
      <c r="H81" s="245"/>
      <c r="I81" s="244">
        <f>+H81+G81</f>
        <v>24893748.000000004</v>
      </c>
      <c r="J81" s="244"/>
      <c r="K81" s="587"/>
      <c r="L81" s="587"/>
      <c r="M81" s="244">
        <f t="shared" si="8"/>
        <v>24893748.000000004</v>
      </c>
      <c r="N81" s="244">
        <v>1578656</v>
      </c>
      <c r="O81" s="244">
        <v>3160904</v>
      </c>
      <c r="P81" s="244">
        <v>6266783</v>
      </c>
      <c r="Q81" s="244">
        <v>13887405</v>
      </c>
      <c r="R81" s="244">
        <f t="shared" si="13"/>
        <v>24893748</v>
      </c>
      <c r="S81" s="730">
        <f t="shared" si="20"/>
        <v>0.99999999999999989</v>
      </c>
    </row>
    <row r="82" spans="1:19" ht="15" hidden="1" outlineLevel="1" x14ac:dyDescent="0.25">
      <c r="A82" s="295" t="s">
        <v>479</v>
      </c>
      <c r="B82" s="589"/>
      <c r="C82" s="245"/>
      <c r="D82" s="245"/>
      <c r="E82" s="245"/>
      <c r="F82" s="112">
        <v>25000000</v>
      </c>
      <c r="G82" s="244">
        <f>+B82+C82+D82+E82+F82</f>
        <v>25000000</v>
      </c>
      <c r="H82" s="245"/>
      <c r="I82" s="244">
        <f>+H82+G82</f>
        <v>25000000</v>
      </c>
      <c r="J82" s="244"/>
      <c r="K82" s="587"/>
      <c r="L82" s="587"/>
      <c r="M82" s="244">
        <f t="shared" si="8"/>
        <v>25000000</v>
      </c>
      <c r="N82" s="244">
        <v>9999896</v>
      </c>
      <c r="O82" s="244">
        <v>4237850</v>
      </c>
      <c r="P82" s="244">
        <v>5000000</v>
      </c>
      <c r="Q82" s="244">
        <v>5762254</v>
      </c>
      <c r="R82" s="244">
        <f t="shared" si="13"/>
        <v>25000000</v>
      </c>
      <c r="S82" s="730">
        <f t="shared" si="20"/>
        <v>1</v>
      </c>
    </row>
    <row r="83" spans="1:19" ht="15" hidden="1" outlineLevel="1" x14ac:dyDescent="0.25">
      <c r="A83" s="295" t="s">
        <v>480</v>
      </c>
      <c r="B83" s="589"/>
      <c r="C83" s="245"/>
      <c r="D83" s="245"/>
      <c r="E83" s="245"/>
      <c r="F83" s="112">
        <v>75000000</v>
      </c>
      <c r="G83" s="244">
        <f>+B83+C83+D83+E83+F83</f>
        <v>75000000</v>
      </c>
      <c r="H83" s="245"/>
      <c r="I83" s="244">
        <f>+H83+G83</f>
        <v>75000000</v>
      </c>
      <c r="J83" s="244"/>
      <c r="K83" s="587"/>
      <c r="L83" s="587"/>
      <c r="M83" s="244">
        <f t="shared" si="8"/>
        <v>75000000</v>
      </c>
      <c r="N83" s="244">
        <v>0</v>
      </c>
      <c r="O83" s="244">
        <v>30000000</v>
      </c>
      <c r="P83" s="244">
        <v>19955826</v>
      </c>
      <c r="Q83" s="244">
        <v>25044174</v>
      </c>
      <c r="R83" s="244">
        <f t="shared" si="13"/>
        <v>75000000</v>
      </c>
      <c r="S83" s="730">
        <f t="shared" si="20"/>
        <v>1</v>
      </c>
    </row>
    <row r="84" spans="1:19" ht="15" hidden="1" outlineLevel="1" x14ac:dyDescent="0.25">
      <c r="A84" s="295"/>
      <c r="B84" s="589"/>
      <c r="C84" s="245"/>
      <c r="D84" s="245"/>
      <c r="E84" s="245"/>
      <c r="F84" s="244"/>
      <c r="G84" s="244"/>
      <c r="H84" s="245"/>
      <c r="I84" s="244"/>
      <c r="J84" s="244"/>
      <c r="K84" s="587"/>
      <c r="L84" s="587"/>
      <c r="M84" s="244"/>
      <c r="N84" s="244"/>
      <c r="O84" s="244"/>
      <c r="P84" s="244"/>
      <c r="Q84" s="244"/>
      <c r="R84" s="244"/>
      <c r="S84" s="730"/>
    </row>
    <row r="85" spans="1:19" s="254" customFormat="1" ht="30" collapsed="1" x14ac:dyDescent="0.25">
      <c r="A85" s="250" t="s">
        <v>282</v>
      </c>
      <c r="B85" s="251"/>
      <c r="C85" s="251">
        <f>+C113</f>
        <v>844470153.83850002</v>
      </c>
      <c r="D85" s="251"/>
      <c r="E85" s="251">
        <f>+E86</f>
        <v>5333730331.8923998</v>
      </c>
      <c r="F85" s="251"/>
      <c r="G85" s="251">
        <f>SUM(B85:F85)</f>
        <v>6178200485.7308998</v>
      </c>
      <c r="H85" s="251"/>
      <c r="I85" s="251">
        <f>+H85+G85</f>
        <v>6178200485.7308998</v>
      </c>
      <c r="J85" s="251">
        <f>+J86</f>
        <v>0</v>
      </c>
      <c r="K85" s="251">
        <f>+K86</f>
        <v>50000000</v>
      </c>
      <c r="L85" s="585">
        <f>+L86+L113</f>
        <v>-61926181</v>
      </c>
      <c r="M85" s="251">
        <f t="shared" ref="M85:M148" si="21">+I85+J85+K85+L85</f>
        <v>6166274304.7308998</v>
      </c>
      <c r="N85" s="251">
        <f>+N86+N113</f>
        <v>1361868983</v>
      </c>
      <c r="O85" s="251">
        <f>+O86+O113</f>
        <v>1336686496</v>
      </c>
      <c r="P85" s="251">
        <f>+P86+P113</f>
        <v>2441263170.085</v>
      </c>
      <c r="Q85" s="251">
        <f>+Q86+Q113</f>
        <v>1026455655.9075</v>
      </c>
      <c r="R85" s="251">
        <f t="shared" ref="R85:R148" si="22">+N85+O85+P85+Q85</f>
        <v>6166274304.9925003</v>
      </c>
      <c r="S85" s="728">
        <f t="shared" si="20"/>
        <v>1.0000000000424245</v>
      </c>
    </row>
    <row r="86" spans="1:19" ht="15" x14ac:dyDescent="0.25">
      <c r="A86" s="301" t="s">
        <v>308</v>
      </c>
      <c r="B86" s="245"/>
      <c r="C86" s="243"/>
      <c r="D86" s="243"/>
      <c r="E86" s="242">
        <f>+E87+E92+E99+E106+E109</f>
        <v>5333730331.8923998</v>
      </c>
      <c r="F86" s="243"/>
      <c r="G86" s="242">
        <f t="shared" ref="G86:G98" si="23">+B86+C86+D86+E86+F86</f>
        <v>5333730331.8923998</v>
      </c>
      <c r="H86" s="243"/>
      <c r="I86" s="242">
        <f>+H86+G86</f>
        <v>5333730331.8923998</v>
      </c>
      <c r="J86" s="242">
        <f>+J87+J92+J99+J106+J109</f>
        <v>0</v>
      </c>
      <c r="K86" s="242">
        <f>+K87+K92+K99+K106+K109</f>
        <v>50000000</v>
      </c>
      <c r="L86" s="575">
        <f>+L87+L92+L99+L106+L109</f>
        <v>0</v>
      </c>
      <c r="M86" s="242">
        <f t="shared" si="21"/>
        <v>5383730331.8923998</v>
      </c>
      <c r="N86" s="242">
        <f>+N87+N92+N99+N106+N109</f>
        <v>1275263954</v>
      </c>
      <c r="O86" s="242">
        <f>+O87+O92+O99+O106+O109</f>
        <v>1123883687</v>
      </c>
      <c r="P86" s="242">
        <f>+P87+P92+P99+P106+P109</f>
        <v>2152779682</v>
      </c>
      <c r="Q86" s="242">
        <f>+Q87+Q92+Q99+Q106+Q109</f>
        <v>831803009</v>
      </c>
      <c r="R86" s="242">
        <f t="shared" si="22"/>
        <v>5383730332</v>
      </c>
      <c r="S86" s="732">
        <f t="shared" si="20"/>
        <v>1.0000000000199862</v>
      </c>
    </row>
    <row r="87" spans="1:19" ht="15" x14ac:dyDescent="0.25">
      <c r="A87" s="300" t="s">
        <v>82</v>
      </c>
      <c r="B87" s="243"/>
      <c r="C87" s="245"/>
      <c r="D87" s="245"/>
      <c r="E87" s="242">
        <f>+SUM(E88:E91)</f>
        <v>1458325107.7059999</v>
      </c>
      <c r="F87" s="245"/>
      <c r="G87" s="242">
        <f>+SUM(G88:G91)</f>
        <v>1458325107.7059999</v>
      </c>
      <c r="H87" s="245"/>
      <c r="I87" s="242">
        <f>+SUM(I88:I91)</f>
        <v>1458325107.7059999</v>
      </c>
      <c r="J87" s="242">
        <f>+SUM(J88:J91)</f>
        <v>0</v>
      </c>
      <c r="K87" s="242">
        <f>+SUM(K88:K91)</f>
        <v>50000000</v>
      </c>
      <c r="L87" s="575">
        <f>+SUM(L88:L91)</f>
        <v>0</v>
      </c>
      <c r="M87" s="242">
        <f t="shared" si="21"/>
        <v>1508325107.7059999</v>
      </c>
      <c r="N87" s="242">
        <f>+SUM(N88:N91)</f>
        <v>312870290</v>
      </c>
      <c r="O87" s="242">
        <f>+SUM(O88:O91)</f>
        <v>405072478</v>
      </c>
      <c r="P87" s="242">
        <f>+SUM(P88:P91)</f>
        <v>648630866</v>
      </c>
      <c r="Q87" s="242">
        <f>+SUM(Q88:Q91)</f>
        <v>141751474</v>
      </c>
      <c r="R87" s="242">
        <f t="shared" si="22"/>
        <v>1508325108</v>
      </c>
      <c r="S87" s="732">
        <f t="shared" si="20"/>
        <v>1.0000000001949183</v>
      </c>
    </row>
    <row r="88" spans="1:19" ht="15" hidden="1" outlineLevel="1" x14ac:dyDescent="0.25">
      <c r="A88" s="440" t="s">
        <v>426</v>
      </c>
      <c r="B88" s="243"/>
      <c r="C88" s="245"/>
      <c r="D88" s="245"/>
      <c r="E88" s="112">
        <v>1084430693.8</v>
      </c>
      <c r="F88" s="245"/>
      <c r="G88" s="244">
        <f t="shared" si="23"/>
        <v>1084430693.8</v>
      </c>
      <c r="H88" s="245"/>
      <c r="I88" s="244">
        <f>+H88+G88</f>
        <v>1084430693.8</v>
      </c>
      <c r="J88" s="244">
        <v>0</v>
      </c>
      <c r="K88" s="588">
        <v>50000000</v>
      </c>
      <c r="L88" s="588"/>
      <c r="M88" s="244">
        <f t="shared" si="21"/>
        <v>1134430693.8</v>
      </c>
      <c r="N88" s="244">
        <v>267100400</v>
      </c>
      <c r="O88" s="244">
        <v>325000000</v>
      </c>
      <c r="P88" s="244">
        <v>443500000</v>
      </c>
      <c r="Q88" s="244">
        <v>98830294</v>
      </c>
      <c r="R88" s="244">
        <f t="shared" si="22"/>
        <v>1134430694</v>
      </c>
      <c r="S88" s="730">
        <f t="shared" si="20"/>
        <v>1.0000000001762999</v>
      </c>
    </row>
    <row r="89" spans="1:19" ht="15" hidden="1" outlineLevel="1" x14ac:dyDescent="0.25">
      <c r="A89" s="440" t="s">
        <v>427</v>
      </c>
      <c r="B89" s="243"/>
      <c r="C89" s="245"/>
      <c r="D89" s="245"/>
      <c r="E89" s="112">
        <v>81725775.5</v>
      </c>
      <c r="F89" s="245"/>
      <c r="G89" s="244">
        <f t="shared" si="23"/>
        <v>81725775.5</v>
      </c>
      <c r="H89" s="245"/>
      <c r="I89" s="244">
        <f>+H89+G89</f>
        <v>81725775.5</v>
      </c>
      <c r="J89" s="244">
        <v>0</v>
      </c>
      <c r="K89" s="587">
        <v>0</v>
      </c>
      <c r="L89" s="588">
        <v>0</v>
      </c>
      <c r="M89" s="244">
        <f t="shared" si="21"/>
        <v>81725775.5</v>
      </c>
      <c r="N89" s="244">
        <v>34097260</v>
      </c>
      <c r="O89" s="244">
        <v>14819597</v>
      </c>
      <c r="P89" s="244">
        <v>32628516</v>
      </c>
      <c r="Q89" s="244">
        <v>180403</v>
      </c>
      <c r="R89" s="244">
        <f t="shared" si="22"/>
        <v>81725776</v>
      </c>
      <c r="S89" s="730">
        <f t="shared" si="20"/>
        <v>1.000000006118021</v>
      </c>
    </row>
    <row r="90" spans="1:19" ht="15" hidden="1" outlineLevel="1" x14ac:dyDescent="0.25">
      <c r="A90" s="440" t="s">
        <v>428</v>
      </c>
      <c r="B90" s="243"/>
      <c r="C90" s="245"/>
      <c r="D90" s="245"/>
      <c r="E90" s="112">
        <v>44203358.405999996</v>
      </c>
      <c r="F90" s="245"/>
      <c r="G90" s="244">
        <f t="shared" si="23"/>
        <v>44203358.405999996</v>
      </c>
      <c r="H90" s="245"/>
      <c r="I90" s="244">
        <f>+H90+G90</f>
        <v>44203358.405999996</v>
      </c>
      <c r="J90" s="244">
        <v>0</v>
      </c>
      <c r="K90" s="587">
        <v>0</v>
      </c>
      <c r="L90" s="588">
        <v>0</v>
      </c>
      <c r="M90" s="244">
        <f t="shared" si="21"/>
        <v>44203358.405999996</v>
      </c>
      <c r="N90" s="244">
        <v>9459700</v>
      </c>
      <c r="O90" s="244">
        <v>10543684</v>
      </c>
      <c r="P90" s="244">
        <v>13000000</v>
      </c>
      <c r="Q90" s="244">
        <v>11199974</v>
      </c>
      <c r="R90" s="244">
        <f t="shared" si="22"/>
        <v>44203358</v>
      </c>
      <c r="S90" s="730">
        <f t="shared" si="20"/>
        <v>0.99999999081517765</v>
      </c>
    </row>
    <row r="91" spans="1:19" ht="15" hidden="1" outlineLevel="1" x14ac:dyDescent="0.25">
      <c r="A91" s="440" t="s">
        <v>429</v>
      </c>
      <c r="B91" s="243"/>
      <c r="C91" s="245"/>
      <c r="D91" s="245"/>
      <c r="E91" s="112">
        <v>247965280</v>
      </c>
      <c r="F91" s="245"/>
      <c r="G91" s="244">
        <f t="shared" si="23"/>
        <v>247965280</v>
      </c>
      <c r="H91" s="245"/>
      <c r="I91" s="244">
        <f>+H91+G91</f>
        <v>247965280</v>
      </c>
      <c r="J91" s="244">
        <v>0</v>
      </c>
      <c r="K91" s="587">
        <v>0</v>
      </c>
      <c r="L91" s="588">
        <v>0</v>
      </c>
      <c r="M91" s="244">
        <f t="shared" si="21"/>
        <v>247965280</v>
      </c>
      <c r="N91" s="244">
        <v>2212930</v>
      </c>
      <c r="O91" s="244">
        <v>54709197</v>
      </c>
      <c r="P91" s="244">
        <v>159502350</v>
      </c>
      <c r="Q91" s="244">
        <v>31540803</v>
      </c>
      <c r="R91" s="244">
        <f t="shared" si="22"/>
        <v>247965280</v>
      </c>
      <c r="S91" s="730">
        <f t="shared" si="20"/>
        <v>1</v>
      </c>
    </row>
    <row r="92" spans="1:19" ht="15" collapsed="1" x14ac:dyDescent="0.25">
      <c r="A92" s="300" t="s">
        <v>12</v>
      </c>
      <c r="B92" s="243"/>
      <c r="C92" s="245"/>
      <c r="D92" s="245"/>
      <c r="E92" s="242">
        <f>+E93+E97</f>
        <v>376640000</v>
      </c>
      <c r="F92" s="245"/>
      <c r="G92" s="242">
        <f>+G93+G97</f>
        <v>376640000</v>
      </c>
      <c r="H92" s="245"/>
      <c r="I92" s="242">
        <f>+I93+I97</f>
        <v>376640000</v>
      </c>
      <c r="J92" s="242">
        <f>+J93+J97</f>
        <v>0</v>
      </c>
      <c r="K92" s="242">
        <f>+K93+K97</f>
        <v>0</v>
      </c>
      <c r="L92" s="575">
        <f>+L93+L97</f>
        <v>0</v>
      </c>
      <c r="M92" s="242">
        <f t="shared" si="21"/>
        <v>376640000</v>
      </c>
      <c r="N92" s="242">
        <f>+N93+N97</f>
        <v>111195907</v>
      </c>
      <c r="O92" s="242">
        <f>+O93+O97</f>
        <v>96053803</v>
      </c>
      <c r="P92" s="242">
        <f>+P93+P97</f>
        <v>98700000</v>
      </c>
      <c r="Q92" s="242">
        <f>+Q93+Q97</f>
        <v>70690290</v>
      </c>
      <c r="R92" s="242">
        <f t="shared" si="22"/>
        <v>376640000</v>
      </c>
      <c r="S92" s="732">
        <f t="shared" si="20"/>
        <v>1</v>
      </c>
    </row>
    <row r="93" spans="1:19" ht="15" hidden="1" outlineLevel="1" x14ac:dyDescent="0.25">
      <c r="A93" s="524" t="s">
        <v>45</v>
      </c>
      <c r="B93" s="243"/>
      <c r="C93" s="245"/>
      <c r="D93" s="245"/>
      <c r="E93" s="242">
        <f>+SUM(E94:E96)</f>
        <v>233200000</v>
      </c>
      <c r="F93" s="245"/>
      <c r="G93" s="242">
        <f>+SUM(G94:G96)</f>
        <v>233200000</v>
      </c>
      <c r="H93" s="245"/>
      <c r="I93" s="242">
        <f>+SUM(I94:I96)</f>
        <v>233200000</v>
      </c>
      <c r="J93" s="242">
        <f>+SUM(J94:J96)</f>
        <v>0</v>
      </c>
      <c r="K93" s="242">
        <f>+SUM(K94:K96)</f>
        <v>0</v>
      </c>
      <c r="L93" s="575">
        <f>+SUM(L94:L96)</f>
        <v>0</v>
      </c>
      <c r="M93" s="242">
        <f t="shared" si="21"/>
        <v>233200000</v>
      </c>
      <c r="N93" s="242">
        <f>+SUM(N94:N96)</f>
        <v>65461307</v>
      </c>
      <c r="O93" s="242">
        <f>+SUM(O94:O96)</f>
        <v>52960869</v>
      </c>
      <c r="P93" s="242">
        <f>+SUM(P94:P96)</f>
        <v>68700000</v>
      </c>
      <c r="Q93" s="242">
        <f>+SUM(Q94:Q96)</f>
        <v>46077824</v>
      </c>
      <c r="R93" s="242">
        <f t="shared" si="22"/>
        <v>233200000</v>
      </c>
      <c r="S93" s="732">
        <f t="shared" si="20"/>
        <v>1</v>
      </c>
    </row>
    <row r="94" spans="1:19" ht="15" hidden="1" outlineLevel="2" x14ac:dyDescent="0.25">
      <c r="A94" s="295" t="s">
        <v>430</v>
      </c>
      <c r="B94" s="243"/>
      <c r="C94" s="23"/>
      <c r="D94" s="23"/>
      <c r="E94" s="112">
        <v>68400000</v>
      </c>
      <c r="F94" s="245"/>
      <c r="G94" s="244">
        <f t="shared" si="23"/>
        <v>68400000</v>
      </c>
      <c r="H94" s="244"/>
      <c r="I94" s="244">
        <f>+H94+G94</f>
        <v>68400000</v>
      </c>
      <c r="J94" s="244">
        <v>0</v>
      </c>
      <c r="K94" s="587"/>
      <c r="L94" s="588"/>
      <c r="M94" s="244">
        <f t="shared" si="21"/>
        <v>68400000</v>
      </c>
      <c r="N94" s="244">
        <v>34200000</v>
      </c>
      <c r="O94" s="244">
        <v>10515708</v>
      </c>
      <c r="P94" s="244">
        <v>18700000</v>
      </c>
      <c r="Q94" s="244">
        <v>4984292</v>
      </c>
      <c r="R94" s="244">
        <f t="shared" si="22"/>
        <v>68400000</v>
      </c>
      <c r="S94" s="730">
        <f t="shared" si="20"/>
        <v>1</v>
      </c>
    </row>
    <row r="95" spans="1:19" ht="15" hidden="1" outlineLevel="2" x14ac:dyDescent="0.25">
      <c r="A95" s="295" t="s">
        <v>431</v>
      </c>
      <c r="B95" s="243"/>
      <c r="C95" s="23"/>
      <c r="D95" s="23"/>
      <c r="E95" s="112">
        <v>92000000</v>
      </c>
      <c r="F95" s="245"/>
      <c r="G95" s="244">
        <f t="shared" si="23"/>
        <v>92000000</v>
      </c>
      <c r="H95" s="245"/>
      <c r="I95" s="244">
        <f>+H95+G95</f>
        <v>92000000</v>
      </c>
      <c r="J95" s="244">
        <v>0</v>
      </c>
      <c r="K95" s="587"/>
      <c r="L95" s="588"/>
      <c r="M95" s="244">
        <f t="shared" si="21"/>
        <v>92000000</v>
      </c>
      <c r="N95" s="244">
        <v>13256788</v>
      </c>
      <c r="O95" s="244">
        <v>30454737</v>
      </c>
      <c r="P95" s="244">
        <v>30000000</v>
      </c>
      <c r="Q95" s="244">
        <v>18288475</v>
      </c>
      <c r="R95" s="244">
        <f t="shared" si="22"/>
        <v>92000000</v>
      </c>
      <c r="S95" s="730">
        <f t="shared" si="20"/>
        <v>1</v>
      </c>
    </row>
    <row r="96" spans="1:19" ht="15" hidden="1" outlineLevel="2" x14ac:dyDescent="0.25">
      <c r="A96" s="295" t="s">
        <v>432</v>
      </c>
      <c r="B96" s="243"/>
      <c r="C96" s="23"/>
      <c r="D96" s="23"/>
      <c r="E96" s="112">
        <v>72800000</v>
      </c>
      <c r="F96" s="245"/>
      <c r="G96" s="244">
        <f t="shared" si="23"/>
        <v>72800000</v>
      </c>
      <c r="H96" s="245"/>
      <c r="I96" s="244">
        <f>+H96+G96</f>
        <v>72800000</v>
      </c>
      <c r="J96" s="244">
        <v>0</v>
      </c>
      <c r="K96" s="587"/>
      <c r="L96" s="588"/>
      <c r="M96" s="244">
        <f t="shared" si="21"/>
        <v>72800000</v>
      </c>
      <c r="N96" s="244">
        <v>18004519</v>
      </c>
      <c r="O96" s="244">
        <v>11990424</v>
      </c>
      <c r="P96" s="244">
        <v>20000000</v>
      </c>
      <c r="Q96" s="244">
        <v>22805057</v>
      </c>
      <c r="R96" s="244">
        <f t="shared" si="22"/>
        <v>72800000</v>
      </c>
      <c r="S96" s="730">
        <f t="shared" si="20"/>
        <v>1</v>
      </c>
    </row>
    <row r="97" spans="1:19" s="202" customFormat="1" ht="15" hidden="1" outlineLevel="1" x14ac:dyDescent="0.25">
      <c r="A97" s="524" t="s">
        <v>433</v>
      </c>
      <c r="B97" s="243"/>
      <c r="C97" s="21"/>
      <c r="D97" s="21"/>
      <c r="E97" s="26">
        <f>+E98</f>
        <v>143440000</v>
      </c>
      <c r="F97" s="243"/>
      <c r="G97" s="26">
        <f>+G98</f>
        <v>143440000</v>
      </c>
      <c r="H97" s="243"/>
      <c r="I97" s="26">
        <f>+I98</f>
        <v>143440000</v>
      </c>
      <c r="J97" s="26">
        <f>+J98</f>
        <v>0</v>
      </c>
      <c r="K97" s="26">
        <f>+K98</f>
        <v>0</v>
      </c>
      <c r="L97" s="575">
        <f>+L98</f>
        <v>0</v>
      </c>
      <c r="M97" s="26">
        <f t="shared" si="21"/>
        <v>143440000</v>
      </c>
      <c r="N97" s="26">
        <f>+N98</f>
        <v>45734600</v>
      </c>
      <c r="O97" s="26">
        <f>+O98</f>
        <v>43092934</v>
      </c>
      <c r="P97" s="26">
        <f>+P98</f>
        <v>30000000</v>
      </c>
      <c r="Q97" s="26">
        <f>+Q98</f>
        <v>24612466</v>
      </c>
      <c r="R97" s="26">
        <f t="shared" si="22"/>
        <v>143440000</v>
      </c>
      <c r="S97" s="721">
        <f t="shared" si="20"/>
        <v>1</v>
      </c>
    </row>
    <row r="98" spans="1:19" ht="15" hidden="1" outlineLevel="2" x14ac:dyDescent="0.25">
      <c r="A98" s="295" t="s">
        <v>434</v>
      </c>
      <c r="B98" s="243"/>
      <c r="C98" s="23"/>
      <c r="D98" s="23"/>
      <c r="E98" s="112">
        <v>143440000</v>
      </c>
      <c r="F98" s="245"/>
      <c r="G98" s="244">
        <f t="shared" si="23"/>
        <v>143440000</v>
      </c>
      <c r="H98" s="245"/>
      <c r="I98" s="244">
        <f>+H98+G98</f>
        <v>143440000</v>
      </c>
      <c r="J98" s="244">
        <v>0</v>
      </c>
      <c r="K98" s="587"/>
      <c r="L98" s="588"/>
      <c r="M98" s="244">
        <f t="shared" si="21"/>
        <v>143440000</v>
      </c>
      <c r="N98" s="244">
        <v>45734600</v>
      </c>
      <c r="O98" s="244">
        <v>43092934</v>
      </c>
      <c r="P98" s="244">
        <v>30000000</v>
      </c>
      <c r="Q98" s="244">
        <v>24612466</v>
      </c>
      <c r="R98" s="244">
        <f t="shared" si="22"/>
        <v>143440000</v>
      </c>
      <c r="S98" s="730">
        <f t="shared" si="20"/>
        <v>1</v>
      </c>
    </row>
    <row r="99" spans="1:19" ht="15" collapsed="1" x14ac:dyDescent="0.25">
      <c r="A99" s="300" t="s">
        <v>302</v>
      </c>
      <c r="B99" s="243"/>
      <c r="C99" s="23"/>
      <c r="D99" s="23"/>
      <c r="E99" s="26">
        <f>+SUM(E100:E105)</f>
        <v>468460000</v>
      </c>
      <c r="F99" s="245"/>
      <c r="G99" s="26">
        <f>+SUM(G100:G105)</f>
        <v>468460000</v>
      </c>
      <c r="H99" s="245"/>
      <c r="I99" s="26">
        <f>+SUM(I100:I105)</f>
        <v>468460000</v>
      </c>
      <c r="J99" s="26">
        <f>+SUM(J100:J105)</f>
        <v>0</v>
      </c>
      <c r="K99" s="26">
        <f>+SUM(K100:K105)</f>
        <v>0</v>
      </c>
      <c r="L99" s="575">
        <f>+SUM(L100:L105)</f>
        <v>0</v>
      </c>
      <c r="M99" s="26">
        <f t="shared" si="21"/>
        <v>468460000</v>
      </c>
      <c r="N99" s="26">
        <f>+SUM(N100:N105)</f>
        <v>99617622</v>
      </c>
      <c r="O99" s="26">
        <f>+SUM(O100:O105)</f>
        <v>114090053</v>
      </c>
      <c r="P99" s="26">
        <f>+SUM(P100:P105)</f>
        <v>152895816</v>
      </c>
      <c r="Q99" s="26">
        <f>+SUM(Q100:Q105)</f>
        <v>101856509</v>
      </c>
      <c r="R99" s="26">
        <f t="shared" si="22"/>
        <v>468460000</v>
      </c>
      <c r="S99" s="721">
        <f t="shared" si="20"/>
        <v>1</v>
      </c>
    </row>
    <row r="100" spans="1:19" ht="15" hidden="1" outlineLevel="1" x14ac:dyDescent="0.25">
      <c r="A100" s="302" t="s">
        <v>305</v>
      </c>
      <c r="B100" s="243"/>
      <c r="C100" s="23"/>
      <c r="D100" s="23"/>
      <c r="E100" s="23">
        <v>121500000</v>
      </c>
      <c r="F100" s="245"/>
      <c r="G100" s="244">
        <f t="shared" ref="G100:G105" si="24">+B100+C100+D100+E100+F100</f>
        <v>121500000</v>
      </c>
      <c r="H100" s="245"/>
      <c r="I100" s="244">
        <f t="shared" ref="I100:J105" si="25">+G100</f>
        <v>121500000</v>
      </c>
      <c r="J100" s="244">
        <f t="shared" si="25"/>
        <v>0</v>
      </c>
      <c r="K100" s="587"/>
      <c r="L100" s="588"/>
      <c r="M100" s="244">
        <f t="shared" si="21"/>
        <v>121500000</v>
      </c>
      <c r="N100" s="244">
        <v>30055320</v>
      </c>
      <c r="O100" s="244">
        <v>30032980</v>
      </c>
      <c r="P100" s="244">
        <v>50000000</v>
      </c>
      <c r="Q100" s="244">
        <v>11411700</v>
      </c>
      <c r="R100" s="244">
        <f t="shared" si="22"/>
        <v>121500000</v>
      </c>
      <c r="S100" s="730">
        <f t="shared" si="20"/>
        <v>1</v>
      </c>
    </row>
    <row r="101" spans="1:19" ht="15" hidden="1" outlineLevel="1" x14ac:dyDescent="0.25">
      <c r="A101" s="302" t="s">
        <v>306</v>
      </c>
      <c r="B101" s="243"/>
      <c r="C101" s="23"/>
      <c r="D101" s="23"/>
      <c r="E101" s="23">
        <v>150000000</v>
      </c>
      <c r="F101" s="245"/>
      <c r="G101" s="244">
        <f t="shared" si="24"/>
        <v>150000000</v>
      </c>
      <c r="H101" s="245"/>
      <c r="I101" s="244">
        <f t="shared" si="25"/>
        <v>150000000</v>
      </c>
      <c r="J101" s="244">
        <f t="shared" si="25"/>
        <v>0</v>
      </c>
      <c r="K101" s="587"/>
      <c r="L101" s="588"/>
      <c r="M101" s="244">
        <f t="shared" si="21"/>
        <v>150000000</v>
      </c>
      <c r="N101" s="244">
        <v>34414900</v>
      </c>
      <c r="O101" s="244">
        <v>35709526</v>
      </c>
      <c r="P101" s="244">
        <v>50000000</v>
      </c>
      <c r="Q101" s="244">
        <v>29875574</v>
      </c>
      <c r="R101" s="244">
        <f t="shared" si="22"/>
        <v>150000000</v>
      </c>
      <c r="S101" s="730">
        <f t="shared" si="20"/>
        <v>1</v>
      </c>
    </row>
    <row r="102" spans="1:19" ht="15" hidden="1" outlineLevel="1" x14ac:dyDescent="0.25">
      <c r="A102" s="302" t="s">
        <v>240</v>
      </c>
      <c r="B102" s="243"/>
      <c r="C102" s="23"/>
      <c r="D102" s="23"/>
      <c r="E102" s="23">
        <v>70000000</v>
      </c>
      <c r="F102" s="245"/>
      <c r="G102" s="244">
        <f t="shared" si="24"/>
        <v>70000000</v>
      </c>
      <c r="H102" s="244"/>
      <c r="I102" s="244">
        <f t="shared" si="25"/>
        <v>70000000</v>
      </c>
      <c r="J102" s="244">
        <f t="shared" si="25"/>
        <v>0</v>
      </c>
      <c r="K102" s="587"/>
      <c r="L102" s="588"/>
      <c r="M102" s="244">
        <f t="shared" si="21"/>
        <v>70000000</v>
      </c>
      <c r="N102" s="244">
        <v>16787567</v>
      </c>
      <c r="O102" s="244">
        <v>17500000</v>
      </c>
      <c r="P102" s="244">
        <v>17500000</v>
      </c>
      <c r="Q102" s="244">
        <v>18212433</v>
      </c>
      <c r="R102" s="244">
        <f t="shared" si="22"/>
        <v>70000000</v>
      </c>
      <c r="S102" s="730">
        <f t="shared" si="20"/>
        <v>1</v>
      </c>
    </row>
    <row r="103" spans="1:19" ht="15" hidden="1" outlineLevel="1" x14ac:dyDescent="0.25">
      <c r="A103" s="302" t="s">
        <v>307</v>
      </c>
      <c r="B103" s="243"/>
      <c r="C103" s="23"/>
      <c r="D103" s="23"/>
      <c r="E103" s="112">
        <v>5460000</v>
      </c>
      <c r="F103" s="245"/>
      <c r="G103" s="244">
        <f t="shared" si="24"/>
        <v>5460000</v>
      </c>
      <c r="H103" s="244"/>
      <c r="I103" s="244">
        <f t="shared" si="25"/>
        <v>5460000</v>
      </c>
      <c r="J103" s="244">
        <f t="shared" si="25"/>
        <v>0</v>
      </c>
      <c r="K103" s="587"/>
      <c r="L103" s="588"/>
      <c r="M103" s="244">
        <f t="shared" si="21"/>
        <v>5460000</v>
      </c>
      <c r="N103" s="244">
        <v>1303368</v>
      </c>
      <c r="O103" s="244">
        <v>894547</v>
      </c>
      <c r="P103" s="244">
        <v>1395816</v>
      </c>
      <c r="Q103" s="244">
        <v>1866269</v>
      </c>
      <c r="R103" s="244">
        <f t="shared" si="22"/>
        <v>5460000</v>
      </c>
      <c r="S103" s="730">
        <f t="shared" si="20"/>
        <v>1</v>
      </c>
    </row>
    <row r="104" spans="1:19" ht="15" hidden="1" outlineLevel="1" x14ac:dyDescent="0.25">
      <c r="A104" s="302" t="s">
        <v>493</v>
      </c>
      <c r="B104" s="243"/>
      <c r="C104" s="23"/>
      <c r="D104" s="23"/>
      <c r="E104" s="112">
        <v>71500000</v>
      </c>
      <c r="F104" s="245"/>
      <c r="G104" s="244">
        <f t="shared" si="24"/>
        <v>71500000</v>
      </c>
      <c r="H104" s="244"/>
      <c r="I104" s="244">
        <f t="shared" si="25"/>
        <v>71500000</v>
      </c>
      <c r="J104" s="244">
        <f t="shared" si="25"/>
        <v>0</v>
      </c>
      <c r="K104" s="587"/>
      <c r="L104" s="588"/>
      <c r="M104" s="244">
        <f t="shared" si="21"/>
        <v>71500000</v>
      </c>
      <c r="N104" s="244">
        <v>13859183</v>
      </c>
      <c r="O104" s="244">
        <v>19851750</v>
      </c>
      <c r="P104" s="244">
        <v>22000000</v>
      </c>
      <c r="Q104" s="244">
        <v>15789067</v>
      </c>
      <c r="R104" s="244">
        <f t="shared" si="22"/>
        <v>71500000</v>
      </c>
      <c r="S104" s="730">
        <f t="shared" si="20"/>
        <v>1</v>
      </c>
    </row>
    <row r="105" spans="1:19" ht="15" hidden="1" outlineLevel="1" x14ac:dyDescent="0.25">
      <c r="A105" s="302" t="s">
        <v>501</v>
      </c>
      <c r="B105" s="243"/>
      <c r="C105" s="23"/>
      <c r="D105" s="23"/>
      <c r="E105" s="112">
        <v>50000000</v>
      </c>
      <c r="F105" s="245"/>
      <c r="G105" s="244">
        <f t="shared" si="24"/>
        <v>50000000</v>
      </c>
      <c r="H105" s="244"/>
      <c r="I105" s="244">
        <f t="shared" si="25"/>
        <v>50000000</v>
      </c>
      <c r="J105" s="244">
        <f t="shared" si="25"/>
        <v>0</v>
      </c>
      <c r="K105" s="587"/>
      <c r="L105" s="588"/>
      <c r="M105" s="244">
        <f t="shared" si="21"/>
        <v>50000000</v>
      </c>
      <c r="N105" s="244">
        <v>3197284</v>
      </c>
      <c r="O105" s="244">
        <v>10101250</v>
      </c>
      <c r="P105" s="244">
        <v>12000000</v>
      </c>
      <c r="Q105" s="244">
        <v>24701466</v>
      </c>
      <c r="R105" s="244">
        <f t="shared" si="22"/>
        <v>50000000</v>
      </c>
      <c r="S105" s="730">
        <f t="shared" si="20"/>
        <v>1</v>
      </c>
    </row>
    <row r="106" spans="1:19" ht="15" collapsed="1" x14ac:dyDescent="0.25">
      <c r="A106" s="300" t="s">
        <v>7</v>
      </c>
      <c r="B106" s="245"/>
      <c r="C106" s="23"/>
      <c r="D106" s="23"/>
      <c r="E106" s="26">
        <f>+SUM(E107:E108)</f>
        <v>369512910.80000001</v>
      </c>
      <c r="F106" s="245"/>
      <c r="G106" s="26">
        <f>+SUM(G107:G108)</f>
        <v>369512910.80000001</v>
      </c>
      <c r="H106" s="243"/>
      <c r="I106" s="26">
        <f>+SUM(I107:I108)</f>
        <v>369512910.80000001</v>
      </c>
      <c r="J106" s="26">
        <f>+SUM(J107:J108)</f>
        <v>0</v>
      </c>
      <c r="K106" s="26">
        <f>+SUM(K107:K108)</f>
        <v>0</v>
      </c>
      <c r="L106" s="575">
        <f>+SUM(L107:L108)</f>
        <v>0</v>
      </c>
      <c r="M106" s="26">
        <f t="shared" si="21"/>
        <v>369512910.80000001</v>
      </c>
      <c r="N106" s="26">
        <f>+SUM(N107:N108)</f>
        <v>24886194</v>
      </c>
      <c r="O106" s="26">
        <f>+SUM(O107:O108)</f>
        <v>28425266</v>
      </c>
      <c r="P106" s="26">
        <f>+SUM(P107:P108)</f>
        <v>166000000</v>
      </c>
      <c r="Q106" s="26">
        <f>+SUM(Q107:Q108)</f>
        <v>150201451</v>
      </c>
      <c r="R106" s="26">
        <f t="shared" si="22"/>
        <v>369512911</v>
      </c>
      <c r="S106" s="721">
        <f t="shared" si="20"/>
        <v>1.000000000541253</v>
      </c>
    </row>
    <row r="107" spans="1:19" ht="15" hidden="1" outlineLevel="1" x14ac:dyDescent="0.25">
      <c r="A107" s="569" t="s">
        <v>83</v>
      </c>
      <c r="B107" s="245"/>
      <c r="C107" s="23"/>
      <c r="D107" s="23"/>
      <c r="E107" s="112">
        <v>129512910.8</v>
      </c>
      <c r="F107" s="245"/>
      <c r="G107" s="244">
        <f>+B107+C107+D107+E107+F107</f>
        <v>129512910.8</v>
      </c>
      <c r="H107" s="243"/>
      <c r="I107" s="244">
        <f>+H107+G107</f>
        <v>129512910.8</v>
      </c>
      <c r="J107" s="244"/>
      <c r="K107" s="587"/>
      <c r="L107" s="588"/>
      <c r="M107" s="244">
        <f t="shared" si="21"/>
        <v>129512910.8</v>
      </c>
      <c r="N107" s="244">
        <v>24803844</v>
      </c>
      <c r="O107" s="244">
        <v>28425266</v>
      </c>
      <c r="P107" s="244">
        <v>43000000</v>
      </c>
      <c r="Q107" s="244">
        <v>33283801</v>
      </c>
      <c r="R107" s="244">
        <f t="shared" si="22"/>
        <v>129512911</v>
      </c>
      <c r="S107" s="730">
        <f t="shared" si="20"/>
        <v>1.0000000015442476</v>
      </c>
    </row>
    <row r="108" spans="1:19" ht="15" hidden="1" outlineLevel="1" x14ac:dyDescent="0.25">
      <c r="A108" s="569" t="s">
        <v>497</v>
      </c>
      <c r="B108" s="245"/>
      <c r="C108" s="23"/>
      <c r="D108" s="23"/>
      <c r="E108" s="112">
        <v>240000000</v>
      </c>
      <c r="F108" s="245"/>
      <c r="G108" s="244">
        <f>+B108+C108+D108+E108+F108</f>
        <v>240000000</v>
      </c>
      <c r="H108" s="243"/>
      <c r="I108" s="244">
        <f>+H108+G108</f>
        <v>240000000</v>
      </c>
      <c r="J108" s="244"/>
      <c r="K108" s="587"/>
      <c r="L108" s="588"/>
      <c r="M108" s="244">
        <f t="shared" si="21"/>
        <v>240000000</v>
      </c>
      <c r="N108" s="244">
        <v>82350</v>
      </c>
      <c r="O108" s="244"/>
      <c r="P108" s="244">
        <v>123000000</v>
      </c>
      <c r="Q108" s="244">
        <v>116917650</v>
      </c>
      <c r="R108" s="244">
        <f t="shared" si="22"/>
        <v>240000000</v>
      </c>
      <c r="S108" s="730">
        <f t="shared" si="20"/>
        <v>1</v>
      </c>
    </row>
    <row r="109" spans="1:19" ht="15" collapsed="1" x14ac:dyDescent="0.25">
      <c r="A109" s="27" t="s">
        <v>160</v>
      </c>
      <c r="B109" s="245"/>
      <c r="C109" s="23"/>
      <c r="D109" s="23"/>
      <c r="E109" s="26">
        <f>+SUM(E110:E112)</f>
        <v>2660792313.3863997</v>
      </c>
      <c r="F109" s="245"/>
      <c r="G109" s="26">
        <f>+SUM(G110:G112)</f>
        <v>2660792313.3863997</v>
      </c>
      <c r="H109" s="242"/>
      <c r="I109" s="26">
        <f>+SUM(I110:I112)</f>
        <v>2660792313.3863997</v>
      </c>
      <c r="J109" s="26">
        <f>+SUM(J110:J112)</f>
        <v>0</v>
      </c>
      <c r="K109" s="26">
        <f>+SUM(K110:K112)</f>
        <v>0</v>
      </c>
      <c r="L109" s="575">
        <f>+SUM(L110:L112)</f>
        <v>0</v>
      </c>
      <c r="M109" s="26">
        <f t="shared" si="21"/>
        <v>2660792313.3863997</v>
      </c>
      <c r="N109" s="26">
        <f>+SUM(N110:N112)</f>
        <v>726693941</v>
      </c>
      <c r="O109" s="26">
        <f>+SUM(O110:O112)</f>
        <v>480242087</v>
      </c>
      <c r="P109" s="26">
        <f>+SUM(P110:P112)</f>
        <v>1086553000</v>
      </c>
      <c r="Q109" s="26">
        <f>+SUM(Q110:Q112)</f>
        <v>367303285</v>
      </c>
      <c r="R109" s="26">
        <f t="shared" si="22"/>
        <v>2660792313</v>
      </c>
      <c r="S109" s="721">
        <f t="shared" si="20"/>
        <v>0.99999999985478016</v>
      </c>
    </row>
    <row r="110" spans="1:19" ht="15" hidden="1" outlineLevel="1" x14ac:dyDescent="0.25">
      <c r="A110" s="569" t="s">
        <v>205</v>
      </c>
      <c r="B110" s="245"/>
      <c r="C110" s="23"/>
      <c r="D110" s="23"/>
      <c r="E110" s="112">
        <v>2563448404.7999997</v>
      </c>
      <c r="F110" s="245"/>
      <c r="G110" s="244">
        <f t="shared" ref="G110:G117" si="26">+B110+C110+D110+E110+F110</f>
        <v>2563448404.7999997</v>
      </c>
      <c r="H110" s="243"/>
      <c r="I110" s="244">
        <f>+G110+H110</f>
        <v>2563448404.7999997</v>
      </c>
      <c r="J110" s="244">
        <v>0</v>
      </c>
      <c r="K110" s="587">
        <v>0</v>
      </c>
      <c r="L110" s="588">
        <v>0</v>
      </c>
      <c r="M110" s="244">
        <f t="shared" si="21"/>
        <v>2563448404.7999997</v>
      </c>
      <c r="N110" s="244">
        <v>714164743</v>
      </c>
      <c r="O110" s="244">
        <v>467339713</v>
      </c>
      <c r="P110" s="244">
        <v>1055000000</v>
      </c>
      <c r="Q110" s="244">
        <v>326943949</v>
      </c>
      <c r="R110" s="244">
        <f t="shared" si="22"/>
        <v>2563448405</v>
      </c>
      <c r="S110" s="730">
        <f t="shared" si="20"/>
        <v>1.00000000007802</v>
      </c>
    </row>
    <row r="111" spans="1:19" ht="14.25" hidden="1" outlineLevel="1" x14ac:dyDescent="0.2">
      <c r="A111" s="569" t="s">
        <v>241</v>
      </c>
      <c r="B111" s="245"/>
      <c r="C111" s="23"/>
      <c r="D111" s="23"/>
      <c r="E111" s="112">
        <v>54872329.427999996</v>
      </c>
      <c r="F111" s="245"/>
      <c r="G111" s="244">
        <f t="shared" si="26"/>
        <v>54872329.427999996</v>
      </c>
      <c r="H111" s="245"/>
      <c r="I111" s="244">
        <f>+G111+H111</f>
        <v>54872329.427999996</v>
      </c>
      <c r="J111" s="244"/>
      <c r="K111" s="587"/>
      <c r="L111" s="588"/>
      <c r="M111" s="244">
        <f t="shared" si="21"/>
        <v>54872329.427999996</v>
      </c>
      <c r="N111" s="244">
        <v>3366251.9999999981</v>
      </c>
      <c r="O111" s="244">
        <v>3281360</v>
      </c>
      <c r="P111" s="244">
        <v>20253000</v>
      </c>
      <c r="Q111" s="244">
        <v>27971717</v>
      </c>
      <c r="R111" s="244">
        <f t="shared" si="22"/>
        <v>54872329</v>
      </c>
      <c r="S111" s="730">
        <f t="shared" si="20"/>
        <v>0.99999999220007607</v>
      </c>
    </row>
    <row r="112" spans="1:19" ht="14.25" hidden="1" outlineLevel="1" x14ac:dyDescent="0.2">
      <c r="A112" s="569" t="s">
        <v>170</v>
      </c>
      <c r="B112" s="245"/>
      <c r="C112" s="23"/>
      <c r="D112" s="23"/>
      <c r="E112" s="112">
        <v>42471579.158400007</v>
      </c>
      <c r="F112" s="245"/>
      <c r="G112" s="244">
        <f t="shared" si="26"/>
        <v>42471579.158400007</v>
      </c>
      <c r="H112" s="245"/>
      <c r="I112" s="244">
        <f>+G112+H112</f>
        <v>42471579.158400007</v>
      </c>
      <c r="J112" s="244"/>
      <c r="K112" s="587"/>
      <c r="L112" s="588"/>
      <c r="M112" s="244">
        <f t="shared" si="21"/>
        <v>42471579.158400007</v>
      </c>
      <c r="N112" s="244">
        <v>9162946.0000000019</v>
      </c>
      <c r="O112" s="244">
        <v>9621014</v>
      </c>
      <c r="P112" s="244">
        <v>11300000</v>
      </c>
      <c r="Q112" s="244">
        <v>12387619</v>
      </c>
      <c r="R112" s="244">
        <f t="shared" si="22"/>
        <v>42471579</v>
      </c>
      <c r="S112" s="730">
        <f t="shared" si="20"/>
        <v>0.999999996270447</v>
      </c>
    </row>
    <row r="113" spans="1:19" s="202" customFormat="1" ht="15" collapsed="1" x14ac:dyDescent="0.25">
      <c r="A113" s="16" t="s">
        <v>309</v>
      </c>
      <c r="B113" s="245"/>
      <c r="C113" s="26">
        <f>+SUM(C114:C117)</f>
        <v>844470153.83850002</v>
      </c>
      <c r="D113" s="26"/>
      <c r="E113" s="112"/>
      <c r="F113" s="245"/>
      <c r="G113" s="26">
        <f>+SUM(G114:G117)</f>
        <v>844470153.83850002</v>
      </c>
      <c r="H113" s="245"/>
      <c r="I113" s="26">
        <f>+SUM(I114:I117)</f>
        <v>844470153.83850002</v>
      </c>
      <c r="J113" s="26">
        <f>+SUM(J114:J117)</f>
        <v>0</v>
      </c>
      <c r="K113" s="26">
        <f>+SUM(K114:K117)</f>
        <v>0</v>
      </c>
      <c r="L113" s="575">
        <f>+SUM(L114:L117)</f>
        <v>-61926181</v>
      </c>
      <c r="M113" s="26">
        <f t="shared" si="21"/>
        <v>782543972.83850002</v>
      </c>
      <c r="N113" s="26">
        <f>+SUM(N114:N117)</f>
        <v>86605029</v>
      </c>
      <c r="O113" s="26">
        <f>+SUM(O114:O117)</f>
        <v>212802809</v>
      </c>
      <c r="P113" s="26">
        <f>+SUM(P114:P117)</f>
        <v>288483488.08500004</v>
      </c>
      <c r="Q113" s="26">
        <f>+SUM(Q114:Q117)</f>
        <v>194652646.90749997</v>
      </c>
      <c r="R113" s="26">
        <f t="shared" si="22"/>
        <v>782543972.99250007</v>
      </c>
      <c r="S113" s="721">
        <f t="shared" si="20"/>
        <v>1.0000000001967941</v>
      </c>
    </row>
    <row r="114" spans="1:19" s="202" customFormat="1" ht="15" x14ac:dyDescent="0.25">
      <c r="A114" s="424" t="s">
        <v>502</v>
      </c>
      <c r="B114" s="245"/>
      <c r="C114" s="26">
        <v>61000000</v>
      </c>
      <c r="D114" s="23"/>
      <c r="E114" s="23"/>
      <c r="F114" s="245"/>
      <c r="G114" s="242">
        <f t="shared" si="26"/>
        <v>61000000</v>
      </c>
      <c r="H114" s="242"/>
      <c r="I114" s="242">
        <f>+H114+G114</f>
        <v>61000000</v>
      </c>
      <c r="J114" s="242">
        <v>0</v>
      </c>
      <c r="K114" s="591"/>
      <c r="L114" s="575">
        <v>-36225574</v>
      </c>
      <c r="M114" s="242">
        <f t="shared" si="21"/>
        <v>24774426</v>
      </c>
      <c r="N114" s="242">
        <v>8095646</v>
      </c>
      <c r="O114" s="242">
        <v>9678780</v>
      </c>
      <c r="P114" s="242">
        <v>2000000</v>
      </c>
      <c r="Q114" s="242">
        <v>5000000</v>
      </c>
      <c r="R114" s="242">
        <f t="shared" si="22"/>
        <v>24774426</v>
      </c>
      <c r="S114" s="732">
        <f t="shared" si="20"/>
        <v>1</v>
      </c>
    </row>
    <row r="115" spans="1:19" s="202" customFormat="1" ht="15" x14ac:dyDescent="0.25">
      <c r="A115" s="424" t="s">
        <v>288</v>
      </c>
      <c r="B115" s="245"/>
      <c r="C115" s="26">
        <v>469059358.49250001</v>
      </c>
      <c r="D115" s="23"/>
      <c r="E115" s="23"/>
      <c r="F115" s="245"/>
      <c r="G115" s="242">
        <f t="shared" si="26"/>
        <v>469059358.49250001</v>
      </c>
      <c r="H115" s="242"/>
      <c r="I115" s="242">
        <f>+H115+G115</f>
        <v>469059358.49250001</v>
      </c>
      <c r="J115" s="242">
        <v>0</v>
      </c>
      <c r="K115" s="591"/>
      <c r="L115" s="575"/>
      <c r="M115" s="242">
        <f t="shared" si="21"/>
        <v>469059358.49250001</v>
      </c>
      <c r="N115" s="242">
        <v>41752538.000000007</v>
      </c>
      <c r="O115" s="242">
        <v>134930850</v>
      </c>
      <c r="P115" s="242">
        <v>164807738.08500001</v>
      </c>
      <c r="Q115" s="242">
        <v>127568232.40749997</v>
      </c>
      <c r="R115" s="242">
        <f t="shared" si="22"/>
        <v>469059358.49250001</v>
      </c>
      <c r="S115" s="732">
        <f t="shared" si="20"/>
        <v>1</v>
      </c>
    </row>
    <row r="116" spans="1:19" s="202" customFormat="1" ht="15" x14ac:dyDescent="0.25">
      <c r="A116" s="420" t="s">
        <v>491</v>
      </c>
      <c r="B116" s="23"/>
      <c r="C116" s="26">
        <v>160502239.5</v>
      </c>
      <c r="D116" s="23"/>
      <c r="E116" s="23"/>
      <c r="F116" s="23"/>
      <c r="G116" s="26">
        <f t="shared" si="26"/>
        <v>160502239.5</v>
      </c>
      <c r="H116" s="26"/>
      <c r="I116" s="242">
        <f>+H116+G116</f>
        <v>160502239.5</v>
      </c>
      <c r="J116" s="242">
        <v>0</v>
      </c>
      <c r="K116" s="591"/>
      <c r="L116" s="575"/>
      <c r="M116" s="242">
        <f t="shared" si="21"/>
        <v>160502239.5</v>
      </c>
      <c r="N116" s="242">
        <v>23419963</v>
      </c>
      <c r="O116" s="242">
        <v>43322112</v>
      </c>
      <c r="P116" s="242">
        <v>51675750</v>
      </c>
      <c r="Q116" s="242">
        <v>42084414.5</v>
      </c>
      <c r="R116" s="242">
        <f t="shared" si="22"/>
        <v>160502239.5</v>
      </c>
      <c r="S116" s="732">
        <f t="shared" si="20"/>
        <v>1</v>
      </c>
    </row>
    <row r="117" spans="1:19" s="202" customFormat="1" ht="15" x14ac:dyDescent="0.25">
      <c r="A117" s="420" t="s">
        <v>289</v>
      </c>
      <c r="B117" s="245"/>
      <c r="C117" s="26">
        <v>153908555.84600002</v>
      </c>
      <c r="D117" s="23"/>
      <c r="E117" s="23"/>
      <c r="F117" s="245"/>
      <c r="G117" s="242">
        <f t="shared" si="26"/>
        <v>153908555.84600002</v>
      </c>
      <c r="H117" s="242"/>
      <c r="I117" s="242">
        <f>+H117+G117</f>
        <v>153908555.84600002</v>
      </c>
      <c r="J117" s="242">
        <v>0</v>
      </c>
      <c r="K117" s="591"/>
      <c r="L117" s="575">
        <v>-25700607</v>
      </c>
      <c r="M117" s="242">
        <f t="shared" si="21"/>
        <v>128207948.84600002</v>
      </c>
      <c r="N117" s="242">
        <v>13336882</v>
      </c>
      <c r="O117" s="242">
        <v>24871067</v>
      </c>
      <c r="P117" s="242">
        <v>70000000</v>
      </c>
      <c r="Q117" s="242">
        <v>20000000</v>
      </c>
      <c r="R117" s="242">
        <f t="shared" si="22"/>
        <v>128207949</v>
      </c>
      <c r="S117" s="732">
        <f t="shared" si="20"/>
        <v>1.0000000012011734</v>
      </c>
    </row>
    <row r="118" spans="1:19" s="254" customFormat="1" ht="30" x14ac:dyDescent="0.25">
      <c r="A118" s="250" t="s">
        <v>283</v>
      </c>
      <c r="B118" s="251">
        <f>+B119</f>
        <v>1615909500.5072</v>
      </c>
      <c r="C118" s="251"/>
      <c r="D118" s="251"/>
      <c r="E118" s="251"/>
      <c r="F118" s="251"/>
      <c r="G118" s="251">
        <f>+G119</f>
        <v>1615909500.5072</v>
      </c>
      <c r="H118" s="251"/>
      <c r="I118" s="251">
        <f>+I119</f>
        <v>1615909500.5072</v>
      </c>
      <c r="J118" s="251">
        <f>+J119</f>
        <v>-42529779</v>
      </c>
      <c r="K118" s="251">
        <f>+K119</f>
        <v>-170000000</v>
      </c>
      <c r="L118" s="585">
        <f>+L119</f>
        <v>-115000000</v>
      </c>
      <c r="M118" s="251">
        <f t="shared" si="21"/>
        <v>1288379721.5072</v>
      </c>
      <c r="N118" s="251">
        <f>+N119</f>
        <v>197006871</v>
      </c>
      <c r="O118" s="251">
        <f>+O119</f>
        <v>273433944</v>
      </c>
      <c r="P118" s="251">
        <f>+P119</f>
        <v>355084083</v>
      </c>
      <c r="Q118" s="251">
        <f>+Q119</f>
        <v>462854823</v>
      </c>
      <c r="R118" s="251">
        <f t="shared" si="22"/>
        <v>1288379721</v>
      </c>
      <c r="S118" s="728">
        <f t="shared" si="20"/>
        <v>0.99999999960632724</v>
      </c>
    </row>
    <row r="119" spans="1:19" s="202" customFormat="1" ht="15" x14ac:dyDescent="0.25">
      <c r="A119" s="252" t="s">
        <v>161</v>
      </c>
      <c r="B119" s="21">
        <f>+B120+B124+B129</f>
        <v>1615909500.5072</v>
      </c>
      <c r="C119" s="243"/>
      <c r="D119" s="243"/>
      <c r="E119" s="243"/>
      <c r="F119" s="243"/>
      <c r="G119" s="243">
        <f>+B119+C119+D119+E119+F119</f>
        <v>1615909500.5072</v>
      </c>
      <c r="H119" s="243"/>
      <c r="I119" s="243">
        <f t="shared" ref="I119:I130" si="27">+G119+H119</f>
        <v>1615909500.5072</v>
      </c>
      <c r="J119" s="21">
        <f>+J120+J124+J129</f>
        <v>-42529779</v>
      </c>
      <c r="K119" s="21">
        <f>+K120+K124+K129</f>
        <v>-170000000</v>
      </c>
      <c r="L119" s="577">
        <f>+L120+L124+L129</f>
        <v>-115000000</v>
      </c>
      <c r="M119" s="243">
        <f t="shared" si="21"/>
        <v>1288379721.5072</v>
      </c>
      <c r="N119" s="243">
        <f>+N120+N124+N129</f>
        <v>197006871</v>
      </c>
      <c r="O119" s="243">
        <f>+O120+O124+O129</f>
        <v>273433944</v>
      </c>
      <c r="P119" s="243">
        <f>+P120+P124+P129</f>
        <v>355084083</v>
      </c>
      <c r="Q119" s="243">
        <f>+Q120+Q124+Q129</f>
        <v>462854823</v>
      </c>
      <c r="R119" s="243">
        <f t="shared" si="22"/>
        <v>1288379721</v>
      </c>
      <c r="S119" s="729">
        <f t="shared" si="20"/>
        <v>0.99999999960632724</v>
      </c>
    </row>
    <row r="120" spans="1:19" s="202" customFormat="1" ht="15" x14ac:dyDescent="0.25">
      <c r="A120" s="439" t="s">
        <v>393</v>
      </c>
      <c r="B120" s="26">
        <f>SUM(B121:B123)</f>
        <v>284731778</v>
      </c>
      <c r="C120" s="243"/>
      <c r="D120" s="243"/>
      <c r="E120" s="243"/>
      <c r="F120" s="243"/>
      <c r="G120" s="242">
        <f>+B120+C120+D120+E120+F120</f>
        <v>284731778</v>
      </c>
      <c r="H120" s="243"/>
      <c r="I120" s="242">
        <f t="shared" si="27"/>
        <v>284731778</v>
      </c>
      <c r="J120" s="26">
        <f>SUM(J121:J123)</f>
        <v>-232073266</v>
      </c>
      <c r="K120" s="26">
        <f>SUM(K121:K123)</f>
        <v>0</v>
      </c>
      <c r="L120" s="575">
        <f>SUM(L121:L123)</f>
        <v>0</v>
      </c>
      <c r="M120" s="242">
        <f t="shared" si="21"/>
        <v>52658512</v>
      </c>
      <c r="N120" s="242">
        <f>SUM(N121:N123)</f>
        <v>52658512</v>
      </c>
      <c r="O120" s="242">
        <f>SUM(O121:O123)</f>
        <v>0</v>
      </c>
      <c r="P120" s="242">
        <f>SUM(P121:P123)</f>
        <v>0</v>
      </c>
      <c r="Q120" s="242">
        <f>SUM(Q121:Q123)</f>
        <v>0</v>
      </c>
      <c r="R120" s="242">
        <f t="shared" si="22"/>
        <v>52658512</v>
      </c>
      <c r="S120" s="732">
        <f t="shared" si="20"/>
        <v>1</v>
      </c>
    </row>
    <row r="121" spans="1:19" s="202" customFormat="1" ht="15" hidden="1" outlineLevel="1" x14ac:dyDescent="0.25">
      <c r="A121" s="113" t="s">
        <v>436</v>
      </c>
      <c r="B121" s="112">
        <v>133802929</v>
      </c>
      <c r="C121" s="243"/>
      <c r="D121" s="243"/>
      <c r="E121" s="243"/>
      <c r="F121" s="243"/>
      <c r="G121" s="244">
        <f t="shared" ref="G121:G139" si="28">+B121+C121+D121+E121+F121</f>
        <v>133802929</v>
      </c>
      <c r="H121" s="243"/>
      <c r="I121" s="244">
        <f t="shared" si="27"/>
        <v>133802929</v>
      </c>
      <c r="J121" s="112">
        <v>-82641919</v>
      </c>
      <c r="K121" s="588"/>
      <c r="L121" s="588"/>
      <c r="M121" s="244"/>
      <c r="N121" s="244">
        <v>0</v>
      </c>
      <c r="O121" s="244"/>
      <c r="P121" s="244"/>
      <c r="Q121" s="244"/>
      <c r="R121" s="244">
        <f t="shared" si="22"/>
        <v>0</v>
      </c>
      <c r="S121" s="730">
        <v>0</v>
      </c>
    </row>
    <row r="122" spans="1:19" s="202" customFormat="1" ht="15" hidden="1" outlineLevel="1" x14ac:dyDescent="0.25">
      <c r="A122" s="113" t="s">
        <v>435</v>
      </c>
      <c r="B122" s="112">
        <v>133802929</v>
      </c>
      <c r="C122" s="243"/>
      <c r="D122" s="243"/>
      <c r="E122" s="243"/>
      <c r="F122" s="243"/>
      <c r="G122" s="244">
        <f t="shared" si="28"/>
        <v>133802929</v>
      </c>
      <c r="H122" s="243"/>
      <c r="I122" s="244">
        <f t="shared" si="27"/>
        <v>133802929</v>
      </c>
      <c r="J122" s="112">
        <v>-133802929</v>
      </c>
      <c r="K122" s="588"/>
      <c r="L122" s="588"/>
      <c r="M122" s="244">
        <v>51161010</v>
      </c>
      <c r="N122" s="244">
        <v>51161010</v>
      </c>
      <c r="O122" s="244"/>
      <c r="P122" s="244"/>
      <c r="Q122" s="244"/>
      <c r="R122" s="244">
        <f t="shared" si="22"/>
        <v>51161010</v>
      </c>
      <c r="S122" s="730">
        <f t="shared" si="20"/>
        <v>1</v>
      </c>
    </row>
    <row r="123" spans="1:19" s="202" customFormat="1" ht="15" hidden="1" outlineLevel="1" x14ac:dyDescent="0.25">
      <c r="A123" s="113" t="s">
        <v>507</v>
      </c>
      <c r="B123" s="112">
        <v>17125920.000000004</v>
      </c>
      <c r="C123" s="243"/>
      <c r="D123" s="243"/>
      <c r="E123" s="243"/>
      <c r="F123" s="243"/>
      <c r="G123" s="244">
        <f t="shared" si="28"/>
        <v>17125920.000000004</v>
      </c>
      <c r="H123" s="243"/>
      <c r="I123" s="244">
        <f t="shared" si="27"/>
        <v>17125920.000000004</v>
      </c>
      <c r="J123" s="112">
        <v>-15628418</v>
      </c>
      <c r="K123" s="588"/>
      <c r="L123" s="588"/>
      <c r="M123" s="244">
        <f t="shared" si="21"/>
        <v>1497502.0000000037</v>
      </c>
      <c r="N123" s="244">
        <v>1497502.0000000009</v>
      </c>
      <c r="O123" s="244"/>
      <c r="P123" s="244"/>
      <c r="Q123" s="244"/>
      <c r="R123" s="244">
        <f t="shared" si="22"/>
        <v>1497502.0000000009</v>
      </c>
      <c r="S123" s="730">
        <f t="shared" si="20"/>
        <v>0.99999999999999811</v>
      </c>
    </row>
    <row r="124" spans="1:19" s="202" customFormat="1" ht="15" collapsed="1" x14ac:dyDescent="0.25">
      <c r="A124" s="252" t="s">
        <v>392</v>
      </c>
      <c r="B124" s="21">
        <f>SUM(B125:B128)</f>
        <v>497444069.85360003</v>
      </c>
      <c r="C124" s="243"/>
      <c r="D124" s="243"/>
      <c r="E124" s="243"/>
      <c r="F124" s="243"/>
      <c r="G124" s="242">
        <f t="shared" si="28"/>
        <v>497444069.85360003</v>
      </c>
      <c r="H124" s="243"/>
      <c r="I124" s="242">
        <f t="shared" si="27"/>
        <v>497444069.85360003</v>
      </c>
      <c r="J124" s="21">
        <f>SUM(J125:J128)</f>
        <v>98270337</v>
      </c>
      <c r="K124" s="21">
        <f>SUM(K125:K128)</f>
        <v>0</v>
      </c>
      <c r="L124" s="577">
        <f>SUM(L125:L128)</f>
        <v>55000000</v>
      </c>
      <c r="M124" s="242">
        <f t="shared" si="21"/>
        <v>650714406.85360003</v>
      </c>
      <c r="N124" s="242">
        <f>SUM(N125:N128)</f>
        <v>70832368</v>
      </c>
      <c r="O124" s="242">
        <f>SUM(O125:O128)</f>
        <v>183645724</v>
      </c>
      <c r="P124" s="242">
        <f>SUM(P125:P128)</f>
        <v>186971946</v>
      </c>
      <c r="Q124" s="242">
        <f>SUM(Q125:Q128)</f>
        <v>209264368</v>
      </c>
      <c r="R124" s="242">
        <f t="shared" si="22"/>
        <v>650714406</v>
      </c>
      <c r="S124" s="732">
        <f t="shared" si="20"/>
        <v>0.99999999868821099</v>
      </c>
    </row>
    <row r="125" spans="1:19" s="202" customFormat="1" ht="15" hidden="1" outlineLevel="1" x14ac:dyDescent="0.25">
      <c r="A125" s="302" t="s">
        <v>167</v>
      </c>
      <c r="B125" s="112">
        <f>35000000</f>
        <v>35000000</v>
      </c>
      <c r="C125" s="243"/>
      <c r="D125" s="243"/>
      <c r="E125" s="243"/>
      <c r="F125" s="243"/>
      <c r="G125" s="244">
        <f t="shared" si="28"/>
        <v>35000000</v>
      </c>
      <c r="H125" s="243"/>
      <c r="I125" s="244">
        <f t="shared" si="27"/>
        <v>35000000</v>
      </c>
      <c r="J125" s="112"/>
      <c r="K125" s="588"/>
      <c r="L125" s="588"/>
      <c r="M125" s="244">
        <f>+I125+J125+K125+L125-13000000-2100000</f>
        <v>19900000</v>
      </c>
      <c r="N125" s="244">
        <v>2051636</v>
      </c>
      <c r="O125" s="244">
        <v>2216008</v>
      </c>
      <c r="P125" s="244">
        <v>3700000</v>
      </c>
      <c r="Q125" s="244">
        <v>11932356</v>
      </c>
      <c r="R125" s="244">
        <f t="shared" si="22"/>
        <v>19900000</v>
      </c>
      <c r="S125" s="730">
        <f t="shared" si="20"/>
        <v>1</v>
      </c>
    </row>
    <row r="126" spans="1:19" s="202" customFormat="1" ht="15" hidden="1" outlineLevel="1" x14ac:dyDescent="0.25">
      <c r="A126" s="302" t="s">
        <v>166</v>
      </c>
      <c r="B126" s="112">
        <v>173103437.3962</v>
      </c>
      <c r="C126" s="243"/>
      <c r="D126" s="243"/>
      <c r="E126" s="243"/>
      <c r="F126" s="243"/>
      <c r="G126" s="244">
        <f t="shared" si="28"/>
        <v>173103437.3962</v>
      </c>
      <c r="H126" s="243"/>
      <c r="I126" s="244">
        <f t="shared" si="27"/>
        <v>173103437.3962</v>
      </c>
      <c r="J126" s="112"/>
      <c r="K126" s="588"/>
      <c r="L126" s="588"/>
      <c r="M126" s="244">
        <f t="shared" si="21"/>
        <v>173103437.3962</v>
      </c>
      <c r="N126" s="244">
        <v>35732781.000000007</v>
      </c>
      <c r="O126" s="244">
        <v>51472367</v>
      </c>
      <c r="P126" s="244">
        <v>46504884</v>
      </c>
      <c r="Q126" s="244">
        <v>39393405</v>
      </c>
      <c r="R126" s="244">
        <f t="shared" si="22"/>
        <v>173103437</v>
      </c>
      <c r="S126" s="730">
        <f t="shared" si="20"/>
        <v>0.99999999771119508</v>
      </c>
    </row>
    <row r="127" spans="1:19" s="202" customFormat="1" ht="15" hidden="1" outlineLevel="1" x14ac:dyDescent="0.25">
      <c r="A127" s="302" t="s">
        <v>165</v>
      </c>
      <c r="B127" s="112">
        <f>46794834.0574</f>
        <v>46794834.057400003</v>
      </c>
      <c r="C127" s="243"/>
      <c r="D127" s="243"/>
      <c r="E127" s="243"/>
      <c r="F127" s="243"/>
      <c r="G127" s="244">
        <f t="shared" si="28"/>
        <v>46794834.057400003</v>
      </c>
      <c r="H127" s="243"/>
      <c r="I127" s="244">
        <f t="shared" si="27"/>
        <v>46794834.057400003</v>
      </c>
      <c r="J127" s="112"/>
      <c r="K127" s="588"/>
      <c r="L127" s="588"/>
      <c r="M127" s="244">
        <f>+I127+J127+K127+L127+13000000+7000000+2100000</f>
        <v>68894834.057400003</v>
      </c>
      <c r="N127" s="244">
        <v>30869323</v>
      </c>
      <c r="O127" s="244">
        <v>11026865</v>
      </c>
      <c r="P127" s="244">
        <v>25767062</v>
      </c>
      <c r="Q127" s="244">
        <v>1231584</v>
      </c>
      <c r="R127" s="244">
        <f t="shared" si="22"/>
        <v>68894834</v>
      </c>
      <c r="S127" s="731">
        <f t="shared" si="20"/>
        <v>0.99999999916684601</v>
      </c>
    </row>
    <row r="128" spans="1:19" s="202" customFormat="1" ht="14.25" hidden="1" outlineLevel="1" x14ac:dyDescent="0.2">
      <c r="A128" s="298" t="s">
        <v>523</v>
      </c>
      <c r="B128" s="112">
        <f>242545798.4</f>
        <v>242545798.40000001</v>
      </c>
      <c r="C128" s="112"/>
      <c r="D128" s="112"/>
      <c r="E128" s="112"/>
      <c r="F128" s="112"/>
      <c r="G128" s="244">
        <f>+B128+C128+D128+E128+F128</f>
        <v>242545798.40000001</v>
      </c>
      <c r="H128" s="112"/>
      <c r="I128" s="244">
        <f>+G128+H128</f>
        <v>242545798.40000001</v>
      </c>
      <c r="J128" s="112">
        <v>98270337</v>
      </c>
      <c r="K128" s="588"/>
      <c r="L128" s="588">
        <v>55000000</v>
      </c>
      <c r="M128" s="244">
        <f>+I128+J128+K128+L128-7000000</f>
        <v>388816135.39999998</v>
      </c>
      <c r="N128" s="244">
        <v>2178628</v>
      </c>
      <c r="O128" s="244">
        <v>118930484</v>
      </c>
      <c r="P128" s="244">
        <v>111000000</v>
      </c>
      <c r="Q128" s="244">
        <v>156707023</v>
      </c>
      <c r="R128" s="244">
        <f t="shared" si="22"/>
        <v>388816135</v>
      </c>
      <c r="S128" s="730">
        <f t="shared" si="20"/>
        <v>0.99999999897123615</v>
      </c>
    </row>
    <row r="129" spans="1:19" s="202" customFormat="1" ht="15" collapsed="1" x14ac:dyDescent="0.25">
      <c r="A129" s="299" t="s">
        <v>386</v>
      </c>
      <c r="B129" s="26">
        <f>+B130+B135+B140</f>
        <v>833733652.65359998</v>
      </c>
      <c r="C129" s="242"/>
      <c r="D129" s="242"/>
      <c r="E129" s="242"/>
      <c r="F129" s="242"/>
      <c r="G129" s="242">
        <f t="shared" si="28"/>
        <v>833733652.65359998</v>
      </c>
      <c r="H129" s="242"/>
      <c r="I129" s="242">
        <f t="shared" si="27"/>
        <v>833733652.65359998</v>
      </c>
      <c r="J129" s="575">
        <f>+J130+J135+J140</f>
        <v>91273150</v>
      </c>
      <c r="K129" s="575">
        <f>+K130+K135+K140</f>
        <v>-170000000</v>
      </c>
      <c r="L129" s="575">
        <f>+L130+L135+L140</f>
        <v>-170000000</v>
      </c>
      <c r="M129" s="242">
        <f t="shared" si="21"/>
        <v>585006802.65359998</v>
      </c>
      <c r="N129" s="242">
        <f>+N130+N135+N140</f>
        <v>73515991</v>
      </c>
      <c r="O129" s="242">
        <f>+O130+O135+O140</f>
        <v>89788220</v>
      </c>
      <c r="P129" s="242">
        <f>+P130+P135+P140</f>
        <v>168112137</v>
      </c>
      <c r="Q129" s="242">
        <f>+Q130+Q135+Q140</f>
        <v>253590455</v>
      </c>
      <c r="R129" s="242">
        <f t="shared" si="22"/>
        <v>585006803</v>
      </c>
      <c r="S129" s="732">
        <f t="shared" si="20"/>
        <v>1.0000000005921299</v>
      </c>
    </row>
    <row r="130" spans="1:19" s="202" customFormat="1" ht="15" hidden="1" outlineLevel="1" x14ac:dyDescent="0.25">
      <c r="A130" s="299" t="s">
        <v>524</v>
      </c>
      <c r="B130" s="26">
        <f>SUM(B131:B134)</f>
        <v>400000000</v>
      </c>
      <c r="C130" s="242"/>
      <c r="D130" s="242"/>
      <c r="E130" s="242"/>
      <c r="F130" s="242"/>
      <c r="G130" s="242">
        <f t="shared" si="28"/>
        <v>400000000</v>
      </c>
      <c r="H130" s="242"/>
      <c r="I130" s="242">
        <f t="shared" si="27"/>
        <v>400000000</v>
      </c>
      <c r="J130" s="26">
        <f>SUM(J131:J134)</f>
        <v>91273150</v>
      </c>
      <c r="K130" s="26">
        <f>SUM(K131:K134)</f>
        <v>-85000000</v>
      </c>
      <c r="L130" s="575">
        <f>SUM(L131:L134)</f>
        <v>-85000000</v>
      </c>
      <c r="M130" s="242">
        <f t="shared" si="21"/>
        <v>321273150</v>
      </c>
      <c r="N130" s="242">
        <f>SUM(N131:N134)</f>
        <v>28698499</v>
      </c>
      <c r="O130" s="242">
        <f>SUM(O131:O134)</f>
        <v>19255776</v>
      </c>
      <c r="P130" s="242">
        <f>SUM(P131:P134)</f>
        <v>91072891</v>
      </c>
      <c r="Q130" s="242">
        <f>SUM(Q131:Q134)</f>
        <v>182245984</v>
      </c>
      <c r="R130" s="242">
        <f t="shared" si="22"/>
        <v>321273150</v>
      </c>
      <c r="S130" s="732">
        <f t="shared" si="20"/>
        <v>1</v>
      </c>
    </row>
    <row r="131" spans="1:19" s="202" customFormat="1" ht="15" hidden="1" outlineLevel="4" x14ac:dyDescent="0.25">
      <c r="A131" s="302" t="s">
        <v>535</v>
      </c>
      <c r="B131" s="112">
        <v>100000000</v>
      </c>
      <c r="C131" s="243"/>
      <c r="D131" s="243"/>
      <c r="E131" s="243"/>
      <c r="F131" s="243"/>
      <c r="G131" s="244">
        <f t="shared" si="28"/>
        <v>100000000</v>
      </c>
      <c r="H131" s="243"/>
      <c r="I131" s="244">
        <f t="shared" ref="I131:I140" si="29">+G131+H131</f>
        <v>100000000</v>
      </c>
      <c r="J131" s="112"/>
      <c r="K131" s="588"/>
      <c r="L131" s="588"/>
      <c r="M131" s="244">
        <f>+I131+J131+K131+L131-20000000</f>
        <v>80000000</v>
      </c>
      <c r="N131" s="244"/>
      <c r="O131" s="244"/>
      <c r="P131" s="244">
        <v>45000000</v>
      </c>
      <c r="Q131" s="244">
        <v>35000000</v>
      </c>
      <c r="R131" s="244">
        <f t="shared" si="22"/>
        <v>80000000</v>
      </c>
      <c r="S131" s="730">
        <f t="shared" si="20"/>
        <v>1</v>
      </c>
    </row>
    <row r="132" spans="1:19" s="202" customFormat="1" ht="15" hidden="1" outlineLevel="4" x14ac:dyDescent="0.25">
      <c r="A132" s="302" t="s">
        <v>536</v>
      </c>
      <c r="B132" s="112">
        <v>100000000</v>
      </c>
      <c r="C132" s="243"/>
      <c r="D132" s="243"/>
      <c r="E132" s="243"/>
      <c r="F132" s="243"/>
      <c r="G132" s="244">
        <f t="shared" si="28"/>
        <v>100000000</v>
      </c>
      <c r="H132" s="243"/>
      <c r="I132" s="244">
        <f t="shared" si="29"/>
        <v>100000000</v>
      </c>
      <c r="J132" s="112">
        <v>45636575</v>
      </c>
      <c r="K132" s="588">
        <v>-85000000</v>
      </c>
      <c r="L132" s="588"/>
      <c r="M132" s="244">
        <f>+I132+J132+K132+L132-60636575</f>
        <v>0</v>
      </c>
      <c r="N132" s="244"/>
      <c r="O132" s="244"/>
      <c r="P132" s="244"/>
      <c r="Q132" s="244"/>
      <c r="R132" s="244">
        <f t="shared" si="22"/>
        <v>0</v>
      </c>
      <c r="S132" s="730">
        <v>0</v>
      </c>
    </row>
    <row r="133" spans="1:19" s="202" customFormat="1" ht="15" hidden="1" outlineLevel="4" x14ac:dyDescent="0.25">
      <c r="A133" s="302" t="s">
        <v>537</v>
      </c>
      <c r="B133" s="112">
        <v>100000000</v>
      </c>
      <c r="C133" s="243"/>
      <c r="D133" s="243"/>
      <c r="E133" s="243"/>
      <c r="F133" s="243"/>
      <c r="G133" s="244">
        <f t="shared" si="28"/>
        <v>100000000</v>
      </c>
      <c r="H133" s="243"/>
      <c r="I133" s="244">
        <f t="shared" si="29"/>
        <v>100000000</v>
      </c>
      <c r="J133" s="112">
        <v>45636575</v>
      </c>
      <c r="K133" s="588"/>
      <c r="L133" s="588">
        <v>-85000000</v>
      </c>
      <c r="M133" s="244">
        <f>+I133+J133+K133+L133-60636575</f>
        <v>0</v>
      </c>
      <c r="N133" s="244"/>
      <c r="O133" s="244"/>
      <c r="P133" s="244"/>
      <c r="Q133" s="244"/>
      <c r="R133" s="244">
        <f t="shared" si="22"/>
        <v>0</v>
      </c>
      <c r="S133" s="730">
        <v>0</v>
      </c>
    </row>
    <row r="134" spans="1:19" s="202" customFormat="1" ht="15" hidden="1" outlineLevel="4" x14ac:dyDescent="0.25">
      <c r="A134" s="302" t="s">
        <v>538</v>
      </c>
      <c r="B134" s="112">
        <v>100000000</v>
      </c>
      <c r="C134" s="243"/>
      <c r="D134" s="243"/>
      <c r="E134" s="243"/>
      <c r="F134" s="243"/>
      <c r="G134" s="244">
        <f t="shared" si="28"/>
        <v>100000000</v>
      </c>
      <c r="H134" s="243"/>
      <c r="I134" s="244">
        <f t="shared" si="29"/>
        <v>100000000</v>
      </c>
      <c r="J134" s="112"/>
      <c r="K134" s="588"/>
      <c r="L134" s="588"/>
      <c r="M134" s="244">
        <f>+I134+J134+K134+L134+60636575+60636575+20000000</f>
        <v>241273150</v>
      </c>
      <c r="N134" s="244">
        <v>28698499</v>
      </c>
      <c r="O134" s="244">
        <v>19255776</v>
      </c>
      <c r="P134" s="244">
        <v>46072891</v>
      </c>
      <c r="Q134" s="244">
        <v>147245984</v>
      </c>
      <c r="R134" s="244">
        <f t="shared" si="22"/>
        <v>241273150</v>
      </c>
      <c r="S134" s="730">
        <f t="shared" si="20"/>
        <v>1</v>
      </c>
    </row>
    <row r="135" spans="1:19" s="202" customFormat="1" ht="15" hidden="1" outlineLevel="1" x14ac:dyDescent="0.25">
      <c r="A135" s="299" t="s">
        <v>539</v>
      </c>
      <c r="B135" s="26">
        <f>SUM(B136:B139)</f>
        <v>400000000</v>
      </c>
      <c r="C135" s="242"/>
      <c r="D135" s="242"/>
      <c r="E135" s="242"/>
      <c r="F135" s="242"/>
      <c r="G135" s="242">
        <f>+B135+C135+D135+E135+F135</f>
        <v>400000000</v>
      </c>
      <c r="H135" s="242"/>
      <c r="I135" s="242">
        <f t="shared" si="29"/>
        <v>400000000</v>
      </c>
      <c r="J135" s="26">
        <f>SUM(J136:J139)</f>
        <v>0</v>
      </c>
      <c r="K135" s="26">
        <f>SUM(K136:K139)</f>
        <v>-85000000</v>
      </c>
      <c r="L135" s="575">
        <f>SUM(L136:L139)</f>
        <v>-85000000</v>
      </c>
      <c r="M135" s="242">
        <f t="shared" si="21"/>
        <v>230000000</v>
      </c>
      <c r="N135" s="242">
        <f>SUM(N136:N139)</f>
        <v>37272233</v>
      </c>
      <c r="O135" s="242">
        <f>SUM(O136:O139)</f>
        <v>61538674</v>
      </c>
      <c r="P135" s="242">
        <f>SUM(P136:P139)</f>
        <v>68000000</v>
      </c>
      <c r="Q135" s="242">
        <f>SUM(Q136:Q139)</f>
        <v>63189093</v>
      </c>
      <c r="R135" s="242">
        <f t="shared" si="22"/>
        <v>230000000</v>
      </c>
      <c r="S135" s="732">
        <f t="shared" si="20"/>
        <v>1</v>
      </c>
    </row>
    <row r="136" spans="1:19" s="202" customFormat="1" ht="15" hidden="1" outlineLevel="2" x14ac:dyDescent="0.25">
      <c r="A136" s="302" t="s">
        <v>540</v>
      </c>
      <c r="B136" s="112">
        <v>100000000</v>
      </c>
      <c r="C136" s="243"/>
      <c r="D136" s="243"/>
      <c r="E136" s="243"/>
      <c r="F136" s="243"/>
      <c r="G136" s="244">
        <f t="shared" si="28"/>
        <v>100000000</v>
      </c>
      <c r="H136" s="243"/>
      <c r="I136" s="244">
        <f t="shared" si="29"/>
        <v>100000000</v>
      </c>
      <c r="J136" s="112"/>
      <c r="K136" s="588"/>
      <c r="L136" s="588"/>
      <c r="M136" s="244">
        <f>+I136+J136+K136+L136-20000000</f>
        <v>80000000</v>
      </c>
      <c r="N136" s="244">
        <v>24300000</v>
      </c>
      <c r="O136" s="244">
        <v>11756540</v>
      </c>
      <c r="P136" s="244">
        <v>21000000</v>
      </c>
      <c r="Q136" s="244">
        <v>22943460</v>
      </c>
      <c r="R136" s="244">
        <f t="shared" si="22"/>
        <v>80000000</v>
      </c>
      <c r="S136" s="730">
        <f t="shared" si="20"/>
        <v>1</v>
      </c>
    </row>
    <row r="137" spans="1:19" s="202" customFormat="1" ht="15" hidden="1" outlineLevel="2" x14ac:dyDescent="0.25">
      <c r="A137" s="302" t="s">
        <v>541</v>
      </c>
      <c r="B137" s="112">
        <v>100000000</v>
      </c>
      <c r="C137" s="243"/>
      <c r="D137" s="243"/>
      <c r="E137" s="243"/>
      <c r="F137" s="243"/>
      <c r="G137" s="244">
        <f t="shared" si="28"/>
        <v>100000000</v>
      </c>
      <c r="H137" s="243"/>
      <c r="I137" s="244">
        <f t="shared" si="29"/>
        <v>100000000</v>
      </c>
      <c r="J137" s="244"/>
      <c r="K137" s="587">
        <v>-85000000</v>
      </c>
      <c r="L137" s="588"/>
      <c r="M137" s="244">
        <f>+I137+J137+K137+L137-15000000</f>
        <v>0</v>
      </c>
      <c r="N137" s="244">
        <v>0</v>
      </c>
      <c r="O137" s="244">
        <v>0</v>
      </c>
      <c r="P137" s="244">
        <v>0</v>
      </c>
      <c r="Q137" s="244">
        <v>0</v>
      </c>
      <c r="R137" s="244">
        <f t="shared" si="22"/>
        <v>0</v>
      </c>
      <c r="S137" s="730">
        <v>0</v>
      </c>
    </row>
    <row r="138" spans="1:19" s="202" customFormat="1" ht="15" hidden="1" outlineLevel="2" x14ac:dyDescent="0.25">
      <c r="A138" s="302" t="s">
        <v>542</v>
      </c>
      <c r="B138" s="112">
        <v>100000000</v>
      </c>
      <c r="C138" s="243"/>
      <c r="D138" s="243"/>
      <c r="E138" s="243"/>
      <c r="F138" s="243"/>
      <c r="G138" s="244">
        <f t="shared" si="28"/>
        <v>100000000</v>
      </c>
      <c r="H138" s="243"/>
      <c r="I138" s="244">
        <f t="shared" si="29"/>
        <v>100000000</v>
      </c>
      <c r="J138" s="244"/>
      <c r="K138" s="587"/>
      <c r="L138" s="588">
        <v>-85000000</v>
      </c>
      <c r="M138" s="244">
        <f>+I138+J138+K138+L138-15000000</f>
        <v>0</v>
      </c>
      <c r="N138" s="244">
        <v>0</v>
      </c>
      <c r="O138" s="244">
        <v>0</v>
      </c>
      <c r="P138" s="244">
        <v>0</v>
      </c>
      <c r="Q138" s="244">
        <v>0</v>
      </c>
      <c r="R138" s="244">
        <f t="shared" si="22"/>
        <v>0</v>
      </c>
      <c r="S138" s="730">
        <v>0</v>
      </c>
    </row>
    <row r="139" spans="1:19" s="202" customFormat="1" ht="15" hidden="1" outlineLevel="2" x14ac:dyDescent="0.25">
      <c r="A139" s="302" t="s">
        <v>538</v>
      </c>
      <c r="B139" s="112">
        <v>100000000</v>
      </c>
      <c r="C139" s="243"/>
      <c r="D139" s="243"/>
      <c r="E139" s="243"/>
      <c r="F139" s="243"/>
      <c r="G139" s="244">
        <f t="shared" si="28"/>
        <v>100000000</v>
      </c>
      <c r="H139" s="243"/>
      <c r="I139" s="244">
        <f t="shared" si="29"/>
        <v>100000000</v>
      </c>
      <c r="J139" s="244"/>
      <c r="K139" s="587"/>
      <c r="L139" s="588"/>
      <c r="M139" s="244">
        <f>+I139+J139+K139+L139+50000000</f>
        <v>150000000</v>
      </c>
      <c r="N139" s="244">
        <v>12972233</v>
      </c>
      <c r="O139" s="244">
        <v>49782134</v>
      </c>
      <c r="P139" s="244">
        <v>47000000</v>
      </c>
      <c r="Q139" s="244">
        <v>40245633</v>
      </c>
      <c r="R139" s="244">
        <f t="shared" si="22"/>
        <v>150000000</v>
      </c>
      <c r="S139" s="730">
        <f t="shared" ref="S139:S199" si="30">+R139/M139</f>
        <v>1</v>
      </c>
    </row>
    <row r="140" spans="1:19" s="202" customFormat="1" ht="15" hidden="1" outlineLevel="1" x14ac:dyDescent="0.25">
      <c r="A140" s="299" t="s">
        <v>543</v>
      </c>
      <c r="B140" s="26">
        <v>33733652.653600007</v>
      </c>
      <c r="C140" s="26"/>
      <c r="D140" s="26"/>
      <c r="E140" s="26"/>
      <c r="F140" s="26"/>
      <c r="G140" s="242">
        <f>+B140+C140+D140+E140+F140</f>
        <v>33733652.653600007</v>
      </c>
      <c r="H140" s="26"/>
      <c r="I140" s="242">
        <f t="shared" si="29"/>
        <v>33733652.653600007</v>
      </c>
      <c r="J140" s="242">
        <v>0</v>
      </c>
      <c r="K140" s="591"/>
      <c r="L140" s="591"/>
      <c r="M140" s="242">
        <f t="shared" si="21"/>
        <v>33733652.653600007</v>
      </c>
      <c r="N140" s="242">
        <v>7545259</v>
      </c>
      <c r="O140" s="242">
        <v>8993770</v>
      </c>
      <c r="P140" s="242">
        <v>9039246</v>
      </c>
      <c r="Q140" s="242">
        <v>8155378</v>
      </c>
      <c r="R140" s="242">
        <f t="shared" si="22"/>
        <v>33733653</v>
      </c>
      <c r="S140" s="732">
        <f t="shared" si="30"/>
        <v>1.0000000102686772</v>
      </c>
    </row>
    <row r="141" spans="1:19" s="254" customFormat="1" ht="15" collapsed="1" x14ac:dyDescent="0.25">
      <c r="A141" s="250" t="s">
        <v>284</v>
      </c>
      <c r="B141" s="251"/>
      <c r="C141" s="251">
        <f>+C142</f>
        <v>589823984.64977598</v>
      </c>
      <c r="D141" s="251"/>
      <c r="E141" s="251"/>
      <c r="F141" s="251">
        <f>+F145+F151</f>
        <v>290945694.24000001</v>
      </c>
      <c r="G141" s="251">
        <f>SUM(B141:F141)</f>
        <v>880769678.88977599</v>
      </c>
      <c r="H141" s="251"/>
      <c r="I141" s="251">
        <f>+H141+G141</f>
        <v>880769678.88977599</v>
      </c>
      <c r="J141" s="251">
        <f>+J142+J145+J151</f>
        <v>57298000</v>
      </c>
      <c r="K141" s="251">
        <f>+K142+K145+K151</f>
        <v>10000000</v>
      </c>
      <c r="L141" s="585">
        <f>+L142+L145+L151</f>
        <v>-122810472</v>
      </c>
      <c r="M141" s="251">
        <f t="shared" si="21"/>
        <v>825257206.88977599</v>
      </c>
      <c r="N141" s="251">
        <f>+N142+N145+N151</f>
        <v>150484087</v>
      </c>
      <c r="O141" s="251">
        <f>+O142+O145+O151</f>
        <v>219189892</v>
      </c>
      <c r="P141" s="251">
        <f>+P142+P145+P151</f>
        <v>231542677.61199999</v>
      </c>
      <c r="Q141" s="251">
        <f>+Q142+Q145+Q151</f>
        <v>222159617.84600002</v>
      </c>
      <c r="R141" s="251">
        <f t="shared" si="22"/>
        <v>823376274.45799994</v>
      </c>
      <c r="S141" s="728">
        <f t="shared" si="30"/>
        <v>0.9977207924801228</v>
      </c>
    </row>
    <row r="142" spans="1:19" s="202" customFormat="1" ht="15" x14ac:dyDescent="0.25">
      <c r="A142" s="25" t="s">
        <v>290</v>
      </c>
      <c r="B142" s="244"/>
      <c r="C142" s="242">
        <f>+C143+C144</f>
        <v>589823984.64977598</v>
      </c>
      <c r="D142" s="242"/>
      <c r="E142" s="242"/>
      <c r="F142" s="242"/>
      <c r="G142" s="242">
        <f t="shared" ref="G142:G154" si="31">+B142+C142+E142+F142+D142</f>
        <v>589823984.64977598</v>
      </c>
      <c r="H142" s="242"/>
      <c r="I142" s="242">
        <f>+H142+G142</f>
        <v>589823984.64977598</v>
      </c>
      <c r="J142" s="242">
        <f>SUM(J143:J144)</f>
        <v>57298000</v>
      </c>
      <c r="K142" s="242">
        <f>SUM(K143:K144)</f>
        <v>10000000</v>
      </c>
      <c r="L142" s="591">
        <f>SUM(L143:L144)</f>
        <v>-98200472</v>
      </c>
      <c r="M142" s="242">
        <f t="shared" si="21"/>
        <v>558921512.64977598</v>
      </c>
      <c r="N142" s="242">
        <f>+N143+N144</f>
        <v>89633213</v>
      </c>
      <c r="O142" s="242">
        <f>+O143+O144</f>
        <v>146612584</v>
      </c>
      <c r="P142" s="242">
        <f>+P143+P144</f>
        <v>148722677.61199999</v>
      </c>
      <c r="Q142" s="242">
        <f>+Q143+Q144</f>
        <v>173953037.84600002</v>
      </c>
      <c r="R142" s="242">
        <f t="shared" si="22"/>
        <v>558921512.45799994</v>
      </c>
      <c r="S142" s="732">
        <f t="shared" si="30"/>
        <v>0.99999999965688202</v>
      </c>
    </row>
    <row r="143" spans="1:19" s="202" customFormat="1" ht="15" x14ac:dyDescent="0.25">
      <c r="A143" s="25" t="s">
        <v>525</v>
      </c>
      <c r="B143" s="242"/>
      <c r="C143" s="242">
        <v>457115428.80377603</v>
      </c>
      <c r="D143" s="242"/>
      <c r="E143" s="242"/>
      <c r="F143" s="242"/>
      <c r="G143" s="242">
        <f t="shared" si="31"/>
        <v>457115428.80377603</v>
      </c>
      <c r="H143" s="242"/>
      <c r="I143" s="242">
        <f>+H143+G143</f>
        <v>457115428.80377603</v>
      </c>
      <c r="J143" s="26">
        <v>57298000</v>
      </c>
      <c r="K143" s="575">
        <v>10000000</v>
      </c>
      <c r="L143" s="575">
        <v>-98200472</v>
      </c>
      <c r="M143" s="242">
        <f t="shared" si="21"/>
        <v>426212956.80377603</v>
      </c>
      <c r="N143" s="242">
        <v>77647948</v>
      </c>
      <c r="O143" s="242">
        <v>104753259</v>
      </c>
      <c r="P143" s="242">
        <v>98811750</v>
      </c>
      <c r="Q143" s="242">
        <v>145000000</v>
      </c>
      <c r="R143" s="242">
        <f t="shared" si="22"/>
        <v>426212957</v>
      </c>
      <c r="S143" s="721">
        <f t="shared" si="30"/>
        <v>1.0000000004603895</v>
      </c>
    </row>
    <row r="144" spans="1:19" s="202" customFormat="1" ht="15" x14ac:dyDescent="0.25">
      <c r="A144" s="25" t="s">
        <v>526</v>
      </c>
      <c r="B144" s="242"/>
      <c r="C144" s="242">
        <v>132708555.846</v>
      </c>
      <c r="D144" s="242"/>
      <c r="E144" s="242"/>
      <c r="F144" s="242"/>
      <c r="G144" s="242">
        <f t="shared" si="31"/>
        <v>132708555.846</v>
      </c>
      <c r="H144" s="242"/>
      <c r="I144" s="242">
        <f>+H144+G144</f>
        <v>132708555.846</v>
      </c>
      <c r="J144" s="242">
        <v>0</v>
      </c>
      <c r="K144" s="591">
        <v>0</v>
      </c>
      <c r="L144" s="591">
        <v>0</v>
      </c>
      <c r="M144" s="242">
        <f t="shared" si="21"/>
        <v>132708555.846</v>
      </c>
      <c r="N144" s="242">
        <v>11985265</v>
      </c>
      <c r="O144" s="242">
        <v>41859325</v>
      </c>
      <c r="P144" s="242">
        <v>49910927.612000003</v>
      </c>
      <c r="Q144" s="242">
        <v>28953037.846000001</v>
      </c>
      <c r="R144" s="242">
        <f t="shared" si="22"/>
        <v>132708555.458</v>
      </c>
      <c r="S144" s="732">
        <f t="shared" si="30"/>
        <v>0.99999999707630005</v>
      </c>
    </row>
    <row r="145" spans="1:19" s="31" customFormat="1" ht="15" x14ac:dyDescent="0.25">
      <c r="A145" s="25" t="s">
        <v>506</v>
      </c>
      <c r="B145" s="592"/>
      <c r="C145" s="245"/>
      <c r="D145" s="245"/>
      <c r="E145" s="245"/>
      <c r="F145" s="26">
        <f>SUM(F146:F150)</f>
        <v>192045694.24000001</v>
      </c>
      <c r="G145" s="242">
        <f t="shared" si="31"/>
        <v>192045694.24000001</v>
      </c>
      <c r="H145" s="242"/>
      <c r="I145" s="242">
        <f>+H145+G145</f>
        <v>192045694.24000001</v>
      </c>
      <c r="J145" s="242">
        <f>SUM(J146:J150)</f>
        <v>0</v>
      </c>
      <c r="K145" s="242">
        <f>SUM(K146:K150)</f>
        <v>0</v>
      </c>
      <c r="L145" s="591">
        <f>SUM(L146:L150)</f>
        <v>0</v>
      </c>
      <c r="M145" s="242">
        <f t="shared" si="21"/>
        <v>192045694.24000001</v>
      </c>
      <c r="N145" s="242">
        <f>SUM(N146:N150)</f>
        <v>44907536</v>
      </c>
      <c r="O145" s="242">
        <f>SUM(O146:O150)</f>
        <v>48718260</v>
      </c>
      <c r="P145" s="242">
        <f>SUM(P146:P150)</f>
        <v>61500000</v>
      </c>
      <c r="Q145" s="242">
        <f>SUM(Q146:Q150)</f>
        <v>35038966</v>
      </c>
      <c r="R145" s="242">
        <f t="shared" si="22"/>
        <v>190164762</v>
      </c>
      <c r="S145" s="732">
        <f t="shared" si="30"/>
        <v>0.99020580884438159</v>
      </c>
    </row>
    <row r="146" spans="1:19" s="31" customFormat="1" ht="14.25" hidden="1" outlineLevel="1" x14ac:dyDescent="0.2">
      <c r="A146" s="297" t="s">
        <v>481</v>
      </c>
      <c r="B146" s="592"/>
      <c r="C146" s="245"/>
      <c r="D146" s="245"/>
      <c r="E146" s="245"/>
      <c r="F146" s="112">
        <v>132000000</v>
      </c>
      <c r="G146" s="244">
        <f t="shared" si="31"/>
        <v>132000000</v>
      </c>
      <c r="H146" s="245"/>
      <c r="I146" s="244">
        <f t="shared" ref="I146:I154" si="32">+H146+G146</f>
        <v>132000000</v>
      </c>
      <c r="J146" s="244"/>
      <c r="K146" s="587"/>
      <c r="L146" s="587"/>
      <c r="M146" s="244">
        <f t="shared" si="21"/>
        <v>132000000</v>
      </c>
      <c r="N146" s="244">
        <v>35742774</v>
      </c>
      <c r="O146" s="244">
        <v>41521868</v>
      </c>
      <c r="P146" s="244">
        <v>45500000</v>
      </c>
      <c r="Q146" s="244">
        <v>9235358</v>
      </c>
      <c r="R146" s="244">
        <f t="shared" si="22"/>
        <v>132000000</v>
      </c>
      <c r="S146" s="730">
        <f t="shared" si="30"/>
        <v>1</v>
      </c>
    </row>
    <row r="147" spans="1:19" s="31" customFormat="1" ht="14.25" hidden="1" outlineLevel="1" x14ac:dyDescent="0.2">
      <c r="A147" s="297" t="s">
        <v>437</v>
      </c>
      <c r="B147" s="592"/>
      <c r="C147" s="245"/>
      <c r="D147" s="245"/>
      <c r="E147" s="245"/>
      <c r="F147" s="112">
        <v>845694.24</v>
      </c>
      <c r="G147" s="244">
        <f t="shared" si="31"/>
        <v>845694.24</v>
      </c>
      <c r="H147" s="245"/>
      <c r="I147" s="244">
        <f t="shared" si="32"/>
        <v>845694.24</v>
      </c>
      <c r="J147" s="244"/>
      <c r="K147" s="587"/>
      <c r="L147" s="587"/>
      <c r="M147" s="244">
        <f t="shared" si="21"/>
        <v>845694.24</v>
      </c>
      <c r="N147" s="244">
        <v>845694</v>
      </c>
      <c r="O147" s="244">
        <v>0</v>
      </c>
      <c r="P147" s="244">
        <v>0</v>
      </c>
      <c r="Q147" s="244">
        <v>0</v>
      </c>
      <c r="R147" s="244">
        <f t="shared" si="22"/>
        <v>845694</v>
      </c>
      <c r="S147" s="730">
        <f t="shared" si="30"/>
        <v>0.99999971620948958</v>
      </c>
    </row>
    <row r="148" spans="1:19" s="31" customFormat="1" ht="14.25" hidden="1" outlineLevel="1" x14ac:dyDescent="0.2">
      <c r="A148" s="297" t="s">
        <v>461</v>
      </c>
      <c r="B148" s="592"/>
      <c r="C148" s="245"/>
      <c r="D148" s="245"/>
      <c r="E148" s="245"/>
      <c r="F148" s="112">
        <v>21000000</v>
      </c>
      <c r="G148" s="244">
        <f t="shared" si="31"/>
        <v>21000000</v>
      </c>
      <c r="H148" s="245"/>
      <c r="I148" s="244">
        <f t="shared" si="32"/>
        <v>21000000</v>
      </c>
      <c r="J148" s="244"/>
      <c r="K148" s="587"/>
      <c r="L148" s="587"/>
      <c r="M148" s="244">
        <f t="shared" si="21"/>
        <v>21000000</v>
      </c>
      <c r="N148" s="244">
        <v>0</v>
      </c>
      <c r="O148" s="244">
        <v>338568</v>
      </c>
      <c r="P148" s="244">
        <v>4000000</v>
      </c>
      <c r="Q148" s="244">
        <v>16661432</v>
      </c>
      <c r="R148" s="244">
        <f t="shared" si="22"/>
        <v>21000000</v>
      </c>
      <c r="S148" s="730">
        <f t="shared" si="30"/>
        <v>1</v>
      </c>
    </row>
    <row r="149" spans="1:19" s="31" customFormat="1" ht="14.25" hidden="1" outlineLevel="1" x14ac:dyDescent="0.2">
      <c r="A149" s="297" t="s">
        <v>438</v>
      </c>
      <c r="B149" s="592"/>
      <c r="C149" s="245"/>
      <c r="D149" s="245"/>
      <c r="E149" s="245"/>
      <c r="F149" s="112">
        <v>28000000</v>
      </c>
      <c r="G149" s="244">
        <f t="shared" si="31"/>
        <v>28000000</v>
      </c>
      <c r="H149" s="245"/>
      <c r="I149" s="244">
        <f t="shared" si="32"/>
        <v>28000000</v>
      </c>
      <c r="J149" s="244"/>
      <c r="K149" s="587"/>
      <c r="L149" s="587"/>
      <c r="M149" s="244">
        <f t="shared" ref="M149:M199" si="33">+I149+J149+K149+L149</f>
        <v>28000000</v>
      </c>
      <c r="N149" s="244">
        <v>0</v>
      </c>
      <c r="O149" s="244">
        <v>6857824</v>
      </c>
      <c r="P149" s="244">
        <v>12000000</v>
      </c>
      <c r="Q149" s="244">
        <v>9142176</v>
      </c>
      <c r="R149" s="244">
        <f t="shared" ref="R149:R195" si="34">+N149+O149+P149+Q149</f>
        <v>28000000</v>
      </c>
      <c r="S149" s="730">
        <f t="shared" si="30"/>
        <v>1</v>
      </c>
    </row>
    <row r="150" spans="1:19" s="31" customFormat="1" ht="14.25" hidden="1" outlineLevel="1" x14ac:dyDescent="0.2">
      <c r="A150" s="297" t="s">
        <v>418</v>
      </c>
      <c r="B150" s="592"/>
      <c r="C150" s="245"/>
      <c r="D150" s="245"/>
      <c r="E150" s="245"/>
      <c r="F150" s="112">
        <v>10200000</v>
      </c>
      <c r="G150" s="244">
        <f t="shared" si="31"/>
        <v>10200000</v>
      </c>
      <c r="H150" s="245"/>
      <c r="I150" s="244">
        <f t="shared" si="32"/>
        <v>10200000</v>
      </c>
      <c r="J150" s="244"/>
      <c r="K150" s="587"/>
      <c r="L150" s="587"/>
      <c r="M150" s="244">
        <f t="shared" si="33"/>
        <v>10200000</v>
      </c>
      <c r="N150" s="244">
        <v>8319068</v>
      </c>
      <c r="O150" s="244">
        <v>0</v>
      </c>
      <c r="P150" s="244">
        <v>0</v>
      </c>
      <c r="Q150" s="244">
        <v>0</v>
      </c>
      <c r="R150" s="244">
        <f t="shared" si="34"/>
        <v>8319068</v>
      </c>
      <c r="S150" s="730">
        <f t="shared" si="30"/>
        <v>0.81559490196078432</v>
      </c>
    </row>
    <row r="151" spans="1:19" s="31" customFormat="1" ht="15" collapsed="1" x14ac:dyDescent="0.25">
      <c r="A151" s="418" t="s">
        <v>388</v>
      </c>
      <c r="B151" s="592"/>
      <c r="C151" s="245"/>
      <c r="D151" s="245"/>
      <c r="E151" s="245"/>
      <c r="F151" s="26">
        <f>SUM(F152:F154)</f>
        <v>98900000</v>
      </c>
      <c r="G151" s="242">
        <f t="shared" si="31"/>
        <v>98900000</v>
      </c>
      <c r="H151" s="245"/>
      <c r="I151" s="242">
        <f>+H151+G151</f>
        <v>98900000</v>
      </c>
      <c r="J151" s="242">
        <f>SUM(J152:J154)</f>
        <v>0</v>
      </c>
      <c r="K151" s="242">
        <f>SUM(K152:K154)</f>
        <v>0</v>
      </c>
      <c r="L151" s="591">
        <f>SUM(L152:L154)</f>
        <v>-24610000</v>
      </c>
      <c r="M151" s="242">
        <f t="shared" si="33"/>
        <v>74290000</v>
      </c>
      <c r="N151" s="242">
        <f>SUM(N152:N154)</f>
        <v>15943338</v>
      </c>
      <c r="O151" s="242">
        <f>SUM(O152:O154)</f>
        <v>23859048</v>
      </c>
      <c r="P151" s="242">
        <f>SUM(P152:P154)</f>
        <v>21320000</v>
      </c>
      <c r="Q151" s="242">
        <f>SUM(Q152:Q154)</f>
        <v>13167614</v>
      </c>
      <c r="R151" s="242">
        <f t="shared" si="34"/>
        <v>74290000</v>
      </c>
      <c r="S151" s="732">
        <f t="shared" si="30"/>
        <v>1</v>
      </c>
    </row>
    <row r="152" spans="1:19" s="31" customFormat="1" ht="14.25" hidden="1" outlineLevel="1" x14ac:dyDescent="0.2">
      <c r="A152" s="297" t="s">
        <v>482</v>
      </c>
      <c r="B152" s="592"/>
      <c r="C152" s="245"/>
      <c r="D152" s="245"/>
      <c r="E152" s="245"/>
      <c r="F152" s="112">
        <v>17500000</v>
      </c>
      <c r="G152" s="244">
        <f t="shared" si="31"/>
        <v>17500000</v>
      </c>
      <c r="H152" s="245"/>
      <c r="I152" s="244">
        <f t="shared" si="32"/>
        <v>17500000</v>
      </c>
      <c r="J152" s="244"/>
      <c r="K152" s="587"/>
      <c r="L152" s="587">
        <v>-17500000</v>
      </c>
      <c r="M152" s="244">
        <f t="shared" si="33"/>
        <v>0</v>
      </c>
      <c r="N152" s="244">
        <v>0</v>
      </c>
      <c r="O152" s="244">
        <v>0</v>
      </c>
      <c r="P152" s="244">
        <v>0</v>
      </c>
      <c r="Q152" s="244">
        <v>0</v>
      </c>
      <c r="R152" s="244">
        <f t="shared" si="34"/>
        <v>0</v>
      </c>
      <c r="S152" s="730">
        <v>0</v>
      </c>
    </row>
    <row r="153" spans="1:19" s="31" customFormat="1" ht="14.25" hidden="1" outlineLevel="1" x14ac:dyDescent="0.2">
      <c r="A153" s="297" t="s">
        <v>462</v>
      </c>
      <c r="B153" s="592"/>
      <c r="C153" s="245"/>
      <c r="D153" s="245"/>
      <c r="E153" s="245"/>
      <c r="F153" s="112">
        <v>59400000</v>
      </c>
      <c r="G153" s="244">
        <f t="shared" si="31"/>
        <v>59400000</v>
      </c>
      <c r="H153" s="245"/>
      <c r="I153" s="244">
        <f t="shared" si="32"/>
        <v>59400000</v>
      </c>
      <c r="J153" s="244"/>
      <c r="K153" s="587"/>
      <c r="L153" s="587">
        <v>-7110000</v>
      </c>
      <c r="M153" s="244">
        <f t="shared" si="33"/>
        <v>52290000</v>
      </c>
      <c r="N153" s="244">
        <v>12780000</v>
      </c>
      <c r="O153" s="244">
        <v>16200000</v>
      </c>
      <c r="P153" s="244">
        <v>13320000</v>
      </c>
      <c r="Q153" s="244">
        <v>9990000</v>
      </c>
      <c r="R153" s="244">
        <f t="shared" si="34"/>
        <v>52290000</v>
      </c>
      <c r="S153" s="730">
        <f t="shared" si="30"/>
        <v>1</v>
      </c>
    </row>
    <row r="154" spans="1:19" s="31" customFormat="1" ht="14.25" hidden="1" outlineLevel="1" x14ac:dyDescent="0.2">
      <c r="A154" s="297" t="s">
        <v>483</v>
      </c>
      <c r="B154" s="592"/>
      <c r="C154" s="245"/>
      <c r="D154" s="245"/>
      <c r="E154" s="245"/>
      <c r="F154" s="112">
        <v>22000000</v>
      </c>
      <c r="G154" s="244">
        <f t="shared" si="31"/>
        <v>22000000</v>
      </c>
      <c r="H154" s="245"/>
      <c r="I154" s="244">
        <f t="shared" si="32"/>
        <v>22000000</v>
      </c>
      <c r="J154" s="244"/>
      <c r="K154" s="587"/>
      <c r="L154" s="587"/>
      <c r="M154" s="244">
        <f t="shared" si="33"/>
        <v>22000000</v>
      </c>
      <c r="N154" s="244">
        <v>3163338</v>
      </c>
      <c r="O154" s="244">
        <v>7659048</v>
      </c>
      <c r="P154" s="244">
        <v>8000000</v>
      </c>
      <c r="Q154" s="244">
        <v>3177614</v>
      </c>
      <c r="R154" s="244">
        <f t="shared" si="34"/>
        <v>22000000</v>
      </c>
      <c r="S154" s="730">
        <f t="shared" si="30"/>
        <v>1</v>
      </c>
    </row>
    <row r="155" spans="1:19" s="254" customFormat="1" ht="15" collapsed="1" x14ac:dyDescent="0.25">
      <c r="A155" s="250" t="s">
        <v>285</v>
      </c>
      <c r="B155" s="251">
        <f>+B156+B159</f>
        <v>208393207.0988</v>
      </c>
      <c r="C155" s="251"/>
      <c r="D155" s="251"/>
      <c r="E155" s="251"/>
      <c r="F155" s="251"/>
      <c r="G155" s="251">
        <f>SUM(B155:F155)</f>
        <v>208393207.0988</v>
      </c>
      <c r="H155" s="251"/>
      <c r="I155" s="251">
        <f>+H155+G155</f>
        <v>208393207.0988</v>
      </c>
      <c r="J155" s="251">
        <f>+J156+J159</f>
        <v>0</v>
      </c>
      <c r="K155" s="251">
        <f>+K156+K159</f>
        <v>0</v>
      </c>
      <c r="L155" s="585">
        <f>+L156+L159</f>
        <v>0</v>
      </c>
      <c r="M155" s="251">
        <f t="shared" si="33"/>
        <v>208393207.0988</v>
      </c>
      <c r="N155" s="251">
        <f>+N156+N159</f>
        <v>57428935</v>
      </c>
      <c r="O155" s="251">
        <f>+O156+O159</f>
        <v>32531812</v>
      </c>
      <c r="P155" s="251">
        <f>+P156+P159</f>
        <v>48869187</v>
      </c>
      <c r="Q155" s="251">
        <f>+Q156+Q159</f>
        <v>69563273</v>
      </c>
      <c r="R155" s="251">
        <f t="shared" si="34"/>
        <v>208393207</v>
      </c>
      <c r="S155" s="728">
        <f t="shared" si="30"/>
        <v>0.99999999952589624</v>
      </c>
    </row>
    <row r="156" spans="1:19" s="202" customFormat="1" ht="15" x14ac:dyDescent="0.25">
      <c r="A156" s="252" t="s">
        <v>84</v>
      </c>
      <c r="B156" s="21">
        <f>+B157+B158</f>
        <v>161379421.0988</v>
      </c>
      <c r="C156" s="245"/>
      <c r="D156" s="245"/>
      <c r="E156" s="245"/>
      <c r="F156" s="243"/>
      <c r="G156" s="242">
        <f>+B156+C156+E156+F156+D156</f>
        <v>161379421.0988</v>
      </c>
      <c r="H156" s="242"/>
      <c r="I156" s="242">
        <f t="shared" ref="I156:I161" si="35">+G156+H156</f>
        <v>161379421.0988</v>
      </c>
      <c r="J156" s="21">
        <f>+J157+J158</f>
        <v>0</v>
      </c>
      <c r="K156" s="21">
        <f>+K157+K158</f>
        <v>0</v>
      </c>
      <c r="L156" s="577">
        <f>+L157+L158</f>
        <v>0</v>
      </c>
      <c r="M156" s="242">
        <f t="shared" si="33"/>
        <v>161379421.0988</v>
      </c>
      <c r="N156" s="242">
        <f>SUM(N157:N158)</f>
        <v>57428935</v>
      </c>
      <c r="O156" s="242">
        <f>SUM(O157:O158)</f>
        <v>32531812</v>
      </c>
      <c r="P156" s="242">
        <f>SUM(P157:P158)</f>
        <v>31855401</v>
      </c>
      <c r="Q156" s="242">
        <f>SUM(Q157:Q158)</f>
        <v>39563273</v>
      </c>
      <c r="R156" s="242">
        <f t="shared" si="34"/>
        <v>161379421</v>
      </c>
      <c r="S156" s="732">
        <f t="shared" si="30"/>
        <v>0.99999999938777817</v>
      </c>
    </row>
    <row r="157" spans="1:19" s="202" customFormat="1" ht="14.25" hidden="1" outlineLevel="1" x14ac:dyDescent="0.2">
      <c r="A157" s="297" t="s">
        <v>298</v>
      </c>
      <c r="B157" s="23">
        <v>114439763.69880001</v>
      </c>
      <c r="C157" s="245"/>
      <c r="D157" s="245"/>
      <c r="E157" s="245"/>
      <c r="F157" s="245"/>
      <c r="G157" s="245">
        <f>+B157+C157+E157+F157+D157</f>
        <v>114439763.69880001</v>
      </c>
      <c r="H157" s="245"/>
      <c r="I157" s="245">
        <f t="shared" si="35"/>
        <v>114439763.69880001</v>
      </c>
      <c r="J157" s="245"/>
      <c r="K157" s="593"/>
      <c r="L157" s="593"/>
      <c r="M157" s="245">
        <f t="shared" si="33"/>
        <v>114439763.69880001</v>
      </c>
      <c r="N157" s="245">
        <v>37695293</v>
      </c>
      <c r="O157" s="245">
        <v>24905112</v>
      </c>
      <c r="P157" s="245">
        <v>23951185</v>
      </c>
      <c r="Q157" s="245">
        <v>27888174</v>
      </c>
      <c r="R157" s="245">
        <f t="shared" si="34"/>
        <v>114439764</v>
      </c>
      <c r="S157" s="733">
        <f t="shared" si="30"/>
        <v>1.0000000026319522</v>
      </c>
    </row>
    <row r="158" spans="1:19" s="202" customFormat="1" ht="14.25" hidden="1" outlineLevel="1" x14ac:dyDescent="0.2">
      <c r="A158" s="297" t="s">
        <v>168</v>
      </c>
      <c r="B158" s="23">
        <v>46939657.400000006</v>
      </c>
      <c r="C158" s="245"/>
      <c r="D158" s="245"/>
      <c r="E158" s="245"/>
      <c r="F158" s="245"/>
      <c r="G158" s="245">
        <f>+B158+C158+E158+F158+D158</f>
        <v>46939657.400000006</v>
      </c>
      <c r="H158" s="245"/>
      <c r="I158" s="245">
        <f t="shared" si="35"/>
        <v>46939657.400000006</v>
      </c>
      <c r="J158" s="245"/>
      <c r="K158" s="593"/>
      <c r="L158" s="593"/>
      <c r="M158" s="245">
        <f t="shared" si="33"/>
        <v>46939657.400000006</v>
      </c>
      <c r="N158" s="245">
        <v>19733642</v>
      </c>
      <c r="O158" s="245">
        <v>7626700</v>
      </c>
      <c r="P158" s="245">
        <v>7904216</v>
      </c>
      <c r="Q158" s="245">
        <v>11675099</v>
      </c>
      <c r="R158" s="245">
        <f t="shared" si="34"/>
        <v>46939657</v>
      </c>
      <c r="S158" s="733">
        <f t="shared" si="30"/>
        <v>0.99999999147842089</v>
      </c>
    </row>
    <row r="159" spans="1:19" s="202" customFormat="1" ht="15" collapsed="1" x14ac:dyDescent="0.25">
      <c r="A159" s="252" t="s">
        <v>299</v>
      </c>
      <c r="B159" s="26">
        <f>SUM(B160:B161)</f>
        <v>47013786</v>
      </c>
      <c r="C159" s="245"/>
      <c r="D159" s="245"/>
      <c r="E159" s="245"/>
      <c r="F159" s="245"/>
      <c r="G159" s="242">
        <f>+B159+C159+E159+F159+D159</f>
        <v>47013786</v>
      </c>
      <c r="H159" s="245"/>
      <c r="I159" s="242">
        <f>+G159+H159</f>
        <v>47013786</v>
      </c>
      <c r="J159" s="242">
        <f>+J160+J161</f>
        <v>0</v>
      </c>
      <c r="K159" s="242">
        <f>+K160+K161</f>
        <v>0</v>
      </c>
      <c r="L159" s="591">
        <f>+L160+L161</f>
        <v>0</v>
      </c>
      <c r="M159" s="242">
        <f t="shared" si="33"/>
        <v>47013786</v>
      </c>
      <c r="N159" s="242">
        <f>SUM(N160:N161)</f>
        <v>0</v>
      </c>
      <c r="O159" s="242">
        <f>SUM(O160:O161)</f>
        <v>0</v>
      </c>
      <c r="P159" s="242">
        <f>SUM(P160:P161)</f>
        <v>17013786</v>
      </c>
      <c r="Q159" s="242">
        <f>SUM(Q160:Q161)</f>
        <v>30000000</v>
      </c>
      <c r="R159" s="242">
        <f t="shared" si="34"/>
        <v>47013786</v>
      </c>
      <c r="S159" s="732">
        <f t="shared" si="30"/>
        <v>1</v>
      </c>
    </row>
    <row r="160" spans="1:19" s="202" customFormat="1" ht="14.25" hidden="1" outlineLevel="1" x14ac:dyDescent="0.2">
      <c r="A160" s="297" t="s">
        <v>508</v>
      </c>
      <c r="B160" s="23">
        <v>17013786</v>
      </c>
      <c r="C160" s="245"/>
      <c r="D160" s="245"/>
      <c r="E160" s="245"/>
      <c r="F160" s="245"/>
      <c r="G160" s="245">
        <f>+B160+C160+E160+F160+D160</f>
        <v>17013786</v>
      </c>
      <c r="H160" s="245"/>
      <c r="I160" s="245">
        <f t="shared" si="35"/>
        <v>17013786</v>
      </c>
      <c r="J160" s="245"/>
      <c r="K160" s="593"/>
      <c r="L160" s="593"/>
      <c r="M160" s="245">
        <f t="shared" si="33"/>
        <v>17013786</v>
      </c>
      <c r="N160" s="245"/>
      <c r="O160" s="245"/>
      <c r="P160" s="245">
        <v>17013786</v>
      </c>
      <c r="Q160" s="245"/>
      <c r="R160" s="245">
        <f t="shared" si="34"/>
        <v>17013786</v>
      </c>
      <c r="S160" s="733">
        <f t="shared" si="30"/>
        <v>1</v>
      </c>
    </row>
    <row r="161" spans="1:19" s="202" customFormat="1" ht="14.25" hidden="1" outlineLevel="1" x14ac:dyDescent="0.2">
      <c r="A161" s="297" t="s">
        <v>544</v>
      </c>
      <c r="B161" s="23">
        <v>30000000</v>
      </c>
      <c r="C161" s="245"/>
      <c r="D161" s="245"/>
      <c r="E161" s="245"/>
      <c r="F161" s="245"/>
      <c r="G161" s="23">
        <v>30000000</v>
      </c>
      <c r="H161" s="245"/>
      <c r="I161" s="245">
        <f t="shared" si="35"/>
        <v>30000000</v>
      </c>
      <c r="J161" s="245"/>
      <c r="K161" s="593"/>
      <c r="L161" s="593"/>
      <c r="M161" s="245">
        <f t="shared" si="33"/>
        <v>30000000</v>
      </c>
      <c r="N161" s="245"/>
      <c r="O161" s="245"/>
      <c r="P161" s="245"/>
      <c r="Q161" s="245">
        <v>30000000</v>
      </c>
      <c r="R161" s="245">
        <f t="shared" si="34"/>
        <v>30000000</v>
      </c>
      <c r="S161" s="733">
        <f t="shared" si="30"/>
        <v>1</v>
      </c>
    </row>
    <row r="162" spans="1:19" s="254" customFormat="1" ht="15" collapsed="1" x14ac:dyDescent="0.25">
      <c r="A162" s="250" t="s">
        <v>286</v>
      </c>
      <c r="B162" s="251">
        <f>+B163+B169</f>
        <v>584049772.39240003</v>
      </c>
      <c r="C162" s="251"/>
      <c r="D162" s="251"/>
      <c r="E162" s="251"/>
      <c r="F162" s="251"/>
      <c r="G162" s="251">
        <f>SUM(B162:F162)</f>
        <v>584049772.39240003</v>
      </c>
      <c r="H162" s="251"/>
      <c r="I162" s="251">
        <f>+H162+G162</f>
        <v>584049772.39240003</v>
      </c>
      <c r="J162" s="251">
        <f>+J163+J169</f>
        <v>0</v>
      </c>
      <c r="K162" s="251">
        <f>+K163+K169</f>
        <v>19800000</v>
      </c>
      <c r="L162" s="585">
        <f>+L163+L169</f>
        <v>0</v>
      </c>
      <c r="M162" s="251">
        <f t="shared" si="33"/>
        <v>603849772.39240003</v>
      </c>
      <c r="N162" s="251">
        <f>+N163+N169</f>
        <v>118469465</v>
      </c>
      <c r="O162" s="251">
        <f>+O163+O169</f>
        <v>135737257</v>
      </c>
      <c r="P162" s="251">
        <f>+P163+P169</f>
        <v>133879450</v>
      </c>
      <c r="Q162" s="251">
        <f>+Q163+Q169</f>
        <v>215763600</v>
      </c>
      <c r="R162" s="251">
        <f t="shared" si="34"/>
        <v>603849772</v>
      </c>
      <c r="S162" s="728">
        <f t="shared" si="30"/>
        <v>0.99999999935016948</v>
      </c>
    </row>
    <row r="163" spans="1:19" s="202" customFormat="1" ht="15" x14ac:dyDescent="0.25">
      <c r="A163" s="252" t="s">
        <v>99</v>
      </c>
      <c r="B163" s="26">
        <f>+B164+B165+B166+B167</f>
        <v>401970604.98440003</v>
      </c>
      <c r="C163" s="242"/>
      <c r="D163" s="242"/>
      <c r="E163" s="242"/>
      <c r="F163" s="242"/>
      <c r="G163" s="242">
        <f t="shared" ref="G163:G171" si="36">+B163+C163+D163+E163+F163</f>
        <v>401970604.98440003</v>
      </c>
      <c r="H163" s="242"/>
      <c r="I163" s="242">
        <f>+G163+H163</f>
        <v>401970604.98440003</v>
      </c>
      <c r="J163" s="26">
        <f>+J164+J165+J166+J167</f>
        <v>0</v>
      </c>
      <c r="K163" s="26">
        <f>+K164+K165+K166+K167+K168</f>
        <v>19800000</v>
      </c>
      <c r="L163" s="575">
        <f>+L164+L165+L166+L167+L168</f>
        <v>35000000</v>
      </c>
      <c r="M163" s="242">
        <f t="shared" si="33"/>
        <v>456770604.98440003</v>
      </c>
      <c r="N163" s="242">
        <f>SUM(N164:N168)</f>
        <v>103276589</v>
      </c>
      <c r="O163" s="242">
        <f>SUM(O164:O168)</f>
        <v>113674209</v>
      </c>
      <c r="P163" s="242">
        <f>SUM(P164:P168)</f>
        <v>104582177</v>
      </c>
      <c r="Q163" s="242">
        <f>SUM(Q164:Q168)</f>
        <v>135237630</v>
      </c>
      <c r="R163" s="242">
        <f t="shared" si="34"/>
        <v>456770605</v>
      </c>
      <c r="S163" s="732">
        <f t="shared" si="30"/>
        <v>1.0000000000341527</v>
      </c>
    </row>
    <row r="164" spans="1:19" s="202" customFormat="1" ht="15" hidden="1" outlineLevel="1" x14ac:dyDescent="0.25">
      <c r="A164" s="297" t="s">
        <v>169</v>
      </c>
      <c r="B164" s="112">
        <f>138822467.9684</f>
        <v>138822467.9684</v>
      </c>
      <c r="C164" s="242"/>
      <c r="D164" s="242"/>
      <c r="E164" s="242"/>
      <c r="F164" s="242"/>
      <c r="G164" s="244">
        <f t="shared" si="36"/>
        <v>138822467.9684</v>
      </c>
      <c r="H164" s="244"/>
      <c r="I164" s="244">
        <f>+G164+H164-4968000</f>
        <v>133854467.9684</v>
      </c>
      <c r="J164" s="244"/>
      <c r="K164" s="588"/>
      <c r="L164" s="588"/>
      <c r="M164" s="244">
        <f>+I164+J164+K164+L164</f>
        <v>133854467.9684</v>
      </c>
      <c r="N164" s="244">
        <v>31205143</v>
      </c>
      <c r="O164" s="244">
        <v>34543789</v>
      </c>
      <c r="P164" s="244">
        <v>30942448</v>
      </c>
      <c r="Q164" s="244">
        <v>37163088</v>
      </c>
      <c r="R164" s="244">
        <f t="shared" si="34"/>
        <v>133854468</v>
      </c>
      <c r="S164" s="730">
        <f t="shared" si="30"/>
        <v>1.0000000002360774</v>
      </c>
    </row>
    <row r="165" spans="1:19" s="202" customFormat="1" ht="15" hidden="1" outlineLevel="1" x14ac:dyDescent="0.25">
      <c r="A165" s="297" t="s">
        <v>300</v>
      </c>
      <c r="B165" s="112">
        <f>29828923.416</f>
        <v>29828923.416000001</v>
      </c>
      <c r="C165" s="242"/>
      <c r="D165" s="242"/>
      <c r="E165" s="242"/>
      <c r="F165" s="242"/>
      <c r="G165" s="244">
        <f t="shared" si="36"/>
        <v>29828923.416000001</v>
      </c>
      <c r="H165" s="244"/>
      <c r="I165" s="244">
        <f>+G165+H165</f>
        <v>29828923.416000001</v>
      </c>
      <c r="J165" s="244"/>
      <c r="K165" s="587"/>
      <c r="L165" s="588">
        <v>9000000</v>
      </c>
      <c r="M165" s="244">
        <f>+I165+J165+K165+L165+4968000</f>
        <v>43796923.416000001</v>
      </c>
      <c r="N165" s="244">
        <v>18085475</v>
      </c>
      <c r="O165" s="244">
        <v>11000000</v>
      </c>
      <c r="P165" s="244">
        <v>5420693</v>
      </c>
      <c r="Q165" s="244">
        <v>9290755</v>
      </c>
      <c r="R165" s="244">
        <f t="shared" si="34"/>
        <v>43796923</v>
      </c>
      <c r="S165" s="730">
        <f t="shared" si="30"/>
        <v>0.99999999050161592</v>
      </c>
    </row>
    <row r="166" spans="1:19" s="202" customFormat="1" ht="15" hidden="1" outlineLevel="1" x14ac:dyDescent="0.25">
      <c r="A166" s="297" t="s">
        <v>232</v>
      </c>
      <c r="B166" s="112">
        <v>154723473.60000002</v>
      </c>
      <c r="C166" s="242"/>
      <c r="D166" s="242"/>
      <c r="E166" s="242"/>
      <c r="F166" s="242"/>
      <c r="G166" s="244">
        <f t="shared" si="36"/>
        <v>154723473.60000002</v>
      </c>
      <c r="H166" s="244"/>
      <c r="I166" s="244">
        <f t="shared" ref="I166:I171" si="37">+G166+H166</f>
        <v>154723473.60000002</v>
      </c>
      <c r="J166" s="244"/>
      <c r="K166" s="587"/>
      <c r="L166" s="588">
        <v>20000000</v>
      </c>
      <c r="M166" s="244">
        <f>+I166+J166+K166+L166</f>
        <v>174723473.60000002</v>
      </c>
      <c r="N166" s="244">
        <v>35268117</v>
      </c>
      <c r="O166" s="244">
        <v>39708593</v>
      </c>
      <c r="P166" s="244">
        <v>41919036</v>
      </c>
      <c r="Q166" s="244">
        <v>57827728</v>
      </c>
      <c r="R166" s="244">
        <f t="shared" si="34"/>
        <v>174723474</v>
      </c>
      <c r="S166" s="730">
        <f t="shared" si="30"/>
        <v>1.0000000022893316</v>
      </c>
    </row>
    <row r="167" spans="1:19" s="202" customFormat="1" ht="15" hidden="1" outlineLevel="1" x14ac:dyDescent="0.25">
      <c r="A167" s="297" t="s">
        <v>494</v>
      </c>
      <c r="B167" s="112">
        <v>78595740</v>
      </c>
      <c r="C167" s="242"/>
      <c r="D167" s="242"/>
      <c r="E167" s="242"/>
      <c r="F167" s="242"/>
      <c r="G167" s="244">
        <f t="shared" si="36"/>
        <v>78595740</v>
      </c>
      <c r="H167" s="244"/>
      <c r="I167" s="244">
        <f>+G167+H167</f>
        <v>78595740</v>
      </c>
      <c r="J167" s="244"/>
      <c r="K167" s="587"/>
      <c r="L167" s="588">
        <v>6000000</v>
      </c>
      <c r="M167" s="244">
        <f>+I167+J167+K167+L167</f>
        <v>84595740</v>
      </c>
      <c r="N167" s="244">
        <v>18717854</v>
      </c>
      <c r="O167" s="244">
        <v>28421827</v>
      </c>
      <c r="P167" s="244">
        <v>19700000</v>
      </c>
      <c r="Q167" s="244">
        <v>17756059</v>
      </c>
      <c r="R167" s="244">
        <f t="shared" si="34"/>
        <v>84595740</v>
      </c>
      <c r="S167" s="730">
        <f t="shared" si="30"/>
        <v>1</v>
      </c>
    </row>
    <row r="168" spans="1:19" s="202" customFormat="1" ht="15" hidden="1" outlineLevel="1" x14ac:dyDescent="0.25">
      <c r="A168" s="297" t="s">
        <v>527</v>
      </c>
      <c r="B168" s="112"/>
      <c r="C168" s="242"/>
      <c r="D168" s="242"/>
      <c r="E168" s="242"/>
      <c r="F168" s="242"/>
      <c r="G168" s="244">
        <f t="shared" si="36"/>
        <v>0</v>
      </c>
      <c r="H168" s="244"/>
      <c r="I168" s="244">
        <f t="shared" si="37"/>
        <v>0</v>
      </c>
      <c r="J168" s="244"/>
      <c r="K168" s="587">
        <v>19800000</v>
      </c>
      <c r="L168" s="588"/>
      <c r="M168" s="244">
        <f>+I168+J168+K168+L168</f>
        <v>19800000</v>
      </c>
      <c r="N168" s="244">
        <v>0</v>
      </c>
      <c r="O168" s="244"/>
      <c r="P168" s="244">
        <v>6600000</v>
      </c>
      <c r="Q168" s="244">
        <v>13200000</v>
      </c>
      <c r="R168" s="244">
        <f t="shared" si="34"/>
        <v>19800000</v>
      </c>
      <c r="S168" s="730">
        <f t="shared" si="30"/>
        <v>1</v>
      </c>
    </row>
    <row r="169" spans="1:19" s="202" customFormat="1" ht="15" collapsed="1" x14ac:dyDescent="0.25">
      <c r="A169" s="252" t="s">
        <v>301</v>
      </c>
      <c r="B169" s="26">
        <f>+B170+B171</f>
        <v>182079167.40799999</v>
      </c>
      <c r="C169" s="242"/>
      <c r="D169" s="242"/>
      <c r="E169" s="242"/>
      <c r="F169" s="242"/>
      <c r="G169" s="242">
        <f t="shared" si="36"/>
        <v>182079167.40799999</v>
      </c>
      <c r="H169" s="242"/>
      <c r="I169" s="242">
        <f t="shared" si="37"/>
        <v>182079167.40799999</v>
      </c>
      <c r="J169" s="242">
        <f>SUM(J170:J171)</f>
        <v>0</v>
      </c>
      <c r="K169" s="242">
        <f>SUM(K170:K171)</f>
        <v>0</v>
      </c>
      <c r="L169" s="575">
        <f>SUM(L170:L171)</f>
        <v>-35000000</v>
      </c>
      <c r="M169" s="242">
        <f t="shared" si="33"/>
        <v>147079167.40799999</v>
      </c>
      <c r="N169" s="242">
        <f>SUM(N170:N171)</f>
        <v>15192876</v>
      </c>
      <c r="O169" s="242">
        <f>SUM(O170:O171)</f>
        <v>22063048</v>
      </c>
      <c r="P169" s="242">
        <f>SUM(P170:P171)</f>
        <v>29297273</v>
      </c>
      <c r="Q169" s="242">
        <f>SUM(Q170:Q171)</f>
        <v>80525970</v>
      </c>
      <c r="R169" s="242">
        <f t="shared" si="34"/>
        <v>147079167</v>
      </c>
      <c r="S169" s="732">
        <f t="shared" si="30"/>
        <v>0.99999999722598376</v>
      </c>
    </row>
    <row r="170" spans="1:19" s="202" customFormat="1" ht="15" hidden="1" outlineLevel="1" x14ac:dyDescent="0.25">
      <c r="A170" s="297" t="s">
        <v>387</v>
      </c>
      <c r="B170" s="112">
        <v>88155194</v>
      </c>
      <c r="C170" s="242"/>
      <c r="D170" s="242"/>
      <c r="E170" s="242"/>
      <c r="F170" s="242"/>
      <c r="G170" s="244">
        <f t="shared" si="36"/>
        <v>88155194</v>
      </c>
      <c r="H170" s="244"/>
      <c r="I170" s="244">
        <f t="shared" si="37"/>
        <v>88155194</v>
      </c>
      <c r="J170" s="244"/>
      <c r="K170" s="587"/>
      <c r="L170" s="588"/>
      <c r="M170" s="244">
        <f t="shared" si="33"/>
        <v>88155194</v>
      </c>
      <c r="N170" s="244">
        <v>15192876</v>
      </c>
      <c r="O170" s="244">
        <v>22063048</v>
      </c>
      <c r="P170" s="244">
        <v>25950000</v>
      </c>
      <c r="Q170" s="244">
        <v>24949270</v>
      </c>
      <c r="R170" s="244">
        <f t="shared" si="34"/>
        <v>88155194</v>
      </c>
      <c r="S170" s="730">
        <f t="shared" si="30"/>
        <v>1</v>
      </c>
    </row>
    <row r="171" spans="1:19" s="202" customFormat="1" ht="15" hidden="1" outlineLevel="1" x14ac:dyDescent="0.25">
      <c r="A171" s="297" t="s">
        <v>450</v>
      </c>
      <c r="B171" s="112">
        <v>93923973.407999992</v>
      </c>
      <c r="C171" s="242"/>
      <c r="D171" s="242"/>
      <c r="E171" s="242"/>
      <c r="F171" s="242"/>
      <c r="G171" s="244">
        <f t="shared" si="36"/>
        <v>93923973.407999992</v>
      </c>
      <c r="H171" s="244"/>
      <c r="I171" s="244">
        <f t="shared" si="37"/>
        <v>93923973.407999992</v>
      </c>
      <c r="J171" s="244"/>
      <c r="K171" s="587"/>
      <c r="L171" s="588">
        <v>-35000000</v>
      </c>
      <c r="M171" s="244">
        <f t="shared" si="33"/>
        <v>58923973.407999992</v>
      </c>
      <c r="N171" s="244">
        <v>0</v>
      </c>
      <c r="O171" s="244">
        <v>0</v>
      </c>
      <c r="P171" s="244">
        <v>3347273</v>
      </c>
      <c r="Q171" s="244">
        <v>55576700</v>
      </c>
      <c r="R171" s="244">
        <f t="shared" si="34"/>
        <v>58923973</v>
      </c>
      <c r="S171" s="730">
        <f t="shared" si="30"/>
        <v>0.99999999307582355</v>
      </c>
    </row>
    <row r="172" spans="1:19" s="254" customFormat="1" ht="15" collapsed="1" x14ac:dyDescent="0.25">
      <c r="A172" s="250" t="s">
        <v>287</v>
      </c>
      <c r="B172" s="251"/>
      <c r="C172" s="251"/>
      <c r="D172" s="251">
        <f>+D173+D179</f>
        <v>727120000</v>
      </c>
      <c r="E172" s="251"/>
      <c r="F172" s="251"/>
      <c r="G172" s="251">
        <f>SUM(B172:F172)</f>
        <v>727120000</v>
      </c>
      <c r="H172" s="251"/>
      <c r="I172" s="251">
        <f>+G172+H172</f>
        <v>727120000</v>
      </c>
      <c r="J172" s="251">
        <f>+J173+J179</f>
        <v>2450000000</v>
      </c>
      <c r="K172" s="251">
        <f>+K173+K179</f>
        <v>78000000</v>
      </c>
      <c r="L172" s="585">
        <f>+L173+L179</f>
        <v>-2489901115</v>
      </c>
      <c r="M172" s="251">
        <f t="shared" si="33"/>
        <v>765218885</v>
      </c>
      <c r="N172" s="251">
        <f>+N173+N179</f>
        <v>80111389</v>
      </c>
      <c r="O172" s="251">
        <f>+O173+O179</f>
        <v>161273393</v>
      </c>
      <c r="P172" s="251">
        <f>+P173+P179</f>
        <v>274505658</v>
      </c>
      <c r="Q172" s="251">
        <f>+Q173+Q179</f>
        <v>249328445</v>
      </c>
      <c r="R172" s="251">
        <f t="shared" si="34"/>
        <v>765218885</v>
      </c>
      <c r="S172" s="728">
        <f t="shared" si="30"/>
        <v>1</v>
      </c>
    </row>
    <row r="173" spans="1:19" ht="15" x14ac:dyDescent="0.25">
      <c r="A173" s="252" t="s">
        <v>303</v>
      </c>
      <c r="B173" s="503"/>
      <c r="C173" s="503"/>
      <c r="D173" s="503">
        <f>+D174</f>
        <v>149000000</v>
      </c>
      <c r="E173" s="245"/>
      <c r="F173" s="245"/>
      <c r="G173" s="243">
        <f t="shared" ref="G173:G187" si="38">+B173+C173+D173+E173+F173</f>
        <v>149000000</v>
      </c>
      <c r="H173" s="245"/>
      <c r="I173" s="243">
        <f t="shared" ref="I173:I179" si="39">+H173+G173</f>
        <v>149000000</v>
      </c>
      <c r="J173" s="503">
        <f>+J174</f>
        <v>0</v>
      </c>
      <c r="K173" s="503">
        <f>+K174</f>
        <v>78000000</v>
      </c>
      <c r="L173" s="594">
        <f>+L174</f>
        <v>-12451508</v>
      </c>
      <c r="M173" s="243">
        <f t="shared" si="33"/>
        <v>214548492</v>
      </c>
      <c r="N173" s="243">
        <f>+N174</f>
        <v>6958218</v>
      </c>
      <c r="O173" s="243">
        <f>+O174</f>
        <v>51009171</v>
      </c>
      <c r="P173" s="243">
        <f>+P174</f>
        <v>121504831</v>
      </c>
      <c r="Q173" s="243">
        <f>+Q174</f>
        <v>35076272</v>
      </c>
      <c r="R173" s="243">
        <f t="shared" si="34"/>
        <v>214548492</v>
      </c>
      <c r="S173" s="729">
        <f t="shared" si="30"/>
        <v>1</v>
      </c>
    </row>
    <row r="174" spans="1:19" ht="15" x14ac:dyDescent="0.25">
      <c r="A174" s="252" t="s">
        <v>117</v>
      </c>
      <c r="B174" s="503"/>
      <c r="C174" s="504"/>
      <c r="D174" s="505">
        <f>SUM(D175:D178)</f>
        <v>149000000</v>
      </c>
      <c r="E174" s="245"/>
      <c r="F174" s="244"/>
      <c r="G174" s="242">
        <f>+B174+C174+D174+E174+F174</f>
        <v>149000000</v>
      </c>
      <c r="H174" s="244"/>
      <c r="I174" s="505">
        <f>+H174+G174</f>
        <v>149000000</v>
      </c>
      <c r="J174" s="505">
        <f>SUM(J175:J178)</f>
        <v>0</v>
      </c>
      <c r="K174" s="505">
        <f>SUM(K175:K178)</f>
        <v>78000000</v>
      </c>
      <c r="L174" s="595">
        <f>SUM(L175:L178)</f>
        <v>-12451508</v>
      </c>
      <c r="M174" s="505">
        <f t="shared" si="33"/>
        <v>214548492</v>
      </c>
      <c r="N174" s="505">
        <f>SUM(N175:N178)</f>
        <v>6958218</v>
      </c>
      <c r="O174" s="505">
        <f>SUM(O175:O178)</f>
        <v>51009171</v>
      </c>
      <c r="P174" s="505">
        <f>SUM(P175:P178)</f>
        <v>121504831</v>
      </c>
      <c r="Q174" s="505">
        <f>SUM(Q175:Q178)</f>
        <v>35076272</v>
      </c>
      <c r="R174" s="505">
        <f t="shared" si="34"/>
        <v>214548492</v>
      </c>
      <c r="S174" s="734">
        <f t="shared" si="30"/>
        <v>1</v>
      </c>
    </row>
    <row r="175" spans="1:19" ht="15" hidden="1" outlineLevel="1" x14ac:dyDescent="0.25">
      <c r="A175" s="295" t="s">
        <v>439</v>
      </c>
      <c r="B175" s="503"/>
      <c r="C175" s="504"/>
      <c r="D175" s="112">
        <v>124000000</v>
      </c>
      <c r="E175" s="245"/>
      <c r="F175" s="244"/>
      <c r="G175" s="244">
        <f t="shared" si="38"/>
        <v>124000000</v>
      </c>
      <c r="H175" s="244"/>
      <c r="I175" s="504">
        <f t="shared" si="39"/>
        <v>124000000</v>
      </c>
      <c r="J175" s="504"/>
      <c r="K175" s="596"/>
      <c r="L175" s="596">
        <v>-12451508</v>
      </c>
      <c r="M175" s="504">
        <f>+I175+J175+K175+L175-826000</f>
        <v>110722492</v>
      </c>
      <c r="N175" s="504">
        <v>4048492</v>
      </c>
      <c r="O175" s="504">
        <v>47545389</v>
      </c>
      <c r="P175" s="504">
        <v>31174000</v>
      </c>
      <c r="Q175" s="504">
        <v>27954611</v>
      </c>
      <c r="R175" s="504">
        <f t="shared" si="34"/>
        <v>110722492</v>
      </c>
      <c r="S175" s="735">
        <f t="shared" si="30"/>
        <v>1</v>
      </c>
    </row>
    <row r="176" spans="1:19" ht="15" hidden="1" outlineLevel="1" x14ac:dyDescent="0.25">
      <c r="A176" s="295" t="s">
        <v>440</v>
      </c>
      <c r="B176" s="503"/>
      <c r="C176" s="504"/>
      <c r="D176" s="506">
        <v>10000000</v>
      </c>
      <c r="E176" s="245"/>
      <c r="F176" s="244"/>
      <c r="G176" s="244">
        <f t="shared" si="38"/>
        <v>10000000</v>
      </c>
      <c r="H176" s="244"/>
      <c r="I176" s="504">
        <f t="shared" si="39"/>
        <v>10000000</v>
      </c>
      <c r="J176" s="504"/>
      <c r="K176" s="596"/>
      <c r="L176" s="596"/>
      <c r="M176" s="504">
        <f t="shared" si="33"/>
        <v>10000000</v>
      </c>
      <c r="N176" s="504">
        <v>2909726</v>
      </c>
      <c r="O176" s="504">
        <v>3463782</v>
      </c>
      <c r="P176" s="504">
        <v>2972000</v>
      </c>
      <c r="Q176" s="504">
        <v>654492</v>
      </c>
      <c r="R176" s="504">
        <f t="shared" si="34"/>
        <v>10000000</v>
      </c>
      <c r="S176" s="735">
        <f t="shared" si="30"/>
        <v>1</v>
      </c>
    </row>
    <row r="177" spans="1:21" ht="15" hidden="1" outlineLevel="1" x14ac:dyDescent="0.25">
      <c r="A177" s="295" t="s">
        <v>441</v>
      </c>
      <c r="B177" s="503"/>
      <c r="C177" s="504"/>
      <c r="D177" s="506">
        <v>15000000</v>
      </c>
      <c r="E177" s="245"/>
      <c r="F177" s="244"/>
      <c r="G177" s="244">
        <f t="shared" si="38"/>
        <v>15000000</v>
      </c>
      <c r="H177" s="244"/>
      <c r="I177" s="504">
        <f>+H177+G177</f>
        <v>15000000</v>
      </c>
      <c r="J177" s="504"/>
      <c r="K177" s="596"/>
      <c r="L177" s="596"/>
      <c r="M177" s="504">
        <f>+I177+J177+K177+L177+826000</f>
        <v>15826000</v>
      </c>
      <c r="N177" s="504"/>
      <c r="O177" s="504"/>
      <c r="P177" s="504">
        <v>15826000</v>
      </c>
      <c r="Q177" s="504">
        <v>0</v>
      </c>
      <c r="R177" s="504">
        <f t="shared" si="34"/>
        <v>15826000</v>
      </c>
      <c r="S177" s="736">
        <f t="shared" si="30"/>
        <v>1</v>
      </c>
    </row>
    <row r="178" spans="1:21" ht="15" hidden="1" outlineLevel="1" x14ac:dyDescent="0.25">
      <c r="A178" s="295" t="s">
        <v>528</v>
      </c>
      <c r="B178" s="503"/>
      <c r="C178" s="504"/>
      <c r="D178" s="506"/>
      <c r="E178" s="245"/>
      <c r="F178" s="244"/>
      <c r="G178" s="244">
        <f t="shared" si="38"/>
        <v>0</v>
      </c>
      <c r="H178" s="244"/>
      <c r="I178" s="504">
        <f>+H178+G178</f>
        <v>0</v>
      </c>
      <c r="J178" s="504"/>
      <c r="K178" s="596">
        <v>78000000</v>
      </c>
      <c r="L178" s="596"/>
      <c r="M178" s="504">
        <f t="shared" si="33"/>
        <v>78000000</v>
      </c>
      <c r="N178" s="504"/>
      <c r="O178" s="504"/>
      <c r="P178" s="504">
        <v>71532831</v>
      </c>
      <c r="Q178" s="504">
        <v>6467169</v>
      </c>
      <c r="R178" s="504">
        <f t="shared" si="34"/>
        <v>78000000</v>
      </c>
      <c r="S178" s="735">
        <f t="shared" si="30"/>
        <v>1</v>
      </c>
    </row>
    <row r="179" spans="1:21" ht="15" collapsed="1" x14ac:dyDescent="0.25">
      <c r="A179" s="252" t="s">
        <v>304</v>
      </c>
      <c r="B179" s="243"/>
      <c r="C179" s="243"/>
      <c r="D179" s="21">
        <f>+D180+D186</f>
        <v>578120000</v>
      </c>
      <c r="E179" s="245"/>
      <c r="F179" s="245"/>
      <c r="G179" s="243">
        <f t="shared" si="38"/>
        <v>578120000</v>
      </c>
      <c r="H179" s="242"/>
      <c r="I179" s="505">
        <f t="shared" si="39"/>
        <v>578120000</v>
      </c>
      <c r="J179" s="21">
        <f>+J180+J186</f>
        <v>2450000000</v>
      </c>
      <c r="K179" s="21">
        <f>+K180+K186</f>
        <v>0</v>
      </c>
      <c r="L179" s="577">
        <f>+L180+L186</f>
        <v>-2477449607</v>
      </c>
      <c r="M179" s="505">
        <f t="shared" si="33"/>
        <v>550670393</v>
      </c>
      <c r="N179" s="505">
        <f>+N180+N186</f>
        <v>73153171</v>
      </c>
      <c r="O179" s="505">
        <f>+O180+O186</f>
        <v>110264222</v>
      </c>
      <c r="P179" s="505">
        <f>+P180+P186</f>
        <v>153000827</v>
      </c>
      <c r="Q179" s="505">
        <f>+Q180+Q186</f>
        <v>214252173</v>
      </c>
      <c r="R179" s="505">
        <f t="shared" si="34"/>
        <v>550670393</v>
      </c>
      <c r="S179" s="734">
        <f t="shared" si="30"/>
        <v>1</v>
      </c>
    </row>
    <row r="180" spans="1:21" ht="15" x14ac:dyDescent="0.25">
      <c r="A180" s="425" t="s">
        <v>449</v>
      </c>
      <c r="B180" s="243"/>
      <c r="C180" s="243"/>
      <c r="D180" s="243">
        <f>SUM(D181:D185)</f>
        <v>145420000</v>
      </c>
      <c r="E180" s="245"/>
      <c r="F180" s="245"/>
      <c r="G180" s="243">
        <f>+B180+C180+D180+E180+F180</f>
        <v>145420000</v>
      </c>
      <c r="H180" s="242"/>
      <c r="I180" s="505">
        <f>+H180+G180</f>
        <v>145420000</v>
      </c>
      <c r="J180" s="243">
        <f>SUM(J181:J185)</f>
        <v>2450000000</v>
      </c>
      <c r="K180" s="243">
        <f>SUM(K181:K185)</f>
        <v>0</v>
      </c>
      <c r="L180" s="586">
        <f>SUM(L181:L185)</f>
        <v>-2466309462</v>
      </c>
      <c r="M180" s="505">
        <f t="shared" si="33"/>
        <v>129110538</v>
      </c>
      <c r="N180" s="505">
        <f>SUM(N181:N185)</f>
        <v>19260538</v>
      </c>
      <c r="O180" s="505">
        <f>SUM(O181:O185)</f>
        <v>32461059</v>
      </c>
      <c r="P180" s="505">
        <f>SUM(P181:P185)</f>
        <v>33627827</v>
      </c>
      <c r="Q180" s="505">
        <f>SUM(Q181:Q185)</f>
        <v>43761114</v>
      </c>
      <c r="R180" s="505">
        <f t="shared" si="34"/>
        <v>129110538</v>
      </c>
      <c r="S180" s="734">
        <f t="shared" si="30"/>
        <v>1</v>
      </c>
      <c r="T180" s="676"/>
      <c r="U180" s="676"/>
    </row>
    <row r="181" spans="1:21" ht="15" hidden="1" outlineLevel="1" x14ac:dyDescent="0.25">
      <c r="A181" s="298" t="s">
        <v>442</v>
      </c>
      <c r="B181" s="243"/>
      <c r="C181" s="244"/>
      <c r="D181" s="244">
        <v>28700000</v>
      </c>
      <c r="E181" s="245"/>
      <c r="F181" s="245"/>
      <c r="G181" s="244">
        <f t="shared" si="38"/>
        <v>28700000</v>
      </c>
      <c r="H181" s="245"/>
      <c r="I181" s="504">
        <f t="shared" ref="I181:I195" si="40">+H181+G181</f>
        <v>28700000</v>
      </c>
      <c r="J181" s="504"/>
      <c r="K181" s="596"/>
      <c r="L181" s="597">
        <v>-1999576</v>
      </c>
      <c r="M181" s="504">
        <f t="shared" si="33"/>
        <v>26700424</v>
      </c>
      <c r="N181" s="504">
        <v>9416960</v>
      </c>
      <c r="O181" s="504">
        <v>13572173</v>
      </c>
      <c r="P181" s="504">
        <v>3711291</v>
      </c>
      <c r="Q181" s="504">
        <v>0</v>
      </c>
      <c r="R181" s="504">
        <f t="shared" si="34"/>
        <v>26700424</v>
      </c>
      <c r="S181" s="735">
        <f t="shared" si="30"/>
        <v>1</v>
      </c>
      <c r="T181" s="676"/>
      <c r="U181" s="676"/>
    </row>
    <row r="182" spans="1:21" ht="15" hidden="1" outlineLevel="1" x14ac:dyDescent="0.25">
      <c r="A182" s="298" t="s">
        <v>463</v>
      </c>
      <c r="B182" s="243"/>
      <c r="C182" s="244"/>
      <c r="D182" s="244">
        <v>25720000</v>
      </c>
      <c r="E182" s="245"/>
      <c r="F182" s="245"/>
      <c r="G182" s="244">
        <f t="shared" si="38"/>
        <v>25720000</v>
      </c>
      <c r="H182" s="245"/>
      <c r="I182" s="504">
        <f t="shared" si="40"/>
        <v>25720000</v>
      </c>
      <c r="J182" s="504"/>
      <c r="K182" s="596"/>
      <c r="L182" s="597"/>
      <c r="M182" s="504">
        <f t="shared" si="33"/>
        <v>25720000</v>
      </c>
      <c r="N182" s="504">
        <v>9843578</v>
      </c>
      <c r="O182" s="504">
        <v>2662308</v>
      </c>
      <c r="P182" s="504">
        <v>0</v>
      </c>
      <c r="Q182" s="504">
        <v>13214114</v>
      </c>
      <c r="R182" s="504">
        <f t="shared" si="34"/>
        <v>25720000</v>
      </c>
      <c r="S182" s="735">
        <f t="shared" si="30"/>
        <v>1</v>
      </c>
      <c r="T182" s="676"/>
      <c r="U182" s="676"/>
    </row>
    <row r="183" spans="1:21" ht="15" hidden="1" outlineLevel="1" x14ac:dyDescent="0.25">
      <c r="A183" s="298" t="s">
        <v>484</v>
      </c>
      <c r="B183" s="243"/>
      <c r="C183" s="244"/>
      <c r="D183" s="244">
        <v>70000000</v>
      </c>
      <c r="E183" s="245"/>
      <c r="F183" s="245"/>
      <c r="G183" s="244">
        <f t="shared" si="38"/>
        <v>70000000</v>
      </c>
      <c r="H183" s="245"/>
      <c r="I183" s="504">
        <f t="shared" si="40"/>
        <v>70000000</v>
      </c>
      <c r="J183" s="504"/>
      <c r="K183" s="596"/>
      <c r="L183" s="597">
        <v>-7000000</v>
      </c>
      <c r="M183" s="504">
        <f t="shared" si="33"/>
        <v>63000000</v>
      </c>
      <c r="N183" s="504"/>
      <c r="O183" s="504">
        <v>4871000</v>
      </c>
      <c r="P183" s="504">
        <v>27582000</v>
      </c>
      <c r="Q183" s="504">
        <v>30547000</v>
      </c>
      <c r="R183" s="504">
        <f t="shared" si="34"/>
        <v>63000000</v>
      </c>
      <c r="S183" s="735">
        <f t="shared" si="30"/>
        <v>1</v>
      </c>
      <c r="T183" s="676"/>
      <c r="U183" s="676"/>
    </row>
    <row r="184" spans="1:21" ht="15" hidden="1" outlineLevel="1" x14ac:dyDescent="0.25">
      <c r="A184" s="298" t="s">
        <v>464</v>
      </c>
      <c r="B184" s="243"/>
      <c r="C184" s="244"/>
      <c r="D184" s="244">
        <v>21000000</v>
      </c>
      <c r="E184" s="245"/>
      <c r="F184" s="245"/>
      <c r="G184" s="244">
        <f t="shared" si="38"/>
        <v>21000000</v>
      </c>
      <c r="H184" s="245"/>
      <c r="I184" s="504">
        <f t="shared" si="40"/>
        <v>21000000</v>
      </c>
      <c r="J184" s="504"/>
      <c r="K184" s="596"/>
      <c r="L184" s="597">
        <v>-7309886</v>
      </c>
      <c r="M184" s="504">
        <f t="shared" si="33"/>
        <v>13690114</v>
      </c>
      <c r="N184" s="504"/>
      <c r="O184" s="504">
        <v>11355578</v>
      </c>
      <c r="P184" s="504">
        <v>2334536</v>
      </c>
      <c r="Q184" s="504">
        <v>0</v>
      </c>
      <c r="R184" s="504">
        <f t="shared" si="34"/>
        <v>13690114</v>
      </c>
      <c r="S184" s="735">
        <f t="shared" si="30"/>
        <v>1</v>
      </c>
      <c r="T184" s="676"/>
      <c r="U184" s="676"/>
    </row>
    <row r="185" spans="1:21" ht="15" hidden="1" outlineLevel="1" x14ac:dyDescent="0.25">
      <c r="A185" s="298" t="s">
        <v>529</v>
      </c>
      <c r="B185" s="243"/>
      <c r="C185" s="244"/>
      <c r="D185" s="244"/>
      <c r="E185" s="245"/>
      <c r="F185" s="245"/>
      <c r="G185" s="244"/>
      <c r="H185" s="245"/>
      <c r="I185" s="504"/>
      <c r="J185" s="506">
        <v>2450000000</v>
      </c>
      <c r="K185" s="597"/>
      <c r="L185" s="597">
        <v>-2450000000</v>
      </c>
      <c r="M185" s="504">
        <f t="shared" si="33"/>
        <v>0</v>
      </c>
      <c r="N185" s="504"/>
      <c r="O185" s="504"/>
      <c r="P185" s="504"/>
      <c r="Q185" s="504"/>
      <c r="R185" s="504">
        <f t="shared" si="34"/>
        <v>0</v>
      </c>
      <c r="S185" s="735">
        <v>0</v>
      </c>
      <c r="T185" s="676"/>
      <c r="U185" s="676"/>
    </row>
    <row r="186" spans="1:21" ht="15" collapsed="1" x14ac:dyDescent="0.25">
      <c r="A186" s="299" t="s">
        <v>312</v>
      </c>
      <c r="B186" s="243"/>
      <c r="C186" s="243"/>
      <c r="D186" s="243">
        <f>SUM(D187:D195)</f>
        <v>432700000</v>
      </c>
      <c r="E186" s="245"/>
      <c r="F186" s="245"/>
      <c r="G186" s="243">
        <f>+B186+C186+D186+E186+F186</f>
        <v>432700000</v>
      </c>
      <c r="H186" s="242"/>
      <c r="I186" s="505">
        <f>+H186+G186</f>
        <v>432700000</v>
      </c>
      <c r="J186" s="243">
        <f>SUM(J187:J195)</f>
        <v>0</v>
      </c>
      <c r="K186" s="243">
        <f>SUM(K187:K195)</f>
        <v>0</v>
      </c>
      <c r="L186" s="577">
        <f>SUM(L187:L195)</f>
        <v>-11140145</v>
      </c>
      <c r="M186" s="505">
        <f t="shared" si="33"/>
        <v>421559855</v>
      </c>
      <c r="N186" s="505">
        <f>SUM(N187:N195)</f>
        <v>53892633</v>
      </c>
      <c r="O186" s="505">
        <f>SUM(O187:O195)</f>
        <v>77803163</v>
      </c>
      <c r="P186" s="505">
        <f>SUM(P187:P195)</f>
        <v>119373000</v>
      </c>
      <c r="Q186" s="505">
        <f>SUM(Q187:Q195)</f>
        <v>170491059</v>
      </c>
      <c r="R186" s="505">
        <f t="shared" si="34"/>
        <v>421559855</v>
      </c>
      <c r="S186" s="734">
        <f t="shared" si="30"/>
        <v>1</v>
      </c>
      <c r="T186" s="676"/>
      <c r="U186" s="676"/>
    </row>
    <row r="187" spans="1:21" ht="15" hidden="1" outlineLevel="1" x14ac:dyDescent="0.25">
      <c r="A187" s="295" t="s">
        <v>443</v>
      </c>
      <c r="B187" s="243"/>
      <c r="C187" s="244"/>
      <c r="D187" s="112">
        <v>130000000</v>
      </c>
      <c r="E187" s="245"/>
      <c r="F187" s="245"/>
      <c r="G187" s="244">
        <f t="shared" si="38"/>
        <v>130000000</v>
      </c>
      <c r="H187" s="245"/>
      <c r="I187" s="504">
        <f t="shared" si="40"/>
        <v>130000000</v>
      </c>
      <c r="J187" s="504"/>
      <c r="K187" s="596"/>
      <c r="L187" s="597"/>
      <c r="M187" s="504">
        <f t="shared" si="33"/>
        <v>130000000</v>
      </c>
      <c r="N187" s="504">
        <v>7405078</v>
      </c>
      <c r="O187" s="504">
        <v>50335915</v>
      </c>
      <c r="P187" s="504">
        <v>13400000</v>
      </c>
      <c r="Q187" s="504">
        <v>58859007</v>
      </c>
      <c r="R187" s="504">
        <f t="shared" si="34"/>
        <v>130000000</v>
      </c>
      <c r="S187" s="735">
        <f t="shared" si="30"/>
        <v>1</v>
      </c>
      <c r="T187" s="676"/>
      <c r="U187" s="676"/>
    </row>
    <row r="188" spans="1:21" ht="15" hidden="1" outlineLevel="1" x14ac:dyDescent="0.25">
      <c r="A188" s="295" t="s">
        <v>492</v>
      </c>
      <c r="B188" s="243"/>
      <c r="C188" s="244"/>
      <c r="D188" s="112">
        <f>56000000</f>
        <v>56000000</v>
      </c>
      <c r="E188" s="245"/>
      <c r="F188" s="245"/>
      <c r="G188" s="244">
        <f>+B188+C188+D188+E188+F188</f>
        <v>56000000</v>
      </c>
      <c r="H188" s="245"/>
      <c r="I188" s="504">
        <f t="shared" si="40"/>
        <v>56000000</v>
      </c>
      <c r="J188" s="504"/>
      <c r="K188" s="596"/>
      <c r="L188" s="597">
        <v>-3740815</v>
      </c>
      <c r="M188" s="504">
        <f>+I188+J188+K188+L188-12160000</f>
        <v>40099185</v>
      </c>
      <c r="N188" s="504">
        <v>20259185</v>
      </c>
      <c r="O188" s="504">
        <v>0</v>
      </c>
      <c r="P188" s="504">
        <v>19840000</v>
      </c>
      <c r="Q188" s="504">
        <v>0</v>
      </c>
      <c r="R188" s="504">
        <f t="shared" si="34"/>
        <v>40099185</v>
      </c>
      <c r="S188" s="735">
        <f t="shared" si="30"/>
        <v>1</v>
      </c>
      <c r="T188" s="676"/>
      <c r="U188" s="676"/>
    </row>
    <row r="189" spans="1:21" ht="15" hidden="1" outlineLevel="1" x14ac:dyDescent="0.25">
      <c r="A189" s="295" t="s">
        <v>465</v>
      </c>
      <c r="B189" s="243"/>
      <c r="C189" s="244"/>
      <c r="D189" s="112">
        <v>47500000</v>
      </c>
      <c r="E189" s="245"/>
      <c r="F189" s="245"/>
      <c r="G189" s="244">
        <f t="shared" ref="G189:G195" si="41">+B189+C189+D189+E189+F189</f>
        <v>47500000</v>
      </c>
      <c r="H189" s="245"/>
      <c r="I189" s="504">
        <f t="shared" si="40"/>
        <v>47500000</v>
      </c>
      <c r="J189" s="504"/>
      <c r="K189" s="596"/>
      <c r="L189" s="597"/>
      <c r="M189" s="504">
        <f t="shared" si="33"/>
        <v>47500000</v>
      </c>
      <c r="N189" s="504">
        <v>0</v>
      </c>
      <c r="O189" s="504">
        <v>0</v>
      </c>
      <c r="P189" s="504">
        <v>0</v>
      </c>
      <c r="Q189" s="504">
        <v>47500000</v>
      </c>
      <c r="R189" s="504">
        <f t="shared" si="34"/>
        <v>47500000</v>
      </c>
      <c r="S189" s="735">
        <f t="shared" si="30"/>
        <v>1</v>
      </c>
      <c r="T189" s="676"/>
      <c r="U189" s="676"/>
    </row>
    <row r="190" spans="1:21" ht="15" hidden="1" outlineLevel="1" x14ac:dyDescent="0.25">
      <c r="A190" s="295" t="s">
        <v>466</v>
      </c>
      <c r="B190" s="243"/>
      <c r="C190" s="244"/>
      <c r="D190" s="112">
        <v>18000000</v>
      </c>
      <c r="E190" s="245"/>
      <c r="F190" s="245"/>
      <c r="G190" s="244">
        <f t="shared" si="41"/>
        <v>18000000</v>
      </c>
      <c r="H190" s="245"/>
      <c r="I190" s="504">
        <f t="shared" si="40"/>
        <v>18000000</v>
      </c>
      <c r="J190" s="504"/>
      <c r="K190" s="596"/>
      <c r="L190" s="597"/>
      <c r="M190" s="504">
        <f t="shared" si="33"/>
        <v>18000000</v>
      </c>
      <c r="N190" s="504">
        <v>0</v>
      </c>
      <c r="O190" s="504">
        <v>10127428</v>
      </c>
      <c r="P190" s="504">
        <v>6000000</v>
      </c>
      <c r="Q190" s="504">
        <v>1872572</v>
      </c>
      <c r="R190" s="504">
        <f t="shared" si="34"/>
        <v>18000000</v>
      </c>
      <c r="S190" s="735">
        <f t="shared" si="30"/>
        <v>1</v>
      </c>
      <c r="T190" s="676"/>
      <c r="U190" s="676"/>
    </row>
    <row r="191" spans="1:21" ht="15" hidden="1" outlineLevel="1" x14ac:dyDescent="0.25">
      <c r="A191" s="295" t="s">
        <v>467</v>
      </c>
      <c r="B191" s="243"/>
      <c r="C191" s="244"/>
      <c r="D191" s="112">
        <v>30000000</v>
      </c>
      <c r="E191" s="245"/>
      <c r="F191" s="245"/>
      <c r="G191" s="244">
        <f t="shared" si="41"/>
        <v>30000000</v>
      </c>
      <c r="H191" s="245"/>
      <c r="I191" s="504">
        <f t="shared" si="40"/>
        <v>30000000</v>
      </c>
      <c r="J191" s="504"/>
      <c r="K191" s="596"/>
      <c r="L191" s="597"/>
      <c r="M191" s="504">
        <f t="shared" si="33"/>
        <v>30000000</v>
      </c>
      <c r="N191" s="504">
        <v>9204700</v>
      </c>
      <c r="O191" s="504">
        <v>0</v>
      </c>
      <c r="P191" s="504">
        <v>2330000</v>
      </c>
      <c r="Q191" s="504">
        <v>18465300</v>
      </c>
      <c r="R191" s="504">
        <f t="shared" si="34"/>
        <v>30000000</v>
      </c>
      <c r="S191" s="735">
        <f t="shared" si="30"/>
        <v>1</v>
      </c>
      <c r="T191" s="676"/>
      <c r="U191" s="676"/>
    </row>
    <row r="192" spans="1:21" ht="15" hidden="1" outlineLevel="1" x14ac:dyDescent="0.25">
      <c r="A192" s="295" t="s">
        <v>468</v>
      </c>
      <c r="B192" s="243"/>
      <c r="C192" s="244"/>
      <c r="D192" s="112">
        <f>41000000</f>
        <v>41000000</v>
      </c>
      <c r="E192" s="245"/>
      <c r="F192" s="245"/>
      <c r="G192" s="244">
        <f t="shared" si="41"/>
        <v>41000000</v>
      </c>
      <c r="H192" s="245"/>
      <c r="I192" s="504">
        <f t="shared" si="40"/>
        <v>41000000</v>
      </c>
      <c r="J192" s="504"/>
      <c r="K192" s="596"/>
      <c r="L192" s="597">
        <v>-4000000</v>
      </c>
      <c r="M192" s="504">
        <f>+I192+J192+K192+L192+12160000</f>
        <v>49160000</v>
      </c>
      <c r="N192" s="504">
        <v>0</v>
      </c>
      <c r="O192" s="504">
        <v>0</v>
      </c>
      <c r="P192" s="504">
        <v>49160000</v>
      </c>
      <c r="Q192" s="504">
        <v>0</v>
      </c>
      <c r="R192" s="504">
        <f t="shared" si="34"/>
        <v>49160000</v>
      </c>
      <c r="S192" s="735">
        <f t="shared" si="30"/>
        <v>1</v>
      </c>
      <c r="T192" s="676"/>
      <c r="U192" s="676"/>
    </row>
    <row r="193" spans="1:22" ht="15" hidden="1" outlineLevel="1" x14ac:dyDescent="0.25">
      <c r="A193" s="295" t="s">
        <v>469</v>
      </c>
      <c r="B193" s="243"/>
      <c r="C193" s="244"/>
      <c r="D193" s="112">
        <v>16920000</v>
      </c>
      <c r="E193" s="245"/>
      <c r="F193" s="245"/>
      <c r="G193" s="244">
        <f t="shared" si="41"/>
        <v>16920000</v>
      </c>
      <c r="H193" s="245"/>
      <c r="I193" s="504">
        <f t="shared" si="40"/>
        <v>16920000</v>
      </c>
      <c r="J193" s="504"/>
      <c r="K193" s="596"/>
      <c r="L193" s="597"/>
      <c r="M193" s="504">
        <f t="shared" si="33"/>
        <v>16920000</v>
      </c>
      <c r="N193" s="504">
        <v>0</v>
      </c>
      <c r="O193" s="504">
        <v>0</v>
      </c>
      <c r="P193" s="504">
        <v>10000000</v>
      </c>
      <c r="Q193" s="504">
        <v>6920000</v>
      </c>
      <c r="R193" s="504">
        <f t="shared" si="34"/>
        <v>16920000</v>
      </c>
      <c r="S193" s="735">
        <f t="shared" si="30"/>
        <v>1</v>
      </c>
      <c r="T193" s="676"/>
      <c r="U193" s="676"/>
    </row>
    <row r="194" spans="1:22" ht="15" hidden="1" outlineLevel="1" x14ac:dyDescent="0.25">
      <c r="A194" s="295" t="s">
        <v>470</v>
      </c>
      <c r="B194" s="243"/>
      <c r="C194" s="244"/>
      <c r="D194" s="112">
        <v>23280000</v>
      </c>
      <c r="E194" s="245"/>
      <c r="F194" s="245"/>
      <c r="G194" s="244">
        <f t="shared" si="41"/>
        <v>23280000</v>
      </c>
      <c r="H194" s="245"/>
      <c r="I194" s="504">
        <f t="shared" si="40"/>
        <v>23280000</v>
      </c>
      <c r="J194" s="504"/>
      <c r="K194" s="596"/>
      <c r="L194" s="597"/>
      <c r="M194" s="504">
        <f t="shared" si="33"/>
        <v>23280000</v>
      </c>
      <c r="N194" s="504">
        <v>0</v>
      </c>
      <c r="O194" s="504">
        <v>0</v>
      </c>
      <c r="P194" s="504">
        <v>4543000</v>
      </c>
      <c r="Q194" s="504">
        <v>18737000</v>
      </c>
      <c r="R194" s="504">
        <f t="shared" si="34"/>
        <v>23280000</v>
      </c>
      <c r="S194" s="735">
        <f t="shared" si="30"/>
        <v>1</v>
      </c>
      <c r="T194" s="676"/>
      <c r="U194" s="676"/>
    </row>
    <row r="195" spans="1:22" ht="15" hidden="1" outlineLevel="1" x14ac:dyDescent="0.25">
      <c r="A195" s="295" t="s">
        <v>471</v>
      </c>
      <c r="B195" s="243"/>
      <c r="C195" s="244"/>
      <c r="D195" s="112">
        <v>70000000</v>
      </c>
      <c r="E195" s="245"/>
      <c r="F195" s="245"/>
      <c r="G195" s="244">
        <f t="shared" si="41"/>
        <v>70000000</v>
      </c>
      <c r="H195" s="245"/>
      <c r="I195" s="504">
        <f t="shared" si="40"/>
        <v>70000000</v>
      </c>
      <c r="J195" s="504"/>
      <c r="K195" s="596"/>
      <c r="L195" s="597">
        <v>-3399330</v>
      </c>
      <c r="M195" s="504">
        <f t="shared" si="33"/>
        <v>66600670</v>
      </c>
      <c r="N195" s="504">
        <v>17023670</v>
      </c>
      <c r="O195" s="504">
        <v>17339820</v>
      </c>
      <c r="P195" s="504">
        <v>14100000</v>
      </c>
      <c r="Q195" s="504">
        <v>18137180</v>
      </c>
      <c r="R195" s="504">
        <f t="shared" si="34"/>
        <v>66600670</v>
      </c>
      <c r="S195" s="735">
        <f t="shared" si="30"/>
        <v>1</v>
      </c>
      <c r="T195" s="676"/>
      <c r="U195" s="676"/>
    </row>
    <row r="196" spans="1:22" ht="15" collapsed="1" x14ac:dyDescent="0.25">
      <c r="A196" s="300"/>
      <c r="B196" s="243"/>
      <c r="C196" s="243"/>
      <c r="D196" s="243"/>
      <c r="E196" s="243"/>
      <c r="F196" s="243"/>
      <c r="G196" s="243"/>
      <c r="H196" s="243"/>
      <c r="I196" s="243"/>
      <c r="J196" s="243"/>
      <c r="K196" s="586"/>
      <c r="L196" s="586"/>
      <c r="M196" s="243"/>
      <c r="N196" s="243"/>
      <c r="O196" s="243"/>
      <c r="P196" s="243"/>
      <c r="Q196" s="243"/>
      <c r="R196" s="243"/>
      <c r="S196" s="729"/>
      <c r="T196" s="676"/>
      <c r="U196" s="676"/>
    </row>
    <row r="197" spans="1:22" ht="15" x14ac:dyDescent="0.25">
      <c r="A197" s="25" t="s">
        <v>106</v>
      </c>
      <c r="B197" s="23"/>
      <c r="C197" s="23"/>
      <c r="D197" s="23"/>
      <c r="E197" s="23"/>
      <c r="F197" s="23"/>
      <c r="G197" s="23"/>
      <c r="H197" s="21">
        <f>+H198+H199</f>
        <v>1985797116.6400001</v>
      </c>
      <c r="I197" s="21">
        <f>+H197+G197</f>
        <v>1985797116.6400001</v>
      </c>
      <c r="J197" s="21">
        <f>+J198+J199</f>
        <v>0</v>
      </c>
      <c r="K197" s="21">
        <f>+K198+K199</f>
        <v>0</v>
      </c>
      <c r="L197" s="577">
        <f>+L198+L199</f>
        <v>0</v>
      </c>
      <c r="M197" s="21">
        <f t="shared" si="33"/>
        <v>1985797116.6400001</v>
      </c>
      <c r="N197" s="21">
        <f>SUM(N198:N199)</f>
        <v>460435774.5</v>
      </c>
      <c r="O197" s="21">
        <f>SUM(O198:O199)</f>
        <v>481666786</v>
      </c>
      <c r="P197" s="21">
        <f>SUM(P198:P199)</f>
        <v>495319351.60000002</v>
      </c>
      <c r="Q197" s="21">
        <f>SUM(Q198:Q199)</f>
        <v>607604708</v>
      </c>
      <c r="R197" s="21">
        <f>+N197+O197+P197+Q197</f>
        <v>2045026620.0999999</v>
      </c>
      <c r="S197" s="724">
        <f t="shared" si="30"/>
        <v>1.0298265633300028</v>
      </c>
      <c r="T197" s="676"/>
      <c r="U197" s="676"/>
    </row>
    <row r="198" spans="1:22" ht="14.25" hidden="1" outlineLevel="1" x14ac:dyDescent="0.2">
      <c r="A198" s="113" t="s">
        <v>444</v>
      </c>
      <c r="B198" s="23"/>
      <c r="C198" s="23"/>
      <c r="D198" s="23"/>
      <c r="E198" s="23"/>
      <c r="F198" s="23"/>
      <c r="G198" s="23"/>
      <c r="H198" s="112">
        <v>1241123197.9000001</v>
      </c>
      <c r="I198" s="112">
        <f>+H198+G198</f>
        <v>1241123197.9000001</v>
      </c>
      <c r="J198" s="112"/>
      <c r="K198" s="588"/>
      <c r="L198" s="588"/>
      <c r="M198" s="112">
        <f t="shared" si="33"/>
        <v>1241123197.9000001</v>
      </c>
      <c r="N198" s="112">
        <v>287772357.1875</v>
      </c>
      <c r="O198" s="112">
        <v>301041743</v>
      </c>
      <c r="P198" s="112">
        <v>309574594.75</v>
      </c>
      <c r="Q198" s="112">
        <v>379752943</v>
      </c>
      <c r="R198" s="112">
        <f>+N198+O198+P198+Q198</f>
        <v>1278141637.9375</v>
      </c>
      <c r="S198" s="731">
        <f t="shared" si="30"/>
        <v>1.0298265636321484</v>
      </c>
      <c r="T198" s="676"/>
      <c r="U198" s="676"/>
    </row>
    <row r="199" spans="1:22" ht="14.25" hidden="1" outlineLevel="1" x14ac:dyDescent="0.2">
      <c r="A199" s="113" t="s">
        <v>445</v>
      </c>
      <c r="B199" s="23"/>
      <c r="C199" s="23"/>
      <c r="D199" s="23"/>
      <c r="E199" s="23"/>
      <c r="F199" s="23"/>
      <c r="G199" s="23"/>
      <c r="H199" s="112">
        <v>744673918.74000001</v>
      </c>
      <c r="I199" s="112">
        <f>+H199+G199</f>
        <v>744673918.74000001</v>
      </c>
      <c r="J199" s="112"/>
      <c r="K199" s="588"/>
      <c r="L199" s="588"/>
      <c r="M199" s="112">
        <f t="shared" si="33"/>
        <v>744673918.74000001</v>
      </c>
      <c r="N199" s="112">
        <v>172663417.3125</v>
      </c>
      <c r="O199" s="112">
        <v>180625043</v>
      </c>
      <c r="P199" s="112">
        <v>185744756.85000002</v>
      </c>
      <c r="Q199" s="112">
        <v>227851765</v>
      </c>
      <c r="R199" s="112">
        <f>+N199+O199+P199+Q199</f>
        <v>766884982.16250002</v>
      </c>
      <c r="S199" s="731">
        <f t="shared" si="30"/>
        <v>1.0298265628264267</v>
      </c>
      <c r="T199" s="676"/>
      <c r="U199" s="676"/>
    </row>
    <row r="200" spans="1:22" ht="15" collapsed="1" x14ac:dyDescent="0.25">
      <c r="A200" s="27"/>
      <c r="B200" s="23"/>
      <c r="C200" s="23"/>
      <c r="D200" s="23"/>
      <c r="E200" s="23"/>
      <c r="F200" s="23"/>
      <c r="G200" s="23"/>
      <c r="H200" s="23"/>
      <c r="I200" s="23"/>
      <c r="J200" s="23"/>
      <c r="K200" s="576"/>
      <c r="L200" s="576"/>
      <c r="M200" s="23"/>
      <c r="N200" s="23"/>
      <c r="O200" s="23"/>
      <c r="P200" s="23"/>
      <c r="Q200" s="23"/>
      <c r="R200" s="23"/>
      <c r="S200" s="720"/>
      <c r="T200" s="617"/>
      <c r="U200" s="617"/>
    </row>
    <row r="201" spans="1:22" ht="15" x14ac:dyDescent="0.25">
      <c r="A201" s="439" t="s">
        <v>400</v>
      </c>
      <c r="B201" s="26"/>
      <c r="C201" s="26"/>
      <c r="D201" s="26"/>
      <c r="E201" s="26">
        <v>7900000000</v>
      </c>
      <c r="F201" s="26"/>
      <c r="G201" s="26">
        <f>+B201+C201+D201+E201+F201</f>
        <v>7900000000</v>
      </c>
      <c r="H201" s="26"/>
      <c r="I201" s="685">
        <f>+H201+G201</f>
        <v>7900000000</v>
      </c>
      <c r="J201" s="685">
        <v>0</v>
      </c>
      <c r="K201" s="686">
        <v>0</v>
      </c>
      <c r="L201" s="686">
        <v>0</v>
      </c>
      <c r="M201" s="685">
        <f>+I201+J201+K201+L201</f>
        <v>7900000000</v>
      </c>
      <c r="N201" s="685">
        <v>45493807</v>
      </c>
      <c r="O201" s="685">
        <v>336356121</v>
      </c>
      <c r="P201" s="685">
        <v>217324134</v>
      </c>
      <c r="Q201" s="685">
        <v>1131000000</v>
      </c>
      <c r="R201" s="685">
        <f>+N201+O201+P201+Q201</f>
        <v>1730174062</v>
      </c>
      <c r="S201" s="737">
        <f>+R201/M201</f>
        <v>0.21900937493670886</v>
      </c>
    </row>
    <row r="202" spans="1:22" ht="15" x14ac:dyDescent="0.25">
      <c r="A202" s="27"/>
      <c r="B202" s="23"/>
      <c r="C202" s="23"/>
      <c r="D202" s="23"/>
      <c r="E202" s="23"/>
      <c r="F202" s="23"/>
      <c r="G202" s="23"/>
      <c r="H202" s="23"/>
      <c r="I202" s="23"/>
      <c r="J202" s="23"/>
      <c r="K202" s="576"/>
      <c r="L202" s="576"/>
      <c r="M202" s="23"/>
      <c r="N202" s="23"/>
      <c r="O202" s="23"/>
      <c r="P202" s="23"/>
      <c r="Q202" s="23"/>
      <c r="R202" s="23"/>
      <c r="S202" s="720"/>
    </row>
    <row r="203" spans="1:22" ht="15" x14ac:dyDescent="0.25">
      <c r="A203" s="25" t="s">
        <v>124</v>
      </c>
      <c r="B203" s="23"/>
      <c r="C203" s="23"/>
      <c r="D203" s="23"/>
      <c r="E203" s="23"/>
      <c r="F203" s="23"/>
      <c r="G203" s="21">
        <f>+B203+C203+E203+F203</f>
        <v>0</v>
      </c>
      <c r="H203" s="21">
        <f>+H204+H205</f>
        <v>796828783.41875648</v>
      </c>
      <c r="I203" s="21">
        <f>+H203+G203</f>
        <v>796828783.41875648</v>
      </c>
      <c r="J203" s="21">
        <f>+J204+J205</f>
        <v>772080395</v>
      </c>
      <c r="K203" s="21">
        <f>+K204+K205</f>
        <v>-133800000</v>
      </c>
      <c r="L203" s="577">
        <f>+L204+L205</f>
        <v>283337768</v>
      </c>
      <c r="M203" s="21">
        <f>+I203+J203+K203+L203</f>
        <v>1718446946.4187565</v>
      </c>
      <c r="N203" s="21">
        <f>SUM(N204:N205)</f>
        <v>0</v>
      </c>
      <c r="O203" s="21">
        <f>SUM(O204:O205)</f>
        <v>0</v>
      </c>
      <c r="P203" s="21">
        <f>SUM(P204:P205)</f>
        <v>0</v>
      </c>
      <c r="Q203" s="21">
        <f>SUM(Q204:Q205)</f>
        <v>0</v>
      </c>
      <c r="R203" s="21">
        <f>+N203+O203+P203+Q203</f>
        <v>0</v>
      </c>
      <c r="S203" s="724">
        <f>+R203/M203</f>
        <v>0</v>
      </c>
      <c r="T203" s="616"/>
      <c r="U203" s="616"/>
    </row>
    <row r="204" spans="1:22" s="31" customFormat="1" ht="14.25" hidden="1" outlineLevel="1" x14ac:dyDescent="0.2">
      <c r="A204" s="24" t="s">
        <v>171</v>
      </c>
      <c r="B204" s="23"/>
      <c r="C204" s="23"/>
      <c r="D204" s="23"/>
      <c r="E204" s="23"/>
      <c r="F204" s="23"/>
      <c r="G204" s="23">
        <f>+B204+C204+E204+F204</f>
        <v>0</v>
      </c>
      <c r="H204" s="23">
        <v>155563064.87788391</v>
      </c>
      <c r="I204" s="23">
        <f>+H204+G204</f>
        <v>155563064.87788391</v>
      </c>
      <c r="J204" s="23">
        <f>107065204-6776000-123065063+30693251</f>
        <v>7917392</v>
      </c>
      <c r="K204" s="576">
        <f>85000000-10000000-19800000-78000000</f>
        <v>-22800000</v>
      </c>
      <c r="L204" s="576">
        <f>15000000+43700000+36225574+25700607+30000000+98200472+24610000+12451508+16309462+11140145</f>
        <v>313337768</v>
      </c>
      <c r="M204" s="23">
        <f>+I204+J204+K204+L204</f>
        <v>454018224.87788391</v>
      </c>
      <c r="N204" s="23"/>
      <c r="O204" s="23"/>
      <c r="P204" s="23"/>
      <c r="Q204" s="23"/>
      <c r="R204" s="23">
        <f>+N204+O204+P204+Q204</f>
        <v>0</v>
      </c>
      <c r="S204" s="720">
        <f>+R204/M204</f>
        <v>0</v>
      </c>
    </row>
    <row r="205" spans="1:22" s="31" customFormat="1" ht="14.25" hidden="1" outlineLevel="1" x14ac:dyDescent="0.2">
      <c r="A205" s="24" t="s">
        <v>172</v>
      </c>
      <c r="B205" s="23"/>
      <c r="C205" s="23"/>
      <c r="D205" s="23"/>
      <c r="E205" s="23"/>
      <c r="F205" s="23"/>
      <c r="G205" s="23">
        <f>+B205+C205+E205+F205</f>
        <v>0</v>
      </c>
      <c r="H205" s="23">
        <v>641265718.54087257</v>
      </c>
      <c r="I205" s="23">
        <f>+H205+G205</f>
        <v>641265718.54087257</v>
      </c>
      <c r="J205" s="23">
        <f>764163003</f>
        <v>764163003</v>
      </c>
      <c r="K205" s="576">
        <f>-61000000-50000000</f>
        <v>-111000000</v>
      </c>
      <c r="L205" s="576">
        <f>-30000000</f>
        <v>-30000000</v>
      </c>
      <c r="M205" s="23">
        <f>+I205+J205+K205+L205</f>
        <v>1264428721.5408726</v>
      </c>
      <c r="N205" s="23"/>
      <c r="O205" s="23"/>
      <c r="P205" s="23"/>
      <c r="Q205" s="23"/>
      <c r="R205" s="23">
        <f>+N205+O205+P205+Q205</f>
        <v>0</v>
      </c>
      <c r="S205" s="720">
        <f>+R205/M205</f>
        <v>0</v>
      </c>
      <c r="T205" s="202"/>
      <c r="U205" s="202"/>
    </row>
    <row r="206" spans="1:22" ht="15" collapsed="1" x14ac:dyDescent="0.25">
      <c r="A206" s="27"/>
      <c r="B206" s="23"/>
      <c r="C206" s="23"/>
      <c r="D206" s="23"/>
      <c r="E206" s="23"/>
      <c r="F206" s="23"/>
      <c r="G206" s="23"/>
      <c r="H206" s="23"/>
      <c r="I206" s="23"/>
      <c r="J206" s="23"/>
      <c r="K206" s="576"/>
      <c r="L206" s="576"/>
      <c r="M206" s="23"/>
      <c r="N206" s="23"/>
      <c r="O206" s="23"/>
      <c r="P206" s="23"/>
      <c r="Q206" s="23"/>
      <c r="R206" s="23"/>
      <c r="S206" s="720"/>
      <c r="T206" s="677"/>
      <c r="U206" s="677"/>
    </row>
    <row r="207" spans="1:22" ht="15.75" thickBot="1" x14ac:dyDescent="0.3">
      <c r="A207" s="600" t="s">
        <v>191</v>
      </c>
      <c r="B207" s="17">
        <f>+B39+B37</f>
        <v>3904120554.7203135</v>
      </c>
      <c r="C207" s="17">
        <f>+C37+C39</f>
        <v>1824959341.7110376</v>
      </c>
      <c r="D207" s="17">
        <f>+D39+D37</f>
        <v>972624643.52419519</v>
      </c>
      <c r="E207" s="17">
        <f>+E37+E39+E201</f>
        <v>14744841716.688625</v>
      </c>
      <c r="F207" s="17">
        <f>+F39+F37</f>
        <v>6559478998.9288273</v>
      </c>
      <c r="G207" s="17">
        <f>+B207+C207+E207+F207+D207</f>
        <v>28006025255.573002</v>
      </c>
      <c r="H207" s="17">
        <f>+H203+H197+H39+H37</f>
        <v>3703020213.5632491</v>
      </c>
      <c r="I207" s="17">
        <f>+I37+I39+I197+I201+I203</f>
        <v>31709045469.136246</v>
      </c>
      <c r="J207" s="17">
        <f>+J203+J201+J197+J39+J37</f>
        <v>3366689679</v>
      </c>
      <c r="K207" s="17">
        <f>+K203+K201+K197+K39+K37</f>
        <v>-85000000</v>
      </c>
      <c r="L207" s="601">
        <f>+L203+L201+L197+L39+L37</f>
        <v>-2535000000</v>
      </c>
      <c r="M207" s="17">
        <f>+M37+M39+M197+M201+M203</f>
        <v>32455735148.136246</v>
      </c>
      <c r="N207" s="17">
        <f>+N37+N39+N197+N201+N203</f>
        <v>4322165408.3220997</v>
      </c>
      <c r="O207" s="17">
        <f>+O37+O39+O197+O201+O203</f>
        <v>6072325835.9992237</v>
      </c>
      <c r="P207" s="17">
        <f>+P37+P39+P197+P201+P203</f>
        <v>7183720136.1536226</v>
      </c>
      <c r="Q207" s="17">
        <f>+Q37+Q39+Q197+Q201+Q203</f>
        <v>7039798737.7030678</v>
      </c>
      <c r="R207" s="17">
        <f>+R37+R39+R197+R201</f>
        <v>24618010118.178013</v>
      </c>
      <c r="S207" s="738">
        <f>IFERROR(R207/(M207-M203-M201+R201),0)</f>
        <v>1.0020575122459912</v>
      </c>
      <c r="T207" s="677"/>
      <c r="U207" s="677"/>
      <c r="V207" s="616"/>
    </row>
    <row r="208" spans="1:22" ht="14.25" thickTop="1" thickBot="1" x14ac:dyDescent="0.25">
      <c r="A208" s="849"/>
      <c r="B208" s="850"/>
      <c r="C208" s="850"/>
      <c r="D208" s="850"/>
      <c r="E208" s="850"/>
      <c r="F208" s="851"/>
      <c r="G208" s="850"/>
      <c r="H208" s="850"/>
      <c r="I208" s="852"/>
      <c r="J208" s="852"/>
      <c r="K208" s="852"/>
      <c r="L208" s="852"/>
      <c r="M208" s="852"/>
      <c r="N208" s="29"/>
      <c r="O208" s="29"/>
      <c r="P208" s="29"/>
      <c r="Q208" s="29"/>
      <c r="R208" s="853"/>
      <c r="S208" s="854"/>
      <c r="T208" s="678"/>
      <c r="U208" s="678"/>
    </row>
    <row r="209" spans="1:22" ht="15.75" thickBot="1" x14ac:dyDescent="0.3">
      <c r="A209" s="855" t="s">
        <v>549</v>
      </c>
      <c r="B209" s="615"/>
      <c r="C209" s="615"/>
      <c r="D209" s="615"/>
      <c r="E209" s="615"/>
      <c r="F209" s="615"/>
      <c r="G209" s="615"/>
      <c r="H209" s="615"/>
      <c r="I209" s="615"/>
      <c r="J209" s="615"/>
      <c r="K209" s="615"/>
      <c r="L209" s="615"/>
      <c r="M209" s="615"/>
      <c r="N209" s="615"/>
      <c r="O209" s="615"/>
      <c r="P209" s="615"/>
      <c r="Q209" s="615"/>
      <c r="R209" s="615"/>
      <c r="S209" s="856">
        <f>+R37+R39+R198-X37-R86</f>
        <v>15135109357.015514</v>
      </c>
      <c r="V209" s="177"/>
    </row>
    <row r="210" spans="1:22" ht="15.75" thickBot="1" x14ac:dyDescent="0.3">
      <c r="A210" s="857"/>
      <c r="B210" s="858"/>
      <c r="C210" s="859"/>
      <c r="D210" s="859"/>
      <c r="E210" s="859"/>
      <c r="F210" s="860"/>
      <c r="G210" s="860"/>
      <c r="H210" s="861"/>
      <c r="I210" s="861"/>
      <c r="J210" s="861"/>
      <c r="K210" s="861"/>
      <c r="L210" s="862"/>
      <c r="M210" s="862"/>
      <c r="N210" s="859"/>
      <c r="O210" s="859"/>
      <c r="P210" s="859"/>
      <c r="Q210" s="859"/>
      <c r="R210" s="859"/>
      <c r="S210" s="863"/>
      <c r="T210" s="614"/>
      <c r="U210" s="614"/>
    </row>
    <row r="211" spans="1:22" ht="15.75" thickBot="1" x14ac:dyDescent="0.3">
      <c r="A211" s="864" t="s">
        <v>550</v>
      </c>
      <c r="B211" s="865"/>
      <c r="C211" s="865"/>
      <c r="D211" s="865"/>
      <c r="E211" s="865"/>
      <c r="F211" s="865"/>
      <c r="G211" s="865"/>
      <c r="H211" s="865"/>
      <c r="I211" s="865"/>
      <c r="J211" s="865"/>
      <c r="K211" s="865"/>
      <c r="L211" s="865"/>
      <c r="M211" s="865"/>
      <c r="N211" s="865"/>
      <c r="O211" s="865"/>
      <c r="P211" s="865"/>
      <c r="Q211" s="865"/>
      <c r="R211" s="865"/>
      <c r="S211" s="866">
        <f>+X37+R86+R199+R201</f>
        <v>9482900761.1625004</v>
      </c>
    </row>
    <row r="212" spans="1:22" ht="13.5" thickTop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98"/>
    </row>
    <row r="213" spans="1:22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98"/>
    </row>
    <row r="214" spans="1:22" x14ac:dyDescent="0.2">
      <c r="A214" s="5"/>
      <c r="B214" s="5"/>
      <c r="C214" s="5"/>
      <c r="D214" s="5"/>
      <c r="E214" s="5"/>
      <c r="F214" s="5"/>
      <c r="G214" s="5"/>
      <c r="H214" s="599"/>
      <c r="I214" s="5"/>
      <c r="J214" s="5"/>
      <c r="K214" s="5"/>
      <c r="L214" s="5"/>
      <c r="M214" s="598"/>
    </row>
    <row r="215" spans="1:22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98"/>
    </row>
    <row r="216" spans="1:22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98"/>
    </row>
    <row r="217" spans="1:22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98"/>
    </row>
    <row r="218" spans="1:22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98"/>
    </row>
    <row r="219" spans="1:22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98"/>
    </row>
    <row r="220" spans="1:22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98"/>
    </row>
    <row r="221" spans="1:22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98"/>
    </row>
    <row r="222" spans="1:22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98"/>
    </row>
    <row r="223" spans="1:22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98"/>
    </row>
    <row r="224" spans="1:22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98"/>
    </row>
    <row r="225" spans="1:13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98"/>
    </row>
    <row r="226" spans="1:13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98"/>
    </row>
    <row r="227" spans="1:13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98"/>
    </row>
    <row r="228" spans="1:13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98"/>
    </row>
    <row r="229" spans="1:13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98"/>
    </row>
    <row r="230" spans="1:13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98"/>
    </row>
    <row r="231" spans="1:13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98"/>
    </row>
    <row r="232" spans="1:13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98"/>
    </row>
    <row r="233" spans="1:13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98"/>
    </row>
    <row r="234" spans="1:13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98"/>
    </row>
    <row r="235" spans="1:13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98"/>
    </row>
    <row r="236" spans="1:13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98"/>
    </row>
    <row r="237" spans="1:13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98"/>
    </row>
    <row r="238" spans="1:13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98"/>
    </row>
    <row r="239" spans="1:13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98"/>
    </row>
    <row r="240" spans="1:13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98"/>
    </row>
    <row r="241" spans="1:13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98"/>
    </row>
    <row r="242" spans="1:13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98"/>
    </row>
    <row r="243" spans="1:13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98"/>
    </row>
    <row r="244" spans="1:13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98"/>
    </row>
    <row r="245" spans="1:13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98"/>
    </row>
    <row r="246" spans="1:13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98"/>
    </row>
    <row r="247" spans="1:13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98"/>
    </row>
    <row r="248" spans="1:13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98"/>
    </row>
    <row r="249" spans="1:13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98"/>
    </row>
    <row r="250" spans="1:13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98"/>
    </row>
    <row r="251" spans="1:13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98"/>
    </row>
    <row r="252" spans="1:13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98"/>
    </row>
    <row r="253" spans="1:13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98"/>
    </row>
    <row r="254" spans="1:13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98"/>
    </row>
    <row r="255" spans="1:13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98"/>
    </row>
    <row r="256" spans="1:13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98"/>
    </row>
    <row r="257" spans="1:13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98"/>
    </row>
    <row r="258" spans="1:13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98"/>
    </row>
    <row r="259" spans="1:13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98"/>
    </row>
    <row r="260" spans="1:13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98"/>
    </row>
    <row r="261" spans="1:13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98"/>
    </row>
    <row r="262" spans="1:13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98"/>
    </row>
    <row r="263" spans="1:13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98"/>
    </row>
    <row r="264" spans="1:13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98"/>
    </row>
    <row r="265" spans="1:13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98"/>
    </row>
    <row r="266" spans="1:13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98"/>
    </row>
    <row r="267" spans="1:13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98"/>
    </row>
    <row r="268" spans="1:13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98"/>
    </row>
    <row r="269" spans="1:13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98"/>
    </row>
    <row r="270" spans="1:13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98"/>
    </row>
    <row r="271" spans="1:13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98"/>
    </row>
    <row r="272" spans="1:13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98"/>
    </row>
    <row r="273" spans="1:13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98"/>
    </row>
    <row r="274" spans="1:13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98"/>
    </row>
    <row r="275" spans="1:13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98"/>
    </row>
    <row r="276" spans="1:13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98"/>
    </row>
    <row r="277" spans="1:13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98"/>
    </row>
    <row r="278" spans="1:13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98"/>
    </row>
    <row r="279" spans="1:13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98"/>
    </row>
    <row r="280" spans="1:13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98"/>
    </row>
  </sheetData>
  <mergeCells count="5">
    <mergeCell ref="T7:X7"/>
    <mergeCell ref="A1:S1"/>
    <mergeCell ref="A2:S2"/>
    <mergeCell ref="A3:S3"/>
    <mergeCell ref="A4:S4"/>
  </mergeCells>
  <printOptions horizontalCentered="1"/>
  <pageMargins left="0.39370078740157483" right="0.39370078740157483" top="0.39370078740157483" bottom="0.39370078740157483" header="0" footer="0"/>
  <pageSetup scale="48" orientation="portrait" r:id="rId1"/>
  <headerFooter alignWithMargins="0"/>
  <rowBreaks count="2" manualBreakCount="2">
    <brk id="211" max="18" man="1"/>
    <brk id="215" max="25" man="1"/>
  </rowBreaks>
  <ignoredErrors>
    <ignoredError sqref="I36:M201 I203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8:L22"/>
  <sheetViews>
    <sheetView zoomScaleNormal="100" zoomScaleSheetLayoutView="100" workbookViewId="0">
      <selection activeCell="I21" sqref="I21"/>
    </sheetView>
  </sheetViews>
  <sheetFormatPr baseColWidth="10" defaultRowHeight="12.75" x14ac:dyDescent="0.2"/>
  <cols>
    <col min="1" max="1" width="17.7109375" style="126" customWidth="1"/>
    <col min="2" max="5" width="11.42578125" style="126"/>
    <col min="6" max="6" width="2.28515625" style="126" customWidth="1"/>
    <col min="7" max="7" width="11.42578125" style="126"/>
    <col min="8" max="8" width="7.5703125" style="126" customWidth="1"/>
    <col min="9" max="9" width="22" style="126" customWidth="1"/>
    <col min="10" max="10" width="15.28515625" style="126" bestFit="1" customWidth="1"/>
    <col min="11" max="11" width="14.85546875" style="126" bestFit="1" customWidth="1"/>
    <col min="12" max="12" width="17.5703125" style="126" customWidth="1"/>
    <col min="13" max="16384" width="11.42578125" style="126"/>
  </cols>
  <sheetData>
    <row r="8" spans="2:12" ht="13.5" thickBot="1" x14ac:dyDescent="0.25"/>
    <row r="9" spans="2:12" ht="15.75" thickBot="1" x14ac:dyDescent="0.3">
      <c r="B9" s="1039" t="s">
        <v>512</v>
      </c>
      <c r="C9" s="1040"/>
      <c r="D9" s="1040"/>
      <c r="E9" s="1040"/>
      <c r="F9" s="1040"/>
      <c r="G9" s="1040"/>
      <c r="H9" s="1040"/>
      <c r="I9" s="1041"/>
    </row>
    <row r="11" spans="2:12" ht="13.5" thickBot="1" x14ac:dyDescent="0.25"/>
    <row r="12" spans="2:12" ht="15.75" x14ac:dyDescent="0.25">
      <c r="B12" s="1042" t="s">
        <v>224</v>
      </c>
      <c r="C12" s="1043"/>
      <c r="D12" s="1043"/>
      <c r="E12" s="1043"/>
      <c r="F12" s="1043"/>
      <c r="G12" s="1044"/>
      <c r="I12" s="157">
        <f>+'Ejecución ingresos 2014'!F40</f>
        <v>16368262352.979954</v>
      </c>
    </row>
    <row r="13" spans="2:12" ht="15.75" x14ac:dyDescent="0.25">
      <c r="B13" s="1045" t="s">
        <v>229</v>
      </c>
      <c r="C13" s="1046"/>
      <c r="D13" s="1046"/>
      <c r="E13" s="1046"/>
      <c r="F13" s="1046"/>
      <c r="G13" s="1047"/>
      <c r="I13" s="158">
        <f>+'Ejecución gastos 2014'!S209</f>
        <v>15135109357.015514</v>
      </c>
      <c r="K13" s="203"/>
      <c r="L13" s="204"/>
    </row>
    <row r="14" spans="2:12" ht="16.5" thickBot="1" x14ac:dyDescent="0.3">
      <c r="B14" s="1036" t="s">
        <v>225</v>
      </c>
      <c r="C14" s="1037"/>
      <c r="D14" s="1037"/>
      <c r="E14" s="1037"/>
      <c r="F14" s="1037"/>
      <c r="G14" s="1038"/>
      <c r="I14" s="159">
        <f>+(I12-I13)</f>
        <v>1233152995.9644394</v>
      </c>
      <c r="J14" s="194"/>
      <c r="K14" s="203"/>
      <c r="L14" s="204"/>
    </row>
    <row r="15" spans="2:12" ht="15" x14ac:dyDescent="0.2">
      <c r="B15" s="154"/>
      <c r="C15" s="154"/>
      <c r="D15" s="154"/>
      <c r="E15" s="154"/>
      <c r="F15" s="154"/>
      <c r="G15" s="154"/>
      <c r="K15" s="205"/>
      <c r="L15" s="206"/>
    </row>
    <row r="16" spans="2:12" ht="15.75" thickBot="1" x14ac:dyDescent="0.25">
      <c r="B16" s="154"/>
      <c r="C16" s="154"/>
      <c r="D16" s="154"/>
      <c r="E16" s="154"/>
      <c r="F16" s="154"/>
      <c r="G16" s="154"/>
      <c r="J16" s="421"/>
      <c r="K16" s="205"/>
      <c r="L16" s="206"/>
    </row>
    <row r="17" spans="2:9" ht="15.75" x14ac:dyDescent="0.25">
      <c r="B17" s="1042" t="s">
        <v>227</v>
      </c>
      <c r="C17" s="1043"/>
      <c r="D17" s="1043"/>
      <c r="E17" s="1043"/>
      <c r="F17" s="1043"/>
      <c r="G17" s="1044"/>
      <c r="I17" s="157">
        <f>+'Ejecución ingresos 2014'!F42</f>
        <v>17539585618.634911</v>
      </c>
    </row>
    <row r="18" spans="2:9" ht="15.75" x14ac:dyDescent="0.25">
      <c r="B18" s="1045" t="s">
        <v>228</v>
      </c>
      <c r="C18" s="1046"/>
      <c r="D18" s="1046"/>
      <c r="E18" s="1046"/>
      <c r="F18" s="1046"/>
      <c r="G18" s="1047"/>
      <c r="I18" s="158">
        <f>+'Ejecución gastos 2014'!S211</f>
        <v>9482900761.1625004</v>
      </c>
    </row>
    <row r="19" spans="2:9" ht="16.5" thickBot="1" x14ac:dyDescent="0.3">
      <c r="B19" s="1036" t="s">
        <v>226</v>
      </c>
      <c r="C19" s="1037"/>
      <c r="D19" s="1037"/>
      <c r="E19" s="1037"/>
      <c r="F19" s="1037"/>
      <c r="G19" s="1038"/>
      <c r="I19" s="159">
        <f>+I17-I18</f>
        <v>8056684857.4724102</v>
      </c>
    </row>
    <row r="22" spans="2:9" ht="16.5" thickBot="1" x14ac:dyDescent="0.3">
      <c r="B22" s="1036" t="s">
        <v>513</v>
      </c>
      <c r="C22" s="1037"/>
      <c r="D22" s="1037"/>
      <c r="E22" s="1037"/>
      <c r="F22" s="1037"/>
      <c r="G22" s="1038"/>
      <c r="I22" s="159">
        <f>+I19+I14</f>
        <v>9289837853.4368496</v>
      </c>
    </row>
  </sheetData>
  <mergeCells count="8">
    <mergeCell ref="B14:G14"/>
    <mergeCell ref="B22:G22"/>
    <mergeCell ref="B19:G19"/>
    <mergeCell ref="B9:I9"/>
    <mergeCell ref="B12:G12"/>
    <mergeCell ref="B13:G13"/>
    <mergeCell ref="B17:G17"/>
    <mergeCell ref="B18:G18"/>
  </mergeCells>
  <phoneticPr fontId="50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>
    <pageSetUpPr fitToPage="1"/>
  </sheetPr>
  <dimension ref="A1:I140"/>
  <sheetViews>
    <sheetView view="pageBreakPreview" zoomScale="70" zoomScaleNormal="80" zoomScaleSheetLayoutView="70" workbookViewId="0">
      <pane ySplit="6" topLeftCell="A7" activePane="bottomLeft" state="frozen"/>
      <selection activeCell="B121" sqref="B121"/>
      <selection pane="bottomLeft" activeCell="E27" sqref="E27"/>
    </sheetView>
  </sheetViews>
  <sheetFormatPr baseColWidth="10" defaultRowHeight="12.75" x14ac:dyDescent="0.2"/>
  <cols>
    <col min="1" max="1" width="105.42578125" style="740" bestFit="1" customWidth="1"/>
    <col min="2" max="2" width="22.140625" style="740" customWidth="1"/>
    <col min="3" max="3" width="95.85546875" style="740" bestFit="1" customWidth="1"/>
    <col min="4" max="4" width="21.42578125" style="835" customWidth="1"/>
    <col min="5" max="5" width="16.85546875" style="740" customWidth="1"/>
    <col min="6" max="6" width="15.7109375" style="740" bestFit="1" customWidth="1"/>
    <col min="7" max="7" width="14.85546875" style="740" bestFit="1" customWidth="1"/>
    <col min="8" max="8" width="12.140625" style="740" bestFit="1" customWidth="1"/>
    <col min="9" max="9" width="13.28515625" style="740" bestFit="1" customWidth="1"/>
    <col min="10" max="16384" width="11.42578125" style="740"/>
  </cols>
  <sheetData>
    <row r="1" spans="1:9" ht="15" x14ac:dyDescent="0.25">
      <c r="A1" s="1048" t="s">
        <v>44</v>
      </c>
      <c r="B1" s="1048"/>
      <c r="C1" s="1048"/>
      <c r="D1" s="1048"/>
      <c r="E1" s="1048"/>
    </row>
    <row r="2" spans="1:9" ht="15" x14ac:dyDescent="0.25">
      <c r="A2" s="1048" t="s">
        <v>42</v>
      </c>
      <c r="B2" s="1048"/>
      <c r="C2" s="1048"/>
      <c r="D2" s="1048"/>
      <c r="E2" s="1048"/>
    </row>
    <row r="3" spans="1:9" ht="15" x14ac:dyDescent="0.25">
      <c r="A3" s="1048" t="s">
        <v>798</v>
      </c>
      <c r="B3" s="1048"/>
      <c r="C3" s="1048"/>
      <c r="D3" s="1048"/>
      <c r="E3" s="1048"/>
    </row>
    <row r="4" spans="1:9" ht="15" x14ac:dyDescent="0.2">
      <c r="A4" s="1049" t="s">
        <v>755</v>
      </c>
      <c r="B4" s="1049"/>
      <c r="C4" s="1049"/>
      <c r="D4" s="1049"/>
      <c r="E4" s="1049"/>
    </row>
    <row r="5" spans="1:9" ht="15.75" thickBot="1" x14ac:dyDescent="0.25">
      <c r="A5" s="843"/>
      <c r="B5" s="842"/>
      <c r="C5" s="842"/>
      <c r="D5" s="841"/>
      <c r="E5" s="840"/>
    </row>
    <row r="6" spans="1:9" s="839" customFormat="1" ht="37.5" customHeight="1" thickTop="1" thickBot="1" x14ac:dyDescent="0.25">
      <c r="A6" s="896" t="s">
        <v>32</v>
      </c>
      <c r="B6" s="897" t="s">
        <v>799</v>
      </c>
      <c r="C6" s="898" t="s">
        <v>32</v>
      </c>
      <c r="D6" s="897" t="s">
        <v>756</v>
      </c>
      <c r="E6" s="899" t="s">
        <v>757</v>
      </c>
    </row>
    <row r="7" spans="1:9" ht="15" x14ac:dyDescent="0.25">
      <c r="A7" s="900" t="s">
        <v>758</v>
      </c>
      <c r="B7" s="837">
        <f>+B9+B20</f>
        <v>1030053004.5295992</v>
      </c>
      <c r="C7" s="838" t="s">
        <v>758</v>
      </c>
      <c r="D7" s="836">
        <f>+D9+D20</f>
        <v>3709191436.7203135</v>
      </c>
      <c r="E7" s="901">
        <f>IFERROR((B7-D7)/D7,0)</f>
        <v>-0.72229715772222924</v>
      </c>
      <c r="H7" s="835"/>
    </row>
    <row r="8" spans="1:9" ht="15" x14ac:dyDescent="0.25">
      <c r="A8" s="902"/>
      <c r="B8" s="833"/>
      <c r="C8" s="834"/>
      <c r="D8" s="832"/>
      <c r="E8" s="903"/>
    </row>
    <row r="9" spans="1:9" ht="15" x14ac:dyDescent="0.25">
      <c r="A9" s="904" t="s">
        <v>759</v>
      </c>
      <c r="B9" s="830">
        <f>SUM(B10:B18)</f>
        <v>338357078.58359927</v>
      </c>
      <c r="C9" s="831" t="s">
        <v>759</v>
      </c>
      <c r="D9" s="832">
        <f>SUM(D10:D18)</f>
        <v>1501578764.5325136</v>
      </c>
      <c r="E9" s="903">
        <f t="shared" ref="E9:E15" si="0">IFERROR((B9-D9)/D9,0)</f>
        <v>-0.77466578072650083</v>
      </c>
      <c r="F9" s="829"/>
      <c r="G9" s="828"/>
      <c r="I9" s="835"/>
    </row>
    <row r="10" spans="1:9" ht="14.25" x14ac:dyDescent="0.2">
      <c r="A10" s="905" t="s">
        <v>760</v>
      </c>
      <c r="B10" s="826">
        <f>+('Nómina y honorarios 2015'!Y22)/6+'Nómina y honorarios 2015'!Y30+'Nómina y honorarios 2015'!Y35/6</f>
        <v>16212818.703403333</v>
      </c>
      <c r="C10" s="827" t="s">
        <v>760</v>
      </c>
      <c r="D10" s="825">
        <v>61682625.170565866</v>
      </c>
      <c r="E10" s="906">
        <f>IFERROR((B10-D10)/D10,0)</f>
        <v>-0.73715744654882365</v>
      </c>
      <c r="F10" s="824"/>
      <c r="G10" s="739"/>
      <c r="H10" s="835"/>
    </row>
    <row r="11" spans="1:9" ht="14.25" x14ac:dyDescent="0.2">
      <c r="A11" s="907" t="s">
        <v>761</v>
      </c>
      <c r="B11" s="826">
        <f>+'Nómina y honorarios 2015'!Y22/6+'Nómina y honorarios 2015'!Y24+'Nómina y honorarios 2015'!Y25+'Nómina y honorarios 2015'!Y35/6</f>
        <v>42810662.86761038</v>
      </c>
      <c r="C11" s="823" t="s">
        <v>761</v>
      </c>
      <c r="D11" s="825">
        <v>164561658.83859763</v>
      </c>
      <c r="E11" s="906">
        <f>IFERROR((B11-D11)/D11,0)</f>
        <v>-0.73985032011861795</v>
      </c>
      <c r="F11" s="822"/>
    </row>
    <row r="12" spans="1:9" ht="14.25" x14ac:dyDescent="0.2">
      <c r="A12" s="905" t="s">
        <v>762</v>
      </c>
      <c r="B12" s="826">
        <f>+'Nómina y honorarios 2015'!Y22/6+'Nómina y honorarios 2015'!Y23+'Nómina y honorarios 2015'!Y29+'Nómina y honorarios 2015'!Y35/6</f>
        <v>33053538.652506858</v>
      </c>
      <c r="C12" s="827" t="s">
        <v>762</v>
      </c>
      <c r="D12" s="825">
        <v>126821627.50458173</v>
      </c>
      <c r="E12" s="906">
        <f t="shared" si="0"/>
        <v>-0.73936985904622043</v>
      </c>
    </row>
    <row r="13" spans="1:9" ht="14.25" x14ac:dyDescent="0.2">
      <c r="A13" s="905"/>
      <c r="B13" s="826"/>
      <c r="C13" s="827" t="s">
        <v>763</v>
      </c>
      <c r="D13" s="825">
        <v>23324065.770565864</v>
      </c>
      <c r="E13" s="906">
        <f t="shared" si="0"/>
        <v>-1</v>
      </c>
    </row>
    <row r="14" spans="1:9" ht="14.25" x14ac:dyDescent="0.2">
      <c r="A14" s="905" t="s">
        <v>801</v>
      </c>
      <c r="B14" s="826">
        <f>+'Nómina y honorarios 2015'!Y22/6+'Nómina y honorarios 2015'!Y35/6+'Nómina y honorarios 2015'!Y27+'Nómina y honorarios 2015'!Y28+'Nómina y honorarios 2015'!Y31+'Nómina y honorarios 2015'!Y32+'Nómina y honorarios 2015'!Y33+'Nómina y honorarios 2015'!Y34</f>
        <v>156570439.00356853</v>
      </c>
      <c r="C14" s="827" t="s">
        <v>764</v>
      </c>
      <c r="D14" s="825">
        <v>477613214.15615666</v>
      </c>
      <c r="E14" s="906">
        <f t="shared" si="0"/>
        <v>-0.67218151767388601</v>
      </c>
    </row>
    <row r="15" spans="1:9" ht="14.25" x14ac:dyDescent="0.2">
      <c r="A15" s="905"/>
      <c r="B15" s="826"/>
      <c r="C15" s="827" t="s">
        <v>765</v>
      </c>
      <c r="D15" s="825">
        <v>23324065.770565864</v>
      </c>
      <c r="E15" s="906">
        <f t="shared" si="0"/>
        <v>-1</v>
      </c>
    </row>
    <row r="16" spans="1:9" ht="14.25" x14ac:dyDescent="0.2">
      <c r="A16" s="905" t="s">
        <v>800</v>
      </c>
      <c r="B16" s="826">
        <f>+'Nómina y honorarios 2015'!Y22/6+'Nómina y honorarios 2015'!Y35/6</f>
        <v>6295784.6758033326</v>
      </c>
      <c r="C16" s="827"/>
      <c r="D16" s="825">
        <v>0</v>
      </c>
      <c r="E16" s="945">
        <f>IFERROR((B16-D16)/B16,0)</f>
        <v>1</v>
      </c>
    </row>
    <row r="17" spans="1:8" ht="14.25" x14ac:dyDescent="0.2">
      <c r="A17" s="905" t="s">
        <v>802</v>
      </c>
      <c r="B17" s="826">
        <f>+'Nómina y honorarios 2015'!Y22/6+'Nómina y honorarios 2015'!Y26+'Nómina y honorarios 2015'!Y35/6</f>
        <v>24553223.771706857</v>
      </c>
      <c r="C17" s="827"/>
      <c r="D17" s="825">
        <v>0</v>
      </c>
      <c r="E17" s="945">
        <f>IFERROR((B17-D17)/B17,0)</f>
        <v>1</v>
      </c>
    </row>
    <row r="18" spans="1:8" ht="14.25" x14ac:dyDescent="0.2">
      <c r="A18" s="905" t="s">
        <v>27</v>
      </c>
      <c r="B18" s="826">
        <f>+'Anexo 2 '!B37+'Anexo 2 '!B13+'Anexo 2 '!B14</f>
        <v>58860610.909000002</v>
      </c>
      <c r="C18" s="827" t="s">
        <v>27</v>
      </c>
      <c r="D18" s="821">
        <f>496450846.32148+123065063+4735598</f>
        <v>624251507.32148004</v>
      </c>
      <c r="E18" s="906">
        <f>IFERROR((B18-D18)/D18,0)</f>
        <v>-0.90571010206838365</v>
      </c>
      <c r="H18" s="820"/>
    </row>
    <row r="19" spans="1:8" ht="15" x14ac:dyDescent="0.25">
      <c r="A19" s="905"/>
      <c r="B19" s="830"/>
      <c r="C19" s="827"/>
      <c r="D19" s="832"/>
      <c r="E19" s="903"/>
    </row>
    <row r="20" spans="1:8" ht="15" x14ac:dyDescent="0.25">
      <c r="A20" s="908" t="s">
        <v>766</v>
      </c>
      <c r="B20" s="830">
        <f>+B22+B21+B23+B24+B25+B26+B27+B28</f>
        <v>691695925.94599998</v>
      </c>
      <c r="C20" s="819" t="s">
        <v>766</v>
      </c>
      <c r="D20" s="832">
        <f>SUM(D21:D26)</f>
        <v>2207612672.1877999</v>
      </c>
      <c r="E20" s="903">
        <f t="shared" ref="E20:E26" si="1">IFERROR((B20-D20)/D20,0)</f>
        <v>-0.68667695440409304</v>
      </c>
    </row>
    <row r="21" spans="1:8" ht="14.25" x14ac:dyDescent="0.2">
      <c r="A21" s="905" t="s">
        <v>760</v>
      </c>
      <c r="B21" s="821">
        <f>+'Anexo 2 '!B43</f>
        <v>29565068.946000002</v>
      </c>
      <c r="C21" s="827" t="s">
        <v>760</v>
      </c>
      <c r="D21" s="825">
        <f>+'Ejecución gastos 2014'!M42</f>
        <v>106989971.18940002</v>
      </c>
      <c r="E21" s="906">
        <f>IFERROR((B21-D21)/D21,0)</f>
        <v>-0.72366504432773271</v>
      </c>
      <c r="G21" s="782"/>
    </row>
    <row r="22" spans="1:8" ht="14.25" x14ac:dyDescent="0.2">
      <c r="A22" s="907" t="s">
        <v>761</v>
      </c>
      <c r="B22" s="821">
        <f>+'Anexo 2 '!B47</f>
        <v>427019263</v>
      </c>
      <c r="C22" s="823" t="s">
        <v>761</v>
      </c>
      <c r="D22" s="825">
        <f>+'Ejecución gastos 2014'!M119</f>
        <v>1288379721.5072</v>
      </c>
      <c r="E22" s="906">
        <f t="shared" si="1"/>
        <v>-0.66856101825286784</v>
      </c>
      <c r="G22" s="818"/>
    </row>
    <row r="23" spans="1:8" ht="14.25" x14ac:dyDescent="0.2">
      <c r="A23" s="905" t="s">
        <v>762</v>
      </c>
      <c r="B23" s="821">
        <f>+'Anexo 2 '!B58</f>
        <v>37404363</v>
      </c>
      <c r="C23" s="827" t="s">
        <v>762</v>
      </c>
      <c r="D23" s="825">
        <f>+'Ejecución gastos 2014'!M156</f>
        <v>161379421.0988</v>
      </c>
      <c r="E23" s="906">
        <f t="shared" si="1"/>
        <v>-0.76822098663310834</v>
      </c>
      <c r="G23" s="835"/>
    </row>
    <row r="24" spans="1:8" ht="14.25" x14ac:dyDescent="0.2">
      <c r="A24" s="905"/>
      <c r="B24" s="821"/>
      <c r="C24" s="827" t="s">
        <v>763</v>
      </c>
      <c r="D24" s="825">
        <f>+'Ejecución gastos 2014'!M159</f>
        <v>47013786</v>
      </c>
      <c r="E24" s="906">
        <f>IFERROR((B24-D24)/D24,0)</f>
        <v>-1</v>
      </c>
      <c r="G24" s="818"/>
    </row>
    <row r="25" spans="1:8" ht="14.25" x14ac:dyDescent="0.2">
      <c r="A25" s="905" t="s">
        <v>801</v>
      </c>
      <c r="B25" s="821">
        <f>+'Anexo 2 '!B62</f>
        <v>70814231</v>
      </c>
      <c r="C25" s="827" t="s">
        <v>764</v>
      </c>
      <c r="D25" s="825">
        <f>+'Ejecución gastos 2014'!M163</f>
        <v>456770604.98440003</v>
      </c>
      <c r="E25" s="906">
        <f t="shared" si="1"/>
        <v>-0.84496762657829416</v>
      </c>
      <c r="G25" s="818"/>
    </row>
    <row r="26" spans="1:8" ht="14.25" x14ac:dyDescent="0.2">
      <c r="A26" s="905"/>
      <c r="B26" s="821"/>
      <c r="C26" s="827" t="s">
        <v>765</v>
      </c>
      <c r="D26" s="825">
        <f>+'Ejecución gastos 2014'!M169</f>
        <v>147079167.40799999</v>
      </c>
      <c r="E26" s="906">
        <f t="shared" si="1"/>
        <v>-1</v>
      </c>
      <c r="G26" s="818"/>
    </row>
    <row r="27" spans="1:8" ht="14.25" x14ac:dyDescent="0.2">
      <c r="A27" s="905" t="s">
        <v>800</v>
      </c>
      <c r="B27" s="821">
        <f>+'Anexo 2 '!B66</f>
        <v>64800000</v>
      </c>
      <c r="C27" s="827"/>
      <c r="D27" s="825"/>
      <c r="E27" s="945">
        <f>IFERROR((B27-D27)/B27,0)</f>
        <v>1</v>
      </c>
      <c r="G27" s="818"/>
    </row>
    <row r="28" spans="1:8" ht="14.25" x14ac:dyDescent="0.2">
      <c r="A28" s="905" t="s">
        <v>802</v>
      </c>
      <c r="B28" s="821">
        <f>+'Anexo 2 '!B71</f>
        <v>62093000</v>
      </c>
      <c r="C28" s="827"/>
      <c r="D28" s="825"/>
      <c r="E28" s="945">
        <f>IFERROR((B28-D28)/B28,0)</f>
        <v>1</v>
      </c>
      <c r="G28" s="818"/>
    </row>
    <row r="29" spans="1:8" ht="14.25" x14ac:dyDescent="0.2">
      <c r="A29" s="905"/>
      <c r="B29" s="821"/>
      <c r="C29" s="827"/>
      <c r="D29" s="825"/>
      <c r="E29" s="906"/>
      <c r="G29" s="818"/>
    </row>
    <row r="30" spans="1:8" ht="14.25" x14ac:dyDescent="0.2">
      <c r="A30" s="905"/>
      <c r="B30" s="821"/>
      <c r="C30" s="827"/>
      <c r="D30" s="825"/>
      <c r="E30" s="906"/>
    </row>
    <row r="31" spans="1:8" ht="15" x14ac:dyDescent="0.25">
      <c r="A31" s="909" t="s">
        <v>779</v>
      </c>
      <c r="B31" s="830">
        <f>+B33+B44</f>
        <v>416698706.34162706</v>
      </c>
      <c r="C31" s="802" t="s">
        <v>779</v>
      </c>
      <c r="D31" s="832">
        <f>+D33+D44</f>
        <v>1732130688.7110376</v>
      </c>
      <c r="E31" s="903">
        <f>IFERROR((B31-D31)/D31,0)</f>
        <v>-0.75942998466720035</v>
      </c>
    </row>
    <row r="32" spans="1:8" ht="15" x14ac:dyDescent="0.25">
      <c r="A32" s="909"/>
      <c r="B32" s="830"/>
      <c r="C32" s="802"/>
      <c r="D32" s="832"/>
      <c r="E32" s="903"/>
    </row>
    <row r="33" spans="1:8" ht="15" x14ac:dyDescent="0.25">
      <c r="A33" s="908" t="s">
        <v>759</v>
      </c>
      <c r="B33" s="830">
        <f>SUM(B34:B42)</f>
        <v>94923106.341627061</v>
      </c>
      <c r="C33" s="819" t="s">
        <v>759</v>
      </c>
      <c r="D33" s="832">
        <f>SUM(D34:D42)</f>
        <v>390665203.22276163</v>
      </c>
      <c r="E33" s="903">
        <f t="shared" ref="E33:E42" si="2">IFERROR((B33-D33)/D33,0)</f>
        <v>-0.75702185513691411</v>
      </c>
    </row>
    <row r="34" spans="1:8" ht="14.25" x14ac:dyDescent="0.2">
      <c r="A34" s="910"/>
      <c r="B34" s="821"/>
      <c r="C34" s="801" t="s">
        <v>780</v>
      </c>
      <c r="D34" s="825">
        <v>64822857.75818301</v>
      </c>
      <c r="E34" s="906">
        <f t="shared" si="2"/>
        <v>-1</v>
      </c>
      <c r="F34" s="835"/>
      <c r="H34" s="835"/>
    </row>
    <row r="35" spans="1:8" ht="14.25" x14ac:dyDescent="0.2">
      <c r="A35" s="910"/>
      <c r="B35" s="821"/>
      <c r="C35" s="801" t="s">
        <v>781</v>
      </c>
      <c r="D35" s="825">
        <v>64822857.75818301</v>
      </c>
      <c r="E35" s="906">
        <f t="shared" si="2"/>
        <v>-1</v>
      </c>
    </row>
    <row r="36" spans="1:8" ht="14.25" x14ac:dyDescent="0.2">
      <c r="A36" s="911"/>
      <c r="B36" s="821"/>
      <c r="C36" s="800" t="s">
        <v>782</v>
      </c>
      <c r="D36" s="825">
        <v>64822857.75818301</v>
      </c>
      <c r="E36" s="906">
        <f t="shared" si="2"/>
        <v>-1</v>
      </c>
    </row>
    <row r="37" spans="1:8" ht="14.25" x14ac:dyDescent="0.2">
      <c r="A37" s="905"/>
      <c r="B37" s="821"/>
      <c r="C37" s="827" t="s">
        <v>783</v>
      </c>
      <c r="D37" s="825">
        <v>64822857.75818301</v>
      </c>
      <c r="E37" s="906">
        <f t="shared" si="2"/>
        <v>-1</v>
      </c>
    </row>
    <row r="38" spans="1:8" ht="14.25" x14ac:dyDescent="0.2">
      <c r="A38" s="905"/>
      <c r="B38" s="821"/>
      <c r="C38" s="827" t="s">
        <v>784</v>
      </c>
      <c r="D38" s="825">
        <v>85145746.36922957</v>
      </c>
      <c r="E38" s="906">
        <f t="shared" si="2"/>
        <v>-1</v>
      </c>
    </row>
    <row r="39" spans="1:8" ht="14.25" x14ac:dyDescent="0.2">
      <c r="A39" s="905" t="s">
        <v>804</v>
      </c>
      <c r="B39" s="805">
        <f>+'Nómina y honorarios 2015'!Y49/3+'Nómina y honorarios 2015'!Y50/2+'Nómina y honorarios 2015'!Y52/3+'Nómina y honorarios 2015'!Y53/3</f>
        <v>25025966.908758428</v>
      </c>
      <c r="C39" s="827"/>
      <c r="D39" s="825"/>
      <c r="E39" s="945">
        <f>IFERROR((B39-D39)/B39,0)</f>
        <v>1</v>
      </c>
    </row>
    <row r="40" spans="1:8" ht="14.25" x14ac:dyDescent="0.2">
      <c r="A40" s="905" t="s">
        <v>805</v>
      </c>
      <c r="B40" s="805">
        <f>+'Nómina y honorarios 2015'!Y49/3+'Nómina y honorarios 2015'!Y51+'Nómina y honorarios 2015'!Y52/3+'Nómina y honorarios 2015'!Y53/3</f>
        <v>34154686.45671019</v>
      </c>
      <c r="C40" s="827"/>
      <c r="D40" s="825"/>
      <c r="E40" s="945">
        <f>IFERROR((B40-D40)/B40,0)</f>
        <v>1</v>
      </c>
    </row>
    <row r="41" spans="1:8" ht="14.25" x14ac:dyDescent="0.2">
      <c r="A41" s="905" t="s">
        <v>806</v>
      </c>
      <c r="B41" s="805">
        <f>+'Nómina y honorarios 2015'!Y49/3+'Nómina y honorarios 2015'!Y50/2+'Nómina y honorarios 2015'!Y52/3+'Nómina y honorarios 2015'!Y53/3</f>
        <v>25025966.908758428</v>
      </c>
      <c r="C41" s="827"/>
      <c r="D41" s="825"/>
      <c r="E41" s="945">
        <f>IFERROR((B41-D41)/B41,0)</f>
        <v>1</v>
      </c>
    </row>
    <row r="42" spans="1:8" ht="14.25" x14ac:dyDescent="0.2">
      <c r="A42" s="905" t="s">
        <v>27</v>
      </c>
      <c r="B42" s="821">
        <f>+'Anexo 2 '!C37</f>
        <v>10716486.067400001</v>
      </c>
      <c r="C42" s="827" t="s">
        <v>27</v>
      </c>
      <c r="D42" s="825">
        <v>46228025.820799999</v>
      </c>
      <c r="E42" s="906">
        <f t="shared" si="2"/>
        <v>-0.76818205239951676</v>
      </c>
      <c r="H42" s="835"/>
    </row>
    <row r="43" spans="1:8" ht="15" x14ac:dyDescent="0.25">
      <c r="A43" s="908"/>
      <c r="B43" s="830"/>
      <c r="C43" s="819"/>
      <c r="D43" s="832"/>
      <c r="E43" s="903"/>
    </row>
    <row r="44" spans="1:8" ht="15" x14ac:dyDescent="0.25">
      <c r="A44" s="909" t="s">
        <v>766</v>
      </c>
      <c r="B44" s="830">
        <f>+SUM(B45:B52)</f>
        <v>321775600</v>
      </c>
      <c r="C44" s="802" t="s">
        <v>766</v>
      </c>
      <c r="D44" s="832">
        <f>SUM(D45:D49)</f>
        <v>1341465485.488276</v>
      </c>
      <c r="E44" s="903">
        <f t="shared" ref="E44:E49" si="3">IFERROR((B44-D44)/D44,0)</f>
        <v>-0.76013128665559526</v>
      </c>
    </row>
    <row r="45" spans="1:8" ht="14.25" x14ac:dyDescent="0.2">
      <c r="A45" s="910"/>
      <c r="B45" s="821"/>
      <c r="C45" s="801" t="s">
        <v>785</v>
      </c>
      <c r="D45" s="825">
        <f>+'Ejecución gastos 2014'!M114</f>
        <v>24774426</v>
      </c>
      <c r="E45" s="906">
        <f t="shared" si="3"/>
        <v>-1</v>
      </c>
    </row>
    <row r="46" spans="1:8" ht="14.25" x14ac:dyDescent="0.2">
      <c r="A46" s="910"/>
      <c r="B46" s="821"/>
      <c r="C46" s="801" t="s">
        <v>781</v>
      </c>
      <c r="D46" s="825">
        <f>+'Ejecución gastos 2014'!M115</f>
        <v>469059358.49250001</v>
      </c>
      <c r="E46" s="906">
        <f t="shared" si="3"/>
        <v>-1</v>
      </c>
    </row>
    <row r="47" spans="1:8" ht="14.25" x14ac:dyDescent="0.2">
      <c r="A47" s="911"/>
      <c r="B47" s="821"/>
      <c r="C47" s="800" t="s">
        <v>782</v>
      </c>
      <c r="D47" s="825">
        <f>+'Ejecución gastos 2014'!M116</f>
        <v>160502239.5</v>
      </c>
      <c r="E47" s="906">
        <f t="shared" si="3"/>
        <v>-1</v>
      </c>
    </row>
    <row r="48" spans="1:8" ht="14.25" x14ac:dyDescent="0.2">
      <c r="A48" s="911"/>
      <c r="B48" s="821"/>
      <c r="C48" s="800" t="s">
        <v>783</v>
      </c>
      <c r="D48" s="825">
        <f>+'Ejecución gastos 2014'!M117</f>
        <v>128207948.84600002</v>
      </c>
      <c r="E48" s="906">
        <f t="shared" si="3"/>
        <v>-1</v>
      </c>
    </row>
    <row r="49" spans="1:8" ht="14.25" x14ac:dyDescent="0.2">
      <c r="A49" s="907"/>
      <c r="B49" s="821"/>
      <c r="C49" s="823" t="s">
        <v>784</v>
      </c>
      <c r="D49" s="825">
        <f>+'Ejecución gastos 2014'!M142</f>
        <v>558921512.64977598</v>
      </c>
      <c r="E49" s="906">
        <f t="shared" si="3"/>
        <v>-1</v>
      </c>
    </row>
    <row r="50" spans="1:8" ht="14.25" x14ac:dyDescent="0.2">
      <c r="A50" s="905" t="s">
        <v>804</v>
      </c>
      <c r="B50" s="821">
        <f>+'Anexo 2 '!C130</f>
        <v>72600000</v>
      </c>
      <c r="C50" s="799"/>
      <c r="D50" s="825"/>
      <c r="E50" s="945">
        <f>IFERROR((B50-D50)/B50,0)</f>
        <v>1</v>
      </c>
    </row>
    <row r="51" spans="1:8" ht="14.25" x14ac:dyDescent="0.2">
      <c r="A51" s="905" t="s">
        <v>805</v>
      </c>
      <c r="B51" s="821">
        <f>+'Anexo 2 '!C137</f>
        <v>195654000</v>
      </c>
      <c r="C51" s="799"/>
      <c r="D51" s="825"/>
      <c r="E51" s="945">
        <f>IFERROR((B51-D51)/B51,0)</f>
        <v>1</v>
      </c>
    </row>
    <row r="52" spans="1:8" ht="14.25" x14ac:dyDescent="0.2">
      <c r="A52" s="905" t="s">
        <v>806</v>
      </c>
      <c r="B52" s="821">
        <f>+'Anexo 2 '!C145</f>
        <v>53521600</v>
      </c>
      <c r="C52" s="799"/>
      <c r="D52" s="825"/>
      <c r="E52" s="945">
        <f>IFERROR((B52-D52)/B52,0)</f>
        <v>1</v>
      </c>
    </row>
    <row r="53" spans="1:8" ht="14.25" x14ac:dyDescent="0.2">
      <c r="A53" s="912"/>
      <c r="B53" s="805"/>
      <c r="C53" s="799"/>
      <c r="D53" s="825"/>
      <c r="E53" s="906"/>
    </row>
    <row r="54" spans="1:8" ht="15" x14ac:dyDescent="0.25">
      <c r="A54" s="909" t="s">
        <v>786</v>
      </c>
      <c r="B54" s="830">
        <f>+B56+B63</f>
        <v>1880865446.2654374</v>
      </c>
      <c r="C54" s="802" t="s">
        <v>786</v>
      </c>
      <c r="D54" s="832">
        <f>+D56+D63</f>
        <v>1010723528.5241952</v>
      </c>
      <c r="E54" s="903">
        <f>IFERROR((B54-D54)/D54,0)</f>
        <v>0.86090992559733637</v>
      </c>
    </row>
    <row r="55" spans="1:8" ht="15" x14ac:dyDescent="0.25">
      <c r="A55" s="909"/>
      <c r="B55" s="830"/>
      <c r="C55" s="802"/>
      <c r="D55" s="830"/>
      <c r="E55" s="903"/>
    </row>
    <row r="56" spans="1:8" ht="15" x14ac:dyDescent="0.25">
      <c r="A56" s="908" t="s">
        <v>759</v>
      </c>
      <c r="B56" s="830">
        <f>+SUM(B57:B61)</f>
        <v>79920630.265437305</v>
      </c>
      <c r="C56" s="819" t="s">
        <v>759</v>
      </c>
      <c r="D56" s="816">
        <f>SUM(D57:D61)</f>
        <v>245504643.52419516</v>
      </c>
      <c r="E56" s="903">
        <f>IFERROR((B56-D56)/D56,0)</f>
        <v>-0.6744638752319122</v>
      </c>
    </row>
    <row r="57" spans="1:8" ht="14.25" x14ac:dyDescent="0.2">
      <c r="A57" s="907" t="s">
        <v>303</v>
      </c>
      <c r="B57" s="821">
        <f>+'Nómina y honorarios 2015'!Y58/3+'Nómina y honorarios 2015'!Y61+'Nómina y honorarios 2015'!Y62/3</f>
        <v>22508603.379206665</v>
      </c>
      <c r="C57" s="823" t="s">
        <v>787</v>
      </c>
      <c r="D57" s="825">
        <v>72220504.474465057</v>
      </c>
      <c r="E57" s="906">
        <f>IFERROR((B57-D57)/D57,0)</f>
        <v>-0.6883350020468908</v>
      </c>
      <c r="F57" s="835"/>
      <c r="H57" s="835"/>
    </row>
    <row r="58" spans="1:8" ht="14.25" x14ac:dyDescent="0.2">
      <c r="A58" s="913" t="s">
        <v>808</v>
      </c>
      <c r="B58" s="821">
        <f>+'Nómina y honorarios 2015'!Y58/3+'Nómina y honorarios 2015'!Y60+'Nómina y honorarios 2015'!Y62/3</f>
        <v>22508603.379206665</v>
      </c>
      <c r="C58" s="798" t="s">
        <v>788</v>
      </c>
      <c r="D58" s="811">
        <v>72220504.474465057</v>
      </c>
      <c r="E58" s="906">
        <f>IFERROR((B58-D58)/B58,0)</f>
        <v>-2.2085733289512754</v>
      </c>
    </row>
    <row r="59" spans="1:8" ht="14.25" x14ac:dyDescent="0.2">
      <c r="A59" s="907"/>
      <c r="B59" s="821"/>
      <c r="C59" s="823" t="s">
        <v>789</v>
      </c>
      <c r="D59" s="825">
        <v>72220504.474465057</v>
      </c>
      <c r="E59" s="906">
        <f>IFERROR((B59-D59)/D59,0)</f>
        <v>-1</v>
      </c>
    </row>
    <row r="60" spans="1:8" ht="14.25" x14ac:dyDescent="0.2">
      <c r="A60" s="914" t="s">
        <v>809</v>
      </c>
      <c r="B60" s="821">
        <f>+'Nómina y honorarios 2015'!Y58/3+'Nómina y honorarios 2015'!Y59+'Nómina y honorarios 2015'!Y62/3</f>
        <v>27368625.355523974</v>
      </c>
      <c r="C60" s="799"/>
      <c r="D60" s="825"/>
      <c r="E60" s="945">
        <f>IFERROR((B60-D60)/B60,0)</f>
        <v>1</v>
      </c>
    </row>
    <row r="61" spans="1:8" ht="14.25" x14ac:dyDescent="0.2">
      <c r="A61" s="902" t="s">
        <v>27</v>
      </c>
      <c r="B61" s="821">
        <f>+'Anexo 2 '!D37+'Anexo 2 '!D14</f>
        <v>7534798.1514999997</v>
      </c>
      <c r="C61" s="834" t="s">
        <v>27</v>
      </c>
      <c r="D61" s="811">
        <v>28843130.1008</v>
      </c>
      <c r="E61" s="906">
        <f>IFERROR((B61-D61)/D61,0)</f>
        <v>-0.73876628073417683</v>
      </c>
      <c r="H61" s="835"/>
    </row>
    <row r="62" spans="1:8" ht="15" x14ac:dyDescent="0.25">
      <c r="A62" s="908"/>
      <c r="B62" s="821"/>
      <c r="C62" s="819"/>
      <c r="D62" s="797"/>
      <c r="E62" s="915"/>
    </row>
    <row r="63" spans="1:8" ht="15" x14ac:dyDescent="0.25">
      <c r="A63" s="909" t="s">
        <v>766</v>
      </c>
      <c r="B63" s="830">
        <f>+SUM(B64:B67)</f>
        <v>1800944816</v>
      </c>
      <c r="C63" s="802" t="s">
        <v>766</v>
      </c>
      <c r="D63" s="816">
        <f>SUM(D64:D66)</f>
        <v>765218885</v>
      </c>
      <c r="E63" s="903">
        <f>IFERROR((B63-D63)/D63,0)</f>
        <v>1.3535028359892085</v>
      </c>
    </row>
    <row r="64" spans="1:8" ht="14.25" x14ac:dyDescent="0.2">
      <c r="A64" s="907" t="s">
        <v>787</v>
      </c>
      <c r="B64" s="821">
        <f>+'Anexo 2 '!D152</f>
        <v>89464291</v>
      </c>
      <c r="C64" s="823" t="s">
        <v>787</v>
      </c>
      <c r="D64" s="825">
        <f>+'Ejecución gastos 2014'!M174</f>
        <v>214548492</v>
      </c>
      <c r="E64" s="906">
        <f>IFERROR((B64-D64)/D64,0)</f>
        <v>-0.58301132687523149</v>
      </c>
    </row>
    <row r="65" spans="1:7" ht="14.25" x14ac:dyDescent="0.2">
      <c r="A65" s="913" t="s">
        <v>810</v>
      </c>
      <c r="B65" s="821">
        <f>+'Anexo 2 '!D156</f>
        <v>94500000</v>
      </c>
      <c r="C65" s="798" t="s">
        <v>788</v>
      </c>
      <c r="D65" s="811">
        <f>+'Ejecución gastos 2014'!M180</f>
        <v>129110538</v>
      </c>
      <c r="E65" s="906">
        <f>IFERROR((B65-D65)/B65,0)</f>
        <v>-0.36624907936507939</v>
      </c>
    </row>
    <row r="66" spans="1:7" ht="14.25" x14ac:dyDescent="0.2">
      <c r="A66" s="907"/>
      <c r="B66" s="821"/>
      <c r="C66" s="823" t="s">
        <v>789</v>
      </c>
      <c r="D66" s="825">
        <f>+'Ejecución gastos 2014'!M186</f>
        <v>421559855</v>
      </c>
      <c r="E66" s="906">
        <f>IFERROR((B66-D66)/D66,0)</f>
        <v>-1</v>
      </c>
    </row>
    <row r="67" spans="1:7" ht="14.25" x14ac:dyDescent="0.2">
      <c r="A67" s="914" t="s">
        <v>818</v>
      </c>
      <c r="B67" s="821">
        <f>+'Anexo 2 '!D170</f>
        <v>1616980525</v>
      </c>
      <c r="C67" s="799"/>
      <c r="D67" s="825"/>
      <c r="E67" s="906">
        <f>IFERROR((B67-D67)/D67,1)</f>
        <v>1</v>
      </c>
    </row>
    <row r="68" spans="1:7" ht="15" x14ac:dyDescent="0.25">
      <c r="A68" s="908"/>
      <c r="B68" s="821"/>
      <c r="C68" s="819"/>
      <c r="D68" s="811"/>
      <c r="E68" s="906"/>
    </row>
    <row r="69" spans="1:7" ht="15" x14ac:dyDescent="0.25">
      <c r="A69" s="909" t="s">
        <v>807</v>
      </c>
      <c r="B69" s="848">
        <f>+B71+B75</f>
        <v>62892034.027599998</v>
      </c>
      <c r="C69" s="799"/>
      <c r="D69" s="825"/>
      <c r="E69" s="903">
        <f>IFERROR((B69-D69)/D69,1)</f>
        <v>1</v>
      </c>
    </row>
    <row r="70" spans="1:7" ht="15" x14ac:dyDescent="0.25">
      <c r="A70" s="916"/>
      <c r="B70" s="805"/>
      <c r="C70" s="799"/>
      <c r="D70" s="825"/>
      <c r="E70" s="906"/>
    </row>
    <row r="71" spans="1:7" ht="15" x14ac:dyDescent="0.25">
      <c r="A71" s="908" t="s">
        <v>759</v>
      </c>
      <c r="B71" s="848">
        <f>SUM(B72:B73)</f>
        <v>17892034.027599998</v>
      </c>
      <c r="C71" s="799"/>
      <c r="D71" s="825"/>
      <c r="E71" s="903">
        <f>IFERROR((B71-D71)/D71,1)</f>
        <v>1</v>
      </c>
    </row>
    <row r="72" spans="1:7" ht="14.25" x14ac:dyDescent="0.2">
      <c r="A72" s="912" t="s">
        <v>781</v>
      </c>
      <c r="B72" s="805">
        <f>+'Nómina y honorarios 2015'!Y66</f>
        <v>9917034.0275999997</v>
      </c>
      <c r="C72" s="799"/>
      <c r="D72" s="825"/>
      <c r="E72" s="945">
        <f>IFERROR((B72-D72)/B72,0)</f>
        <v>1</v>
      </c>
    </row>
    <row r="73" spans="1:7" ht="14.25" x14ac:dyDescent="0.2">
      <c r="A73" s="912" t="s">
        <v>27</v>
      </c>
      <c r="B73" s="805">
        <f>+'Anexo 2 '!E37</f>
        <v>7975000</v>
      </c>
      <c r="C73" s="799"/>
      <c r="D73" s="825"/>
      <c r="E73" s="945">
        <f>IFERROR((B73-D73)/B73,0)</f>
        <v>1</v>
      </c>
    </row>
    <row r="74" spans="1:7" ht="14.25" x14ac:dyDescent="0.2">
      <c r="A74" s="912"/>
      <c r="B74" s="805"/>
      <c r="C74" s="799"/>
      <c r="D74" s="825"/>
      <c r="E74" s="906"/>
    </row>
    <row r="75" spans="1:7" ht="15" x14ac:dyDescent="0.25">
      <c r="A75" s="909" t="s">
        <v>766</v>
      </c>
      <c r="B75" s="848">
        <f>+B76</f>
        <v>45000000</v>
      </c>
      <c r="C75" s="799"/>
      <c r="D75" s="825"/>
      <c r="E75" s="903">
        <f>IFERROR((B75-D75)/D75,1)</f>
        <v>1</v>
      </c>
    </row>
    <row r="76" spans="1:7" ht="14.25" x14ac:dyDescent="0.2">
      <c r="A76" s="912" t="s">
        <v>781</v>
      </c>
      <c r="B76" s="805">
        <f>+'Anexo 2 '!E186</f>
        <v>45000000</v>
      </c>
      <c r="C76" s="799"/>
      <c r="D76" s="825"/>
      <c r="E76" s="945">
        <f>IFERROR((B76-D76)/B76,0)</f>
        <v>1</v>
      </c>
    </row>
    <row r="77" spans="1:7" ht="14.25" x14ac:dyDescent="0.2">
      <c r="A77" s="912"/>
      <c r="B77" s="805"/>
      <c r="C77" s="799"/>
      <c r="D77" s="825"/>
      <c r="E77" s="906"/>
    </row>
    <row r="78" spans="1:7" ht="15" x14ac:dyDescent="0.25">
      <c r="A78" s="908" t="s">
        <v>767</v>
      </c>
      <c r="B78" s="817">
        <f>+B80+B92</f>
        <v>2532527111.9681234</v>
      </c>
      <c r="C78" s="819" t="s">
        <v>767</v>
      </c>
      <c r="D78" s="816">
        <f>+D80+D92</f>
        <v>6491168998.9288273</v>
      </c>
      <c r="E78" s="903">
        <f>IFERROR((B78-D78)/D78,0)</f>
        <v>-0.60985038097359023</v>
      </c>
      <c r="G78" s="820"/>
    </row>
    <row r="79" spans="1:7" ht="15" x14ac:dyDescent="0.25">
      <c r="A79" s="917"/>
      <c r="B79" s="817"/>
      <c r="C79" s="815"/>
      <c r="D79" s="816"/>
      <c r="E79" s="903"/>
    </row>
    <row r="80" spans="1:7" ht="15" x14ac:dyDescent="0.25">
      <c r="A80" s="904" t="s">
        <v>759</v>
      </c>
      <c r="B80" s="817">
        <f>+SUM(B81:B90)</f>
        <v>90287419.96812351</v>
      </c>
      <c r="C80" s="831" t="s">
        <v>759</v>
      </c>
      <c r="D80" s="814">
        <f>SUM(D81:D90)</f>
        <v>386499372.01522696</v>
      </c>
      <c r="E80" s="903">
        <f t="shared" ref="E80:E90" si="4">IFERROR((B80-D80)/D80,0)</f>
        <v>-0.76639698145598423</v>
      </c>
    </row>
    <row r="81" spans="1:8" ht="14.25" x14ac:dyDescent="0.2">
      <c r="A81" s="918" t="s">
        <v>768</v>
      </c>
      <c r="B81" s="812">
        <f>+'Nómina y honorarios 2015'!Y40/5+'Nómina y honorarios 2015'!Y41/2+'Nómina y honorarios 2015'!Y44/5+'Nómina y honorarios 2015'!Y42/5</f>
        <v>18667067.96443576</v>
      </c>
      <c r="C81" s="813" t="s">
        <v>768</v>
      </c>
      <c r="D81" s="811">
        <v>24376726.747129224</v>
      </c>
      <c r="E81" s="906">
        <f t="shared" si="4"/>
        <v>-0.23422581882802923</v>
      </c>
      <c r="F81" s="835"/>
      <c r="H81" s="835"/>
    </row>
    <row r="82" spans="1:8" ht="14.25" x14ac:dyDescent="0.2">
      <c r="A82" s="919" t="s">
        <v>803</v>
      </c>
      <c r="B82" s="812">
        <f>+'Nómina y honorarios 2015'!Y40/5+'Nómina y honorarios 2015'!Y44/5+'Nómina y honorarios 2015'!Y42/5</f>
        <v>9538348.4164839983</v>
      </c>
      <c r="C82" s="810" t="s">
        <v>769</v>
      </c>
      <c r="D82" s="811">
        <v>24376726.747129224</v>
      </c>
      <c r="E82" s="906">
        <f>IFERROR((B82-D82)/D82,0)</f>
        <v>-0.60871086116566897</v>
      </c>
    </row>
    <row r="83" spans="1:8" ht="14.25" x14ac:dyDescent="0.2">
      <c r="A83" s="919" t="s">
        <v>770</v>
      </c>
      <c r="B83" s="812">
        <f>+'Nómina y honorarios 2015'!Y40/5+'Nómina y honorarios 2015'!Y44/5+'Nómina y honorarios 2015'!Y42/5</f>
        <v>9538348.4164839983</v>
      </c>
      <c r="C83" s="810" t="s">
        <v>770</v>
      </c>
      <c r="D83" s="811">
        <v>24376726.747129224</v>
      </c>
      <c r="E83" s="906">
        <f>IFERROR((B83-D83)/D83,0)</f>
        <v>-0.60871086116566897</v>
      </c>
    </row>
    <row r="84" spans="1:8" ht="14.25" x14ac:dyDescent="0.2">
      <c r="A84" s="919" t="s">
        <v>771</v>
      </c>
      <c r="B84" s="812">
        <f>+'Nómina y honorarios 2015'!Y40/5+'Nómina y honorarios 2015'!Y43+'Nómina y honorarios 2015'!Y44/5+'Nómina y honorarios 2015'!Y42/5</f>
        <v>18038663.297284</v>
      </c>
      <c r="C84" s="810" t="s">
        <v>771</v>
      </c>
      <c r="D84" s="811">
        <v>57255491.94712922</v>
      </c>
      <c r="E84" s="906">
        <f>IFERROR((B84-D84)/D84,0)</f>
        <v>-0.68494440124728584</v>
      </c>
    </row>
    <row r="85" spans="1:8" ht="14.25" x14ac:dyDescent="0.2">
      <c r="A85" s="920"/>
      <c r="B85" s="812"/>
      <c r="C85" s="808" t="s">
        <v>772</v>
      </c>
      <c r="D85" s="811">
        <v>24376726.747129224</v>
      </c>
      <c r="E85" s="906">
        <f>IFERROR((B85-D85)/D85,0)</f>
        <v>-1</v>
      </c>
    </row>
    <row r="86" spans="1:8" ht="14.25" x14ac:dyDescent="0.2">
      <c r="A86" s="920" t="s">
        <v>773</v>
      </c>
      <c r="B86" s="812">
        <f>+'Nómina y honorarios 2015'!Y40/5+'Nómina y honorarios 2015'!Y41/2+'Nómina y honorarios 2015'!Y44/5+'Nómina y honorarios 2015'!Y42/5</f>
        <v>18667067.96443576</v>
      </c>
      <c r="C86" s="808" t="s">
        <v>773</v>
      </c>
      <c r="D86" s="811">
        <v>24376726.747129224</v>
      </c>
      <c r="E86" s="906">
        <f>IFERROR((B86-D86)/B86,0)</f>
        <v>-0.30586800206499637</v>
      </c>
    </row>
    <row r="87" spans="1:8" ht="14.25" x14ac:dyDescent="0.2">
      <c r="A87" s="920"/>
      <c r="B87" s="812"/>
      <c r="C87" s="808" t="s">
        <v>774</v>
      </c>
      <c r="D87" s="811">
        <v>24376726.747129224</v>
      </c>
      <c r="E87" s="906">
        <f t="shared" si="4"/>
        <v>-1</v>
      </c>
      <c r="G87" s="806"/>
    </row>
    <row r="88" spans="1:8" ht="14.25" x14ac:dyDescent="0.2">
      <c r="A88" s="921"/>
      <c r="B88" s="812"/>
      <c r="C88" s="809" t="s">
        <v>775</v>
      </c>
      <c r="D88" s="811">
        <v>86168173.714393124</v>
      </c>
      <c r="E88" s="906">
        <f>IFERROR((B88-D88)/D88,0)</f>
        <v>-1</v>
      </c>
    </row>
    <row r="89" spans="1:8" ht="14.25" x14ac:dyDescent="0.2">
      <c r="A89" s="920"/>
      <c r="B89" s="805"/>
      <c r="C89" s="808" t="s">
        <v>776</v>
      </c>
      <c r="D89" s="825">
        <v>24376726.747129224</v>
      </c>
      <c r="E89" s="906">
        <f t="shared" si="4"/>
        <v>-1</v>
      </c>
    </row>
    <row r="90" spans="1:8" ht="14.25" x14ac:dyDescent="0.2">
      <c r="A90" s="922" t="s">
        <v>27</v>
      </c>
      <c r="B90" s="805">
        <f>+'Anexo 2 '!F37+'Anexo 2 '!F14+'Anexo 2 '!C14</f>
        <v>15837923.909</v>
      </c>
      <c r="C90" s="804" t="s">
        <v>27</v>
      </c>
      <c r="D90" s="811">
        <v>72438619.123800009</v>
      </c>
      <c r="E90" s="906">
        <f t="shared" si="4"/>
        <v>-0.78136076997916726</v>
      </c>
      <c r="H90" s="835"/>
    </row>
    <row r="91" spans="1:8" ht="15.75" x14ac:dyDescent="0.3">
      <c r="A91" s="917"/>
      <c r="B91" s="821"/>
      <c r="C91" s="815"/>
      <c r="D91" s="803"/>
      <c r="E91" s="903"/>
    </row>
    <row r="92" spans="1:8" ht="15" x14ac:dyDescent="0.25">
      <c r="A92" s="908" t="s">
        <v>766</v>
      </c>
      <c r="B92" s="830">
        <f>SUM(B93:B101)</f>
        <v>2442239692</v>
      </c>
      <c r="C92" s="819" t="s">
        <v>766</v>
      </c>
      <c r="D92" s="832">
        <f>SUM(D93:D101)</f>
        <v>6104669626.9136</v>
      </c>
      <c r="E92" s="903">
        <f t="shared" ref="E92:E97" si="5">IFERROR((B92-D92)/D92,0)</f>
        <v>-0.59993908904866522</v>
      </c>
    </row>
    <row r="93" spans="1:8" ht="14.25" x14ac:dyDescent="0.2">
      <c r="A93" s="918" t="s">
        <v>768</v>
      </c>
      <c r="B93" s="821">
        <f>+'Anexo 2 '!F76</f>
        <v>84783716</v>
      </c>
      <c r="C93" s="813" t="s">
        <v>768</v>
      </c>
      <c r="D93" s="811">
        <f>+'Ejecución gastos 2014'!M47</f>
        <v>238724916.01880002</v>
      </c>
      <c r="E93" s="906">
        <f t="shared" si="5"/>
        <v>-0.64484764550792373</v>
      </c>
    </row>
    <row r="94" spans="1:8" ht="14.25" x14ac:dyDescent="0.2">
      <c r="A94" s="919" t="s">
        <v>769</v>
      </c>
      <c r="B94" s="821">
        <f>+'Anexo 2 '!F82</f>
        <v>283550000</v>
      </c>
      <c r="C94" s="810" t="s">
        <v>769</v>
      </c>
      <c r="D94" s="811">
        <f>+'Ejecución gastos 2014'!M54</f>
        <v>609934155.1342001</v>
      </c>
      <c r="E94" s="906">
        <f t="shared" si="5"/>
        <v>-0.53511375348768231</v>
      </c>
    </row>
    <row r="95" spans="1:8" ht="14.25" x14ac:dyDescent="0.2">
      <c r="A95" s="919" t="s">
        <v>770</v>
      </c>
      <c r="B95" s="821">
        <f>+'Anexo 2 '!F92</f>
        <v>1599599446</v>
      </c>
      <c r="C95" s="810" t="s">
        <v>770</v>
      </c>
      <c r="D95" s="811">
        <f>+'Ejecución gastos 2014'!M60</f>
        <v>3656294892.0293999</v>
      </c>
      <c r="E95" s="906">
        <f t="shared" si="5"/>
        <v>-0.56250808722046108</v>
      </c>
    </row>
    <row r="96" spans="1:8" ht="14.25" x14ac:dyDescent="0.2">
      <c r="A96" s="920" t="s">
        <v>771</v>
      </c>
      <c r="B96" s="821">
        <f>+'Anexo 2 '!F98</f>
        <v>70501000</v>
      </c>
      <c r="C96" s="808" t="s">
        <v>771</v>
      </c>
      <c r="D96" s="811">
        <f>+'Ejecución gastos 2014'!M65</f>
        <v>157413000</v>
      </c>
      <c r="E96" s="906">
        <f t="shared" si="5"/>
        <v>-0.55212720677453575</v>
      </c>
    </row>
    <row r="97" spans="1:8" ht="14.25" x14ac:dyDescent="0.2">
      <c r="A97" s="920"/>
      <c r="B97" s="821"/>
      <c r="C97" s="808" t="s">
        <v>772</v>
      </c>
      <c r="D97" s="811">
        <f>+'Ejecución gastos 2014'!M68</f>
        <v>213421881.4912</v>
      </c>
      <c r="E97" s="906">
        <f t="shared" si="5"/>
        <v>-1</v>
      </c>
    </row>
    <row r="98" spans="1:8" ht="14.25" x14ac:dyDescent="0.2">
      <c r="A98" s="920" t="s">
        <v>777</v>
      </c>
      <c r="B98" s="821">
        <f>+'Anexo 2 '!F101</f>
        <v>403805530</v>
      </c>
      <c r="C98" s="808" t="s">
        <v>777</v>
      </c>
      <c r="D98" s="811">
        <f>+'Ejecución gastos 2014'!M71</f>
        <v>804651340</v>
      </c>
      <c r="E98" s="906">
        <f>IFERROR((B98-D98)/B98,0)</f>
        <v>-0.99267043222513573</v>
      </c>
    </row>
    <row r="99" spans="1:8" ht="14.25" x14ac:dyDescent="0.2">
      <c r="A99" s="920"/>
      <c r="B99" s="821"/>
      <c r="C99" s="808" t="s">
        <v>774</v>
      </c>
      <c r="D99" s="825">
        <f>+'Ejecución gastos 2014'!M79</f>
        <v>157893748</v>
      </c>
      <c r="E99" s="906">
        <f>IFERROR((B99-D99)/D99,0)</f>
        <v>-1</v>
      </c>
    </row>
    <row r="100" spans="1:8" ht="14.25" x14ac:dyDescent="0.2">
      <c r="A100" s="921"/>
      <c r="B100" s="821"/>
      <c r="C100" s="809" t="s">
        <v>778</v>
      </c>
      <c r="D100" s="811">
        <f>+'Ejecución gastos 2014'!M145</f>
        <v>192045694.24000001</v>
      </c>
      <c r="E100" s="906">
        <f>IFERROR((B100-D100)/D100,0)</f>
        <v>-1</v>
      </c>
    </row>
    <row r="101" spans="1:8" ht="14.25" x14ac:dyDescent="0.2">
      <c r="A101" s="920"/>
      <c r="B101" s="821"/>
      <c r="C101" s="808" t="s">
        <v>776</v>
      </c>
      <c r="D101" s="825">
        <f>+'Ejecución gastos 2014'!M151</f>
        <v>74290000</v>
      </c>
      <c r="E101" s="906">
        <f>IFERROR((B101-D101)/D101,0)</f>
        <v>-1</v>
      </c>
    </row>
    <row r="102" spans="1:8" ht="14.25" x14ac:dyDescent="0.2">
      <c r="A102" s="923"/>
      <c r="B102" s="821"/>
      <c r="C102" s="807"/>
      <c r="D102" s="825"/>
      <c r="E102" s="906"/>
    </row>
    <row r="103" spans="1:8" ht="15" x14ac:dyDescent="0.25">
      <c r="A103" s="909" t="s">
        <v>790</v>
      </c>
      <c r="B103" s="830">
        <f>+B105+B113</f>
        <v>3365311833.966495</v>
      </c>
      <c r="C103" s="802" t="s">
        <v>790</v>
      </c>
      <c r="D103" s="832">
        <f>+D105+D113</f>
        <v>6985841716.6886253</v>
      </c>
      <c r="E103" s="903">
        <f>IFERROR((B103-D103)/D103,0)</f>
        <v>-0.51826680728722641</v>
      </c>
    </row>
    <row r="104" spans="1:8" ht="15" x14ac:dyDescent="0.25">
      <c r="A104" s="909"/>
      <c r="B104" s="821"/>
      <c r="C104" s="802"/>
      <c r="D104" s="825"/>
      <c r="E104" s="906"/>
    </row>
    <row r="105" spans="1:8" ht="15" x14ac:dyDescent="0.25">
      <c r="A105" s="908" t="s">
        <v>759</v>
      </c>
      <c r="B105" s="830">
        <f>+SUM(B106:B111)</f>
        <v>487000833.96649492</v>
      </c>
      <c r="C105" s="819" t="s">
        <v>759</v>
      </c>
      <c r="D105" s="832">
        <f>SUM(D106:D111)</f>
        <v>1602111384.7962253</v>
      </c>
      <c r="E105" s="903">
        <f t="shared" ref="E105:E111" si="6">IFERROR((B105-D105)/D105,0)</f>
        <v>-0.69602560808939196</v>
      </c>
    </row>
    <row r="106" spans="1:8" ht="14.25" x14ac:dyDescent="0.2">
      <c r="A106" s="924" t="s">
        <v>791</v>
      </c>
      <c r="B106" s="821">
        <f>+'Nómina y honorarios 2015'!Y70/5+'Nómina y honorarios 2015'!Y71/5+'Nómina y honorarios 2015'!Y72/2+'Nómina y honorarios 2015'!Y74+'Nómina y honorarios 2015'!Y75+'Nómina y honorarios 2015'!Y76+'Nómina y honorarios 2015'!Y77/5+'Nómina y honorarios 2015'!Y78</f>
        <v>229273926.60979027</v>
      </c>
      <c r="C106" s="796" t="s">
        <v>791</v>
      </c>
      <c r="D106" s="821">
        <v>757305662.44840968</v>
      </c>
      <c r="E106" s="906">
        <f>IFERROR((B106-D106)/D106,0)</f>
        <v>-0.69725047893008563</v>
      </c>
      <c r="F106" s="835"/>
      <c r="H106" s="835"/>
    </row>
    <row r="107" spans="1:8" ht="14.25" x14ac:dyDescent="0.2">
      <c r="A107" s="924" t="s">
        <v>792</v>
      </c>
      <c r="B107" s="821">
        <f>+'Nómina y honorarios 2015'!Y70/5+'Nómina y honorarios 2015'!Y71/5+'Nómina y honorarios 2015'!Y77/5</f>
        <v>11218981.354399009</v>
      </c>
      <c r="C107" s="796" t="s">
        <v>792</v>
      </c>
      <c r="D107" s="821">
        <v>33249481.356679033</v>
      </c>
      <c r="E107" s="906">
        <f t="shared" si="6"/>
        <v>-0.66258176378605738</v>
      </c>
    </row>
    <row r="108" spans="1:8" ht="14.25" x14ac:dyDescent="0.2">
      <c r="A108" s="924" t="s">
        <v>811</v>
      </c>
      <c r="B108" s="821">
        <f>+'Nómina y honorarios 2015'!Y70/5+'Nómina y honorarios 2015'!Y71/5+'Nómina y honorarios 2015'!Y73+'Nómina y honorarios 2015'!Y77/5</f>
        <v>25996037.358316317</v>
      </c>
      <c r="C108" s="796" t="s">
        <v>811</v>
      </c>
      <c r="D108" s="821">
        <v>90406348.801229551</v>
      </c>
      <c r="E108" s="906">
        <f t="shared" si="6"/>
        <v>-0.71245340948928171</v>
      </c>
    </row>
    <row r="109" spans="1:8" ht="14.25" x14ac:dyDescent="0.2">
      <c r="A109" s="924" t="s">
        <v>793</v>
      </c>
      <c r="B109" s="821">
        <f>+'Nómina y honorarios 2015'!Y70/5+'Nómina y honorarios 2015'!Y71/5+'Nómina y honorarios 2015'!Y77/5</f>
        <v>11218981.354399009</v>
      </c>
      <c r="C109" s="796" t="s">
        <v>793</v>
      </c>
      <c r="D109" s="821">
        <v>33249481.356679033</v>
      </c>
      <c r="E109" s="906">
        <f t="shared" si="6"/>
        <v>-0.66258176378605738</v>
      </c>
    </row>
    <row r="110" spans="1:8" ht="14.25" x14ac:dyDescent="0.2">
      <c r="A110" s="924" t="s">
        <v>794</v>
      </c>
      <c r="B110" s="821">
        <f>+'Nómina y honorarios 2015'!Y70/5+'Nómina y honorarios 2015'!Y71/5+'Nómina y honorarios 2015'!Y72/2+'Nómina y honorarios 2015'!Y77/5</f>
        <v>18632907.289590318</v>
      </c>
      <c r="C110" s="796" t="s">
        <v>794</v>
      </c>
      <c r="D110" s="821">
        <v>61926192.076427899</v>
      </c>
      <c r="E110" s="906">
        <f t="shared" si="6"/>
        <v>-0.69911104389247747</v>
      </c>
    </row>
    <row r="111" spans="1:8" ht="14.25" x14ac:dyDescent="0.2">
      <c r="A111" s="924" t="s">
        <v>27</v>
      </c>
      <c r="B111" s="821">
        <f>+'Anexo 2 '!G37+'Anexo 2 '!G14</f>
        <v>190660000</v>
      </c>
      <c r="C111" s="796" t="s">
        <v>27</v>
      </c>
      <c r="D111" s="821">
        <f>534974218.7568+30000000+61000000</f>
        <v>625974218.75679994</v>
      </c>
      <c r="E111" s="906">
        <f t="shared" si="6"/>
        <v>-0.69541876600180852</v>
      </c>
      <c r="H111" s="835"/>
    </row>
    <row r="112" spans="1:8" ht="14.25" x14ac:dyDescent="0.2">
      <c r="A112" s="924"/>
      <c r="B112" s="821"/>
      <c r="C112" s="796"/>
      <c r="D112" s="825"/>
      <c r="E112" s="906"/>
    </row>
    <row r="113" spans="1:8" ht="15" x14ac:dyDescent="0.25">
      <c r="A113" s="909" t="s">
        <v>766</v>
      </c>
      <c r="B113" s="830">
        <f>SUM(B114:B118)</f>
        <v>2878311000</v>
      </c>
      <c r="C113" s="802" t="s">
        <v>766</v>
      </c>
      <c r="D113" s="832">
        <f>SUM(D114:D118)</f>
        <v>5383730331.8923998</v>
      </c>
      <c r="E113" s="903">
        <f t="shared" ref="E113:E118" si="7">IFERROR((B113-D113)/D113,0)</f>
        <v>-0.46536865285593459</v>
      </c>
    </row>
    <row r="114" spans="1:8" ht="14.25" x14ac:dyDescent="0.2">
      <c r="A114" s="924" t="s">
        <v>791</v>
      </c>
      <c r="B114" s="821">
        <f>+'Anexo 2 '!G106</f>
        <v>506000000</v>
      </c>
      <c r="C114" s="796" t="s">
        <v>791</v>
      </c>
      <c r="D114" s="825">
        <f>+'Ejecución gastos 2014'!M87</f>
        <v>1508325107.7059999</v>
      </c>
      <c r="E114" s="906">
        <f>IFERROR((B114-D114)/D114,0)</f>
        <v>-0.66452855726205373</v>
      </c>
    </row>
    <row r="115" spans="1:8" ht="14.25" x14ac:dyDescent="0.2">
      <c r="A115" s="924" t="s">
        <v>792</v>
      </c>
      <c r="B115" s="821">
        <f>+'Anexo 2 '!G111</f>
        <v>140000000</v>
      </c>
      <c r="C115" s="796" t="s">
        <v>792</v>
      </c>
      <c r="D115" s="825">
        <f>+'Ejecución gastos 2014'!M92</f>
        <v>376640000</v>
      </c>
      <c r="E115" s="906">
        <f t="shared" si="7"/>
        <v>-0.6282922684791844</v>
      </c>
    </row>
    <row r="116" spans="1:8" ht="14.25" x14ac:dyDescent="0.2">
      <c r="A116" s="924" t="s">
        <v>819</v>
      </c>
      <c r="B116" s="821">
        <f>+'Anexo 2 '!G114</f>
        <v>730960000</v>
      </c>
      <c r="C116" s="796" t="s">
        <v>811</v>
      </c>
      <c r="D116" s="825">
        <f>+'Ejecución gastos 2014'!M99</f>
        <v>468460000</v>
      </c>
      <c r="E116" s="906">
        <f t="shared" si="7"/>
        <v>0.56034666780514875</v>
      </c>
    </row>
    <row r="117" spans="1:8" ht="14.25" x14ac:dyDescent="0.2">
      <c r="A117" s="924" t="s">
        <v>793</v>
      </c>
      <c r="B117" s="821">
        <f>+'Anexo 2 '!G121</f>
        <v>212700000</v>
      </c>
      <c r="C117" s="796" t="s">
        <v>793</v>
      </c>
      <c r="D117" s="825">
        <f>+'Ejecución gastos 2014'!M106</f>
        <v>369512910.80000001</v>
      </c>
      <c r="E117" s="906">
        <f t="shared" si="7"/>
        <v>-0.42437735250034464</v>
      </c>
    </row>
    <row r="118" spans="1:8" ht="14.25" x14ac:dyDescent="0.2">
      <c r="A118" s="924" t="s">
        <v>794</v>
      </c>
      <c r="B118" s="821">
        <f>+'Anexo 2 '!G124</f>
        <v>1288651000</v>
      </c>
      <c r="C118" s="796" t="s">
        <v>794</v>
      </c>
      <c r="D118" s="825">
        <f>+'Ejecución gastos 2014'!M109</f>
        <v>2660792313.3863997</v>
      </c>
      <c r="E118" s="906">
        <f t="shared" si="7"/>
        <v>-0.51568899477166286</v>
      </c>
    </row>
    <row r="119" spans="1:8" ht="15" x14ac:dyDescent="0.25">
      <c r="A119" s="917"/>
      <c r="B119" s="821"/>
      <c r="C119" s="815"/>
      <c r="D119" s="825"/>
      <c r="E119" s="903"/>
    </row>
    <row r="120" spans="1:8" ht="15.75" x14ac:dyDescent="0.3">
      <c r="A120" s="908" t="s">
        <v>795</v>
      </c>
      <c r="B120" s="830">
        <f>+B121+B122+B123+B124</f>
        <v>837410190.40830004</v>
      </c>
      <c r="C120" s="819" t="s">
        <v>795</v>
      </c>
      <c r="D120" s="832">
        <f>SUM(D121:D124)</f>
        <v>2908231831.8028927</v>
      </c>
      <c r="E120" s="903">
        <f>IFERROR((B120-D120)/D120,0)</f>
        <v>-0.71205521470096611</v>
      </c>
      <c r="G120" s="795"/>
      <c r="H120" s="794"/>
    </row>
    <row r="121" spans="1:8" ht="14.25" x14ac:dyDescent="0.2">
      <c r="A121" s="905" t="s">
        <v>796</v>
      </c>
      <c r="B121" s="821">
        <f>+'Anexo 2 '!I13</f>
        <v>34463593.2874</v>
      </c>
      <c r="C121" s="827" t="s">
        <v>796</v>
      </c>
      <c r="D121" s="825">
        <v>113448561.95919999</v>
      </c>
      <c r="E121" s="906">
        <f>IFERROR((B121-D121)/D121,0)</f>
        <v>-0.69621833285296031</v>
      </c>
    </row>
    <row r="122" spans="1:8" ht="14.25" x14ac:dyDescent="0.2">
      <c r="A122" s="905" t="s">
        <v>759</v>
      </c>
      <c r="B122" s="821">
        <f>+'Nómina y honorarios 2015'!Y13+'Nómina y honorarios 2015'!Y14+'Nómina y honorarios 2015'!Y15+'Nómina y honorarios 2015'!Y16+'Nómina y honorarios 2015'!Y17</f>
        <v>53133349.403999999</v>
      </c>
      <c r="C122" s="827" t="s">
        <v>759</v>
      </c>
      <c r="D122" s="825">
        <v>367970763.35689223</v>
      </c>
      <c r="E122" s="906">
        <f>IFERROR((B122-D122)/D122,0)</f>
        <v>-0.85560442650584623</v>
      </c>
    </row>
    <row r="123" spans="1:8" ht="14.25" x14ac:dyDescent="0.2">
      <c r="A123" s="905" t="s">
        <v>27</v>
      </c>
      <c r="B123" s="821">
        <f>+'Anexo 2 '!I37</f>
        <v>148713582.41690001</v>
      </c>
      <c r="C123" s="827" t="s">
        <v>27</v>
      </c>
      <c r="D123" s="825">
        <f>440339389.8468+676000</f>
        <v>441015389.84680003</v>
      </c>
      <c r="E123" s="906">
        <f>IFERROR((B123-D123)/D123,0)</f>
        <v>-0.662792759979283</v>
      </c>
    </row>
    <row r="124" spans="1:8" ht="14.25" x14ac:dyDescent="0.2">
      <c r="A124" s="905" t="s">
        <v>106</v>
      </c>
      <c r="B124" s="821">
        <f>+'Anexo 2 '!I191</f>
        <v>601099665.30000007</v>
      </c>
      <c r="C124" s="827" t="s">
        <v>106</v>
      </c>
      <c r="D124" s="825">
        <v>1985797116.6400001</v>
      </c>
      <c r="E124" s="906">
        <f>IFERROR((B124-D124)/D124,0)</f>
        <v>-0.69730056496553383</v>
      </c>
    </row>
    <row r="125" spans="1:8" ht="15" x14ac:dyDescent="0.25">
      <c r="A125" s="905"/>
      <c r="B125" s="821"/>
      <c r="C125" s="827"/>
      <c r="D125" s="825"/>
      <c r="E125" s="903"/>
    </row>
    <row r="126" spans="1:8" ht="15" x14ac:dyDescent="0.25">
      <c r="A126" s="909" t="s">
        <v>124</v>
      </c>
      <c r="B126" s="830">
        <f>+B127+B128</f>
        <v>0</v>
      </c>
      <c r="C126" s="802" t="s">
        <v>124</v>
      </c>
      <c r="D126" s="832">
        <f>SUM(D127:D128)</f>
        <v>1718446946.4187565</v>
      </c>
      <c r="E126" s="903">
        <f>IFERROR((B126-D126)/D126,0)</f>
        <v>-1</v>
      </c>
    </row>
    <row r="127" spans="1:8" ht="14.25" x14ac:dyDescent="0.2">
      <c r="A127" s="905" t="s">
        <v>797</v>
      </c>
      <c r="B127" s="821">
        <f>+'Anexo 2 '!I198</f>
        <v>0</v>
      </c>
      <c r="C127" s="827" t="s">
        <v>797</v>
      </c>
      <c r="D127" s="825">
        <f>+'Ejecución gastos 2014'!M204</f>
        <v>454018224.87788391</v>
      </c>
      <c r="E127" s="906">
        <f>IFERROR((B127-D127)/D127,0)</f>
        <v>-1</v>
      </c>
    </row>
    <row r="128" spans="1:8" ht="14.25" x14ac:dyDescent="0.2">
      <c r="A128" s="925" t="s">
        <v>43</v>
      </c>
      <c r="B128" s="792">
        <f>+'Anexo 2 '!J199</f>
        <v>0</v>
      </c>
      <c r="C128" s="793" t="s">
        <v>43</v>
      </c>
      <c r="D128" s="825">
        <f>+'Ejecución gastos 2014'!M205</f>
        <v>1264428721.5408726</v>
      </c>
      <c r="E128" s="906">
        <f>IFERROR((B128-D128)/D128,0)</f>
        <v>-1</v>
      </c>
    </row>
    <row r="129" spans="1:5" ht="14.25" x14ac:dyDescent="0.2">
      <c r="A129" s="925"/>
      <c r="B129" s="791"/>
      <c r="C129" s="793"/>
      <c r="D129" s="790"/>
      <c r="E129" s="926"/>
    </row>
    <row r="130" spans="1:5" ht="15" x14ac:dyDescent="0.25">
      <c r="A130" s="909" t="s">
        <v>400</v>
      </c>
      <c r="B130" s="789">
        <f>+'Anexo 2 '!G195</f>
        <v>1000000000</v>
      </c>
      <c r="C130" s="788"/>
      <c r="D130" s="787">
        <v>7900000000</v>
      </c>
      <c r="E130" s="903">
        <f>IFERROR((B130-D130)/D130,0)</f>
        <v>-0.87341772151898733</v>
      </c>
    </row>
    <row r="131" spans="1:5" ht="15" x14ac:dyDescent="0.25">
      <c r="A131" s="927"/>
      <c r="B131" s="791"/>
      <c r="C131" s="786"/>
      <c r="D131" s="790"/>
      <c r="E131" s="928"/>
    </row>
    <row r="132" spans="1:5" ht="15.75" thickBot="1" x14ac:dyDescent="0.3">
      <c r="A132" s="929" t="s">
        <v>133</v>
      </c>
      <c r="B132" s="930">
        <f>+B7+B78+B31+B69+B54+B103+B120+B126+B130</f>
        <v>11125758327.507183</v>
      </c>
      <c r="C132" s="930" t="s">
        <v>133</v>
      </c>
      <c r="D132" s="930">
        <f>+D7+D78+D31+D54+D103+D120+D126+D130</f>
        <v>32455735147.794647</v>
      </c>
      <c r="E132" s="931">
        <f>IFERROR((B132-D132)/D132,0)</f>
        <v>-0.65720208533735303</v>
      </c>
    </row>
    <row r="133" spans="1:5" ht="13.5" thickTop="1" x14ac:dyDescent="0.2">
      <c r="B133" s="820"/>
    </row>
    <row r="134" spans="1:5" x14ac:dyDescent="0.2">
      <c r="A134" s="785"/>
      <c r="B134" s="820"/>
    </row>
    <row r="135" spans="1:5" x14ac:dyDescent="0.2">
      <c r="B135" s="835"/>
      <c r="E135" s="784"/>
    </row>
    <row r="137" spans="1:5" x14ac:dyDescent="0.2">
      <c r="B137" s="820"/>
    </row>
    <row r="140" spans="1:5" x14ac:dyDescent="0.2">
      <c r="C140" s="783"/>
    </row>
  </sheetData>
  <mergeCells count="4">
    <mergeCell ref="A1:E1"/>
    <mergeCell ref="A2:E2"/>
    <mergeCell ref="A3:E3"/>
    <mergeCell ref="A4:E4"/>
  </mergeCells>
  <printOptions horizontalCentered="1"/>
  <pageMargins left="0.39370078740157483" right="0.39370078740157483" top="0.39370078740157483" bottom="0.39370078740157483" header="0.31496062992125984" footer="0.31496062992125984"/>
  <pageSetup scale="38" orientation="portrait" r:id="rId1"/>
  <rowBreaks count="1" manualBreakCount="1">
    <brk id="132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A1:K59"/>
  <sheetViews>
    <sheetView view="pageBreakPreview" zoomScale="70" zoomScaleNormal="80" zoomScaleSheetLayoutView="70" workbookViewId="0">
      <pane xSplit="1" ySplit="8" topLeftCell="B9" activePane="bottomRight" state="frozen"/>
      <selection activeCell="B121" sqref="B121"/>
      <selection pane="topRight" activeCell="B121" sqref="B121"/>
      <selection pane="bottomLeft" activeCell="B121" sqref="B121"/>
      <selection pane="bottomRight" activeCell="L8" sqref="L8"/>
    </sheetView>
  </sheetViews>
  <sheetFormatPr baseColWidth="10" defaultRowHeight="16.5" x14ac:dyDescent="0.3"/>
  <cols>
    <col min="1" max="1" width="31.85546875" style="780" customWidth="1"/>
    <col min="2" max="2" width="25" style="780" customWidth="1"/>
    <col min="3" max="4" width="22.85546875" style="780" customWidth="1"/>
    <col min="5" max="5" width="22.7109375" style="780" customWidth="1"/>
    <col min="6" max="7" width="23.85546875" style="780" customWidth="1"/>
    <col min="8" max="8" width="21.85546875" style="781" customWidth="1"/>
    <col min="9" max="9" width="14.7109375" style="780" customWidth="1"/>
    <col min="10" max="10" width="13.85546875" style="780" customWidth="1"/>
    <col min="11" max="11" width="11.42578125" style="752"/>
    <col min="12" max="16384" width="11.42578125" style="740"/>
  </cols>
  <sheetData>
    <row r="1" spans="1:11" ht="15" x14ac:dyDescent="0.25">
      <c r="A1" s="750" t="s">
        <v>44</v>
      </c>
      <c r="B1" s="750"/>
      <c r="C1" s="750"/>
      <c r="D1" s="750"/>
      <c r="E1" s="750"/>
      <c r="F1" s="750"/>
      <c r="G1" s="750"/>
      <c r="H1" s="751"/>
      <c r="I1" s="750"/>
      <c r="J1" s="751"/>
    </row>
    <row r="2" spans="1:11" ht="15" x14ac:dyDescent="0.25">
      <c r="A2" s="750" t="s">
        <v>42</v>
      </c>
      <c r="B2" s="750"/>
      <c r="C2" s="750"/>
      <c r="D2" s="750"/>
      <c r="E2" s="750"/>
      <c r="F2" s="750"/>
      <c r="G2" s="750"/>
      <c r="H2" s="751"/>
      <c r="I2" s="750"/>
      <c r="J2" s="751"/>
    </row>
    <row r="3" spans="1:11" ht="15" x14ac:dyDescent="0.25">
      <c r="A3" s="750" t="s">
        <v>709</v>
      </c>
      <c r="B3" s="750"/>
      <c r="C3" s="750"/>
      <c r="D3" s="750"/>
      <c r="E3" s="750"/>
      <c r="F3" s="750"/>
      <c r="G3" s="750"/>
      <c r="H3" s="751"/>
      <c r="I3" s="750"/>
      <c r="J3" s="751"/>
    </row>
    <row r="4" spans="1:11" ht="15" x14ac:dyDescent="0.25">
      <c r="A4" s="750" t="s">
        <v>754</v>
      </c>
      <c r="B4" s="750"/>
      <c r="C4" s="750"/>
      <c r="D4" s="750"/>
      <c r="E4" s="750"/>
      <c r="F4" s="750"/>
      <c r="G4" s="750"/>
      <c r="H4" s="751"/>
      <c r="I4" s="750"/>
      <c r="J4" s="751"/>
    </row>
    <row r="5" spans="1:11" ht="15" x14ac:dyDescent="0.25">
      <c r="A5" s="753" t="s">
        <v>710</v>
      </c>
      <c r="B5" s="753"/>
      <c r="C5" s="753"/>
      <c r="D5" s="753"/>
      <c r="E5" s="753"/>
      <c r="F5" s="753"/>
      <c r="G5" s="753"/>
      <c r="H5" s="754"/>
      <c r="I5" s="753"/>
      <c r="J5" s="751"/>
    </row>
    <row r="6" spans="1:11" ht="15.75" thickBot="1" x14ac:dyDescent="0.3">
      <c r="A6" s="753"/>
      <c r="B6" s="753"/>
      <c r="C6" s="753"/>
      <c r="D6" s="753"/>
      <c r="E6" s="753"/>
      <c r="F6" s="753"/>
      <c r="G6" s="753"/>
      <c r="H6" s="754"/>
      <c r="I6" s="753"/>
      <c r="J6" s="751"/>
    </row>
    <row r="7" spans="1:11" ht="12.75" customHeight="1" thickTop="1" x14ac:dyDescent="0.2">
      <c r="A7" s="1058" t="s">
        <v>711</v>
      </c>
      <c r="B7" s="1056" t="s">
        <v>214</v>
      </c>
      <c r="C7" s="1056" t="s">
        <v>292</v>
      </c>
      <c r="D7" s="1056" t="s">
        <v>752</v>
      </c>
      <c r="E7" s="1056" t="s">
        <v>753</v>
      </c>
      <c r="F7" s="1056" t="s">
        <v>291</v>
      </c>
      <c r="G7" s="1056" t="s">
        <v>95</v>
      </c>
      <c r="H7" s="1050" t="s">
        <v>712</v>
      </c>
      <c r="I7" s="1052" t="s">
        <v>713</v>
      </c>
      <c r="J7" s="1054" t="s">
        <v>714</v>
      </c>
    </row>
    <row r="8" spans="1:11" s="756" customFormat="1" ht="121.5" customHeight="1" x14ac:dyDescent="0.2">
      <c r="A8" s="1059"/>
      <c r="B8" s="1060"/>
      <c r="C8" s="1060"/>
      <c r="D8" s="1057"/>
      <c r="E8" s="1057"/>
      <c r="F8" s="1057"/>
      <c r="G8" s="1057"/>
      <c r="H8" s="1051"/>
      <c r="I8" s="1053"/>
      <c r="J8" s="1055"/>
      <c r="K8" s="755"/>
    </row>
    <row r="9" spans="1:11" ht="15" customHeight="1" x14ac:dyDescent="0.25">
      <c r="A9" s="932" t="s">
        <v>715</v>
      </c>
      <c r="B9" s="844">
        <f t="shared" ref="B9:G9" si="0">SUM(B10:B15)</f>
        <v>483467289.88174593</v>
      </c>
      <c r="C9" s="844">
        <f t="shared" si="0"/>
        <v>173650000</v>
      </c>
      <c r="D9" s="844">
        <f t="shared" si="0"/>
        <v>62002500</v>
      </c>
      <c r="E9" s="844">
        <f t="shared" si="0"/>
        <v>15558392</v>
      </c>
      <c r="F9" s="844">
        <f t="shared" si="0"/>
        <v>344683384.61999995</v>
      </c>
      <c r="G9" s="844">
        <f t="shared" si="0"/>
        <v>572849240</v>
      </c>
      <c r="H9" s="844">
        <f>+F9+D9+C9+B9+E9+G9</f>
        <v>1652210806.5017457</v>
      </c>
      <c r="I9" s="757">
        <f>+H9/H48</f>
        <v>8.6763437221580628E-2</v>
      </c>
      <c r="J9" s="933">
        <f>SUM(J10:J15)</f>
        <v>0.25174811626254917</v>
      </c>
    </row>
    <row r="10" spans="1:11" ht="15" customHeight="1" x14ac:dyDescent="0.25">
      <c r="A10" s="934" t="s">
        <v>716</v>
      </c>
      <c r="B10" s="758">
        <v>53589943.435291007</v>
      </c>
      <c r="C10" s="845">
        <f>22425000+24150000</f>
        <v>46575000</v>
      </c>
      <c r="D10" s="845"/>
      <c r="E10" s="845">
        <v>2289645</v>
      </c>
      <c r="F10" s="845">
        <v>57447230.769999996</v>
      </c>
      <c r="G10" s="845">
        <v>84303135</v>
      </c>
      <c r="H10" s="845">
        <f t="shared" ref="H10:H48" si="1">+F10+D10+C10+B10+E10+G10</f>
        <v>244204954.205291</v>
      </c>
      <c r="I10" s="759">
        <f>+H10/H48</f>
        <v>1.2824066475059308E-2</v>
      </c>
      <c r="J10" s="935">
        <v>4.609481210204225E-3</v>
      </c>
    </row>
    <row r="11" spans="1:11" ht="15" x14ac:dyDescent="0.25">
      <c r="A11" s="934" t="s">
        <v>717</v>
      </c>
      <c r="B11" s="758">
        <v>372807611.925291</v>
      </c>
      <c r="C11" s="845">
        <f>22425000+24150000</f>
        <v>46575000</v>
      </c>
      <c r="D11" s="845">
        <v>62002500</v>
      </c>
      <c r="E11" s="845">
        <v>5416480</v>
      </c>
      <c r="F11" s="845">
        <v>57447230.769999996</v>
      </c>
      <c r="G11" s="845">
        <v>199431077</v>
      </c>
      <c r="H11" s="845">
        <f t="shared" si="1"/>
        <v>743679899.69529104</v>
      </c>
      <c r="I11" s="759">
        <f>+H11/H48</f>
        <v>3.9053263685390131E-2</v>
      </c>
      <c r="J11" s="935">
        <v>0.222</v>
      </c>
    </row>
    <row r="12" spans="1:11" ht="15" x14ac:dyDescent="0.25">
      <c r="A12" s="934" t="s">
        <v>718</v>
      </c>
      <c r="B12" s="758">
        <v>16410168.005291006</v>
      </c>
      <c r="C12" s="845">
        <f>12266666+3833334</f>
        <v>16100000</v>
      </c>
      <c r="D12" s="845"/>
      <c r="E12" s="845">
        <v>1508352</v>
      </c>
      <c r="F12" s="845">
        <v>57447230.769999996</v>
      </c>
      <c r="G12" s="845">
        <v>55536471</v>
      </c>
      <c r="H12" s="845">
        <f t="shared" si="1"/>
        <v>147002221.775291</v>
      </c>
      <c r="I12" s="759">
        <f t="shared" ref="I12:I45" si="2">+H12/H$48</f>
        <v>7.7196069595008169E-3</v>
      </c>
      <c r="J12" s="935">
        <v>8.2586277678974394E-3</v>
      </c>
    </row>
    <row r="13" spans="1:11" ht="15" x14ac:dyDescent="0.25">
      <c r="A13" s="934" t="s">
        <v>719</v>
      </c>
      <c r="B13" s="758">
        <v>13747980.505291006</v>
      </c>
      <c r="C13" s="845">
        <f>18400000+5750000</f>
        <v>24150000</v>
      </c>
      <c r="D13" s="845"/>
      <c r="E13" s="845">
        <v>1407743</v>
      </c>
      <c r="F13" s="845">
        <v>57447230.769999996</v>
      </c>
      <c r="G13" s="845">
        <v>51832113</v>
      </c>
      <c r="H13" s="845">
        <f t="shared" si="1"/>
        <v>148585067.275291</v>
      </c>
      <c r="I13" s="759">
        <f t="shared" si="2"/>
        <v>7.8027277789690591E-3</v>
      </c>
      <c r="J13" s="935">
        <v>1.1902065210525569E-2</v>
      </c>
    </row>
    <row r="14" spans="1:11" ht="15" x14ac:dyDescent="0.25">
      <c r="A14" s="934" t="s">
        <v>720</v>
      </c>
      <c r="B14" s="758">
        <v>12270793.005291006</v>
      </c>
      <c r="C14" s="845">
        <f>18400000+5750000</f>
        <v>24150000</v>
      </c>
      <c r="D14" s="845"/>
      <c r="E14" s="845">
        <v>3928972</v>
      </c>
      <c r="F14" s="845">
        <v>57447230.769999996</v>
      </c>
      <c r="G14" s="845">
        <v>144662042</v>
      </c>
      <c r="H14" s="845">
        <f t="shared" si="1"/>
        <v>242459037.775291</v>
      </c>
      <c r="I14" s="759">
        <f t="shared" si="2"/>
        <v>1.2732382223889709E-2</v>
      </c>
      <c r="J14" s="935">
        <v>1.2383861412399587E-3</v>
      </c>
    </row>
    <row r="15" spans="1:11" ht="15" x14ac:dyDescent="0.25">
      <c r="A15" s="934" t="s">
        <v>721</v>
      </c>
      <c r="B15" s="758">
        <v>14640793.005291006</v>
      </c>
      <c r="C15" s="845">
        <f>12266666+3833334</f>
        <v>16100000</v>
      </c>
      <c r="D15" s="845"/>
      <c r="E15" s="845">
        <v>1007200</v>
      </c>
      <c r="F15" s="845">
        <v>57447230.769999996</v>
      </c>
      <c r="G15" s="845">
        <v>37084402</v>
      </c>
      <c r="H15" s="845">
        <f t="shared" si="1"/>
        <v>126279625.775291</v>
      </c>
      <c r="I15" s="759">
        <f t="shared" si="2"/>
        <v>6.6313900987716237E-3</v>
      </c>
      <c r="J15" s="935">
        <v>3.7395559326820005E-3</v>
      </c>
    </row>
    <row r="16" spans="1:11" ht="15" x14ac:dyDescent="0.25">
      <c r="A16" s="932" t="s">
        <v>722</v>
      </c>
      <c r="B16" s="844">
        <f t="shared" ref="B16:G16" si="3">SUM(B17:B24)</f>
        <v>61137136.322751328</v>
      </c>
      <c r="C16" s="844">
        <f t="shared" si="3"/>
        <v>48300000</v>
      </c>
      <c r="D16" s="844">
        <f t="shared" si="3"/>
        <v>0</v>
      </c>
      <c r="E16" s="844">
        <f t="shared" si="3"/>
        <v>28697989</v>
      </c>
      <c r="F16" s="844">
        <f t="shared" si="3"/>
        <v>235835999.97999996</v>
      </c>
      <c r="G16" s="844">
        <f t="shared" si="3"/>
        <v>1056640220</v>
      </c>
      <c r="H16" s="844">
        <f t="shared" si="1"/>
        <v>1430611345.3027513</v>
      </c>
      <c r="I16" s="757">
        <f t="shared" si="2"/>
        <v>7.5126465193305292E-2</v>
      </c>
      <c r="J16" s="933">
        <f>SUM(J17:J24)</f>
        <v>2.8303554692196163E-2</v>
      </c>
      <c r="K16" s="761"/>
    </row>
    <row r="17" spans="1:10" ht="15" x14ac:dyDescent="0.25">
      <c r="A17" s="934" t="s">
        <v>723</v>
      </c>
      <c r="B17" s="758">
        <v>12980168.005291006</v>
      </c>
      <c r="C17" s="845">
        <f>9200000+2875000</f>
        <v>12075000</v>
      </c>
      <c r="D17" s="845"/>
      <c r="E17" s="845">
        <v>2976161</v>
      </c>
      <c r="F17" s="845">
        <v>33690857.140000001</v>
      </c>
      <c r="G17" s="845">
        <v>109580213</v>
      </c>
      <c r="H17" s="845">
        <f t="shared" si="1"/>
        <v>171302399.145291</v>
      </c>
      <c r="I17" s="759">
        <f t="shared" si="2"/>
        <v>8.995695280324326E-3</v>
      </c>
      <c r="J17" s="935">
        <v>2.5953412772226077E-2</v>
      </c>
    </row>
    <row r="18" spans="1:10" ht="15" x14ac:dyDescent="0.25">
      <c r="A18" s="934" t="s">
        <v>724</v>
      </c>
      <c r="B18" s="758">
        <v>2479085.6481481483</v>
      </c>
      <c r="C18" s="845">
        <f>9200000+2875000</f>
        <v>12075000</v>
      </c>
      <c r="D18" s="845"/>
      <c r="E18" s="845">
        <v>3727427</v>
      </c>
      <c r="F18" s="845">
        <v>33690857.140000001</v>
      </c>
      <c r="G18" s="845">
        <v>137241290</v>
      </c>
      <c r="H18" s="845">
        <f t="shared" si="1"/>
        <v>189213659.78814816</v>
      </c>
      <c r="I18" s="759">
        <f t="shared" si="2"/>
        <v>9.9362789711163659E-3</v>
      </c>
      <c r="J18" s="935">
        <v>5.6699040264392556E-5</v>
      </c>
    </row>
    <row r="19" spans="1:10" ht="15" x14ac:dyDescent="0.25">
      <c r="A19" s="934" t="s">
        <v>725</v>
      </c>
      <c r="B19" s="758">
        <v>10442980.505291006</v>
      </c>
      <c r="C19" s="845"/>
      <c r="D19" s="845"/>
      <c r="E19" s="845">
        <v>3520999</v>
      </c>
      <c r="F19" s="845">
        <v>33690857.140000001</v>
      </c>
      <c r="G19" s="845">
        <v>129640744</v>
      </c>
      <c r="H19" s="845">
        <f t="shared" si="1"/>
        <v>177295580.645291</v>
      </c>
      <c r="I19" s="759">
        <f t="shared" si="2"/>
        <v>9.310418452928293E-3</v>
      </c>
      <c r="J19" s="935">
        <v>4.5336890104779551E-4</v>
      </c>
    </row>
    <row r="20" spans="1:10" ht="15" x14ac:dyDescent="0.25">
      <c r="A20" s="934" t="s">
        <v>726</v>
      </c>
      <c r="B20" s="758">
        <v>12812980.505291006</v>
      </c>
      <c r="C20" s="845">
        <f>9200000+2875000</f>
        <v>12075000</v>
      </c>
      <c r="D20" s="845"/>
      <c r="E20" s="845">
        <v>8635723</v>
      </c>
      <c r="F20" s="845">
        <v>33690857.140000001</v>
      </c>
      <c r="G20" s="845">
        <v>317961382</v>
      </c>
      <c r="H20" s="845">
        <f t="shared" si="1"/>
        <v>385175942.64529097</v>
      </c>
      <c r="I20" s="759">
        <f t="shared" si="2"/>
        <v>2.0226952025405805E-2</v>
      </c>
      <c r="J20" s="935">
        <v>1.1936103349978312E-3</v>
      </c>
    </row>
    <row r="21" spans="1:10" ht="15" x14ac:dyDescent="0.25">
      <c r="A21" s="934" t="s">
        <v>727</v>
      </c>
      <c r="B21" s="758">
        <v>1535960.6481481483</v>
      </c>
      <c r="C21" s="845"/>
      <c r="D21" s="845"/>
      <c r="E21" s="845">
        <v>2452448</v>
      </c>
      <c r="F21" s="845">
        <v>33690857.140000001</v>
      </c>
      <c r="G21" s="845">
        <v>90297449</v>
      </c>
      <c r="H21" s="845">
        <f t="shared" si="1"/>
        <v>127976714.78814815</v>
      </c>
      <c r="I21" s="759">
        <f t="shared" si="2"/>
        <v>6.7205102494491452E-3</v>
      </c>
      <c r="J21" s="935">
        <v>0</v>
      </c>
    </row>
    <row r="22" spans="1:10" ht="15" x14ac:dyDescent="0.25">
      <c r="A22" s="934" t="s">
        <v>728</v>
      </c>
      <c r="B22" s="758">
        <v>10442980.505291006</v>
      </c>
      <c r="C22" s="845">
        <f>9200000+2875000</f>
        <v>12075000</v>
      </c>
      <c r="D22" s="845"/>
      <c r="E22" s="845">
        <v>4223700</v>
      </c>
      <c r="F22" s="845">
        <v>33690857.140000001</v>
      </c>
      <c r="G22" s="845">
        <v>155513735</v>
      </c>
      <c r="H22" s="845">
        <f t="shared" si="1"/>
        <v>215946272.645291</v>
      </c>
      <c r="I22" s="759">
        <f t="shared" si="2"/>
        <v>1.134010308863952E-2</v>
      </c>
      <c r="J22" s="935">
        <v>3.1658756608516926E-4</v>
      </c>
    </row>
    <row r="23" spans="1:10" ht="15" x14ac:dyDescent="0.25">
      <c r="A23" s="934" t="s">
        <v>729</v>
      </c>
      <c r="B23" s="758">
        <v>10442980.505291006</v>
      </c>
      <c r="C23" s="845"/>
      <c r="D23" s="845"/>
      <c r="E23" s="845">
        <v>3161531</v>
      </c>
      <c r="F23" s="845">
        <v>33690857.140000001</v>
      </c>
      <c r="G23" s="845">
        <v>116405407</v>
      </c>
      <c r="H23" s="845">
        <f t="shared" si="1"/>
        <v>163700775.645291</v>
      </c>
      <c r="I23" s="759">
        <f t="shared" si="2"/>
        <v>8.5965071254418372E-3</v>
      </c>
      <c r="J23" s="935">
        <v>3.2987607757489659E-4</v>
      </c>
    </row>
    <row r="24" spans="1:10" ht="15" x14ac:dyDescent="0.25">
      <c r="A24" s="934" t="s">
        <v>730</v>
      </c>
      <c r="B24" s="758">
        <v>0</v>
      </c>
      <c r="C24" s="845">
        <v>0</v>
      </c>
      <c r="D24" s="845">
        <v>0</v>
      </c>
      <c r="E24" s="846">
        <v>0</v>
      </c>
      <c r="F24" s="845">
        <v>0</v>
      </c>
      <c r="G24" s="845">
        <v>0</v>
      </c>
      <c r="H24" s="844">
        <f t="shared" si="1"/>
        <v>0</v>
      </c>
      <c r="I24" s="759">
        <f t="shared" si="2"/>
        <v>0</v>
      </c>
      <c r="J24" s="935">
        <v>0</v>
      </c>
    </row>
    <row r="25" spans="1:10" ht="15" x14ac:dyDescent="0.25">
      <c r="A25" s="932" t="s">
        <v>731</v>
      </c>
      <c r="B25" s="844">
        <f t="shared" ref="B25:G25" si="4">SUM(B26:B33)</f>
        <v>1003465001.160476</v>
      </c>
      <c r="C25" s="844">
        <f t="shared" si="4"/>
        <v>330150000</v>
      </c>
      <c r="D25" s="844">
        <f t="shared" si="4"/>
        <v>196425000</v>
      </c>
      <c r="E25" s="844">
        <f t="shared" si="4"/>
        <v>13112736</v>
      </c>
      <c r="F25" s="844">
        <f t="shared" si="4"/>
        <v>507954462</v>
      </c>
      <c r="G25" s="844">
        <f t="shared" si="4"/>
        <v>482801898</v>
      </c>
      <c r="H25" s="844">
        <f t="shared" si="1"/>
        <v>2533909097.1604757</v>
      </c>
      <c r="I25" s="757">
        <f t="shared" si="2"/>
        <v>0.13306453511351168</v>
      </c>
      <c r="J25" s="933">
        <f>SUM(J26:J33)</f>
        <v>0.7098152757445404</v>
      </c>
    </row>
    <row r="26" spans="1:10" ht="15" x14ac:dyDescent="0.25">
      <c r="A26" s="934" t="s">
        <v>732</v>
      </c>
      <c r="B26" s="758">
        <v>240940795.27058202</v>
      </c>
      <c r="C26" s="845">
        <f>45650000+48300000</f>
        <v>93950000</v>
      </c>
      <c r="D26" s="845">
        <v>71475000</v>
      </c>
      <c r="E26" s="845">
        <v>5266945</v>
      </c>
      <c r="F26" s="845">
        <v>77100231</v>
      </c>
      <c r="G26" s="845">
        <v>193925291</v>
      </c>
      <c r="H26" s="845">
        <f t="shared" si="1"/>
        <v>682658262.27058196</v>
      </c>
      <c r="I26" s="759">
        <f t="shared" si="2"/>
        <v>3.5848801526552891E-2</v>
      </c>
      <c r="J26" s="935">
        <v>0.4761723110158661</v>
      </c>
    </row>
    <row r="27" spans="1:10" ht="15" x14ac:dyDescent="0.25">
      <c r="A27" s="934" t="s">
        <v>733</v>
      </c>
      <c r="B27" s="758">
        <v>33070043.005291007</v>
      </c>
      <c r="C27" s="845">
        <f>14950000+16100000</f>
        <v>31050000</v>
      </c>
      <c r="D27" s="845">
        <v>17825000</v>
      </c>
      <c r="E27" s="845">
        <v>677700</v>
      </c>
      <c r="F27" s="845">
        <v>58959000</v>
      </c>
      <c r="G27" s="845">
        <v>24952463</v>
      </c>
      <c r="H27" s="845">
        <f t="shared" si="1"/>
        <v>166534206.00529101</v>
      </c>
      <c r="I27" s="759">
        <f t="shared" si="2"/>
        <v>8.745300582181233E-3</v>
      </c>
      <c r="J27" s="935">
        <v>2.2415647666578952E-2</v>
      </c>
    </row>
    <row r="28" spans="1:10" ht="15" x14ac:dyDescent="0.25">
      <c r="A28" s="934" t="s">
        <v>734</v>
      </c>
      <c r="B28" s="758">
        <v>13631105.505291006</v>
      </c>
      <c r="C28" s="845">
        <v>24150000</v>
      </c>
      <c r="D28" s="845"/>
      <c r="E28" s="845">
        <v>896047</v>
      </c>
      <c r="F28" s="845">
        <v>58959000</v>
      </c>
      <c r="G28" s="845">
        <v>32991820</v>
      </c>
      <c r="H28" s="845">
        <f t="shared" si="1"/>
        <v>130627972.505291</v>
      </c>
      <c r="I28" s="759">
        <f t="shared" si="2"/>
        <v>6.8597371759371801E-3</v>
      </c>
      <c r="J28" s="935">
        <v>1.0782091345779186E-3</v>
      </c>
    </row>
    <row r="29" spans="1:10" ht="15" x14ac:dyDescent="0.25">
      <c r="A29" s="934" t="s">
        <v>735</v>
      </c>
      <c r="B29" s="758">
        <v>5667210.6481481483</v>
      </c>
      <c r="C29" s="845">
        <v>0</v>
      </c>
      <c r="D29" s="845"/>
      <c r="E29" s="845">
        <v>0</v>
      </c>
      <c r="F29" s="845">
        <v>58959000</v>
      </c>
      <c r="G29" s="845">
        <v>0</v>
      </c>
      <c r="H29" s="845">
        <f t="shared" si="1"/>
        <v>64626210.648148149</v>
      </c>
      <c r="I29" s="759">
        <f t="shared" si="2"/>
        <v>3.3937510566895827E-3</v>
      </c>
      <c r="J29" s="935">
        <v>5.7751706797101524E-3</v>
      </c>
    </row>
    <row r="30" spans="1:10" ht="15" x14ac:dyDescent="0.25">
      <c r="A30" s="934" t="s">
        <v>736</v>
      </c>
      <c r="B30" s="758">
        <v>21033293.005291007</v>
      </c>
      <c r="C30" s="845">
        <f>18400000+5750000</f>
        <v>24150000</v>
      </c>
      <c r="D30" s="845"/>
      <c r="E30" s="845">
        <v>2697376</v>
      </c>
      <c r="F30" s="845">
        <v>58959000</v>
      </c>
      <c r="G30" s="845">
        <v>99315509</v>
      </c>
      <c r="H30" s="845">
        <f t="shared" si="1"/>
        <v>206155178.00529101</v>
      </c>
      <c r="I30" s="759">
        <f t="shared" si="2"/>
        <v>1.0825938054864639E-2</v>
      </c>
      <c r="J30" s="935">
        <v>1.2379497708584701E-2</v>
      </c>
    </row>
    <row r="31" spans="1:10" ht="15" x14ac:dyDescent="0.25">
      <c r="A31" s="934" t="s">
        <v>737</v>
      </c>
      <c r="B31" s="758">
        <v>128332199.165291</v>
      </c>
      <c r="C31" s="845">
        <f>14950000+16100000</f>
        <v>31050000</v>
      </c>
      <c r="D31" s="845">
        <v>17825000</v>
      </c>
      <c r="E31" s="845">
        <v>266716</v>
      </c>
      <c r="F31" s="845">
        <v>58959000</v>
      </c>
      <c r="G31" s="845">
        <v>9820309</v>
      </c>
      <c r="H31" s="845">
        <f t="shared" si="1"/>
        <v>246253224.16529101</v>
      </c>
      <c r="I31" s="759">
        <f>+H31/H$48</f>
        <v>1.2931628380227806E-2</v>
      </c>
      <c r="J31" s="935">
        <v>1.1930071971075649E-2</v>
      </c>
    </row>
    <row r="32" spans="1:10" ht="15" x14ac:dyDescent="0.25">
      <c r="A32" s="934" t="s">
        <v>738</v>
      </c>
      <c r="B32" s="758">
        <v>423362230.50529099</v>
      </c>
      <c r="C32" s="845">
        <f>15750000+16100000</f>
        <v>31850000</v>
      </c>
      <c r="D32" s="845">
        <v>17825000</v>
      </c>
      <c r="E32" s="845">
        <v>631032</v>
      </c>
      <c r="F32" s="845">
        <v>58959000</v>
      </c>
      <c r="G32" s="845">
        <v>23234173</v>
      </c>
      <c r="H32" s="845">
        <f t="shared" si="1"/>
        <v>555861435.50529099</v>
      </c>
      <c r="I32" s="759">
        <f t="shared" si="2"/>
        <v>2.9190251373234825E-2</v>
      </c>
      <c r="J32" s="935">
        <v>2.9631079593301801E-2</v>
      </c>
    </row>
    <row r="33" spans="1:10" ht="15" x14ac:dyDescent="0.25">
      <c r="A33" s="934" t="s">
        <v>739</v>
      </c>
      <c r="B33" s="758">
        <v>137428124.055291</v>
      </c>
      <c r="C33" s="845">
        <f>45650000+48300000</f>
        <v>93950000</v>
      </c>
      <c r="D33" s="845">
        <v>71475000</v>
      </c>
      <c r="E33" s="845">
        <v>2676920</v>
      </c>
      <c r="F33" s="845">
        <v>77100231</v>
      </c>
      <c r="G33" s="845">
        <v>98562333</v>
      </c>
      <c r="H33" s="845">
        <f t="shared" si="1"/>
        <v>481192608.055291</v>
      </c>
      <c r="I33" s="759">
        <f t="shared" si="2"/>
        <v>2.5269126963823534E-2</v>
      </c>
      <c r="J33" s="935">
        <v>0.15043328797484506</v>
      </c>
    </row>
    <row r="34" spans="1:10" ht="15" x14ac:dyDescent="0.25">
      <c r="A34" s="932" t="s">
        <v>740</v>
      </c>
      <c r="B34" s="760">
        <f t="shared" ref="B34:G34" si="5">SUM(B35:B37)</f>
        <v>9214421.2962962966</v>
      </c>
      <c r="C34" s="760">
        <f t="shared" si="5"/>
        <v>0</v>
      </c>
      <c r="D34" s="760">
        <f t="shared" si="5"/>
        <v>0</v>
      </c>
      <c r="E34" s="760">
        <f t="shared" si="5"/>
        <v>3235461</v>
      </c>
      <c r="F34" s="760">
        <f t="shared" si="5"/>
        <v>0</v>
      </c>
      <c r="G34" s="760">
        <f t="shared" si="5"/>
        <v>119127417</v>
      </c>
      <c r="H34" s="844">
        <f t="shared" si="1"/>
        <v>131577299.2962963</v>
      </c>
      <c r="I34" s="757">
        <f t="shared" si="2"/>
        <v>6.9095896857440551E-3</v>
      </c>
      <c r="J34" s="933">
        <f>SUM(J35:J37)</f>
        <v>1.7421425280791391E-3</v>
      </c>
    </row>
    <row r="35" spans="1:10" ht="15" x14ac:dyDescent="0.25">
      <c r="A35" s="934" t="s">
        <v>740</v>
      </c>
      <c r="B35" s="758">
        <v>233750</v>
      </c>
      <c r="C35" s="845">
        <v>0</v>
      </c>
      <c r="D35" s="845">
        <v>0</v>
      </c>
      <c r="E35" s="845">
        <v>0</v>
      </c>
      <c r="F35" s="845">
        <v>0</v>
      </c>
      <c r="G35" s="845">
        <v>0</v>
      </c>
      <c r="H35" s="844">
        <f t="shared" si="1"/>
        <v>233750</v>
      </c>
      <c r="I35" s="759">
        <f t="shared" si="2"/>
        <v>1.2275039825871666E-5</v>
      </c>
      <c r="J35" s="935">
        <v>0</v>
      </c>
    </row>
    <row r="36" spans="1:10" ht="15" x14ac:dyDescent="0.25">
      <c r="A36" s="934" t="s">
        <v>741</v>
      </c>
      <c r="B36" s="758">
        <v>4490335.6481481483</v>
      </c>
      <c r="C36" s="845">
        <v>0</v>
      </c>
      <c r="D36" s="845"/>
      <c r="E36" s="845">
        <v>2257015</v>
      </c>
      <c r="F36" s="845"/>
      <c r="G36" s="845">
        <v>83101727</v>
      </c>
      <c r="H36" s="845">
        <f t="shared" si="1"/>
        <v>89849077.648148149</v>
      </c>
      <c r="I36" s="759">
        <f t="shared" si="2"/>
        <v>4.7182930757170231E-3</v>
      </c>
      <c r="J36" s="935">
        <v>4.1476436179541863E-4</v>
      </c>
    </row>
    <row r="37" spans="1:10" ht="15" x14ac:dyDescent="0.25">
      <c r="A37" s="934" t="s">
        <v>742</v>
      </c>
      <c r="B37" s="758">
        <v>4490335.6481481483</v>
      </c>
      <c r="C37" s="845">
        <v>0</v>
      </c>
      <c r="D37" s="845"/>
      <c r="E37" s="845">
        <v>978446</v>
      </c>
      <c r="F37" s="845">
        <v>0</v>
      </c>
      <c r="G37" s="845">
        <v>36025690</v>
      </c>
      <c r="H37" s="845">
        <f t="shared" si="1"/>
        <v>41494471.648148149</v>
      </c>
      <c r="I37" s="759">
        <f t="shared" si="2"/>
        <v>2.1790215702011603E-3</v>
      </c>
      <c r="J37" s="935">
        <v>1.3273781662837205E-3</v>
      </c>
    </row>
    <row r="38" spans="1:10" ht="15" x14ac:dyDescent="0.25">
      <c r="A38" s="932" t="s">
        <v>743</v>
      </c>
      <c r="B38" s="844">
        <f t="shared" ref="B38:G38" si="6">SUM(B39:B45)</f>
        <v>25618171.658730157</v>
      </c>
      <c r="C38" s="844">
        <f t="shared" si="6"/>
        <v>16100000</v>
      </c>
      <c r="D38" s="844">
        <f t="shared" si="6"/>
        <v>0</v>
      </c>
      <c r="E38" s="844">
        <f t="shared" si="6"/>
        <v>4673322</v>
      </c>
      <c r="F38" s="844">
        <f t="shared" si="6"/>
        <v>90706152.900000006</v>
      </c>
      <c r="G38" s="844">
        <f t="shared" si="6"/>
        <v>172068544.5</v>
      </c>
      <c r="H38" s="844">
        <f t="shared" si="1"/>
        <v>309166191.05873013</v>
      </c>
      <c r="I38" s="757">
        <f t="shared" si="2"/>
        <v>1.6235410943567747E-2</v>
      </c>
      <c r="J38" s="933">
        <f>SUM(J39:J45)</f>
        <v>8.3687286206100969E-3</v>
      </c>
    </row>
    <row r="39" spans="1:10" ht="15" x14ac:dyDescent="0.25">
      <c r="A39" s="934" t="s">
        <v>744</v>
      </c>
      <c r="B39" s="758">
        <v>2896273.1481481483</v>
      </c>
      <c r="C39" s="845">
        <v>0</v>
      </c>
      <c r="D39" s="845"/>
      <c r="E39" s="846">
        <v>787360</v>
      </c>
      <c r="F39" s="845">
        <v>30235384.300000001</v>
      </c>
      <c r="G39" s="845">
        <v>28990044</v>
      </c>
      <c r="H39" s="845">
        <f t="shared" si="1"/>
        <v>62909061.448148146</v>
      </c>
      <c r="I39" s="759">
        <f t="shared" si="2"/>
        <v>3.3035774745849254E-3</v>
      </c>
      <c r="J39" s="935">
        <v>6.3533151144458953E-6</v>
      </c>
    </row>
    <row r="40" spans="1:10" ht="15" x14ac:dyDescent="0.25">
      <c r="A40" s="934" t="s">
        <v>745</v>
      </c>
      <c r="B40" s="758">
        <v>10918605.505291006</v>
      </c>
      <c r="C40" s="845">
        <v>0</v>
      </c>
      <c r="D40" s="845"/>
      <c r="E40" s="846">
        <v>2257928</v>
      </c>
      <c r="F40" s="845">
        <v>30235384.300000001</v>
      </c>
      <c r="G40" s="845">
        <v>83135362</v>
      </c>
      <c r="H40" s="845">
        <f t="shared" si="1"/>
        <v>126547279.805291</v>
      </c>
      <c r="I40" s="759">
        <f t="shared" si="2"/>
        <v>6.6454455592114313E-3</v>
      </c>
      <c r="J40" s="935">
        <v>6.3088945123618691E-4</v>
      </c>
    </row>
    <row r="41" spans="1:10" ht="15" x14ac:dyDescent="0.25">
      <c r="A41" s="934" t="s">
        <v>746</v>
      </c>
      <c r="B41" s="758">
        <v>0</v>
      </c>
      <c r="C41" s="845">
        <v>0</v>
      </c>
      <c r="D41" s="845">
        <v>0</v>
      </c>
      <c r="E41" s="846">
        <v>0</v>
      </c>
      <c r="F41" s="845"/>
      <c r="G41" s="845">
        <v>0</v>
      </c>
      <c r="H41" s="844">
        <f t="shared" si="1"/>
        <v>0</v>
      </c>
      <c r="I41" s="759">
        <f t="shared" si="2"/>
        <v>0</v>
      </c>
      <c r="J41" s="935">
        <v>1.3160438451352212E-5</v>
      </c>
    </row>
    <row r="42" spans="1:10" ht="15" x14ac:dyDescent="0.25">
      <c r="A42" s="934" t="s">
        <v>747</v>
      </c>
      <c r="B42" s="758">
        <v>0</v>
      </c>
      <c r="C42" s="845">
        <v>0</v>
      </c>
      <c r="D42" s="845">
        <v>0</v>
      </c>
      <c r="E42" s="846">
        <v>0</v>
      </c>
      <c r="F42" s="845"/>
      <c r="G42" s="845">
        <v>0</v>
      </c>
      <c r="H42" s="844">
        <f t="shared" si="1"/>
        <v>0</v>
      </c>
      <c r="I42" s="759">
        <f t="shared" si="2"/>
        <v>0</v>
      </c>
      <c r="J42" s="935">
        <v>2.6924030316783124E-4</v>
      </c>
    </row>
    <row r="43" spans="1:10" ht="15" x14ac:dyDescent="0.25">
      <c r="A43" s="934" t="s">
        <v>748</v>
      </c>
      <c r="B43" s="758">
        <v>11803293.005291006</v>
      </c>
      <c r="C43" s="845">
        <v>16100000</v>
      </c>
      <c r="D43" s="845"/>
      <c r="E43" s="846">
        <v>1628034</v>
      </c>
      <c r="F43" s="845">
        <v>30235384.300000001</v>
      </c>
      <c r="G43" s="845">
        <v>59943138.5</v>
      </c>
      <c r="H43" s="845">
        <f t="shared" si="1"/>
        <v>119709849.805291</v>
      </c>
      <c r="I43" s="759">
        <f t="shared" si="2"/>
        <v>6.2863879097713894E-3</v>
      </c>
      <c r="J43" s="935">
        <v>7.449085112640281E-3</v>
      </c>
    </row>
    <row r="44" spans="1:10" ht="15" x14ac:dyDescent="0.25">
      <c r="A44" s="934" t="s">
        <v>749</v>
      </c>
      <c r="B44" s="758">
        <v>0</v>
      </c>
      <c r="C44" s="845">
        <v>0</v>
      </c>
      <c r="D44" s="845">
        <v>0</v>
      </c>
      <c r="E44" s="846">
        <v>0</v>
      </c>
      <c r="F44" s="845">
        <v>0</v>
      </c>
      <c r="G44" s="845">
        <v>0</v>
      </c>
      <c r="H44" s="844">
        <f t="shared" si="1"/>
        <v>0</v>
      </c>
      <c r="I44" s="759">
        <f t="shared" si="2"/>
        <v>0</v>
      </c>
      <c r="J44" s="935">
        <v>0</v>
      </c>
    </row>
    <row r="45" spans="1:10" ht="15" x14ac:dyDescent="0.25">
      <c r="A45" s="934" t="s">
        <v>750</v>
      </c>
      <c r="B45" s="758">
        <v>0</v>
      </c>
      <c r="C45" s="845">
        <v>0</v>
      </c>
      <c r="D45" s="845">
        <v>0</v>
      </c>
      <c r="E45" s="846">
        <v>0</v>
      </c>
      <c r="F45" s="845">
        <v>0</v>
      </c>
      <c r="G45" s="845">
        <v>0</v>
      </c>
      <c r="H45" s="844">
        <f t="shared" si="1"/>
        <v>0</v>
      </c>
      <c r="I45" s="759">
        <f t="shared" si="2"/>
        <v>0</v>
      </c>
      <c r="J45" s="935">
        <v>0</v>
      </c>
    </row>
    <row r="46" spans="1:10" ht="30" x14ac:dyDescent="0.25">
      <c r="A46" s="936" t="s">
        <v>751</v>
      </c>
      <c r="B46" s="844">
        <v>782903287.61500001</v>
      </c>
      <c r="C46" s="844">
        <f>186450500+479358300</f>
        <v>665808800</v>
      </c>
      <c r="D46" s="844">
        <v>904498000</v>
      </c>
      <c r="E46" s="844">
        <v>152315100</v>
      </c>
      <c r="F46" s="844">
        <v>4871571069</v>
      </c>
      <c r="G46" s="844">
        <v>5608137078</v>
      </c>
      <c r="H46" s="844">
        <f t="shared" si="1"/>
        <v>12985233334.615</v>
      </c>
      <c r="I46" s="757">
        <f>+H46/H$48</f>
        <v>0.68190056184229064</v>
      </c>
      <c r="J46" s="935"/>
    </row>
    <row r="47" spans="1:10" ht="15" x14ac:dyDescent="0.25">
      <c r="A47" s="934"/>
      <c r="B47" s="763">
        <v>0</v>
      </c>
      <c r="C47" s="845"/>
      <c r="D47" s="844"/>
      <c r="E47" s="762"/>
      <c r="F47" s="845"/>
      <c r="G47" s="845"/>
      <c r="H47" s="844">
        <f t="shared" si="1"/>
        <v>0</v>
      </c>
      <c r="I47" s="764"/>
      <c r="J47" s="935"/>
    </row>
    <row r="48" spans="1:10" ht="15.75" thickBot="1" x14ac:dyDescent="0.3">
      <c r="A48" s="937" t="s">
        <v>242</v>
      </c>
      <c r="B48" s="938">
        <f>+B46+B38+B34+B25+B16+B9</f>
        <v>2365805307.9349995</v>
      </c>
      <c r="C48" s="939">
        <f>+C46+C38+C34+C25+C16+C9</f>
        <v>1234008800</v>
      </c>
      <c r="D48" s="940">
        <f>D46+D38+D34+D25+D16+D9</f>
        <v>1162925500</v>
      </c>
      <c r="E48" s="941">
        <f>E46+E38+E34+E25+E16+E9</f>
        <v>217593000</v>
      </c>
      <c r="F48" s="942">
        <f>+F46+F38+F34+F25+F16+F9</f>
        <v>6050751068.499999</v>
      </c>
      <c r="G48" s="942">
        <f>+G46+G38+G34+G25+G16+G9</f>
        <v>8011624397.5</v>
      </c>
      <c r="H48" s="942">
        <f t="shared" si="1"/>
        <v>19042708073.934998</v>
      </c>
      <c r="I48" s="943">
        <f>+H48/H$48</f>
        <v>1</v>
      </c>
      <c r="J48" s="944">
        <f>+J46+J38+J34+J25+J16+J9</f>
        <v>0.99997781784797501</v>
      </c>
    </row>
    <row r="49" spans="1:11" s="770" customFormat="1" ht="20.25" thickTop="1" x14ac:dyDescent="0.4">
      <c r="A49" s="765"/>
      <c r="B49" s="766"/>
      <c r="C49" s="766"/>
      <c r="D49" s="766"/>
      <c r="E49" s="766"/>
      <c r="F49" s="766"/>
      <c r="G49" s="766"/>
      <c r="H49" s="767"/>
      <c r="I49" s="768"/>
      <c r="J49" s="768"/>
      <c r="K49" s="769"/>
    </row>
    <row r="50" spans="1:11" s="775" customFormat="1" x14ac:dyDescent="0.3">
      <c r="A50" s="771"/>
      <c r="B50" s="772"/>
      <c r="C50" s="772"/>
      <c r="D50" s="772"/>
      <c r="E50" s="772"/>
      <c r="F50" s="772"/>
      <c r="G50" s="772"/>
      <c r="H50" s="773"/>
      <c r="I50" s="769"/>
      <c r="J50" s="774"/>
      <c r="K50" s="769"/>
    </row>
    <row r="51" spans="1:11" s="778" customFormat="1" x14ac:dyDescent="0.3">
      <c r="A51" s="773"/>
      <c r="B51" s="772"/>
      <c r="C51" s="772"/>
      <c r="D51" s="772"/>
      <c r="E51" s="772"/>
      <c r="F51" s="772"/>
      <c r="G51" s="772"/>
      <c r="H51" s="773"/>
      <c r="I51" s="776"/>
      <c r="J51" s="773"/>
      <c r="K51" s="777"/>
    </row>
    <row r="52" spans="1:11" s="778" customFormat="1" x14ac:dyDescent="0.3">
      <c r="A52" s="776"/>
      <c r="B52" s="776"/>
      <c r="C52" s="776"/>
      <c r="D52" s="776"/>
      <c r="E52" s="776"/>
      <c r="F52" s="776"/>
      <c r="G52" s="776"/>
      <c r="H52" s="776"/>
      <c r="I52" s="776"/>
      <c r="J52" s="773"/>
      <c r="K52" s="777"/>
    </row>
    <row r="53" spans="1:11" collapsed="1" x14ac:dyDescent="0.3">
      <c r="A53" s="779"/>
      <c r="B53" s="779"/>
      <c r="C53" s="779"/>
      <c r="D53" s="776"/>
      <c r="E53" s="779"/>
      <c r="F53" s="779"/>
      <c r="G53" s="779"/>
      <c r="H53" s="776"/>
      <c r="I53" s="779"/>
      <c r="J53" s="772"/>
    </row>
    <row r="54" spans="1:11" x14ac:dyDescent="0.3">
      <c r="A54" s="779"/>
      <c r="B54" s="779"/>
      <c r="C54" s="779"/>
      <c r="D54" s="779"/>
      <c r="E54" s="779"/>
      <c r="F54" s="779"/>
      <c r="G54" s="779"/>
      <c r="H54" s="776"/>
      <c r="I54" s="779"/>
      <c r="J54" s="772"/>
    </row>
    <row r="55" spans="1:11" x14ac:dyDescent="0.3">
      <c r="A55" s="779"/>
      <c r="B55" s="779"/>
      <c r="C55" s="779"/>
      <c r="D55" s="779"/>
      <c r="E55" s="779"/>
      <c r="F55" s="779"/>
      <c r="G55" s="779"/>
      <c r="H55" s="776"/>
      <c r="I55" s="779"/>
      <c r="J55" s="772"/>
    </row>
    <row r="56" spans="1:11" x14ac:dyDescent="0.3">
      <c r="A56" s="779"/>
      <c r="B56" s="779"/>
      <c r="C56" s="779"/>
      <c r="D56" s="779"/>
      <c r="E56" s="779"/>
      <c r="F56" s="779"/>
      <c r="G56" s="779"/>
      <c r="H56" s="776"/>
      <c r="I56" s="779"/>
      <c r="J56" s="772"/>
    </row>
    <row r="57" spans="1:11" x14ac:dyDescent="0.3">
      <c r="A57" s="779"/>
      <c r="B57" s="779"/>
      <c r="C57" s="779"/>
      <c r="D57" s="779"/>
      <c r="E57" s="779"/>
      <c r="F57" s="779"/>
      <c r="G57" s="779"/>
      <c r="H57" s="776"/>
      <c r="I57" s="779"/>
      <c r="J57" s="772"/>
    </row>
    <row r="58" spans="1:11" x14ac:dyDescent="0.3">
      <c r="A58" s="779"/>
      <c r="B58" s="779"/>
      <c r="C58" s="779"/>
      <c r="D58" s="779"/>
      <c r="E58" s="779"/>
      <c r="F58" s="779"/>
      <c r="G58" s="779"/>
      <c r="H58" s="776"/>
      <c r="I58" s="779"/>
      <c r="J58" s="772"/>
    </row>
    <row r="59" spans="1:11" x14ac:dyDescent="0.3">
      <c r="A59" s="779"/>
      <c r="B59" s="779"/>
      <c r="C59" s="779"/>
      <c r="D59" s="779"/>
      <c r="E59" s="779"/>
      <c r="F59" s="779"/>
      <c r="G59" s="779"/>
      <c r="H59" s="776"/>
      <c r="I59" s="779"/>
      <c r="J59" s="772"/>
    </row>
  </sheetData>
  <mergeCells count="10">
    <mergeCell ref="H7:H8"/>
    <mergeCell ref="I7:I8"/>
    <mergeCell ref="J7:J8"/>
    <mergeCell ref="G7:G8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19</vt:i4>
      </vt:variant>
    </vt:vector>
  </HeadingPairs>
  <TitlesOfParts>
    <vt:vector size="33" baseType="lpstr">
      <vt:lpstr>Anexo 1 Minagricultura</vt:lpstr>
      <vt:lpstr>Otros ingresos</vt:lpstr>
      <vt:lpstr>Rendimientos </vt:lpstr>
      <vt:lpstr>Escenario PPC</vt:lpstr>
      <vt:lpstr>Ejecución ingresos 2014</vt:lpstr>
      <vt:lpstr>Ejecución gastos 2014</vt:lpstr>
      <vt:lpstr>Superavit 2014</vt:lpstr>
      <vt:lpstr>Anexo 3</vt:lpstr>
      <vt:lpstr>Anexo 4</vt:lpstr>
      <vt:lpstr>Anexo 2 </vt:lpstr>
      <vt:lpstr>Funcionamiento</vt:lpstr>
      <vt:lpstr>Nómina y honorarios 2015</vt:lpstr>
      <vt:lpstr>Comparativo nómina 2014-2015</vt:lpstr>
      <vt:lpstr>Comparativo gastos personal </vt:lpstr>
      <vt:lpstr>'Anexo 1 Minagricultura'!Área_de_impresión</vt:lpstr>
      <vt:lpstr>'Anexo 2 '!Área_de_impresión</vt:lpstr>
      <vt:lpstr>'Anexo 3'!Área_de_impresión</vt:lpstr>
      <vt:lpstr>'Anexo 4'!Área_de_impresión</vt:lpstr>
      <vt:lpstr>'Comparativo nómina 2014-2015'!Área_de_impresión</vt:lpstr>
      <vt:lpstr>'Ejecución gastos 2014'!Área_de_impresión</vt:lpstr>
      <vt:lpstr>'Ejecución ingresos 2014'!Área_de_impresión</vt:lpstr>
      <vt:lpstr>Funcionamiento!Área_de_impresión</vt:lpstr>
      <vt:lpstr>'Nómina y honorarios 2015'!Área_de_impresión</vt:lpstr>
      <vt:lpstr>'Otros ingresos'!Área_de_impresión</vt:lpstr>
      <vt:lpstr>'Superavit 2014'!Área_de_impresión</vt:lpstr>
      <vt:lpstr>fondo</vt:lpstr>
      <vt:lpstr>ojo</vt:lpstr>
      <vt:lpstr>'Anexo 1 Minagricultura'!Títulos_a_imprimir</vt:lpstr>
      <vt:lpstr>'Anexo 2 '!Títulos_a_imprimir</vt:lpstr>
      <vt:lpstr>'Ejecución gastos 2014'!Títulos_a_imprimir</vt:lpstr>
      <vt:lpstr>Funcionamiento!Títulos_a_imprimir</vt:lpstr>
      <vt:lpstr>'Nómina y honorarios 2015'!Títulos_a_imprimir</vt:lpstr>
      <vt:lpstr>VTAS2005</vt:lpstr>
    </vt:vector>
  </TitlesOfParts>
  <Company>Fondo  Nal. de la Porcicultura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davidgomez</dc:creator>
  <cp:lastModifiedBy>Oscar Rubio</cp:lastModifiedBy>
  <cp:lastPrinted>2015-11-05T19:16:47Z</cp:lastPrinted>
  <dcterms:created xsi:type="dcterms:W3CDTF">2004-09-15T00:05:45Z</dcterms:created>
  <dcterms:modified xsi:type="dcterms:W3CDTF">2019-10-16T17:52:05Z</dcterms:modified>
</cp:coreProperties>
</file>