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Año 2019\LEY 1712\EJECUCION PRESUPUESTAL HISTORICA ANUAL\2016\Ingreso\"/>
    </mc:Choice>
  </mc:AlternateContent>
  <bookViews>
    <workbookView xWindow="7590" yWindow="1215" windowWidth="4410" windowHeight="4410" tabRatio="843"/>
  </bookViews>
  <sheets>
    <sheet name="Anexo 1 Minagricultura" sheetId="1" r:id="rId1"/>
    <sheet name="Otros ingresos" sheetId="15" state="hidden" r:id="rId2"/>
    <sheet name="Anexo 2 " sheetId="94" r:id="rId3"/>
    <sheet name="Funcionamiento" sheetId="23" state="hidden" r:id="rId4"/>
    <sheet name="Nómina y honorarios 2016" sheetId="28" state="hidden" r:id="rId5"/>
    <sheet name="Ajuste salarios Coordinadores " sheetId="97" state="hidden" r:id="rId6"/>
    <sheet name="Detalle Incremento Nomina" sheetId="102"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_FilterDatabase" hidden="1">#REF!</definedName>
    <definedName name="ANEXO" hidden="1">'[8]Inversión total en programas'!$A$50:$IV$50,'[8]Inversión total en programas'!$A$60:$IV$63</definedName>
    <definedName name="_xlnm.Print_Area" localSheetId="0">'Anexo 1 Minagricultura'!$A$1:$E$39</definedName>
    <definedName name="_xlnm.Print_Area" localSheetId="2">'Anexo 2 '!$A$1:$M$205</definedName>
    <definedName name="_xlnm.Print_Area" localSheetId="3">Funcionamiento!$A$1:$Y$37</definedName>
    <definedName name="_xlnm.Print_Area" localSheetId="4">'Nómina y honorarios 2016'!$A$1:$Z$85</definedName>
    <definedName name="_xlnm.Print_Area" localSheetId="1">'Otros ingresos'!$A$1:$C$23</definedName>
    <definedName name="_xlnm.Print_Area">#REF!</definedName>
    <definedName name="ASISCALLCENTER">#REF!</definedName>
    <definedName name="ASISCONTABPPC">#REF!</definedName>
    <definedName name="ASISDESPACHOS">#REF!</definedName>
    <definedName name="ASISICA">#REF!</definedName>
    <definedName name="AUXBODEGA">#REF!</definedName>
    <definedName name="cabezas">'[9]Anexo 1 Minagricultura'!#REF!</definedName>
    <definedName name="CABEZAS_PROYEC" localSheetId="2">'[13]Anexo 1 Minagricultura'!$C$46</definedName>
    <definedName name="CABEZAS_PROYEC">'Anexo 1 Minagricultura'!#REF!</definedName>
    <definedName name="CUOTAPPC2005" localSheetId="2">'[13]Anexo 1 Minagricultura'!#REF!</definedName>
    <definedName name="CUOTAPPC2005">'Anexo 1 Minagricultura'!#REF!</definedName>
    <definedName name="CUOTAPPC2013" localSheetId="2">'[13]Anexo 1 Minagricultura'!#REF!</definedName>
    <definedName name="CUOTAPPC2013">'Anexo 1 Minagricultura'!#REF!</definedName>
    <definedName name="CUOTAPPC203" localSheetId="2">'[13]Anexo 1 Minagricultura'!#REF!</definedName>
    <definedName name="CUOTAPPC203">'Anexo 1 Minagricultura'!#REF!</definedName>
    <definedName name="DIAG_PPC">#REF!</definedName>
    <definedName name="DISTRIBUIDOR">#REF!</definedName>
    <definedName name="Dólar" localSheetId="2">#REF!</definedName>
    <definedName name="Dólar">#REF!</definedName>
    <definedName name="eeeee" localSheetId="2">'[13]Ejecución ingresos 2014'!#REF!</definedName>
    <definedName name="eeeee">#REF!</definedName>
    <definedName name="EPPC" localSheetId="2">'[13]Anexo 1 Minagricultura'!$C$54</definedName>
    <definedName name="EPPC">'Anexo 1 Minagricultura'!#REF!</definedName>
    <definedName name="Euro" localSheetId="2">#REF!</definedName>
    <definedName name="Euro">#REF!</definedName>
    <definedName name="FDGFDG">#REF!</definedName>
    <definedName name="FECHA_DE_RECIBIDO">[6]BASE!$E$3:$E$177</definedName>
    <definedName name="FOMENTO" localSheetId="2">'[13]Anexo 1 Minagricultura'!$C$53</definedName>
    <definedName name="FOMENTO">'Anexo 1 Minagricultura'!#REF!</definedName>
    <definedName name="FOMENTOS">'[2]Anexo 1 Minagricultura'!$C$51</definedName>
    <definedName name="fondo">#REF!</definedName>
    <definedName name="GTOSEPPC">#REF!</definedName>
    <definedName name="HONORAUDI_JURIDIC">#REF!</definedName>
    <definedName name="HONTOTAL">#REF!</definedName>
    <definedName name="Incremento" localSheetId="2">#REF!</definedName>
    <definedName name="Incremento">#REF!</definedName>
    <definedName name="Inflación" localSheetId="2">#REF!</definedName>
    <definedName name="Inflación">#REF!</definedName>
    <definedName name="JORTIZ">#REF!</definedName>
    <definedName name="LABORATORIOS">#REF!</definedName>
    <definedName name="NOMBDISTRI">#REF!</definedName>
    <definedName name="ojo">#REF!</definedName>
    <definedName name="Pasajes" localSheetId="2">#REF!</definedName>
    <definedName name="Pasajes">#REF!</definedName>
    <definedName name="ppc">'[5]Inversión total en programas'!$B$86</definedName>
    <definedName name="RESERV_FUTU">#REF!</definedName>
    <definedName name="saldo" localSheetId="2">'[13]Ejecución ingresos 2014'!#REF!</definedName>
    <definedName name="saldo">#REF!</definedName>
    <definedName name="saldos" localSheetId="2">'[13]Ejecución ingresos 2014'!#REF!</definedName>
    <definedName name="saldos">#REF!</definedName>
    <definedName name="SUPERA2004" localSheetId="2">'[13]Anexo 1 Minagricultura'!#REF!</definedName>
    <definedName name="SUPERA2004">'Anexo 1 Minagricultura'!#REF!</definedName>
    <definedName name="SUPERA2005" localSheetId="2">'[13]Anexo 1 Minagricultura'!#REF!</definedName>
    <definedName name="SUPERA2005">'Anexo 1 Minagricultura'!#REF!</definedName>
    <definedName name="SUPERA2010">'[5]Anexo 1 Minagricultura'!$C$21</definedName>
    <definedName name="SUPERA2012" localSheetId="2">'[13]Anexo 1 Minagricultura'!#REF!</definedName>
    <definedName name="SUPERA2012">'Anexo 1 Minagricultura'!#REF!</definedName>
    <definedName name="SUPERAVIT">#REF!</definedName>
    <definedName name="SUPERAVIT2005_FNP">#REF!</definedName>
    <definedName name="SUPERAVITPPC_2005">#REF!</definedName>
    <definedName name="_xlnm.Print_Titles" localSheetId="0">'Anexo 1 Minagricultura'!$1:$5</definedName>
    <definedName name="_xlnm.Print_Titles" localSheetId="2">'Anexo 2 '!$1:$7</definedName>
    <definedName name="_xlnm.Print_Titles" localSheetId="3">Funcionamiento!$A:$A</definedName>
    <definedName name="_xlnm.Print_Titles" localSheetId="4">'Nómina y honorarios 2016'!$A:$A</definedName>
    <definedName name="_xlnm.Print_Titles">#REF!</definedName>
    <definedName name="VTAS2005">'Anexo 1 Minagricultura'!$B$32</definedName>
    <definedName name="xx">[3]Ingresos!$C$19</definedName>
    <definedName name="Z_4099E833_BB74_4680_85C9_A6CF399D1CE2_.wvu.Cols" hidden="1">#REF!,#REF!,#REF!,#REF!</definedName>
    <definedName name="Z_4099E833_BB74_4680_85C9_A6CF399D1CE2_.wvu.FilterData" hidden="1">#REF!</definedName>
    <definedName name="Z_4099E833_BB74_4680_85C9_A6CF399D1CE2_.wvu.PrintArea" localSheetId="0" hidden="1">'Anexo 1 Minagricultura'!$A$1:$B$39</definedName>
    <definedName name="Z_4099E833_BB74_4680_85C9_A6CF399D1CE2_.wvu.PrintArea" hidden="1">#REF!</definedName>
    <definedName name="Z_4099E833_BB74_4680_85C9_A6CF399D1CE2_.wvu.PrintTitles" hidden="1">#REF!</definedName>
    <definedName name="Z_4099E833_BB74_4680_85C9_A6CF399D1CE2_.wvu.Rows" hidden="1">#REF!,#REF!</definedName>
    <definedName name="ZFRONTERA" localSheetId="2">'[12]Ingresos 2014'!#REF!</definedName>
    <definedName name="ZFRONTERA">'[12]Ingresos 2014'!#REF!</definedName>
  </definedNames>
  <calcPr calcId="152511" fullCalcOnLoad="1"/>
  <customWorkbookViews>
    <customWorkbookView name="Fondo Nacional de la Porcicultura - Vista personalizada" guid="{4099E833-BB74-4680-85C9-A6CF399D1CE2}" mergeInterval="0" personalView="1" maximized="1" windowWidth="796" windowHeight="399" tabRatio="605" activeSheetId="4"/>
  </customWorkbookViews>
</workbook>
</file>

<file path=xl/calcChain.xml><?xml version="1.0" encoding="utf-8"?>
<calcChain xmlns="http://schemas.openxmlformats.org/spreadsheetml/2006/main">
  <c r="K157" i="94" l="1"/>
  <c r="J157" i="94"/>
  <c r="K169" i="94"/>
  <c r="K164" i="94"/>
  <c r="K163" i="94"/>
  <c r="D169" i="94"/>
  <c r="D164" i="94"/>
  <c r="D163" i="94"/>
  <c r="G30" i="94"/>
  <c r="G29" i="94"/>
  <c r="G28" i="94"/>
  <c r="G26" i="94"/>
  <c r="C41" i="1"/>
  <c r="D167" i="94"/>
  <c r="D166" i="94"/>
  <c r="D173" i="94"/>
  <c r="D171" i="94"/>
  <c r="K151" i="94"/>
  <c r="B71" i="94"/>
  <c r="H71" i="94"/>
  <c r="H69" i="94"/>
  <c r="J71" i="94"/>
  <c r="M71" i="94"/>
  <c r="B70" i="94"/>
  <c r="B69" i="94"/>
  <c r="K105" i="94"/>
  <c r="B48" i="94"/>
  <c r="H48" i="94"/>
  <c r="J48" i="94"/>
  <c r="B47" i="94"/>
  <c r="H47" i="94"/>
  <c r="J47" i="94"/>
  <c r="L47" i="94"/>
  <c r="C10" i="23"/>
  <c r="D37" i="1"/>
  <c r="D36" i="1"/>
  <c r="D35" i="1"/>
  <c r="D34" i="1"/>
  <c r="D33" i="1"/>
  <c r="D23" i="1"/>
  <c r="D22" i="1"/>
  <c r="D32" i="1"/>
  <c r="D29" i="1"/>
  <c r="D28" i="1"/>
  <c r="D19" i="1"/>
  <c r="D18" i="1"/>
  <c r="D15" i="1"/>
  <c r="D14" i="1"/>
  <c r="B45" i="1"/>
  <c r="B41" i="1"/>
  <c r="C45" i="1"/>
  <c r="K181" i="94"/>
  <c r="K175" i="94"/>
  <c r="K174" i="94"/>
  <c r="K53" i="94"/>
  <c r="K69" i="94"/>
  <c r="K65" i="94"/>
  <c r="K61" i="94"/>
  <c r="K57" i="94"/>
  <c r="G12" i="94"/>
  <c r="G20" i="94"/>
  <c r="G9" i="94"/>
  <c r="F12" i="94"/>
  <c r="F9" i="94"/>
  <c r="E12" i="94"/>
  <c r="E20" i="94"/>
  <c r="D12" i="94"/>
  <c r="D9" i="94"/>
  <c r="C12" i="94"/>
  <c r="C9" i="94"/>
  <c r="B12" i="94"/>
  <c r="B9" i="94"/>
  <c r="B31" i="1"/>
  <c r="B25" i="1"/>
  <c r="E37" i="1"/>
  <c r="C31" i="1"/>
  <c r="E31" i="1"/>
  <c r="D31" i="1"/>
  <c r="E36" i="1"/>
  <c r="E35" i="1"/>
  <c r="E34" i="1"/>
  <c r="E33" i="1"/>
  <c r="E32" i="1"/>
  <c r="E29" i="1"/>
  <c r="E28" i="1"/>
  <c r="E23" i="1"/>
  <c r="E22" i="1"/>
  <c r="E15" i="1"/>
  <c r="E14" i="1"/>
  <c r="K137" i="94"/>
  <c r="K74" i="94"/>
  <c r="K189" i="94"/>
  <c r="K188" i="94"/>
  <c r="K194" i="94"/>
  <c r="K131" i="94"/>
  <c r="K121" i="94"/>
  <c r="K118" i="94"/>
  <c r="K9" i="94"/>
  <c r="C17" i="1"/>
  <c r="D17" i="1"/>
  <c r="B17" i="1"/>
  <c r="C27" i="1"/>
  <c r="D27" i="1"/>
  <c r="C21" i="1"/>
  <c r="E21" i="1"/>
  <c r="D21" i="1"/>
  <c r="C13" i="1"/>
  <c r="D13" i="1"/>
  <c r="E16" i="23"/>
  <c r="B45" i="94"/>
  <c r="H45" i="94"/>
  <c r="J45" i="94"/>
  <c r="M45" i="94"/>
  <c r="C155" i="94"/>
  <c r="C151" i="94"/>
  <c r="C136" i="94"/>
  <c r="C40" i="94"/>
  <c r="H155" i="94"/>
  <c r="J155" i="94"/>
  <c r="C154" i="94"/>
  <c r="H154" i="94"/>
  <c r="J154" i="94"/>
  <c r="C153" i="94"/>
  <c r="H153" i="94"/>
  <c r="J153" i="94"/>
  <c r="M153" i="94"/>
  <c r="C152" i="94"/>
  <c r="C150" i="94"/>
  <c r="H150" i="94"/>
  <c r="J150" i="94"/>
  <c r="C149" i="94"/>
  <c r="C148" i="94"/>
  <c r="H148" i="94"/>
  <c r="J148" i="94"/>
  <c r="L148" i="94"/>
  <c r="M148" i="94"/>
  <c r="C147" i="94"/>
  <c r="C144" i="94"/>
  <c r="H144" i="94"/>
  <c r="H147" i="94"/>
  <c r="J147" i="94"/>
  <c r="C146" i="94"/>
  <c r="C145" i="94"/>
  <c r="H145" i="94"/>
  <c r="J145" i="94"/>
  <c r="C141" i="94"/>
  <c r="H141" i="94"/>
  <c r="J141" i="94"/>
  <c r="C140" i="94"/>
  <c r="H140" i="94"/>
  <c r="J140" i="94"/>
  <c r="M140" i="94"/>
  <c r="C139" i="94"/>
  <c r="C137" i="94"/>
  <c r="H137" i="94"/>
  <c r="C16" i="15"/>
  <c r="C15" i="15"/>
  <c r="C9" i="15"/>
  <c r="C10" i="15"/>
  <c r="C19" i="15"/>
  <c r="C17" i="15"/>
  <c r="C20" i="15"/>
  <c r="B68" i="94"/>
  <c r="H68" i="94"/>
  <c r="J68" i="94"/>
  <c r="B67" i="94"/>
  <c r="H67" i="94"/>
  <c r="J67" i="94"/>
  <c r="B66" i="94"/>
  <c r="H66" i="94"/>
  <c r="H65" i="94"/>
  <c r="J66" i="94"/>
  <c r="M66" i="94"/>
  <c r="B63" i="94"/>
  <c r="H63" i="94"/>
  <c r="B62" i="94"/>
  <c r="B60" i="94"/>
  <c r="H60" i="94"/>
  <c r="J60" i="94"/>
  <c r="B59" i="94"/>
  <c r="H59" i="94"/>
  <c r="J59" i="94"/>
  <c r="B58" i="94"/>
  <c r="H58" i="94"/>
  <c r="H56" i="94"/>
  <c r="J56" i="94"/>
  <c r="B55" i="94"/>
  <c r="H55" i="94"/>
  <c r="J55" i="94"/>
  <c r="L55" i="94"/>
  <c r="M55" i="94"/>
  <c r="B54" i="94"/>
  <c r="H54" i="94"/>
  <c r="J54" i="94"/>
  <c r="B52" i="94"/>
  <c r="H52" i="94"/>
  <c r="J52" i="94"/>
  <c r="B44" i="94"/>
  <c r="H44" i="94"/>
  <c r="H43" i="94"/>
  <c r="I22" i="23"/>
  <c r="B31" i="94"/>
  <c r="I30" i="23"/>
  <c r="M30" i="23"/>
  <c r="I28" i="23"/>
  <c r="B26" i="94"/>
  <c r="I26" i="23"/>
  <c r="B25" i="94"/>
  <c r="I24" i="23"/>
  <c r="M24" i="23"/>
  <c r="X24" i="23"/>
  <c r="Y24" i="23"/>
  <c r="B23" i="94"/>
  <c r="H23" i="94"/>
  <c r="J23" i="94"/>
  <c r="L23" i="94"/>
  <c r="I10" i="23"/>
  <c r="B22" i="94"/>
  <c r="H22" i="94"/>
  <c r="J22" i="94"/>
  <c r="H81" i="94"/>
  <c r="J81" i="94"/>
  <c r="B13" i="94"/>
  <c r="H13" i="94"/>
  <c r="J13" i="94"/>
  <c r="L13" i="94"/>
  <c r="G134" i="94"/>
  <c r="H134" i="94"/>
  <c r="J134" i="94"/>
  <c r="G133" i="94"/>
  <c r="H133" i="94"/>
  <c r="J133" i="94"/>
  <c r="G132" i="94"/>
  <c r="G131" i="94"/>
  <c r="H130" i="94"/>
  <c r="J130" i="94"/>
  <c r="G129" i="94"/>
  <c r="H129" i="94"/>
  <c r="H128" i="94"/>
  <c r="G127" i="94"/>
  <c r="H127" i="94"/>
  <c r="J127" i="94"/>
  <c r="G125" i="94"/>
  <c r="H125" i="94"/>
  <c r="J125" i="94"/>
  <c r="G124" i="94"/>
  <c r="H124" i="94"/>
  <c r="J124" i="94"/>
  <c r="L124" i="94"/>
  <c r="G123" i="94"/>
  <c r="H123" i="94"/>
  <c r="J123" i="94"/>
  <c r="M123" i="94"/>
  <c r="G122" i="94"/>
  <c r="G120" i="94"/>
  <c r="G118" i="94"/>
  <c r="H120" i="94"/>
  <c r="J120" i="94"/>
  <c r="G119" i="94"/>
  <c r="G117" i="94"/>
  <c r="H117" i="94"/>
  <c r="J117" i="94"/>
  <c r="M117" i="94"/>
  <c r="H116" i="94"/>
  <c r="J116" i="94"/>
  <c r="G115" i="94"/>
  <c r="H115" i="94"/>
  <c r="G114" i="94"/>
  <c r="H114" i="94"/>
  <c r="J114" i="94"/>
  <c r="G14" i="23"/>
  <c r="M14" i="23"/>
  <c r="X14" i="23"/>
  <c r="Y14" i="23"/>
  <c r="G28" i="23"/>
  <c r="H26" i="94"/>
  <c r="J26" i="94"/>
  <c r="M26" i="94"/>
  <c r="G26" i="23"/>
  <c r="G24" i="23"/>
  <c r="G23" i="94"/>
  <c r="G22" i="23"/>
  <c r="G31" i="94"/>
  <c r="G10" i="23"/>
  <c r="F110" i="94"/>
  <c r="H110" i="94"/>
  <c r="J110" i="94"/>
  <c r="F109" i="94"/>
  <c r="H109" i="94"/>
  <c r="J109" i="94"/>
  <c r="F108" i="94"/>
  <c r="H108" i="94"/>
  <c r="J108" i="94"/>
  <c r="F107" i="94"/>
  <c r="H107" i="94"/>
  <c r="J107" i="94"/>
  <c r="L107" i="94"/>
  <c r="F106" i="94"/>
  <c r="H106" i="94"/>
  <c r="J106" i="94"/>
  <c r="F103" i="94"/>
  <c r="F101" i="94"/>
  <c r="H101" i="94"/>
  <c r="J101" i="94"/>
  <c r="M101" i="94"/>
  <c r="F100" i="94"/>
  <c r="F99" i="94"/>
  <c r="H99" i="94"/>
  <c r="J99" i="94"/>
  <c r="M99" i="94"/>
  <c r="F97" i="94"/>
  <c r="H97" i="94"/>
  <c r="J97" i="94"/>
  <c r="M97" i="94"/>
  <c r="F95" i="94"/>
  <c r="H95" i="94"/>
  <c r="J95" i="94"/>
  <c r="L95" i="94"/>
  <c r="F94" i="94"/>
  <c r="H94" i="94"/>
  <c r="J94" i="94"/>
  <c r="M94" i="94"/>
  <c r="F93" i="94"/>
  <c r="H93" i="94"/>
  <c r="J93" i="94"/>
  <c r="F92" i="94"/>
  <c r="H92" i="94"/>
  <c r="J92" i="94"/>
  <c r="L92" i="94"/>
  <c r="F89" i="94"/>
  <c r="H89" i="94"/>
  <c r="J89" i="94"/>
  <c r="M89" i="94"/>
  <c r="F88" i="94"/>
  <c r="H88" i="94"/>
  <c r="J88" i="94"/>
  <c r="F87" i="94"/>
  <c r="F85" i="94"/>
  <c r="H87" i="94"/>
  <c r="J87" i="94"/>
  <c r="F83" i="94"/>
  <c r="H83" i="94"/>
  <c r="F80" i="94"/>
  <c r="H80" i="94"/>
  <c r="J80" i="94"/>
  <c r="L80" i="94"/>
  <c r="F78" i="94"/>
  <c r="H78" i="94"/>
  <c r="J78" i="94"/>
  <c r="F75" i="94"/>
  <c r="L20" i="23"/>
  <c r="F34" i="94"/>
  <c r="D186" i="94"/>
  <c r="H186" i="94"/>
  <c r="J186" i="94"/>
  <c r="L186" i="94"/>
  <c r="D185" i="94"/>
  <c r="H185" i="94"/>
  <c r="J185" i="94"/>
  <c r="M185" i="94"/>
  <c r="D184" i="94"/>
  <c r="H184" i="94"/>
  <c r="J184" i="94"/>
  <c r="D183" i="94"/>
  <c r="H183" i="94"/>
  <c r="J183" i="94"/>
  <c r="D182" i="94"/>
  <c r="D180" i="94"/>
  <c r="H180" i="94"/>
  <c r="J180" i="94"/>
  <c r="D179" i="94"/>
  <c r="H179" i="94"/>
  <c r="J179" i="94"/>
  <c r="L179" i="94"/>
  <c r="D178" i="94"/>
  <c r="H178" i="94"/>
  <c r="J178" i="94"/>
  <c r="D177" i="94"/>
  <c r="H177" i="94"/>
  <c r="J177" i="94"/>
  <c r="D176" i="94"/>
  <c r="H176" i="94"/>
  <c r="D172" i="94"/>
  <c r="H172" i="94"/>
  <c r="J172" i="94"/>
  <c r="M172" i="94"/>
  <c r="H173" i="94"/>
  <c r="H169" i="94"/>
  <c r="H171" i="94"/>
  <c r="J171" i="94"/>
  <c r="D170" i="94"/>
  <c r="H170" i="94"/>
  <c r="J170" i="94"/>
  <c r="M170" i="94"/>
  <c r="H167" i="94"/>
  <c r="J167" i="94"/>
  <c r="M167" i="94"/>
  <c r="H166" i="94"/>
  <c r="J166" i="94"/>
  <c r="D165" i="94"/>
  <c r="D168" i="94"/>
  <c r="D161" i="94"/>
  <c r="H161" i="94"/>
  <c r="J161" i="94"/>
  <c r="D159" i="94"/>
  <c r="H159" i="94"/>
  <c r="J159" i="94"/>
  <c r="K30" i="23"/>
  <c r="K37" i="23"/>
  <c r="E192" i="94"/>
  <c r="H192" i="94"/>
  <c r="J192" i="94"/>
  <c r="M192" i="94"/>
  <c r="E191" i="94"/>
  <c r="H191" i="94"/>
  <c r="J191" i="94"/>
  <c r="E190" i="94"/>
  <c r="H190" i="94"/>
  <c r="J190" i="94"/>
  <c r="H30" i="23"/>
  <c r="H26" i="23"/>
  <c r="E25" i="94"/>
  <c r="H24" i="23"/>
  <c r="E23" i="94"/>
  <c r="J26" i="23"/>
  <c r="K26" i="23"/>
  <c r="O13" i="28"/>
  <c r="N78" i="28"/>
  <c r="N77" i="28"/>
  <c r="N76" i="28"/>
  <c r="N75" i="28"/>
  <c r="N74" i="28"/>
  <c r="N73" i="28"/>
  <c r="N72" i="28"/>
  <c r="N71" i="28"/>
  <c r="N66" i="28"/>
  <c r="N62" i="28"/>
  <c r="N61" i="28"/>
  <c r="N57" i="28"/>
  <c r="N60" i="28"/>
  <c r="N59" i="28"/>
  <c r="N53" i="28"/>
  <c r="N52" i="28"/>
  <c r="N51" i="28"/>
  <c r="N50" i="28"/>
  <c r="N44" i="28"/>
  <c r="N43" i="28"/>
  <c r="N42" i="28"/>
  <c r="N41" i="28"/>
  <c r="N35" i="28"/>
  <c r="N34" i="28"/>
  <c r="N33" i="28"/>
  <c r="N32" i="28"/>
  <c r="N31" i="28"/>
  <c r="N30" i="28"/>
  <c r="N29" i="28"/>
  <c r="N28" i="28"/>
  <c r="N27" i="28"/>
  <c r="N26" i="28"/>
  <c r="N25" i="28"/>
  <c r="N24" i="28"/>
  <c r="N23" i="28"/>
  <c r="N16" i="28"/>
  <c r="N15" i="28"/>
  <c r="N14" i="28"/>
  <c r="N13" i="28"/>
  <c r="F10" i="23"/>
  <c r="F37" i="23"/>
  <c r="D36" i="23"/>
  <c r="H160" i="94"/>
  <c r="J160" i="94"/>
  <c r="L160" i="94"/>
  <c r="H64" i="94"/>
  <c r="J64" i="94"/>
  <c r="H104" i="94"/>
  <c r="J104" i="94"/>
  <c r="H102" i="94"/>
  <c r="J102" i="94"/>
  <c r="H96" i="94"/>
  <c r="J96" i="94"/>
  <c r="H86" i="94"/>
  <c r="J86" i="94"/>
  <c r="L86" i="94"/>
  <c r="H84" i="94"/>
  <c r="J84" i="94"/>
  <c r="M84" i="94"/>
  <c r="H79" i="94"/>
  <c r="J79" i="94"/>
  <c r="H75" i="28"/>
  <c r="H74" i="28"/>
  <c r="H31" i="28"/>
  <c r="J22" i="23"/>
  <c r="K28" i="23"/>
  <c r="K22" i="23"/>
  <c r="J37" i="23"/>
  <c r="H126" i="94"/>
  <c r="J126" i="94"/>
  <c r="G18" i="23"/>
  <c r="G30" i="23"/>
  <c r="L26" i="23"/>
  <c r="L28" i="23"/>
  <c r="F26" i="94"/>
  <c r="C7" i="15"/>
  <c r="J30" i="23"/>
  <c r="C29" i="94"/>
  <c r="J28" i="23"/>
  <c r="B13" i="1"/>
  <c r="I106" i="28"/>
  <c r="I104" i="28"/>
  <c r="I107" i="28"/>
  <c r="I13" i="94"/>
  <c r="X49" i="28"/>
  <c r="U58" i="28"/>
  <c r="U57" i="28"/>
  <c r="D18" i="94"/>
  <c r="U49" i="28"/>
  <c r="Q13" i="28"/>
  <c r="S70" i="28"/>
  <c r="S22" i="28"/>
  <c r="O49" i="28"/>
  <c r="Y49" i="28"/>
  <c r="F78" i="28"/>
  <c r="U78" i="28"/>
  <c r="F77" i="28"/>
  <c r="K77" i="28"/>
  <c r="F76" i="28"/>
  <c r="X76" i="28"/>
  <c r="F75" i="28"/>
  <c r="X75" i="28"/>
  <c r="F74" i="28"/>
  <c r="S74" i="28"/>
  <c r="F73" i="28"/>
  <c r="F72" i="28"/>
  <c r="F71" i="28"/>
  <c r="S71" i="28"/>
  <c r="F70" i="28"/>
  <c r="U70" i="28"/>
  <c r="F66" i="28"/>
  <c r="X66" i="28"/>
  <c r="X65" i="28"/>
  <c r="E19" i="94"/>
  <c r="F62" i="28"/>
  <c r="F61" i="28"/>
  <c r="X61" i="28"/>
  <c r="F60" i="28"/>
  <c r="F59" i="28"/>
  <c r="X59" i="28"/>
  <c r="F58" i="28"/>
  <c r="S58" i="28"/>
  <c r="F53" i="28"/>
  <c r="X53" i="28"/>
  <c r="F52" i="28"/>
  <c r="F51" i="28"/>
  <c r="X51" i="28"/>
  <c r="F50" i="28"/>
  <c r="F49" i="28"/>
  <c r="S49" i="28"/>
  <c r="K49" i="28"/>
  <c r="F44" i="28"/>
  <c r="O44" i="28"/>
  <c r="F43" i="28"/>
  <c r="F42" i="28"/>
  <c r="K42" i="28"/>
  <c r="F41" i="28"/>
  <c r="U41" i="28"/>
  <c r="F40" i="28"/>
  <c r="U40" i="28"/>
  <c r="F35" i="28"/>
  <c r="S35" i="28"/>
  <c r="F34" i="28"/>
  <c r="F33" i="28"/>
  <c r="F32" i="28"/>
  <c r="F31" i="28"/>
  <c r="L31" i="28"/>
  <c r="F30" i="28"/>
  <c r="O30" i="28"/>
  <c r="F29" i="28"/>
  <c r="U29" i="28"/>
  <c r="F28" i="28"/>
  <c r="U28" i="28"/>
  <c r="F27" i="28"/>
  <c r="S27" i="28"/>
  <c r="F26" i="28"/>
  <c r="F25" i="28"/>
  <c r="S25" i="28"/>
  <c r="F24" i="28"/>
  <c r="K24" i="28"/>
  <c r="F23" i="28"/>
  <c r="S23" i="28"/>
  <c r="F22" i="28"/>
  <c r="U22" i="28"/>
  <c r="F17" i="28"/>
  <c r="F16" i="28"/>
  <c r="F15" i="28"/>
  <c r="F14" i="28"/>
  <c r="O14" i="28"/>
  <c r="F13" i="28"/>
  <c r="U13" i="28"/>
  <c r="G34" i="23"/>
  <c r="I20" i="23"/>
  <c r="G20" i="23"/>
  <c r="G34" i="94"/>
  <c r="L18" i="23"/>
  <c r="F33" i="94"/>
  <c r="K18" i="23"/>
  <c r="J18" i="23"/>
  <c r="I18" i="23"/>
  <c r="L16" i="23"/>
  <c r="K16" i="23"/>
  <c r="J16" i="23"/>
  <c r="I16" i="23"/>
  <c r="H16" i="23"/>
  <c r="E28" i="94"/>
  <c r="G16" i="23"/>
  <c r="B34" i="23"/>
  <c r="F34" i="23"/>
  <c r="D32" i="23"/>
  <c r="C32" i="23"/>
  <c r="B32" i="23"/>
  <c r="D30" i="23"/>
  <c r="F30" i="23"/>
  <c r="C30" i="23"/>
  <c r="B30" i="23"/>
  <c r="C28" i="23"/>
  <c r="B28" i="23"/>
  <c r="F28" i="23"/>
  <c r="C26" i="23"/>
  <c r="B26" i="23"/>
  <c r="C24" i="23"/>
  <c r="B24" i="23"/>
  <c r="B22" i="23"/>
  <c r="C20" i="23"/>
  <c r="B20" i="23"/>
  <c r="E18" i="23"/>
  <c r="F18" i="23"/>
  <c r="D18" i="23"/>
  <c r="C18" i="23"/>
  <c r="B18" i="23"/>
  <c r="F16" i="23"/>
  <c r="D16" i="23"/>
  <c r="C16" i="23"/>
  <c r="B16" i="23"/>
  <c r="C14" i="23"/>
  <c r="F14" i="23"/>
  <c r="B14" i="23"/>
  <c r="C12" i="23"/>
  <c r="E10" i="23"/>
  <c r="D10" i="23"/>
  <c r="F8" i="23"/>
  <c r="B10" i="102"/>
  <c r="B19" i="102"/>
  <c r="C5" i="97"/>
  <c r="D5" i="97"/>
  <c r="E5" i="97"/>
  <c r="I5" i="97"/>
  <c r="J5" i="97"/>
  <c r="K5" i="97"/>
  <c r="M5" i="97"/>
  <c r="N5" i="97"/>
  <c r="D6" i="97"/>
  <c r="J6" i="97"/>
  <c r="M6" i="97"/>
  <c r="N6" i="97"/>
  <c r="C7" i="97"/>
  <c r="D7" i="97"/>
  <c r="E7" i="97"/>
  <c r="I7" i="97"/>
  <c r="J7" i="97"/>
  <c r="K7" i="97"/>
  <c r="M7" i="97"/>
  <c r="N7" i="97"/>
  <c r="D8" i="97"/>
  <c r="M8" i="97"/>
  <c r="N8" i="97"/>
  <c r="D9" i="97"/>
  <c r="M9" i="97"/>
  <c r="N9" i="97"/>
  <c r="D12" i="97"/>
  <c r="D13" i="97"/>
  <c r="D15" i="97"/>
  <c r="E7" i="28"/>
  <c r="P17" i="28"/>
  <c r="C12" i="28"/>
  <c r="I12" i="28"/>
  <c r="H13" i="28"/>
  <c r="V13" i="28"/>
  <c r="H14" i="28"/>
  <c r="T14" i="28"/>
  <c r="P14" i="28"/>
  <c r="R14" i="28"/>
  <c r="V14" i="28"/>
  <c r="H15" i="28"/>
  <c r="P15" i="28"/>
  <c r="V15" i="28"/>
  <c r="H16" i="28"/>
  <c r="R16" i="28"/>
  <c r="Q16" i="28"/>
  <c r="T16" i="28"/>
  <c r="U16" i="28"/>
  <c r="W16" i="28"/>
  <c r="R17" i="28"/>
  <c r="C21" i="28"/>
  <c r="G21" i="28"/>
  <c r="G22" i="28"/>
  <c r="H22" i="28"/>
  <c r="J22" i="28"/>
  <c r="M22" i="28"/>
  <c r="P22" i="28"/>
  <c r="Q22" i="28"/>
  <c r="R22" i="28"/>
  <c r="T22" i="28"/>
  <c r="V22" i="28"/>
  <c r="W22" i="28"/>
  <c r="H23" i="28"/>
  <c r="T23" i="28"/>
  <c r="U23" i="28"/>
  <c r="H24" i="28"/>
  <c r="J24" i="28"/>
  <c r="P24" i="28"/>
  <c r="Q24" i="28"/>
  <c r="R24" i="28"/>
  <c r="T24" i="28"/>
  <c r="U24" i="28"/>
  <c r="V24" i="28"/>
  <c r="W24" i="28"/>
  <c r="H25" i="28"/>
  <c r="P25" i="28"/>
  <c r="J25" i="28"/>
  <c r="R25" i="28"/>
  <c r="T25" i="28"/>
  <c r="U25" i="28"/>
  <c r="H26" i="28"/>
  <c r="R26" i="28"/>
  <c r="J26" i="28"/>
  <c r="P26" i="28"/>
  <c r="Q26" i="28"/>
  <c r="V26" i="28"/>
  <c r="W26" i="28"/>
  <c r="H27" i="28"/>
  <c r="J27" i="28"/>
  <c r="P27" i="28"/>
  <c r="Q27" i="28"/>
  <c r="R27" i="28"/>
  <c r="T27" i="28"/>
  <c r="U27" i="28"/>
  <c r="V27" i="28"/>
  <c r="X27" i="28"/>
  <c r="W27" i="28"/>
  <c r="H28" i="28"/>
  <c r="Q28" i="28"/>
  <c r="H29" i="28"/>
  <c r="J29" i="28"/>
  <c r="P29" i="28"/>
  <c r="Q29" i="28"/>
  <c r="R29" i="28"/>
  <c r="T29" i="28"/>
  <c r="V29" i="28"/>
  <c r="W29" i="28"/>
  <c r="H30" i="28"/>
  <c r="J30" i="28"/>
  <c r="K30" i="28"/>
  <c r="P30" i="28"/>
  <c r="S30" i="28"/>
  <c r="Q30" i="28"/>
  <c r="R30" i="28"/>
  <c r="T30" i="28"/>
  <c r="V30" i="28"/>
  <c r="W30" i="28"/>
  <c r="Q31" i="28"/>
  <c r="J31" i="28"/>
  <c r="P31" i="28"/>
  <c r="T31" i="28"/>
  <c r="V31" i="28"/>
  <c r="H32" i="28"/>
  <c r="I32" i="28"/>
  <c r="I21" i="28"/>
  <c r="J32" i="28"/>
  <c r="P32" i="28"/>
  <c r="Q32" i="28"/>
  <c r="R32" i="28"/>
  <c r="T32" i="28"/>
  <c r="U32" i="28"/>
  <c r="V32" i="28"/>
  <c r="W32" i="28"/>
  <c r="H33" i="28"/>
  <c r="P33" i="28"/>
  <c r="I33" i="28"/>
  <c r="J33" i="28"/>
  <c r="Q33" i="28"/>
  <c r="R33" i="28"/>
  <c r="T33" i="28"/>
  <c r="U33" i="28"/>
  <c r="V33" i="28"/>
  <c r="W33" i="28"/>
  <c r="H34" i="28"/>
  <c r="I34" i="28"/>
  <c r="H35" i="28"/>
  <c r="I35" i="28"/>
  <c r="C39" i="28"/>
  <c r="G39" i="28"/>
  <c r="G40" i="28"/>
  <c r="H40" i="28"/>
  <c r="J40" i="28"/>
  <c r="M40" i="28"/>
  <c r="P40" i="28"/>
  <c r="Q40" i="28"/>
  <c r="R40" i="28"/>
  <c r="T40" i="28"/>
  <c r="V40" i="28"/>
  <c r="W40" i="28"/>
  <c r="H41" i="28"/>
  <c r="P41" i="28"/>
  <c r="Q41" i="28"/>
  <c r="R41" i="28"/>
  <c r="T41" i="28"/>
  <c r="V41" i="28"/>
  <c r="W41" i="28"/>
  <c r="H42" i="28"/>
  <c r="T42" i="28"/>
  <c r="U42" i="28"/>
  <c r="H43" i="28"/>
  <c r="R43" i="28"/>
  <c r="J43" i="28"/>
  <c r="P43" i="28"/>
  <c r="Q43" i="28"/>
  <c r="V43" i="28"/>
  <c r="W43" i="28"/>
  <c r="H44" i="28"/>
  <c r="I44" i="28"/>
  <c r="I39" i="28"/>
  <c r="P44" i="28"/>
  <c r="Q44" i="28"/>
  <c r="R44" i="28"/>
  <c r="T44" i="28"/>
  <c r="V44" i="28"/>
  <c r="W44" i="28"/>
  <c r="C48" i="28"/>
  <c r="G48" i="28"/>
  <c r="I48" i="28"/>
  <c r="G49" i="28"/>
  <c r="H49" i="28"/>
  <c r="J49" i="28"/>
  <c r="M49" i="28"/>
  <c r="P49" i="28"/>
  <c r="Q49" i="28"/>
  <c r="R49" i="28"/>
  <c r="T49" i="28"/>
  <c r="V49" i="28"/>
  <c r="W49" i="28"/>
  <c r="H50" i="28"/>
  <c r="R50" i="28"/>
  <c r="H51" i="28"/>
  <c r="Q51" i="28"/>
  <c r="W51" i="28"/>
  <c r="H52" i="28"/>
  <c r="J52" i="28"/>
  <c r="Q52" i="28"/>
  <c r="R52" i="28"/>
  <c r="T52" i="28"/>
  <c r="U52" i="28"/>
  <c r="W52" i="28"/>
  <c r="H53" i="28"/>
  <c r="I53" i="28"/>
  <c r="C57" i="28"/>
  <c r="G57" i="28"/>
  <c r="R57" i="28"/>
  <c r="G58" i="28"/>
  <c r="H58" i="28"/>
  <c r="J58" i="28"/>
  <c r="K58" i="28"/>
  <c r="M58" i="28"/>
  <c r="P58" i="28"/>
  <c r="Q58" i="28"/>
  <c r="R58" i="28"/>
  <c r="T58" i="28"/>
  <c r="V58" i="28"/>
  <c r="W58" i="28"/>
  <c r="H59" i="28"/>
  <c r="H57" i="28"/>
  <c r="J59" i="28"/>
  <c r="L59" i="28"/>
  <c r="M59" i="28"/>
  <c r="K59" i="28"/>
  <c r="P59" i="28"/>
  <c r="Q59" i="28"/>
  <c r="Q57" i="28"/>
  <c r="R59" i="28"/>
  <c r="T59" i="28"/>
  <c r="U59" i="28"/>
  <c r="V59" i="28"/>
  <c r="W59" i="28"/>
  <c r="H60" i="28"/>
  <c r="J60" i="28"/>
  <c r="K60" i="28"/>
  <c r="K57" i="28"/>
  <c r="D10" i="94"/>
  <c r="P60" i="28"/>
  <c r="S60" i="28"/>
  <c r="Q60" i="28"/>
  <c r="R60" i="28"/>
  <c r="T60" i="28"/>
  <c r="U60" i="28"/>
  <c r="V60" i="28"/>
  <c r="X60" i="28"/>
  <c r="W60" i="28"/>
  <c r="H61" i="28"/>
  <c r="R61" i="28"/>
  <c r="J61" i="28"/>
  <c r="Q61" i="28"/>
  <c r="T61" i="28"/>
  <c r="U61" i="28"/>
  <c r="V61" i="28"/>
  <c r="W61" i="28"/>
  <c r="H62" i="28"/>
  <c r="Q62" i="28"/>
  <c r="I62" i="28"/>
  <c r="I57" i="28"/>
  <c r="P62" i="28"/>
  <c r="S62" i="28"/>
  <c r="R62" i="28"/>
  <c r="T62" i="28"/>
  <c r="U62" i="28"/>
  <c r="V62" i="28"/>
  <c r="C65" i="28"/>
  <c r="G65" i="28"/>
  <c r="I65" i="28"/>
  <c r="J65" i="28"/>
  <c r="P65" i="28"/>
  <c r="Q65" i="28"/>
  <c r="T65" i="28"/>
  <c r="H66" i="28"/>
  <c r="H65" i="28"/>
  <c r="J66" i="28"/>
  <c r="L66" i="28"/>
  <c r="N65" i="28"/>
  <c r="K66" i="28"/>
  <c r="M66" i="28"/>
  <c r="M65" i="28"/>
  <c r="E16" i="94"/>
  <c r="P66" i="28"/>
  <c r="Q66" i="28"/>
  <c r="R66" i="28"/>
  <c r="R65" i="28"/>
  <c r="T66" i="28"/>
  <c r="V66" i="28"/>
  <c r="V65" i="28"/>
  <c r="W66" i="28"/>
  <c r="W65" i="28"/>
  <c r="C69" i="28"/>
  <c r="G69" i="28"/>
  <c r="G70" i="28"/>
  <c r="H70" i="28"/>
  <c r="J70" i="28"/>
  <c r="M70" i="28"/>
  <c r="P70" i="28"/>
  <c r="Q70" i="28"/>
  <c r="R70" i="28"/>
  <c r="T70" i="28"/>
  <c r="V70" i="28"/>
  <c r="W70" i="28"/>
  <c r="H71" i="28"/>
  <c r="P71" i="28"/>
  <c r="Q71" i="28"/>
  <c r="R71" i="28"/>
  <c r="V71" i="28"/>
  <c r="W71" i="28"/>
  <c r="H72" i="28"/>
  <c r="T72" i="28"/>
  <c r="U72" i="28"/>
  <c r="H73" i="28"/>
  <c r="J73" i="28"/>
  <c r="P73" i="28"/>
  <c r="Q73" i="28"/>
  <c r="R73" i="28"/>
  <c r="T73" i="28"/>
  <c r="U73" i="28"/>
  <c r="V73" i="28"/>
  <c r="W73" i="28"/>
  <c r="Q74" i="28"/>
  <c r="J74" i="28"/>
  <c r="P74" i="28"/>
  <c r="R74" i="28"/>
  <c r="T74" i="28"/>
  <c r="V74" i="28"/>
  <c r="H76" i="28"/>
  <c r="P76" i="28"/>
  <c r="I76" i="28"/>
  <c r="I69" i="28"/>
  <c r="I82" i="28"/>
  <c r="Q76" i="28"/>
  <c r="T76" i="28"/>
  <c r="W76" i="28"/>
  <c r="H77" i="28"/>
  <c r="I77" i="28"/>
  <c r="J77" i="28"/>
  <c r="P77" i="28"/>
  <c r="Q77" i="28"/>
  <c r="R77" i="28"/>
  <c r="T77" i="28"/>
  <c r="U77" i="28"/>
  <c r="V77" i="28"/>
  <c r="W77" i="28"/>
  <c r="H78" i="28"/>
  <c r="I78" i="28"/>
  <c r="J78" i="28"/>
  <c r="K78" i="28"/>
  <c r="P78" i="28"/>
  <c r="Q78" i="28"/>
  <c r="R78" i="28"/>
  <c r="T78" i="28"/>
  <c r="V78" i="28"/>
  <c r="W78" i="28"/>
  <c r="C82" i="28"/>
  <c r="Q93" i="28"/>
  <c r="I94" i="28"/>
  <c r="I96" i="28"/>
  <c r="K94" i="28"/>
  <c r="K96" i="28"/>
  <c r="B14" i="94"/>
  <c r="M94" i="28"/>
  <c r="O94" i="28"/>
  <c r="Q94" i="28"/>
  <c r="Q96" i="28"/>
  <c r="D14" i="94"/>
  <c r="S94" i="28"/>
  <c r="M96" i="28"/>
  <c r="F14" i="94"/>
  <c r="O96" i="28"/>
  <c r="C14" i="94"/>
  <c r="S96" i="28"/>
  <c r="G14" i="94"/>
  <c r="Q10" i="23"/>
  <c r="F12" i="23"/>
  <c r="M12" i="23"/>
  <c r="X12" i="23"/>
  <c r="Y12" i="23"/>
  <c r="F20" i="23"/>
  <c r="F22" i="23"/>
  <c r="F24" i="23"/>
  <c r="I23" i="94"/>
  <c r="Q24" i="23"/>
  <c r="F26" i="23"/>
  <c r="Q26" i="23"/>
  <c r="F32" i="23"/>
  <c r="M32" i="23"/>
  <c r="X32" i="23"/>
  <c r="Y32" i="23"/>
  <c r="F36" i="23"/>
  <c r="M36" i="23"/>
  <c r="X36" i="23"/>
  <c r="Y36" i="23"/>
  <c r="N37" i="23"/>
  <c r="O37" i="23"/>
  <c r="P37" i="23"/>
  <c r="R37" i="23"/>
  <c r="S37" i="23"/>
  <c r="T37" i="23"/>
  <c r="U37" i="23"/>
  <c r="V37" i="23"/>
  <c r="W37" i="23"/>
  <c r="C22" i="94"/>
  <c r="F22" i="94"/>
  <c r="C23" i="94"/>
  <c r="F23" i="94"/>
  <c r="B24" i="94"/>
  <c r="C25" i="94"/>
  <c r="D25" i="94"/>
  <c r="F25" i="94"/>
  <c r="C26" i="94"/>
  <c r="D26" i="94"/>
  <c r="H27" i="94"/>
  <c r="J27" i="94"/>
  <c r="B28" i="94"/>
  <c r="C28" i="94"/>
  <c r="D28" i="94"/>
  <c r="H30" i="94"/>
  <c r="J30" i="94"/>
  <c r="M30" i="94"/>
  <c r="L30" i="94"/>
  <c r="C31" i="94"/>
  <c r="D31" i="94"/>
  <c r="I31" i="94"/>
  <c r="H32" i="94"/>
  <c r="J32" i="94"/>
  <c r="L32" i="94"/>
  <c r="B33" i="94"/>
  <c r="C33" i="94"/>
  <c r="C37" i="94"/>
  <c r="D33" i="94"/>
  <c r="G33" i="94"/>
  <c r="B34" i="94"/>
  <c r="I34" i="94"/>
  <c r="H35" i="94"/>
  <c r="J35" i="94"/>
  <c r="M35" i="94"/>
  <c r="L35" i="94"/>
  <c r="H36" i="94"/>
  <c r="J36" i="94"/>
  <c r="I36" i="94"/>
  <c r="H51" i="94"/>
  <c r="J51" i="94"/>
  <c r="L51" i="94"/>
  <c r="H76" i="94"/>
  <c r="J76" i="94"/>
  <c r="M76" i="94"/>
  <c r="H77" i="94"/>
  <c r="J77" i="94"/>
  <c r="H90" i="94"/>
  <c r="J90" i="94"/>
  <c r="L90" i="94"/>
  <c r="H138" i="94"/>
  <c r="J138" i="94"/>
  <c r="M138" i="94"/>
  <c r="H142" i="94"/>
  <c r="J142" i="94"/>
  <c r="H143" i="94"/>
  <c r="J143" i="94"/>
  <c r="L143" i="94"/>
  <c r="H162" i="94"/>
  <c r="J162" i="94"/>
  <c r="H198" i="94"/>
  <c r="J198" i="94"/>
  <c r="K198" i="94"/>
  <c r="L198" i="94"/>
  <c r="H200" i="94"/>
  <c r="J200" i="94"/>
  <c r="K200" i="94"/>
  <c r="H201" i="94"/>
  <c r="J201" i="94"/>
  <c r="K201" i="94"/>
  <c r="H202" i="94"/>
  <c r="J202" i="94"/>
  <c r="K202" i="94"/>
  <c r="B27" i="1"/>
  <c r="B21" i="1"/>
  <c r="K65" i="28"/>
  <c r="E10" i="94"/>
  <c r="I32" i="94"/>
  <c r="I27" i="94"/>
  <c r="M8" i="23"/>
  <c r="X8" i="23"/>
  <c r="Y8" i="23"/>
  <c r="I200" i="94"/>
  <c r="H98" i="94"/>
  <c r="J98" i="94"/>
  <c r="M98" i="94"/>
  <c r="I24" i="94"/>
  <c r="M18" i="23"/>
  <c r="X18" i="23"/>
  <c r="Y18" i="23"/>
  <c r="I33" i="94"/>
  <c r="I26" i="94"/>
  <c r="I29" i="94"/>
  <c r="M34" i="23"/>
  <c r="X34" i="23"/>
  <c r="Y34" i="23"/>
  <c r="I30" i="94"/>
  <c r="F28" i="94"/>
  <c r="J76" i="28"/>
  <c r="J44" i="28"/>
  <c r="K44" i="28"/>
  <c r="J62" i="28"/>
  <c r="J72" i="28"/>
  <c r="R72" i="28"/>
  <c r="V72" i="28"/>
  <c r="X72" i="28"/>
  <c r="P72" i="28"/>
  <c r="W72" i="28"/>
  <c r="Q72" i="28"/>
  <c r="J75" i="28"/>
  <c r="Q75" i="28"/>
  <c r="Q69" i="28"/>
  <c r="Q82" i="28"/>
  <c r="W75" i="28"/>
  <c r="R75" i="28"/>
  <c r="T75" i="28"/>
  <c r="U75" i="28"/>
  <c r="V75" i="28"/>
  <c r="L73" i="28"/>
  <c r="O73" i="28"/>
  <c r="K73" i="28"/>
  <c r="Y73" i="28"/>
  <c r="Z73" i="28"/>
  <c r="P53" i="28"/>
  <c r="V53" i="28"/>
  <c r="J53" i="28"/>
  <c r="Q53" i="28"/>
  <c r="W53" i="28"/>
  <c r="R53" i="28"/>
  <c r="T53" i="28"/>
  <c r="O76" i="28"/>
  <c r="L76" i="28"/>
  <c r="M76" i="28"/>
  <c r="K76" i="28"/>
  <c r="P75" i="28"/>
  <c r="R76" i="28"/>
  <c r="W74" i="28"/>
  <c r="X73" i="28"/>
  <c r="S73" i="28"/>
  <c r="P69" i="28"/>
  <c r="J71" i="28"/>
  <c r="T71" i="28"/>
  <c r="H69" i="28"/>
  <c r="J50" i="28"/>
  <c r="T50" i="28"/>
  <c r="P50" i="28"/>
  <c r="V50" i="28"/>
  <c r="H48" i="28"/>
  <c r="Q50" i="28"/>
  <c r="Q48" i="28"/>
  <c r="W50" i="28"/>
  <c r="V39" i="28"/>
  <c r="J28" i="28"/>
  <c r="R28" i="28"/>
  <c r="T28" i="28"/>
  <c r="P28" i="28"/>
  <c r="V28" i="28"/>
  <c r="L27" i="28"/>
  <c r="M27" i="28"/>
  <c r="O27" i="28"/>
  <c r="K27" i="28"/>
  <c r="S26" i="28"/>
  <c r="Y26" i="28"/>
  <c r="Z26" i="28"/>
  <c r="X71" i="28"/>
  <c r="O52" i="28"/>
  <c r="L52" i="28"/>
  <c r="K52" i="28"/>
  <c r="J51" i="28"/>
  <c r="R51" i="28"/>
  <c r="T51" i="28"/>
  <c r="U51" i="28"/>
  <c r="P51" i="28"/>
  <c r="S51" i="28"/>
  <c r="V51" i="28"/>
  <c r="S43" i="28"/>
  <c r="T35" i="28"/>
  <c r="U35" i="28"/>
  <c r="J35" i="28"/>
  <c r="P35" i="28"/>
  <c r="V35" i="28"/>
  <c r="X35" i="28"/>
  <c r="Q35" i="28"/>
  <c r="W35" i="28"/>
  <c r="T34" i="28"/>
  <c r="U34" i="28"/>
  <c r="J34" i="28"/>
  <c r="P34" i="28"/>
  <c r="S34" i="28"/>
  <c r="V34" i="28"/>
  <c r="Q34" i="28"/>
  <c r="W34" i="28"/>
  <c r="O32" i="28"/>
  <c r="K32" i="28"/>
  <c r="L32" i="28"/>
  <c r="L29" i="28"/>
  <c r="O29" i="28"/>
  <c r="O26" i="28"/>
  <c r="L26" i="28"/>
  <c r="K26" i="28"/>
  <c r="K25" i="28"/>
  <c r="O25" i="28"/>
  <c r="L25" i="28"/>
  <c r="M25" i="28"/>
  <c r="J23" i="28"/>
  <c r="P23" i="28"/>
  <c r="V23" i="28"/>
  <c r="R23" i="28"/>
  <c r="W23" i="28"/>
  <c r="Q23" i="28"/>
  <c r="Q21" i="28"/>
  <c r="H21" i="28"/>
  <c r="L78" i="28"/>
  <c r="X77" i="28"/>
  <c r="S77" i="28"/>
  <c r="O77" i="28"/>
  <c r="L77" i="28"/>
  <c r="M77" i="28"/>
  <c r="V76" i="28"/>
  <c r="R69" i="28"/>
  <c r="X62" i="28"/>
  <c r="O62" i="28"/>
  <c r="L62" i="28"/>
  <c r="K62" i="28"/>
  <c r="R48" i="28"/>
  <c r="L43" i="28"/>
  <c r="K43" i="28"/>
  <c r="O43" i="28"/>
  <c r="J42" i="28"/>
  <c r="P42" i="28"/>
  <c r="V42" i="28"/>
  <c r="X42" i="28"/>
  <c r="Q42" i="28"/>
  <c r="Q39" i="28"/>
  <c r="W42" i="28"/>
  <c r="W39" i="28"/>
  <c r="R42" i="28"/>
  <c r="R39" i="28"/>
  <c r="H39" i="28"/>
  <c r="R35" i="28"/>
  <c r="R34" i="28"/>
  <c r="S33" i="28"/>
  <c r="W28" i="28"/>
  <c r="L61" i="28"/>
  <c r="M61" i="28"/>
  <c r="J57" i="28"/>
  <c r="X44" i="28"/>
  <c r="S44" i="28"/>
  <c r="L44" i="28"/>
  <c r="M44" i="28"/>
  <c r="X43" i="28"/>
  <c r="O33" i="28"/>
  <c r="L33" i="28"/>
  <c r="K33" i="28"/>
  <c r="Y33" i="28"/>
  <c r="Z33" i="28"/>
  <c r="X32" i="28"/>
  <c r="S32" i="28"/>
  <c r="X29" i="28"/>
  <c r="X26" i="28"/>
  <c r="L24" i="28"/>
  <c r="M24" i="28"/>
  <c r="O24" i="28"/>
  <c r="X15" i="28"/>
  <c r="S66" i="28"/>
  <c r="S65" i="28"/>
  <c r="E17" i="94"/>
  <c r="L60" i="28"/>
  <c r="M60" i="28"/>
  <c r="O60" i="28"/>
  <c r="V57" i="28"/>
  <c r="P57" i="28"/>
  <c r="V52" i="28"/>
  <c r="X52" i="28"/>
  <c r="P52" i="28"/>
  <c r="S52" i="28"/>
  <c r="T43" i="28"/>
  <c r="U43" i="28"/>
  <c r="X41" i="28"/>
  <c r="J41" i="28"/>
  <c r="T39" i="28"/>
  <c r="X33" i="28"/>
  <c r="R31" i="28"/>
  <c r="S31" i="28"/>
  <c r="T26" i="28"/>
  <c r="U26" i="28"/>
  <c r="W25" i="28"/>
  <c r="Q25" i="28"/>
  <c r="O59" i="28"/>
  <c r="W62" i="28"/>
  <c r="W57" i="28"/>
  <c r="P61" i="28"/>
  <c r="S61" i="28"/>
  <c r="T57" i="28"/>
  <c r="W31" i="28"/>
  <c r="V25" i="28"/>
  <c r="X24" i="28"/>
  <c r="S24" i="28"/>
  <c r="J15" i="28"/>
  <c r="Q15" i="28"/>
  <c r="S15" i="28"/>
  <c r="W15" i="28"/>
  <c r="R15" i="28"/>
  <c r="R12" i="28"/>
  <c r="T15" i="28"/>
  <c r="U15" i="28"/>
  <c r="J13" i="28"/>
  <c r="P13" i="28"/>
  <c r="W13" i="28"/>
  <c r="R13" i="28"/>
  <c r="T13" i="28"/>
  <c r="K61" i="28"/>
  <c r="O66" i="28"/>
  <c r="O65" i="28"/>
  <c r="E11" i="94"/>
  <c r="V16" i="28"/>
  <c r="X16" i="28"/>
  <c r="P16" i="28"/>
  <c r="S16" i="28"/>
  <c r="J16" i="28"/>
  <c r="W14" i="28"/>
  <c r="X14" i="28"/>
  <c r="Q14" i="28"/>
  <c r="Q12" i="28"/>
  <c r="J14" i="28"/>
  <c r="S17" i="28"/>
  <c r="P12" i="28"/>
  <c r="H17" i="28"/>
  <c r="V69" i="28"/>
  <c r="P21" i="28"/>
  <c r="X50" i="28"/>
  <c r="V48" i="28"/>
  <c r="V12" i="28"/>
  <c r="W21" i="28"/>
  <c r="J21" i="28"/>
  <c r="K23" i="28"/>
  <c r="L23" i="28"/>
  <c r="M29" i="28"/>
  <c r="O34" i="28"/>
  <c r="L34" i="28"/>
  <c r="K34" i="28"/>
  <c r="Y34" i="28"/>
  <c r="Z34" i="28"/>
  <c r="M52" i="28"/>
  <c r="W48" i="28"/>
  <c r="S50" i="28"/>
  <c r="P48" i="28"/>
  <c r="M73" i="28"/>
  <c r="K75" i="28"/>
  <c r="L75" i="28"/>
  <c r="M75" i="28"/>
  <c r="L16" i="28"/>
  <c r="O16" i="28"/>
  <c r="K16" i="28"/>
  <c r="S14" i="28"/>
  <c r="T12" i="28"/>
  <c r="X25" i="28"/>
  <c r="M33" i="28"/>
  <c r="S42" i="28"/>
  <c r="P39" i="28"/>
  <c r="M62" i="28"/>
  <c r="Y62" i="28"/>
  <c r="Z62" i="28"/>
  <c r="R21" i="28"/>
  <c r="R82" i="28"/>
  <c r="M26" i="28"/>
  <c r="T21" i="28"/>
  <c r="U50" i="28"/>
  <c r="T48" i="28"/>
  <c r="U71" i="28"/>
  <c r="T69" i="28"/>
  <c r="W69" i="28"/>
  <c r="O72" i="28"/>
  <c r="L72" i="28"/>
  <c r="K72" i="28"/>
  <c r="W12" i="28"/>
  <c r="P82" i="28"/>
  <c r="L15" i="28"/>
  <c r="K15" i="28"/>
  <c r="O15" i="28"/>
  <c r="O41" i="28"/>
  <c r="K41" i="28"/>
  <c r="J39" i="28"/>
  <c r="O42" i="28"/>
  <c r="L42" i="28"/>
  <c r="M78" i="28"/>
  <c r="V21" i="28"/>
  <c r="X34" i="28"/>
  <c r="L35" i="28"/>
  <c r="K35" i="28"/>
  <c r="O35" i="28"/>
  <c r="K51" i="28"/>
  <c r="O51" i="28"/>
  <c r="O50" i="28"/>
  <c r="L50" i="28"/>
  <c r="J48" i="28"/>
  <c r="K50" i="28"/>
  <c r="O71" i="28"/>
  <c r="K71" i="28"/>
  <c r="L71" i="28"/>
  <c r="J69" i="28"/>
  <c r="S72" i="28"/>
  <c r="H12" i="28"/>
  <c r="H82" i="28"/>
  <c r="J17" i="28"/>
  <c r="V82" i="28"/>
  <c r="M72" i="28"/>
  <c r="Y72" i="28"/>
  <c r="Z72" i="28"/>
  <c r="T82" i="28"/>
  <c r="W82" i="28"/>
  <c r="M23" i="28"/>
  <c r="M34" i="28"/>
  <c r="M42" i="28"/>
  <c r="K17" i="28"/>
  <c r="J12" i="28"/>
  <c r="J82" i="28"/>
  <c r="Y17" i="28"/>
  <c r="Z17" i="28"/>
  <c r="I35" i="94"/>
  <c r="U95" i="28"/>
  <c r="Y77" i="28"/>
  <c r="Z77" i="28"/>
  <c r="U69" i="28"/>
  <c r="G18" i="94"/>
  <c r="K74" i="28"/>
  <c r="S76" i="28"/>
  <c r="Y76" i="28"/>
  <c r="Z76" i="28"/>
  <c r="U76" i="28"/>
  <c r="M71" i="28"/>
  <c r="S78" i="28"/>
  <c r="S69" i="28"/>
  <c r="G17" i="94"/>
  <c r="Y75" i="28"/>
  <c r="O74" i="28"/>
  <c r="X78" i="28"/>
  <c r="K70" i="28"/>
  <c r="O70" i="28"/>
  <c r="X70" i="28"/>
  <c r="X74" i="28"/>
  <c r="O75" i="28"/>
  <c r="O78" i="28"/>
  <c r="Y78" i="28"/>
  <c r="Z78" i="28"/>
  <c r="L74" i="28"/>
  <c r="U74" i="28"/>
  <c r="S75" i="28"/>
  <c r="Y66" i="28"/>
  <c r="L65" i="28"/>
  <c r="E15" i="94"/>
  <c r="U66" i="28"/>
  <c r="U65" i="28"/>
  <c r="E18" i="94"/>
  <c r="Y61" i="28"/>
  <c r="Z61" i="28"/>
  <c r="M57" i="28"/>
  <c r="D16" i="94"/>
  <c r="O58" i="28"/>
  <c r="O57" i="28"/>
  <c r="D11" i="94"/>
  <c r="L57" i="28"/>
  <c r="D15" i="94"/>
  <c r="Y60" i="28"/>
  <c r="Z60" i="28"/>
  <c r="S59" i="28"/>
  <c r="Y59" i="28"/>
  <c r="Z59" i="28"/>
  <c r="X58" i="28"/>
  <c r="X57" i="28"/>
  <c r="D19" i="94"/>
  <c r="O61" i="28"/>
  <c r="Z49" i="28"/>
  <c r="X48" i="28"/>
  <c r="C19" i="94"/>
  <c r="L53" i="28"/>
  <c r="U53" i="28"/>
  <c r="U48" i="28"/>
  <c r="C18" i="94"/>
  <c r="Y50" i="28"/>
  <c r="Z50" i="28"/>
  <c r="L48" i="28"/>
  <c r="C15" i="94"/>
  <c r="O53" i="28"/>
  <c r="O48" i="28"/>
  <c r="C11" i="94"/>
  <c r="H11" i="94"/>
  <c r="J11" i="94"/>
  <c r="L11" i="94"/>
  <c r="M50" i="28"/>
  <c r="L51" i="28"/>
  <c r="K53" i="28"/>
  <c r="Y52" i="28"/>
  <c r="Z52" i="28"/>
  <c r="S53" i="28"/>
  <c r="S48" i="28"/>
  <c r="C17" i="94"/>
  <c r="Y42" i="28"/>
  <c r="Z42" i="28"/>
  <c r="X40" i="28"/>
  <c r="X39" i="28"/>
  <c r="F19" i="94"/>
  <c r="L41" i="28"/>
  <c r="M43" i="28"/>
  <c r="Y43" i="28"/>
  <c r="Z43" i="28"/>
  <c r="U44" i="28"/>
  <c r="U39" i="28"/>
  <c r="F18" i="94"/>
  <c r="O40" i="28"/>
  <c r="O39" i="28"/>
  <c r="F11" i="94"/>
  <c r="S40" i="28"/>
  <c r="K40" i="28"/>
  <c r="S41" i="28"/>
  <c r="S21" i="28"/>
  <c r="B17" i="94"/>
  <c r="H17" i="94"/>
  <c r="J17" i="94"/>
  <c r="M17" i="94"/>
  <c r="M31" i="28"/>
  <c r="Y24" i="28"/>
  <c r="Z24" i="28"/>
  <c r="Y27" i="28"/>
  <c r="Z27" i="28"/>
  <c r="O22" i="28"/>
  <c r="X22" i="28"/>
  <c r="L28" i="28"/>
  <c r="Y25" i="28"/>
  <c r="Z25" i="28"/>
  <c r="O23" i="28"/>
  <c r="Y23" i="28"/>
  <c r="Z23" i="28"/>
  <c r="U30" i="28"/>
  <c r="U21" i="28"/>
  <c r="K29" i="28"/>
  <c r="O28" i="28"/>
  <c r="X30" i="28"/>
  <c r="K31" i="28"/>
  <c r="S28" i="28"/>
  <c r="U31" i="28"/>
  <c r="K22" i="28"/>
  <c r="M35" i="28"/>
  <c r="Y35" i="28"/>
  <c r="Z35" i="28"/>
  <c r="X28" i="28"/>
  <c r="X23" i="28"/>
  <c r="M32" i="28"/>
  <c r="Y32" i="28"/>
  <c r="Z32" i="28"/>
  <c r="X31" i="28"/>
  <c r="L30" i="28"/>
  <c r="O31" i="28"/>
  <c r="K28" i="28"/>
  <c r="S29" i="28"/>
  <c r="Y16" i="28"/>
  <c r="Z16" i="28"/>
  <c r="M15" i="28"/>
  <c r="Y15" i="28"/>
  <c r="Z15" i="28"/>
  <c r="M16" i="28"/>
  <c r="L14" i="28"/>
  <c r="U14" i="28"/>
  <c r="U12" i="28"/>
  <c r="K14" i="28"/>
  <c r="I18" i="94"/>
  <c r="O12" i="28"/>
  <c r="S13" i="28"/>
  <c r="S12" i="28"/>
  <c r="K13" i="28"/>
  <c r="X13" i="28"/>
  <c r="X12" i="28"/>
  <c r="L13" i="28"/>
  <c r="Z75" i="28"/>
  <c r="C17" i="102"/>
  <c r="M69" i="28"/>
  <c r="G16" i="94"/>
  <c r="Y71" i="28"/>
  <c r="Z71" i="28"/>
  <c r="X69" i="28"/>
  <c r="G19" i="94"/>
  <c r="O69" i="28"/>
  <c r="G11" i="94"/>
  <c r="Y70" i="28"/>
  <c r="K69" i="28"/>
  <c r="G10" i="94"/>
  <c r="N69" i="28"/>
  <c r="M74" i="28"/>
  <c r="Y74" i="28"/>
  <c r="L69" i="28"/>
  <c r="G15" i="94"/>
  <c r="Z66" i="28"/>
  <c r="Z65" i="28"/>
  <c r="Y65" i="28"/>
  <c r="Y64" i="28"/>
  <c r="C8" i="102"/>
  <c r="S57" i="28"/>
  <c r="D17" i="94"/>
  <c r="Y58" i="28"/>
  <c r="M53" i="28"/>
  <c r="Y53" i="28"/>
  <c r="Z53" i="28"/>
  <c r="K48" i="28"/>
  <c r="C10" i="94"/>
  <c r="M51" i="28"/>
  <c r="Y51" i="28"/>
  <c r="N48" i="28"/>
  <c r="Y44" i="28"/>
  <c r="Z44" i="28"/>
  <c r="L39" i="28"/>
  <c r="F15" i="94"/>
  <c r="M41" i="28"/>
  <c r="M39" i="28"/>
  <c r="F16" i="94"/>
  <c r="N39" i="28"/>
  <c r="Y40" i="28"/>
  <c r="K39" i="28"/>
  <c r="F10" i="94"/>
  <c r="S39" i="28"/>
  <c r="F17" i="94"/>
  <c r="Y41" i="28"/>
  <c r="Z41" i="28"/>
  <c r="B18" i="94"/>
  <c r="U82" i="28"/>
  <c r="M30" i="28"/>
  <c r="Y30" i="28"/>
  <c r="Z30" i="28"/>
  <c r="M28" i="28"/>
  <c r="M21" i="28"/>
  <c r="B16" i="94"/>
  <c r="N21" i="28"/>
  <c r="Y31" i="28"/>
  <c r="X21" i="28"/>
  <c r="B19" i="94"/>
  <c r="O21" i="28"/>
  <c r="B11" i="94"/>
  <c r="L21" i="28"/>
  <c r="B15" i="94"/>
  <c r="Y29" i="28"/>
  <c r="Z29" i="28"/>
  <c r="K21" i="28"/>
  <c r="B10" i="94"/>
  <c r="Y22" i="28"/>
  <c r="M14" i="28"/>
  <c r="Y14" i="28"/>
  <c r="Z14" i="28"/>
  <c r="L12" i="28"/>
  <c r="M13" i="28"/>
  <c r="I17" i="94"/>
  <c r="I11" i="94"/>
  <c r="K12" i="28"/>
  <c r="I19" i="94"/>
  <c r="Y13" i="28"/>
  <c r="Z13" i="28"/>
  <c r="Z12" i="28"/>
  <c r="E17" i="102"/>
  <c r="D17" i="102"/>
  <c r="Z70" i="28"/>
  <c r="Y69" i="28"/>
  <c r="O82" i="28"/>
  <c r="C16" i="102"/>
  <c r="Z74" i="28"/>
  <c r="E8" i="102"/>
  <c r="D8" i="102"/>
  <c r="Y57" i="28"/>
  <c r="Z58" i="28"/>
  <c r="Z57" i="28"/>
  <c r="Z51" i="28"/>
  <c r="Z48" i="28"/>
  <c r="Y48" i="28"/>
  <c r="M48" i="28"/>
  <c r="C16" i="94"/>
  <c r="Z40" i="28"/>
  <c r="Z39" i="28"/>
  <c r="Y39" i="28"/>
  <c r="Y38" i="28"/>
  <c r="C5" i="102"/>
  <c r="S82" i="28"/>
  <c r="X82" i="28"/>
  <c r="Y28" i="28"/>
  <c r="Z28" i="28"/>
  <c r="C14" i="102"/>
  <c r="Z22" i="28"/>
  <c r="Y21" i="28"/>
  <c r="Z31" i="28"/>
  <c r="C15" i="102"/>
  <c r="N12" i="28"/>
  <c r="M12" i="28"/>
  <c r="M82" i="28"/>
  <c r="Y12" i="28"/>
  <c r="K82" i="28"/>
  <c r="I10" i="94"/>
  <c r="I15" i="94"/>
  <c r="L82" i="28"/>
  <c r="Z69" i="28"/>
  <c r="C9" i="102"/>
  <c r="Y68" i="28"/>
  <c r="Y85" i="28"/>
  <c r="D16" i="102"/>
  <c r="E16" i="102"/>
  <c r="Y56" i="28"/>
  <c r="C7" i="102"/>
  <c r="C6" i="102"/>
  <c r="Y47" i="28"/>
  <c r="E5" i="102"/>
  <c r="D5" i="102"/>
  <c r="Y20" i="28"/>
  <c r="C4" i="102"/>
  <c r="Z21" i="28"/>
  <c r="E14" i="102"/>
  <c r="D14" i="102"/>
  <c r="D15" i="102"/>
  <c r="E15" i="102"/>
  <c r="I16" i="94"/>
  <c r="N82" i="28"/>
  <c r="Y82" i="28"/>
  <c r="C84" i="28"/>
  <c r="Y11" i="28"/>
  <c r="C3" i="102"/>
  <c r="Z82" i="28"/>
  <c r="D9" i="102"/>
  <c r="E9" i="102"/>
  <c r="D7" i="102"/>
  <c r="E7" i="102"/>
  <c r="D6" i="102"/>
  <c r="E6" i="102"/>
  <c r="D4" i="102"/>
  <c r="E4" i="102"/>
  <c r="C18" i="102"/>
  <c r="Y84" i="28"/>
  <c r="D3" i="102"/>
  <c r="C10" i="102"/>
  <c r="E3" i="102"/>
  <c r="E10" i="102"/>
  <c r="D10" i="102"/>
  <c r="D18" i="102"/>
  <c r="D19" i="102"/>
  <c r="C19" i="102"/>
  <c r="E19" i="102"/>
  <c r="E18" i="102"/>
  <c r="H14" i="94"/>
  <c r="J14" i="94"/>
  <c r="H28" i="94"/>
  <c r="J28" i="94"/>
  <c r="M28" i="94"/>
  <c r="I9" i="94"/>
  <c r="H10" i="94"/>
  <c r="J10" i="94"/>
  <c r="L10" i="94"/>
  <c r="M16" i="23"/>
  <c r="X16" i="23"/>
  <c r="Y16" i="23"/>
  <c r="H33" i="94"/>
  <c r="J33" i="94"/>
  <c r="L33" i="94"/>
  <c r="H19" i="94"/>
  <c r="J19" i="94"/>
  <c r="M19" i="94"/>
  <c r="K82" i="94"/>
  <c r="I20" i="94"/>
  <c r="I37" i="94"/>
  <c r="H15" i="94"/>
  <c r="J15" i="94"/>
  <c r="H18" i="94"/>
  <c r="J18" i="94"/>
  <c r="M18" i="94"/>
  <c r="H16" i="94"/>
  <c r="J16" i="94"/>
  <c r="L16" i="94"/>
  <c r="K128" i="94"/>
  <c r="K20" i="94"/>
  <c r="K113" i="94"/>
  <c r="K158" i="94"/>
  <c r="K91" i="94"/>
  <c r="K144" i="94"/>
  <c r="K100" i="94"/>
  <c r="K85" i="94"/>
  <c r="K37" i="94"/>
  <c r="I209" i="94"/>
  <c r="I195" i="94"/>
  <c r="J195" i="94"/>
  <c r="M195" i="94"/>
  <c r="I196" i="94"/>
  <c r="J196" i="94"/>
  <c r="L196" i="94"/>
  <c r="I210" i="94"/>
  <c r="F82" i="94"/>
  <c r="B11" i="1"/>
  <c r="I194" i="94"/>
  <c r="J194" i="94"/>
  <c r="H146" i="94"/>
  <c r="J146" i="94"/>
  <c r="M146" i="94"/>
  <c r="B39" i="1"/>
  <c r="D29" i="94"/>
  <c r="D37" i="94"/>
  <c r="D38" i="94"/>
  <c r="G113" i="94"/>
  <c r="H168" i="94"/>
  <c r="J168" i="94"/>
  <c r="G128" i="94"/>
  <c r="H152" i="94"/>
  <c r="J152" i="94"/>
  <c r="L152" i="94"/>
  <c r="M152" i="94"/>
  <c r="F20" i="94"/>
  <c r="F38" i="94"/>
  <c r="E13" i="1"/>
  <c r="B43" i="94"/>
  <c r="M28" i="23"/>
  <c r="X28" i="23"/>
  <c r="Y28" i="23"/>
  <c r="H119" i="94"/>
  <c r="H118" i="94"/>
  <c r="J119" i="94"/>
  <c r="L119" i="94"/>
  <c r="L37" i="23"/>
  <c r="C12" i="15"/>
  <c r="C20" i="94"/>
  <c r="D175" i="94"/>
  <c r="H75" i="94"/>
  <c r="J75" i="94"/>
  <c r="L75" i="94"/>
  <c r="B50" i="94"/>
  <c r="B49" i="94"/>
  <c r="H50" i="94"/>
  <c r="J50" i="94"/>
  <c r="L50" i="94"/>
  <c r="M22" i="23"/>
  <c r="X22" i="23"/>
  <c r="Y22" i="23"/>
  <c r="H149" i="94"/>
  <c r="J149" i="94"/>
  <c r="L149" i="94"/>
  <c r="H165" i="94"/>
  <c r="J165" i="94"/>
  <c r="H103" i="94"/>
  <c r="J103" i="94"/>
  <c r="G37" i="23"/>
  <c r="B20" i="94"/>
  <c r="L195" i="94"/>
  <c r="I38" i="94"/>
  <c r="K38" i="94"/>
  <c r="E27" i="1"/>
  <c r="C25" i="1"/>
  <c r="K50" i="94"/>
  <c r="L123" i="94"/>
  <c r="K43" i="94"/>
  <c r="F37" i="94"/>
  <c r="H34" i="94"/>
  <c r="L97" i="94"/>
  <c r="M20" i="23"/>
  <c r="E25" i="1"/>
  <c r="D25" i="1"/>
  <c r="X20" i="23"/>
  <c r="Y20" i="23"/>
  <c r="J34" i="94"/>
  <c r="L34" i="94"/>
  <c r="M34" i="94"/>
  <c r="J44" i="94"/>
  <c r="M44" i="94"/>
  <c r="B53" i="94"/>
  <c r="I37" i="23"/>
  <c r="H70" i="94"/>
  <c r="J70" i="94"/>
  <c r="M10" i="23"/>
  <c r="X10" i="23"/>
  <c r="B29" i="94"/>
  <c r="H29" i="94"/>
  <c r="J29" i="94"/>
  <c r="M29" i="94"/>
  <c r="B65" i="94"/>
  <c r="C11" i="1"/>
  <c r="M51" i="94"/>
  <c r="M14" i="94"/>
  <c r="L14" i="94"/>
  <c r="M88" i="94"/>
  <c r="L88" i="94"/>
  <c r="M160" i="94"/>
  <c r="M130" i="94"/>
  <c r="L130" i="94"/>
  <c r="L56" i="94"/>
  <c r="M56" i="94"/>
  <c r="L117" i="94"/>
  <c r="M10" i="94"/>
  <c r="L28" i="94"/>
  <c r="C38" i="94"/>
  <c r="L94" i="94"/>
  <c r="L17" i="94"/>
  <c r="Q37" i="23"/>
  <c r="E9" i="94"/>
  <c r="D20" i="94"/>
  <c r="Y10" i="23"/>
  <c r="M168" i="94"/>
  <c r="L168" i="94"/>
  <c r="X30" i="23"/>
  <c r="Y30" i="23"/>
  <c r="M186" i="94"/>
  <c r="M95" i="94"/>
  <c r="M120" i="94"/>
  <c r="L120" i="94"/>
  <c r="M75" i="94"/>
  <c r="H132" i="94"/>
  <c r="J132" i="94"/>
  <c r="H122" i="94"/>
  <c r="H121" i="94"/>
  <c r="G121" i="94"/>
  <c r="D158" i="94"/>
  <c r="B57" i="94"/>
  <c r="L192" i="94"/>
  <c r="E189" i="94"/>
  <c r="E188" i="94"/>
  <c r="E40" i="94"/>
  <c r="E37" i="94"/>
  <c r="L185" i="94"/>
  <c r="F105" i="94"/>
  <c r="H105" i="94"/>
  <c r="J105" i="94"/>
  <c r="L105" i="94"/>
  <c r="H62" i="94"/>
  <c r="J62" i="94"/>
  <c r="B61" i="94"/>
  <c r="H12" i="94"/>
  <c r="H37" i="23"/>
  <c r="E29" i="94"/>
  <c r="L26" i="94"/>
  <c r="F91" i="94"/>
  <c r="G24" i="94"/>
  <c r="H24" i="94"/>
  <c r="J24" i="94"/>
  <c r="M24" i="94"/>
  <c r="F74" i="94"/>
  <c r="G37" i="94"/>
  <c r="H25" i="94"/>
  <c r="J25" i="94"/>
  <c r="H31" i="94"/>
  <c r="J31" i="94"/>
  <c r="L146" i="94"/>
  <c r="J176" i="94"/>
  <c r="M176" i="94"/>
  <c r="H189" i="94"/>
  <c r="H188" i="94"/>
  <c r="J188" i="94"/>
  <c r="H182" i="94"/>
  <c r="J182" i="94"/>
  <c r="D181" i="94"/>
  <c r="D174" i="94"/>
  <c r="M26" i="23"/>
  <c r="X26" i="23"/>
  <c r="Y26" i="23"/>
  <c r="M125" i="94"/>
  <c r="L125" i="94"/>
  <c r="H139" i="94"/>
  <c r="J139" i="94"/>
  <c r="L139" i="94"/>
  <c r="I211" i="94"/>
  <c r="M37" i="23"/>
  <c r="B37" i="94"/>
  <c r="B38" i="94"/>
  <c r="C39" i="1"/>
  <c r="D11" i="1"/>
  <c r="E11" i="1"/>
  <c r="J122" i="94"/>
  <c r="M122" i="94"/>
  <c r="M159" i="94"/>
  <c r="J12" i="94"/>
  <c r="M12" i="94"/>
  <c r="X37" i="23"/>
  <c r="Y37" i="23"/>
  <c r="M139" i="94"/>
  <c r="M31" i="94"/>
  <c r="L31" i="94"/>
  <c r="D39" i="1"/>
  <c r="E39" i="1"/>
  <c r="B46" i="94"/>
  <c r="B42" i="94"/>
  <c r="B40" i="94"/>
  <c r="H49" i="94"/>
  <c r="J49" i="94"/>
  <c r="M141" i="94"/>
  <c r="L141" i="94"/>
  <c r="M65" i="94"/>
  <c r="J164" i="94"/>
  <c r="M165" i="94"/>
  <c r="L165" i="94"/>
  <c r="M64" i="94"/>
  <c r="L64" i="94"/>
  <c r="M126" i="94"/>
  <c r="L126" i="94"/>
  <c r="M180" i="94"/>
  <c r="L180" i="94"/>
  <c r="L53" i="94"/>
  <c r="M132" i="94"/>
  <c r="L132" i="94"/>
  <c r="L27" i="94"/>
  <c r="M27" i="94"/>
  <c r="M171" i="94"/>
  <c r="J169" i="94"/>
  <c r="M81" i="94"/>
  <c r="L81" i="94"/>
  <c r="M54" i="94"/>
  <c r="L54" i="94"/>
  <c r="J53" i="94"/>
  <c r="L127" i="94"/>
  <c r="M127" i="94"/>
  <c r="M22" i="94"/>
  <c r="L22" i="94"/>
  <c r="M70" i="94"/>
  <c r="L70" i="94"/>
  <c r="M103" i="94"/>
  <c r="L103" i="94"/>
  <c r="L68" i="94"/>
  <c r="M68" i="94"/>
  <c r="L190" i="94"/>
  <c r="M190" i="94"/>
  <c r="M147" i="94"/>
  <c r="L147" i="94"/>
  <c r="L48" i="94"/>
  <c r="M48" i="94"/>
  <c r="M62" i="94"/>
  <c r="L62" i="94"/>
  <c r="J100" i="94"/>
  <c r="L100" i="94"/>
  <c r="M102" i="94"/>
  <c r="L102" i="94"/>
  <c r="H9" i="94"/>
  <c r="M47" i="94"/>
  <c r="H131" i="94"/>
  <c r="L172" i="94"/>
  <c r="H175" i="94"/>
  <c r="H174" i="94"/>
  <c r="L65" i="94"/>
  <c r="M90" i="94"/>
  <c r="G112" i="94"/>
  <c r="G40" i="94"/>
  <c r="G204" i="94"/>
  <c r="H210" i="94"/>
  <c r="J210" i="94"/>
  <c r="L138" i="94"/>
  <c r="J173" i="94"/>
  <c r="M92" i="94"/>
  <c r="H61" i="94"/>
  <c r="H164" i="94"/>
  <c r="H163" i="94"/>
  <c r="M118" i="94"/>
  <c r="J129" i="94"/>
  <c r="J128" i="94"/>
  <c r="M80" i="94"/>
  <c r="L29" i="94"/>
  <c r="M119" i="94"/>
  <c r="M196" i="94"/>
  <c r="H37" i="94"/>
  <c r="M53" i="94"/>
  <c r="L71" i="94"/>
  <c r="L84" i="94"/>
  <c r="L98" i="94"/>
  <c r="M86" i="94"/>
  <c r="L89" i="94"/>
  <c r="K49" i="94"/>
  <c r="K46" i="94"/>
  <c r="G38" i="94"/>
  <c r="J121" i="94"/>
  <c r="L121" i="94"/>
  <c r="H38" i="94"/>
  <c r="L122" i="94"/>
  <c r="H53" i="94"/>
  <c r="E38" i="94"/>
  <c r="E204" i="94"/>
  <c r="J65" i="94"/>
  <c r="J118" i="94"/>
  <c r="H158" i="94"/>
  <c r="L45" i="94"/>
  <c r="J63" i="94"/>
  <c r="L200" i="94"/>
  <c r="M200" i="94"/>
  <c r="L166" i="94"/>
  <c r="M166" i="94"/>
  <c r="L191" i="94"/>
  <c r="M191" i="94"/>
  <c r="B204" i="94"/>
  <c r="H136" i="94"/>
  <c r="J136" i="94"/>
  <c r="M182" i="94"/>
  <c r="J181" i="94"/>
  <c r="L182" i="94"/>
  <c r="L77" i="94"/>
  <c r="M77" i="94"/>
  <c r="J91" i="94"/>
  <c r="M91" i="94"/>
  <c r="M93" i="94"/>
  <c r="L93" i="94"/>
  <c r="M188" i="94"/>
  <c r="L188" i="94"/>
  <c r="L109" i="94"/>
  <c r="M109" i="94"/>
  <c r="L202" i="94"/>
  <c r="M202" i="94"/>
  <c r="J46" i="94"/>
  <c r="L46" i="94"/>
  <c r="J137" i="94"/>
  <c r="L142" i="94"/>
  <c r="M142" i="94"/>
  <c r="M177" i="94"/>
  <c r="L177" i="94"/>
  <c r="B46" i="1"/>
  <c r="B47" i="1"/>
  <c r="L78" i="94"/>
  <c r="M78" i="94"/>
  <c r="L155" i="94"/>
  <c r="M155" i="94"/>
  <c r="L106" i="94"/>
  <c r="M106" i="94"/>
  <c r="L114" i="94"/>
  <c r="M114" i="94"/>
  <c r="M145" i="94"/>
  <c r="J144" i="94"/>
  <c r="M144" i="94"/>
  <c r="C204" i="94"/>
  <c r="H74" i="94"/>
  <c r="M60" i="94"/>
  <c r="L60" i="94"/>
  <c r="L12" i="94"/>
  <c r="H20" i="94"/>
  <c r="J151" i="94"/>
  <c r="L144" i="94"/>
  <c r="K136" i="94"/>
  <c r="M110" i="94"/>
  <c r="L110" i="94"/>
  <c r="L67" i="94"/>
  <c r="M67" i="94"/>
  <c r="H46" i="94"/>
  <c r="H42" i="94"/>
  <c r="M149" i="94"/>
  <c r="L140" i="94"/>
  <c r="M107" i="94"/>
  <c r="L19" i="94"/>
  <c r="J74" i="94"/>
  <c r="K73" i="94"/>
  <c r="L79" i="94"/>
  <c r="M79" i="94"/>
  <c r="L154" i="94"/>
  <c r="M154" i="94"/>
  <c r="L118" i="94"/>
  <c r="M105" i="94"/>
  <c r="L153" i="94"/>
  <c r="M124" i="94"/>
  <c r="J69" i="94"/>
  <c r="L69" i="94"/>
  <c r="M50" i="94"/>
  <c r="L36" i="94"/>
  <c r="M36" i="94"/>
  <c r="M104" i="94"/>
  <c r="L104" i="94"/>
  <c r="L184" i="94"/>
  <c r="M184" i="94"/>
  <c r="L116" i="94"/>
  <c r="M116" i="94"/>
  <c r="M194" i="94"/>
  <c r="J131" i="94"/>
  <c r="L131" i="94"/>
  <c r="J175" i="94"/>
  <c r="L101" i="94"/>
  <c r="H181" i="94"/>
  <c r="L170" i="94"/>
  <c r="M32" i="94"/>
  <c r="M143" i="94"/>
  <c r="L18" i="94"/>
  <c r="M198" i="94"/>
  <c r="L194" i="94"/>
  <c r="M179" i="94"/>
  <c r="I204" i="94"/>
  <c r="K112" i="94"/>
  <c r="M162" i="94"/>
  <c r="L162" i="94"/>
  <c r="J83" i="94"/>
  <c r="H82" i="94"/>
  <c r="H100" i="94"/>
  <c r="L108" i="94"/>
  <c r="M108" i="94"/>
  <c r="M134" i="94"/>
  <c r="L134" i="94"/>
  <c r="J58" i="94"/>
  <c r="H57" i="94"/>
  <c r="L150" i="94"/>
  <c r="M150" i="94"/>
  <c r="D157" i="94"/>
  <c r="D40" i="94"/>
  <c r="D204" i="94"/>
  <c r="M87" i="94"/>
  <c r="L87" i="94"/>
  <c r="J37" i="94"/>
  <c r="M23" i="94"/>
  <c r="J189" i="94"/>
  <c r="M133" i="94"/>
  <c r="L133" i="94"/>
  <c r="J9" i="94"/>
  <c r="M15" i="94"/>
  <c r="L15" i="94"/>
  <c r="L24" i="94"/>
  <c r="L176" i="94"/>
  <c r="L99" i="94"/>
  <c r="L171" i="94"/>
  <c r="M16" i="94"/>
  <c r="M49" i="94"/>
  <c r="M11" i="94"/>
  <c r="M33" i="94"/>
  <c r="J113" i="94"/>
  <c r="K42" i="94"/>
  <c r="L159" i="94"/>
  <c r="J158" i="94"/>
  <c r="H91" i="94"/>
  <c r="L44" i="94"/>
  <c r="J43" i="94"/>
  <c r="M201" i="94"/>
  <c r="L201" i="94"/>
  <c r="M96" i="94"/>
  <c r="L96" i="94"/>
  <c r="L161" i="94"/>
  <c r="M161" i="94"/>
  <c r="L178" i="94"/>
  <c r="M178" i="94"/>
  <c r="L183" i="94"/>
  <c r="M183" i="94"/>
  <c r="H113" i="94"/>
  <c r="H112" i="94"/>
  <c r="J115" i="94"/>
  <c r="M52" i="94"/>
  <c r="L52" i="94"/>
  <c r="M25" i="94"/>
  <c r="L25" i="94"/>
  <c r="J61" i="94"/>
  <c r="F73" i="94"/>
  <c r="F40" i="94"/>
  <c r="F204" i="94"/>
  <c r="L167" i="94"/>
  <c r="L164" i="94"/>
  <c r="L145" i="94"/>
  <c r="J20" i="94"/>
  <c r="L76" i="94"/>
  <c r="J85" i="94"/>
  <c r="H85" i="94"/>
  <c r="M13" i="94"/>
  <c r="L59" i="94"/>
  <c r="M59" i="94"/>
  <c r="H151" i="94"/>
  <c r="L66" i="94"/>
  <c r="H157" i="94"/>
  <c r="L91" i="94"/>
  <c r="M69" i="94"/>
  <c r="M100" i="94"/>
  <c r="M121" i="94"/>
  <c r="L129" i="94"/>
  <c r="M46" i="94"/>
  <c r="M173" i="94"/>
  <c r="L173" i="94"/>
  <c r="L49" i="94"/>
  <c r="M129" i="94"/>
  <c r="L63" i="94"/>
  <c r="M63" i="94"/>
  <c r="M157" i="94"/>
  <c r="H40" i="94"/>
  <c r="J40" i="94"/>
  <c r="J112" i="94"/>
  <c r="L113" i="94"/>
  <c r="M113" i="94"/>
  <c r="M20" i="94"/>
  <c r="L20" i="94"/>
  <c r="M74" i="94"/>
  <c r="L74" i="94"/>
  <c r="L151" i="94"/>
  <c r="M151" i="94"/>
  <c r="H209" i="94"/>
  <c r="H204" i="94"/>
  <c r="J204" i="94"/>
  <c r="B42" i="1"/>
  <c r="B43" i="1"/>
  <c r="M169" i="94"/>
  <c r="L169" i="94"/>
  <c r="L163" i="94"/>
  <c r="L158" i="94"/>
  <c r="M158" i="94"/>
  <c r="L115" i="94"/>
  <c r="M115" i="94"/>
  <c r="L137" i="94"/>
  <c r="M137" i="94"/>
  <c r="K210" i="94"/>
  <c r="L189" i="94"/>
  <c r="M189" i="94"/>
  <c r="M83" i="94"/>
  <c r="J82" i="94"/>
  <c r="L83" i="94"/>
  <c r="H73" i="94"/>
  <c r="J73" i="94"/>
  <c r="L73" i="94"/>
  <c r="M128" i="94"/>
  <c r="L128" i="94"/>
  <c r="J38" i="94"/>
  <c r="L37" i="94"/>
  <c r="M37" i="94"/>
  <c r="M131" i="94"/>
  <c r="C46" i="1"/>
  <c r="C47" i="1"/>
  <c r="L112" i="94"/>
  <c r="M112" i="94"/>
  <c r="L9" i="94"/>
  <c r="M9" i="94"/>
  <c r="M43" i="94"/>
  <c r="M181" i="94"/>
  <c r="L181" i="94"/>
  <c r="J163" i="94"/>
  <c r="M164" i="94"/>
  <c r="L43" i="94"/>
  <c r="L85" i="94"/>
  <c r="M85" i="94"/>
  <c r="M61" i="94"/>
  <c r="L61" i="94"/>
  <c r="K40" i="94"/>
  <c r="L58" i="94"/>
  <c r="J57" i="94"/>
  <c r="M58" i="94"/>
  <c r="M175" i="94"/>
  <c r="J174" i="94"/>
  <c r="L175" i="94"/>
  <c r="M136" i="94"/>
  <c r="L136" i="94"/>
  <c r="L210" i="94"/>
  <c r="L174" i="94"/>
  <c r="M174" i="94"/>
  <c r="M73" i="94"/>
  <c r="H211" i="94"/>
  <c r="J209" i="94"/>
  <c r="M40" i="94"/>
  <c r="L40" i="94"/>
  <c r="K204" i="94"/>
  <c r="L157" i="94"/>
  <c r="L57" i="94"/>
  <c r="M57" i="94"/>
  <c r="L38" i="94"/>
  <c r="M38" i="94"/>
  <c r="L82" i="94"/>
  <c r="M82" i="94"/>
  <c r="J42" i="94"/>
  <c r="M42" i="94"/>
  <c r="L42" i="94"/>
  <c r="M204" i="94"/>
  <c r="L204" i="94"/>
  <c r="C42" i="1"/>
  <c r="C43" i="1"/>
  <c r="K209" i="94"/>
  <c r="J211" i="94"/>
  <c r="L209" i="94"/>
  <c r="L211" i="94"/>
  <c r="K211" i="94"/>
</calcChain>
</file>

<file path=xl/comments1.xml><?xml version="1.0" encoding="utf-8"?>
<comments xmlns="http://schemas.openxmlformats.org/spreadsheetml/2006/main">
  <authors>
    <author>Oscar Rubio</author>
  </authors>
  <commentList>
    <comment ref="D13" authorId="0" shapeId="0">
      <text>
        <r>
          <rPr>
            <sz val="9"/>
            <color indexed="81"/>
            <rFont val="Tahoma"/>
            <family val="2"/>
          </rPr>
          <t>Incremento beneficio según datos estadisticos y cifras de recaudo</t>
        </r>
      </text>
    </comment>
    <comment ref="D28" authorId="0" shapeId="0">
      <text>
        <r>
          <rPr>
            <b/>
            <sz val="9"/>
            <color indexed="81"/>
            <rFont val="Tahoma"/>
            <charset val="1"/>
          </rPr>
          <t xml:space="preserve">Mayor valor ingresos por Fiducias, CDT </t>
        </r>
      </text>
    </comment>
    <comment ref="D29" authorId="0" shapeId="0">
      <text>
        <r>
          <rPr>
            <b/>
            <sz val="9"/>
            <color indexed="81"/>
            <rFont val="Tahoma"/>
            <charset val="1"/>
          </rPr>
          <t xml:space="preserve">Mayor valor ingresos por Fiducias, CDT </t>
        </r>
      </text>
    </comment>
    <comment ref="D33" authorId="0" shapeId="0">
      <text>
        <r>
          <rPr>
            <sz val="9"/>
            <color indexed="81"/>
            <rFont val="Tahoma"/>
            <family val="2"/>
          </rPr>
          <t>Pago licencia de maternidad e incapacidades funcionarios</t>
        </r>
      </text>
    </comment>
    <comment ref="D36" authorId="0" shapeId="0">
      <text>
        <r>
          <rPr>
            <sz val="9"/>
            <color indexed="81"/>
            <rFont val="Tahoma"/>
            <family val="2"/>
          </rPr>
          <t xml:space="preserve">Mayor cantidad de muestreos de diagnostico </t>
        </r>
      </text>
    </comment>
  </commentList>
</comments>
</file>

<file path=xl/comments2.xml><?xml version="1.0" encoding="utf-8"?>
<comments xmlns="http://schemas.openxmlformats.org/spreadsheetml/2006/main">
  <authors>
    <author>Coordinacion Administrativa</author>
    <author>Oscar Rubio</author>
  </authors>
  <commentList>
    <comment ref="G13" authorId="0" shapeId="0">
      <text>
        <r>
          <rPr>
            <sz val="9"/>
            <color indexed="81"/>
            <rFont val="Tahoma"/>
            <family val="2"/>
          </rPr>
          <t>Corresponde a 3 meses a razón de $ 3.450.000 mensuales.  ($2.268.000 salario hoy del Profesional Grado II Sanidad más la carga prestacional).</t>
        </r>
      </text>
    </comment>
    <comment ref="M22" authorId="1" shapeId="0">
      <text>
        <r>
          <rPr>
            <sz val="9"/>
            <color indexed="81"/>
            <rFont val="Tahoma"/>
            <family val="2"/>
          </rPr>
          <t xml:space="preserve">Se ha iniciado el proceso para la compra de equipos para diferentes perfiles de usuarios, sin embargo al solicitar cotizaciones no se ha encontrado un modelo que cumpla las caracteristicas requeridas  </t>
        </r>
      </text>
    </comment>
    <comment ref="M23" authorId="1" shapeId="0">
      <text>
        <r>
          <rPr>
            <sz val="9"/>
            <color indexed="81"/>
            <rFont val="Tahoma"/>
            <family val="2"/>
          </rPr>
          <t>Debido a reestructuración y actualización de la cartilla de normas y leyes del FNP se efectuara la impresión de estos el tercer trimestre</t>
        </r>
      </text>
    </comment>
    <comment ref="M46" authorId="1" shapeId="0">
      <text>
        <r>
          <rPr>
            <sz val="9"/>
            <color indexed="81"/>
            <rFont val="Tahoma"/>
            <family val="2"/>
          </rPr>
          <t xml:space="preserve">Debido a demoras en el inicio del programa de asociatividad y demoras en la firma de los convenios se devuelve el recurso para ejecutarlo en el III trimestre </t>
        </r>
      </text>
    </comment>
    <comment ref="M47" authorId="1" shapeId="0">
      <text>
        <r>
          <rPr>
            <sz val="9"/>
            <color indexed="81"/>
            <rFont val="Tahoma"/>
            <charset val="1"/>
          </rPr>
          <t xml:space="preserve">se tenia contemplado iniciar actividades en busca del fortalecimiento de asociatividad de pequeños y medianos productores sin embargo el programa inicio hasta mayo
</t>
        </r>
      </text>
    </comment>
    <comment ref="M52" authorId="1" shapeId="0">
      <text>
        <r>
          <rPr>
            <sz val="9"/>
            <color indexed="81"/>
            <rFont val="Tahoma"/>
            <family val="2"/>
          </rPr>
          <t>El convenio de Pereira se inicio hasta el 27 de mayo debido a la socialización con el alcalde y la secretaria de agricultura de Pereira</t>
        </r>
      </text>
    </comment>
    <comment ref="M54" authorId="1" shapeId="0">
      <text>
        <r>
          <rPr>
            <sz val="9"/>
            <color indexed="81"/>
            <rFont val="Tahoma"/>
            <family val="2"/>
          </rPr>
          <t>Se devuelve el recurso debido a que áun no se ha firmado el convenio, sin embargo los recursos ya fueron autorizados</t>
        </r>
      </text>
    </comment>
    <comment ref="M55" authorId="1" shapeId="0">
      <text>
        <r>
          <rPr>
            <sz val="9"/>
            <color indexed="81"/>
            <rFont val="Tahoma"/>
            <family val="2"/>
          </rPr>
          <t>El convenio de Pereira se inicio hasta el 27 de mayo debido a la socialización con el alcalde y la secretaria de agricultura de Pereira</t>
        </r>
      </text>
    </comment>
    <comment ref="M69" authorId="1" shapeId="0">
      <text>
        <r>
          <rPr>
            <b/>
            <sz val="9"/>
            <color indexed="81"/>
            <rFont val="Tahoma"/>
            <family val="2"/>
          </rPr>
          <t>En espera de la certificación del sello por los entes certificadores, para la elaboración de material y divulgación</t>
        </r>
        <r>
          <rPr>
            <sz val="9"/>
            <color indexed="81"/>
            <rFont val="Tahoma"/>
            <family val="2"/>
          </rPr>
          <t xml:space="preserve">
</t>
        </r>
      </text>
    </comment>
    <comment ref="M74" authorId="1" shapeId="0">
      <text>
        <r>
          <rPr>
            <sz val="9"/>
            <color indexed="81"/>
            <rFont val="Tahoma"/>
            <family val="2"/>
          </rPr>
          <t>Por demoras en el estudio del estudio del Estatus de cadena comercialización se efectuara el segundo pago en el tercer trimestre</t>
        </r>
      </text>
    </comment>
    <comment ref="M100" authorId="1" shapeId="0">
      <text>
        <r>
          <rPr>
            <sz val="9"/>
            <color indexed="81"/>
            <rFont val="Tahoma"/>
            <family val="2"/>
          </rPr>
          <t>Se cancela evento por falta de garantias con los organizadores</t>
        </r>
      </text>
    </comment>
    <comment ref="M118" authorId="1" shapeId="0">
      <text>
        <r>
          <rPr>
            <sz val="9"/>
            <color indexed="81"/>
            <rFont val="Tahoma"/>
            <family val="2"/>
          </rPr>
          <t>No se logro la impresión de todo el material publicitario</t>
        </r>
        <r>
          <rPr>
            <b/>
            <sz val="9"/>
            <color indexed="81"/>
            <rFont val="Tahoma"/>
            <family val="2"/>
          </rPr>
          <t xml:space="preserve"> </t>
        </r>
      </text>
    </comment>
    <comment ref="M121" authorId="1" shapeId="0">
      <text>
        <r>
          <rPr>
            <sz val="9"/>
            <color indexed="81"/>
            <rFont val="Tahoma"/>
            <family val="2"/>
          </rPr>
          <t>No se pudo dar inicio a la contratación de puestos de control, por ajustes en la carta de entendimiento No 8, adicionalmente se cancelo la compra de camaras de vigilancia en los puntos de control del ICA</t>
        </r>
      </text>
    </comment>
    <comment ref="M128" authorId="1" shapeId="0">
      <text>
        <r>
          <rPr>
            <sz val="9"/>
            <color indexed="81"/>
            <rFont val="Tahoma"/>
            <family val="2"/>
          </rPr>
          <t>La fase de campo en el proceso de encuestas se realizara en el tercer trimestre</t>
        </r>
      </text>
    </comment>
    <comment ref="M137" authorId="1" shapeId="0">
      <text>
        <r>
          <rPr>
            <sz val="9"/>
            <color indexed="81"/>
            <rFont val="Tahoma"/>
            <family val="2"/>
          </rPr>
          <t>uno de los profesionales de apoyo se desvinculo del equipo</t>
        </r>
      </text>
    </comment>
  </commentList>
</comments>
</file>

<file path=xl/comments3.xml><?xml version="1.0" encoding="utf-8"?>
<comments xmlns="http://schemas.openxmlformats.org/spreadsheetml/2006/main">
  <authors>
    <author>Oscar Rubio</author>
    <author>Fondo Nal. de la Porcicultura</author>
  </authors>
  <commentList>
    <comment ref="E10" authorId="0" shapeId="0">
      <text>
        <r>
          <rPr>
            <b/>
            <sz val="8"/>
            <color indexed="81"/>
            <rFont val="Tahoma"/>
            <family val="2"/>
          </rPr>
          <t>Ampliación banda ancha de 10-15 megas $27,083,000 e internet de respaldo UNE $7,560,000</t>
        </r>
      </text>
    </comment>
    <comment ref="Q10" authorId="1" shapeId="0">
      <text>
        <r>
          <rPr>
            <sz val="8"/>
            <color indexed="81"/>
            <rFont val="Tahoma"/>
            <family val="2"/>
          </rPr>
          <t>$17,600,000 son del área aconómica</t>
        </r>
      </text>
    </comment>
    <comment ref="Y10" authorId="0" shapeId="0">
      <text>
        <r>
          <rPr>
            <sz val="9"/>
            <color indexed="81"/>
            <rFont val="Tahoma"/>
            <family val="2"/>
          </rPr>
          <t>compra equipos de computo coordinadores recaudo, mantenimiento de apoteosys-Ampliación banda ancha de internet e internet de respaldo</t>
        </r>
      </text>
    </comment>
    <comment ref="Q22" authorId="1" shapeId="0">
      <text>
        <r>
          <rPr>
            <sz val="8"/>
            <color indexed="81"/>
            <rFont val="Tahoma"/>
            <family val="2"/>
          </rPr>
          <t>ECONÓMICA $42,800,000
MERCADEO $15,600,000</t>
        </r>
        <r>
          <rPr>
            <sz val="8"/>
            <color indexed="81"/>
            <rFont val="Tahoma"/>
            <family val="2"/>
          </rPr>
          <t xml:space="preserve">
PPC $110,000,000
FUNCIONAMIENTO $11,000,000</t>
        </r>
      </text>
    </comment>
    <comment ref="Q24" authorId="1" shapeId="0">
      <text>
        <r>
          <rPr>
            <sz val="8"/>
            <color indexed="81"/>
            <rFont val="Tahoma"/>
            <family val="2"/>
          </rPr>
          <t>FUNCIONAMIENTO $9,000,000
ECONÓMICA $ 23,130,000</t>
        </r>
        <r>
          <rPr>
            <b/>
            <sz val="8"/>
            <color indexed="81"/>
            <rFont val="Tahoma"/>
            <family val="2"/>
          </rPr>
          <t xml:space="preserve">
</t>
        </r>
        <r>
          <rPr>
            <sz val="8"/>
            <color indexed="81"/>
            <rFont val="Tahoma"/>
            <family val="2"/>
          </rPr>
          <t>PPC$30,000,000</t>
        </r>
        <r>
          <rPr>
            <sz val="8"/>
            <color indexed="81"/>
            <rFont val="Tahoma"/>
            <family val="2"/>
          </rPr>
          <t xml:space="preserve">
</t>
        </r>
      </text>
    </comment>
    <comment ref="Y24" authorId="0" shapeId="0">
      <text>
        <r>
          <rPr>
            <b/>
            <sz val="8"/>
            <color indexed="81"/>
            <rFont val="Tahoma"/>
            <family val="2"/>
          </rPr>
          <t>Se reduce el vr contemplado para impresos para el área de Sanidad</t>
        </r>
      </text>
    </comment>
    <comment ref="C26" authorId="0" shapeId="0">
      <text>
        <r>
          <rPr>
            <sz val="9"/>
            <color indexed="81"/>
            <rFont val="Tahoma"/>
            <family val="2"/>
          </rPr>
          <t xml:space="preserve">
1, se contempla mantenimiento correo electronico a un costo mensual de $2,020,558 vr pagado julio 2015</t>
        </r>
      </text>
    </comment>
    <comment ref="Q26" authorId="1" shapeId="0">
      <text>
        <r>
          <rPr>
            <sz val="8"/>
            <color indexed="81"/>
            <rFont val="Tahoma"/>
            <family val="2"/>
          </rPr>
          <t xml:space="preserve">ECONÓMICA $28,000,000
MERCADEO $8,000,000
PPC $28,000,000
FUNCIONAMIENTO $20,000,000
</t>
        </r>
      </text>
    </comment>
    <comment ref="Y26" authorId="0" shapeId="0">
      <text>
        <r>
          <rPr>
            <sz val="9"/>
            <color indexed="81"/>
            <rFont val="Tahoma"/>
            <family val="2"/>
          </rPr>
          <t xml:space="preserve">
1, se contempla incremento en el mantenimiento de correo electronico a un costo mensual de $2,020,558 debido  al aumento en el valor del dolar</t>
        </r>
      </text>
    </comment>
    <comment ref="Y28" authorId="0" shapeId="0">
      <text>
        <r>
          <rPr>
            <sz val="8"/>
            <color indexed="81"/>
            <rFont val="Tahoma"/>
            <family val="2"/>
          </rPr>
          <t>El área Económica disminuye el valor contemplado para el 2016</t>
        </r>
      </text>
    </comment>
    <comment ref="Y30" authorId="0" shapeId="0">
      <text>
        <r>
          <rPr>
            <b/>
            <sz val="8"/>
            <color indexed="81"/>
            <rFont val="Tahoma"/>
            <family val="2"/>
          </rPr>
          <t>Se disminuye vr contemplado en polizas según convenios área Técnica</t>
        </r>
      </text>
    </comment>
    <comment ref="Q34" authorId="1" shapeId="0">
      <text>
        <r>
          <rPr>
            <sz val="8"/>
            <color indexed="81"/>
            <rFont val="Tahoma"/>
            <family val="2"/>
          </rPr>
          <t xml:space="preserve">FUNCIONAMIENTO $48,000,000
PPC $45,000,000
</t>
        </r>
      </text>
    </comment>
    <comment ref="Y36" authorId="0" shapeId="0">
      <text>
        <r>
          <rPr>
            <sz val="8"/>
            <color indexed="81"/>
            <rFont val="Tahoma"/>
            <family val="2"/>
          </rPr>
          <t>Se disminuye vr contemplado para la cuota de fiscalización teniendo en cuenta el pago vigencia 2015</t>
        </r>
      </text>
    </comment>
  </commentList>
</comments>
</file>

<file path=xl/comments4.xml><?xml version="1.0" encoding="utf-8"?>
<comments xmlns="http://schemas.openxmlformats.org/spreadsheetml/2006/main">
  <authors>
    <author>Coordinacion Administrativa</author>
  </authors>
  <commentList>
    <comment ref="D15" authorId="0" shapeId="0">
      <text>
        <r>
          <rPr>
            <b/>
            <sz val="9"/>
            <color indexed="81"/>
            <rFont val="Tahoma"/>
            <family val="2"/>
          </rPr>
          <t>Recomendación Talent Partner:  "</t>
        </r>
        <r>
          <rPr>
            <b/>
            <i/>
            <sz val="9"/>
            <color indexed="81"/>
            <rFont val="Tahoma"/>
            <family val="2"/>
          </rPr>
          <t xml:space="preserve">De acuerdo con el estudio realizado entre los meses de Diciembre y Enero y teniendo en cuenta los resultados obtenidos, se sugiere evaluar en el corto plazo la posibilidad de hacer ajustes, teniendo en cuenta el desempeño individual, de las 33 personas que ocupan los cargos de Coordinadores de recaudo, Coordinadores de PPC y Sub Coordinadores de PPC, dado que son posiciones de tipo experto y están asociados directamente al logro de los resultados de la Organización.2 </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<sst xmlns="http://schemas.openxmlformats.org/spreadsheetml/2006/main" count="574" uniqueCount="437">
  <si>
    <t>Prima legal</t>
  </si>
  <si>
    <t>Vacaciones</t>
  </si>
  <si>
    <t>Seguros y/o fondos privados</t>
  </si>
  <si>
    <t>Aportes ICBF y SENA</t>
  </si>
  <si>
    <t>Cesantías</t>
  </si>
  <si>
    <t>Intereses de cesantías</t>
  </si>
  <si>
    <t>Caja de compensación</t>
  </si>
  <si>
    <t>Administración del programa</t>
  </si>
  <si>
    <t>Fortalecimiento institucional</t>
  </si>
  <si>
    <t>Capacitación y divulgación</t>
  </si>
  <si>
    <t>COORDINADORES REGIONALES</t>
  </si>
  <si>
    <t>SUB-COORDINADORES REGIONALES ANTIOQUIA</t>
  </si>
  <si>
    <t>ASISTENTE ADMINISTRATIVO</t>
  </si>
  <si>
    <t>SUPERÁVIT VIGENCIAS ANTERIORES</t>
  </si>
  <si>
    <t>GASTOS DE FUNCIONAMIENTO</t>
  </si>
  <si>
    <t>TOTAL PROGRAMAS Y PROYECTOS</t>
  </si>
  <si>
    <t>ANEXO 1</t>
  </si>
  <si>
    <t>PRACTICANTES SENA</t>
  </si>
  <si>
    <t>JEFE DE CONTROL REGIONAL</t>
  </si>
  <si>
    <t>ECONÓMICA</t>
  </si>
  <si>
    <t>MERCADEO</t>
  </si>
  <si>
    <t>TÉCNICA</t>
  </si>
  <si>
    <t>MINISTERIO DE AGRICULTURA  Y DESARROLLO RURAL</t>
  </si>
  <si>
    <t>Honorarios</t>
  </si>
  <si>
    <t>GASTOS GENERALES</t>
  </si>
  <si>
    <t xml:space="preserve">Mantenimiento </t>
  </si>
  <si>
    <t>Arriendos</t>
  </si>
  <si>
    <t>Correo</t>
  </si>
  <si>
    <t>TOTAL PRESUPUESTO</t>
  </si>
  <si>
    <t>CUENTAS</t>
  </si>
  <si>
    <t>Transportes, fletes y acarreos</t>
  </si>
  <si>
    <t>Muebles, equipos de oficina y software</t>
  </si>
  <si>
    <t>Aseo, vigilancia y cafetería</t>
  </si>
  <si>
    <t>Materiales y suministros</t>
  </si>
  <si>
    <t>Servicios públicos</t>
  </si>
  <si>
    <t>Seguros, impuestos y gastos legales</t>
  </si>
  <si>
    <t>Gastos comisión de fomento</t>
  </si>
  <si>
    <t>Comisiones y gastos bancarios</t>
  </si>
  <si>
    <t>Cuota auditaje CGR</t>
  </si>
  <si>
    <t>DIRECCIÓN DE PLANEACIÓN Y SEGUIMIENTO PRESUPUESTAL</t>
  </si>
  <si>
    <t>MINISTERIO DE AGRICULTURA Y DESARROLLO RURAL</t>
  </si>
  <si>
    <t>Capacitación</t>
  </si>
  <si>
    <t>FONDO NACIONAL DE LA PORCICULTURA</t>
  </si>
  <si>
    <t>TOTAL</t>
  </si>
  <si>
    <t>HONORARIOS</t>
  </si>
  <si>
    <t>ASISTENTE DE RECAUDO</t>
  </si>
  <si>
    <t>CUOTA VIGENCIAS ANTERIORES</t>
  </si>
  <si>
    <t>Aseo y cafetería</t>
  </si>
  <si>
    <t>Fotocopias</t>
  </si>
  <si>
    <t>Papelería</t>
  </si>
  <si>
    <t>Teléfonos</t>
  </si>
  <si>
    <t>Celular</t>
  </si>
  <si>
    <t>Energía</t>
  </si>
  <si>
    <t>Acueducto</t>
  </si>
  <si>
    <t>Bodega</t>
  </si>
  <si>
    <t>Viajes</t>
  </si>
  <si>
    <t>Transporte Caja M.</t>
  </si>
  <si>
    <t>Acarreos</t>
  </si>
  <si>
    <t>Seguros</t>
  </si>
  <si>
    <t>Gastos Legales</t>
  </si>
  <si>
    <t>Pasajes</t>
  </si>
  <si>
    <t>Gastos</t>
  </si>
  <si>
    <t>TOTAL GASTOS GENERALES</t>
  </si>
  <si>
    <t>FNP</t>
  </si>
  <si>
    <t>Rendimientos Financieros FNP</t>
  </si>
  <si>
    <t>Rendimientos Financieros PPC</t>
  </si>
  <si>
    <t>Extraordinarios FNP</t>
  </si>
  <si>
    <t>Financieros FNP</t>
  </si>
  <si>
    <t>Financieros PPC</t>
  </si>
  <si>
    <t>Venta de publicaciones y videos de capacitación</t>
  </si>
  <si>
    <t>Regionalización</t>
  </si>
  <si>
    <t>Administración de la base de datos</t>
  </si>
  <si>
    <t>Sistemas de información de mercados</t>
  </si>
  <si>
    <t>CONTRATACIÓN LABORAL</t>
  </si>
  <si>
    <t xml:space="preserve">SEGUROS Y/O FONDOS PRIVADOS </t>
  </si>
  <si>
    <t>No.</t>
  </si>
  <si>
    <t>SALARIO BASE</t>
  </si>
  <si>
    <t xml:space="preserve">SUBSIDIO DE TRANSPORTE </t>
  </si>
  <si>
    <t>VALOR TOTAL A DEVENGAR MENSUAL</t>
  </si>
  <si>
    <t>VAC. ANUALES</t>
  </si>
  <si>
    <t>ICBF 3%</t>
  </si>
  <si>
    <t>SENA 2%</t>
  </si>
  <si>
    <t>ÁREA DE FUNCIONAMIENTO</t>
  </si>
  <si>
    <t>ÁREA PPC</t>
  </si>
  <si>
    <t>VALOR TOTAL DE LA NÓMINA</t>
  </si>
  <si>
    <t>PERSONAS</t>
  </si>
  <si>
    <t>CANTIDAD DOTACIONES/AÑO</t>
  </si>
  <si>
    <t>AUDITORIA</t>
  </si>
  <si>
    <t>SALARIO INTEGRAL</t>
  </si>
  <si>
    <t>RESERVA</t>
  </si>
  <si>
    <t>VALOR MENSUAL</t>
  </si>
  <si>
    <t>DIRECTOR</t>
  </si>
  <si>
    <t>PRESUPUESTO</t>
  </si>
  <si>
    <t>CUOTA DE ADMINISTRACIÓN</t>
  </si>
  <si>
    <t>INGRESOS OPERACIONALES</t>
  </si>
  <si>
    <t>Cuota de Fomento</t>
  </si>
  <si>
    <t>Cuota de Erradicación Peste Porcina Clásica</t>
  </si>
  <si>
    <t>INGRESOS NO OPERACIONALES</t>
  </si>
  <si>
    <t>INGRESOS FINANCIEROS</t>
  </si>
  <si>
    <t>OTROS INGRESOS</t>
  </si>
  <si>
    <t>Ventas Programa PPC</t>
  </si>
  <si>
    <t>TOTAL INGRESOS</t>
  </si>
  <si>
    <t>Muebles,  equipos  de oficina y software</t>
  </si>
  <si>
    <t>Impresos y publicaciones</t>
  </si>
  <si>
    <t>FUNCIONAMIENTO</t>
  </si>
  <si>
    <t>GASTOS</t>
  </si>
  <si>
    <t xml:space="preserve">Capacitación </t>
  </si>
  <si>
    <t xml:space="preserve">RESERVA FUTURAS INVERSIONES Y GASTOS </t>
  </si>
  <si>
    <t>Servicios de personal</t>
  </si>
  <si>
    <t>PPC</t>
  </si>
  <si>
    <t>SUBTOTAL GASTOS PERSONAL</t>
  </si>
  <si>
    <t>SUBTOTAL GASTOS GENERALES</t>
  </si>
  <si>
    <t>TOTAL FUNCIONAMIENTO</t>
  </si>
  <si>
    <t>INGRESOS</t>
  </si>
  <si>
    <t>GRAN TOTAL</t>
  </si>
  <si>
    <t>PROGRAMAS ECONÓMICA</t>
  </si>
  <si>
    <t>PROGRAMAS TÉCNICA</t>
  </si>
  <si>
    <t>PROGRAMAS MERCADEO</t>
  </si>
  <si>
    <t>TOTAL INVERSIÓN</t>
  </si>
  <si>
    <t>GASTOS DE PERSONAL</t>
  </si>
  <si>
    <t xml:space="preserve">Dotación y suministro </t>
  </si>
  <si>
    <t>Sueldos</t>
  </si>
  <si>
    <t>SALUD 8,5%</t>
  </si>
  <si>
    <t>Item</t>
  </si>
  <si>
    <t>Programas y proyectos FNP</t>
  </si>
  <si>
    <t>Gastos de viaje</t>
  </si>
  <si>
    <t>Impresos varios</t>
  </si>
  <si>
    <t>COORDINADORES RECAUDO</t>
  </si>
  <si>
    <t>Hospedaje</t>
  </si>
  <si>
    <t>Alimentación</t>
  </si>
  <si>
    <t>Asoporcicultores</t>
  </si>
  <si>
    <t>TOTAL PPC</t>
  </si>
  <si>
    <t>TOTAL ECONÓMICA</t>
  </si>
  <si>
    <t>TOTAL TÉCNICA</t>
  </si>
  <si>
    <t>TOTAL MERCADEO</t>
  </si>
  <si>
    <t>COORDINADOR DE INFORMACIÓN</t>
  </si>
  <si>
    <t>INICIO</t>
  </si>
  <si>
    <t>FINAL</t>
  </si>
  <si>
    <t>DÍAS</t>
  </si>
  <si>
    <t>Ciclos de vacunación</t>
  </si>
  <si>
    <t>Centro de servicios técnicos y financieros</t>
  </si>
  <si>
    <t>EXÁMENES INGRESO-SALIDA</t>
  </si>
  <si>
    <t>COORDINADOR  DE PUBLICIDAD</t>
  </si>
  <si>
    <t xml:space="preserve">CUOTA DE FOMENTO PORCÍCOLA </t>
  </si>
  <si>
    <t>Recolección de desechos biológicos</t>
  </si>
  <si>
    <t>Cuota de fomento porcícola</t>
  </si>
  <si>
    <t>Cuota de erradicación Peste Porcina Clásica</t>
  </si>
  <si>
    <t>Integra Seguridad</t>
  </si>
  <si>
    <t>TOTAL NÓMINA DE PROGRAMAS</t>
  </si>
  <si>
    <t>DOTACIÓN</t>
  </si>
  <si>
    <t>VR. DOTACIÓN</t>
  </si>
  <si>
    <t>CAJA DE COMPENSACIÓN  4%</t>
  </si>
  <si>
    <t>PERFIL</t>
  </si>
  <si>
    <t>PROFESIONAL GRADO 1</t>
  </si>
  <si>
    <t>ASISTENTE 1</t>
  </si>
  <si>
    <t>PRACTICANTE SENA</t>
  </si>
  <si>
    <t>JEFE DE PROGRAMA</t>
  </si>
  <si>
    <t>PROFESIONAL GRADO 2</t>
  </si>
  <si>
    <t>COORDINADOR REGIONAL</t>
  </si>
  <si>
    <t>DIRECTOR DE PROGRAMA</t>
  </si>
  <si>
    <t>COORDINADOR DE PROGRAMA</t>
  </si>
  <si>
    <t>SUBCOORDINADOR REGIONAL</t>
  </si>
  <si>
    <t>PENSIÓN 12%</t>
  </si>
  <si>
    <t xml:space="preserve">TOTAL GASTOS </t>
  </si>
  <si>
    <t>IPC APROX.</t>
  </si>
  <si>
    <t>Cuota Auditaje</t>
  </si>
  <si>
    <t>Alquiler de equipos visita</t>
  </si>
  <si>
    <t>fotocopias</t>
  </si>
  <si>
    <t>INGRESOS EXTRAORDINARIOS FNP</t>
  </si>
  <si>
    <t>Impuestos</t>
  </si>
  <si>
    <t>Crecimiento Salario mínimo</t>
  </si>
  <si>
    <t>Incremento General</t>
  </si>
  <si>
    <t>Salario mínimo</t>
  </si>
  <si>
    <t>ASISTENTE DE PEDIDOS Y DESPACHOS</t>
  </si>
  <si>
    <t>Contratación de personal</t>
  </si>
  <si>
    <t>INGRESOS FNP</t>
  </si>
  <si>
    <t>INGRESOS PPC</t>
  </si>
  <si>
    <t>Campaña de fomento al consumo</t>
  </si>
  <si>
    <t>DIGITADOR-CODIFICADOR</t>
  </si>
  <si>
    <t>DIGITADOR -CODIFICADOR</t>
  </si>
  <si>
    <t xml:space="preserve">DIRECTOR </t>
  </si>
  <si>
    <t>ANEXO 2</t>
  </si>
  <si>
    <t>ÁREA ECONÓMICA</t>
  </si>
  <si>
    <t>Aux. Transporte</t>
  </si>
  <si>
    <t>INGRESOS PROGRAMAS Y PROYECTOS FNP</t>
  </si>
  <si>
    <t>TOTAL EXTRAORDINARIOS FNP</t>
  </si>
  <si>
    <t>TOTAL  PROGRAMAS Y PROYECTOS FNP</t>
  </si>
  <si>
    <t>Licencias antivirus</t>
  </si>
  <si>
    <t>COORDINADOR ASISTENCIA TÉCNICA</t>
  </si>
  <si>
    <t>COORDINADOR CENTRO DE  SERVICIOS</t>
  </si>
  <si>
    <t>AUXILIAR DE DESPACHOS</t>
  </si>
  <si>
    <t>AUXILIAR 2</t>
  </si>
  <si>
    <t>% INCREMENTO SUELDO</t>
  </si>
  <si>
    <t>% INCREMENTO ANUAL</t>
  </si>
  <si>
    <t>ÁREA MERCADEO</t>
  </si>
  <si>
    <t>ÁREA TÉCNICA</t>
  </si>
  <si>
    <t>COORDINADOR DE CALIDAD E INNOVACIÓN</t>
  </si>
  <si>
    <t>TOTAL INVESTIGACIÓN</t>
  </si>
  <si>
    <t>ÁREA INVESTIGACIÒN</t>
  </si>
  <si>
    <t>TRANSFERENCIA</t>
  </si>
  <si>
    <t>SUPERVISOR CONTROL PRESUPUESTAL</t>
  </si>
  <si>
    <t>SUPERVISOR TESORERIA</t>
  </si>
  <si>
    <t>Diagnóstico Rutinario</t>
  </si>
  <si>
    <t>Investigación de mercados</t>
  </si>
  <si>
    <t>PROGRAMAS INVESTIGACIÓN Y TRANSFERENCIA DE TÉCNOLOGÍA</t>
  </si>
  <si>
    <t>INVESTIGACIÒN Y TRANSFERENCIA</t>
  </si>
  <si>
    <t>FONDO DE EMERGENCIA</t>
  </si>
  <si>
    <t>Monitoreo de Medios</t>
  </si>
  <si>
    <t>Capacitación anual contratistas</t>
  </si>
  <si>
    <t>Campaña de publicidad</t>
  </si>
  <si>
    <t>Pauta institucional</t>
  </si>
  <si>
    <t>Compra de biológico, chapetas y tenazas</t>
  </si>
  <si>
    <t>Compra de materiales y dotaciones</t>
  </si>
  <si>
    <t>Divulgación</t>
  </si>
  <si>
    <t>Proyectos</t>
  </si>
  <si>
    <t>Capacitación anual</t>
  </si>
  <si>
    <t>Jornadas de divulgación resultados de investigación</t>
  </si>
  <si>
    <t>Capacitación en desposte de carne de cerdo</t>
  </si>
  <si>
    <t>Seminario Internacional</t>
  </si>
  <si>
    <t>Cuota de administración FNP</t>
  </si>
  <si>
    <t>Cuota de administración PPC</t>
  </si>
  <si>
    <t>Seminario internacional(Investigación)</t>
  </si>
  <si>
    <t>Día de la Carne de Cerdo</t>
  </si>
  <si>
    <t>Festival de la Carne de cerdo</t>
  </si>
  <si>
    <t>Gira técnica</t>
  </si>
  <si>
    <t>Material de apoyo</t>
  </si>
  <si>
    <t>Asesores Gastronómicos</t>
  </si>
  <si>
    <t>Consultoría MESA</t>
  </si>
  <si>
    <t>Mantenimiento red</t>
  </si>
  <si>
    <t>Ingresos tarifas Centro de Servicios Técnicos y Financieros(Económica)</t>
  </si>
  <si>
    <t>Equipos computo y muebles</t>
  </si>
  <si>
    <t>Apoteosys</t>
  </si>
  <si>
    <t>Trabajo con autoridades</t>
  </si>
  <si>
    <t>PROFESIONAL ESPECIALIZADO</t>
  </si>
  <si>
    <t xml:space="preserve">Manto Cableado </t>
  </si>
  <si>
    <t>AÑO 2015</t>
  </si>
  <si>
    <t>PROFESIONAL DE PUBLICIDAD</t>
  </si>
  <si>
    <t>PROFESIONAL SANIDAD</t>
  </si>
  <si>
    <t>AÑO 2.015</t>
  </si>
  <si>
    <t>M/to Fotocopiadora</t>
  </si>
  <si>
    <t>JEFE DE LABORATORIOS Y DIAGNOSTICO</t>
  </si>
  <si>
    <t>SANIDAD</t>
  </si>
  <si>
    <t>COORDINADOR DE PROGRAMA REGIONALES</t>
  </si>
  <si>
    <t>COORDINADOR DE GESTIÓN AMBIENTAL</t>
  </si>
  <si>
    <t>Atención de Solicitudes (Asistencia a Productores)</t>
  </si>
  <si>
    <t>Convenios</t>
  </si>
  <si>
    <t>Divulgación Resolución 2640</t>
  </si>
  <si>
    <t>Monitoreo Precios de la Carne al Consumidor</t>
  </si>
  <si>
    <t>Actualización Información Nacional</t>
  </si>
  <si>
    <t>Seguimiento Mercados Internacionales</t>
  </si>
  <si>
    <t>Control al recaudo</t>
  </si>
  <si>
    <t>Seguimiento al recaudo regional</t>
  </si>
  <si>
    <t>Movilización coordinadores</t>
  </si>
  <si>
    <t>Movilización Jefe Coordinadores de recaudo</t>
  </si>
  <si>
    <t>Pago de Axilios de frío, flete y movilización</t>
  </si>
  <si>
    <t>Gastos de brigada</t>
  </si>
  <si>
    <t>Vigilancia Epidemiológica</t>
  </si>
  <si>
    <t>Adminisbilidad y normatividad sanitaria</t>
  </si>
  <si>
    <t>Auxilios comités</t>
  </si>
  <si>
    <t>PROGRAMA SANIDAD</t>
  </si>
  <si>
    <t xml:space="preserve">PROGRAMA PPC </t>
  </si>
  <si>
    <t>TOTAL SANIDAD</t>
  </si>
  <si>
    <t>Control y monitoreo para la enfermedad de PRRS  en granjas de Colombia</t>
  </si>
  <si>
    <t>Apoyo programa PRRS</t>
  </si>
  <si>
    <t>Epidemiología de la enfermedad (Nacional)</t>
  </si>
  <si>
    <t>Sensibilización y divulgación</t>
  </si>
  <si>
    <t>Programa nacional de bioseguridad, sanidad y productividad-PNBSP</t>
  </si>
  <si>
    <t xml:space="preserve">Sostenibilidad y responsabilidad social empresarial en producción primaria </t>
  </si>
  <si>
    <t>Inocuidad y bienestar animal en producción primaria y transporte</t>
  </si>
  <si>
    <t>Investigación y desarrollo</t>
  </si>
  <si>
    <t>Transferencia de tecnología</t>
  </si>
  <si>
    <t>Capacitación para expendedores</t>
  </si>
  <si>
    <t>Diagnostico</t>
  </si>
  <si>
    <t>Diagnostico rutinario con laboratorios oficiales</t>
  </si>
  <si>
    <t xml:space="preserve">  Diagnostico rutinario</t>
  </si>
  <si>
    <t xml:space="preserve">  Diagnostico integrado</t>
  </si>
  <si>
    <t xml:space="preserve">  Diagnóstico PRRS (incluido IFA)</t>
  </si>
  <si>
    <t>Diagnostico rutinario con laboratorios privados</t>
  </si>
  <si>
    <t>PRRS</t>
  </si>
  <si>
    <t>Promoción del diagnóstico</t>
  </si>
  <si>
    <t>Aseguramiento de la calidad</t>
  </si>
  <si>
    <t>Asesorias BPM y HACCP</t>
  </si>
  <si>
    <t>Sello de producto en la cadena de transformación</t>
  </si>
  <si>
    <t>Home panel de Nilsen</t>
  </si>
  <si>
    <t>Brand equity tracking</t>
  </si>
  <si>
    <t>Eye Trancking</t>
  </si>
  <si>
    <t>Tracking publicitario ( Neuro nilsen)</t>
  </si>
  <si>
    <t>Viajes regionales equipo incentivo y sensibilizacion de las bondades de la carne de cerdo</t>
  </si>
  <si>
    <t xml:space="preserve">Material Publicitario, Promoción y Divulgación para el Incentivo y sensibilizacion </t>
  </si>
  <si>
    <t xml:space="preserve">Conceptos y artes </t>
  </si>
  <si>
    <t>Kit Publicitario</t>
  </si>
  <si>
    <t>Estrategia digital</t>
  </si>
  <si>
    <t>Me encanta la carne de cerdo.com</t>
  </si>
  <si>
    <t>Concurso innovador carne de cerdo</t>
  </si>
  <si>
    <t>Convenios con las Gobernaciones y alcaldias (Económica)</t>
  </si>
  <si>
    <t>Diagnóstico rutinario laboratorios oficiales (Investigación,Diagnostico)</t>
  </si>
  <si>
    <t>Diagnóstico importados(investigación)</t>
  </si>
  <si>
    <t>Jornadas de trabajo con los coordinadores regionales (visita plantas)</t>
  </si>
  <si>
    <t>Jornadas de trabajo con los coordinadores regionales(trabajo con autoridades)</t>
  </si>
  <si>
    <t>Convenio Colciencias(investigación)</t>
  </si>
  <si>
    <t>COORDINADOR TÉCNICO</t>
  </si>
  <si>
    <t>Suscripciones</t>
  </si>
  <si>
    <t xml:space="preserve">  Vinculación tecnologica</t>
  </si>
  <si>
    <t xml:space="preserve">  Talleres y seminarios</t>
  </si>
  <si>
    <t>AÑO 2016</t>
  </si>
  <si>
    <t>Comparativo 2015-2016</t>
  </si>
  <si>
    <t>TOTAL 2016</t>
  </si>
  <si>
    <t>JEFE FORTALECIMIENTO AL RECAUDO</t>
  </si>
  <si>
    <t>PROFESIONAL ECONÓMICO</t>
  </si>
  <si>
    <t>COORDINADOR VIGILANCIA EPIDEMIOLOGICA</t>
  </si>
  <si>
    <t>JEFE CONTROL REGIONAL</t>
  </si>
  <si>
    <t>JEFE ANÁLISIS EPIDEMIOLÓGICO</t>
  </si>
  <si>
    <t>PROFESIONAL TÉCNICO</t>
  </si>
  <si>
    <t>AÑO 2.016</t>
  </si>
  <si>
    <t>TOTAL ÁREA ECONÓMICA</t>
  </si>
  <si>
    <t xml:space="preserve">Cadena Carnica Porcína </t>
  </si>
  <si>
    <t xml:space="preserve">   Contrapartidas Gobernaciones y/o Alcaldias</t>
  </si>
  <si>
    <t xml:space="preserve">     Convenio Gobernacion de Cundinamarca</t>
  </si>
  <si>
    <t xml:space="preserve">     Convenio Pereira</t>
  </si>
  <si>
    <t xml:space="preserve">   Contrapartidas FNP</t>
  </si>
  <si>
    <t xml:space="preserve">     Convenio Gobernacion de Cundinamarca FNP</t>
  </si>
  <si>
    <t xml:space="preserve">     Convenio Pereira FNP</t>
  </si>
  <si>
    <t>Fortalecimiento del beneficio formal</t>
  </si>
  <si>
    <t>TOTAL ÁREA MERCADEO</t>
  </si>
  <si>
    <t>TOTAL ÁREA ERRADICACIÓN PPC</t>
  </si>
  <si>
    <t>TOTAL ÁREA TÉCNICA</t>
  </si>
  <si>
    <t>Capacitación y fortalecimiento de competencias</t>
  </si>
  <si>
    <t>Profesionales de acompañamiento    *(Sello de granja)</t>
  </si>
  <si>
    <t>Taller técnico de bioseguridad, sanidad y productividad</t>
  </si>
  <si>
    <t>Talleres de sensibilidad en bioseguridad, productividad  y economía de las enfermedades</t>
  </si>
  <si>
    <t>Benchmarking y análisis de productividad e impacto económico</t>
  </si>
  <si>
    <t>Reconocimiento a granjas categorizadas, medios</t>
  </si>
  <si>
    <t>Acompañamiento jurídico ambiental</t>
  </si>
  <si>
    <t xml:space="preserve">Profesionales de acompañamiento </t>
  </si>
  <si>
    <t xml:space="preserve">Granjas modelo y mesas de trabajo interinstitucionales </t>
  </si>
  <si>
    <t>Sensibilización y divulgación en P.I.G.A y R.S.E y Guía ambiental</t>
  </si>
  <si>
    <t>Profesional de acompañamiento</t>
  </si>
  <si>
    <t xml:space="preserve">Implementación del programa de P.A.C.I.P - granja y transporte </t>
  </si>
  <si>
    <t>Bienestar Animal</t>
  </si>
  <si>
    <t>TOTAL ÁREA INVESTIGACIÓN Y TRANSFERENCIA</t>
  </si>
  <si>
    <t>TOTAL ÁREA SANIDAD</t>
  </si>
  <si>
    <t>PRESUPUESTO DE GASTOS DE FUNCIONAMIENTO E INVERSIÓN 2.016</t>
  </si>
  <si>
    <t>OTROS INGRESOS VIGENCIA  2.016</t>
  </si>
  <si>
    <t>AÑO 2.016 AJUSTADO</t>
  </si>
  <si>
    <t>VALOR ANUAL 2015 AJUSTADO</t>
  </si>
  <si>
    <t xml:space="preserve">SUB-COORDINADORES REGIONALES </t>
  </si>
  <si>
    <t>SUB-COORDINADORES REGIONALES</t>
  </si>
  <si>
    <t>PROFESIONAL ESTRATEGIA DIGITAL</t>
  </si>
  <si>
    <t xml:space="preserve">RIESGOS PROFESIONALES </t>
  </si>
  <si>
    <t>PROFESIONAL TRANSFERENCIA</t>
  </si>
  <si>
    <t>PROFESIONAL INVESTIGACIÓN</t>
  </si>
  <si>
    <t>PROFESIONAL TESORERIA</t>
  </si>
  <si>
    <t>PROFESIONAL PRESUPUESTO</t>
  </si>
  <si>
    <t>Intereses de mora recaudadores vigencia actual</t>
  </si>
  <si>
    <t>Levantamiento línea base de consumo de agua en granja</t>
  </si>
  <si>
    <t>Fortalecimiento de competencias en bienestar animal e inocuidad</t>
  </si>
  <si>
    <t>Estudio Digital</t>
  </si>
  <si>
    <t>Free Press ATL Influenciadores</t>
  </si>
  <si>
    <t>Eventos de Sensibilización de las bondades gastronomicas y nutricionales de la carne de cerdo</t>
  </si>
  <si>
    <t>Nutricionistas Ejecutivas</t>
  </si>
  <si>
    <t>Asesores Gastronómicos Ejecutivos</t>
  </si>
  <si>
    <t>Eventos Especializados y del Sector</t>
  </si>
  <si>
    <t>Seguimiento gestión a eventos de sensibilización de las bondades de la carne de cerdo</t>
  </si>
  <si>
    <t>Porciamericas</t>
  </si>
  <si>
    <t>Eventos especializados (Sector, gastronomicos , sector salud)</t>
  </si>
  <si>
    <t>Teletón</t>
  </si>
  <si>
    <t>Comercialización y Nuevos Negocios</t>
  </si>
  <si>
    <t>Profesional de Comercialización y Nuevos Negocios</t>
  </si>
  <si>
    <t>Material Promocional y Publicitario</t>
  </si>
  <si>
    <t>Cerdificado</t>
  </si>
  <si>
    <t xml:space="preserve">Club Gourmet de la Carne de Cerdo ( talleres de cocina ) </t>
  </si>
  <si>
    <t>Acceso a Mercados</t>
  </si>
  <si>
    <t>Herramientas del centro de servicios</t>
  </si>
  <si>
    <t>Diplomado en alta gerencia</t>
  </si>
  <si>
    <t>Buenas practicas en el manejo de medicamentos veterinarios</t>
  </si>
  <si>
    <t xml:space="preserve">  Compras de insumos</t>
  </si>
  <si>
    <t xml:space="preserve">  Diagnóstico importados</t>
  </si>
  <si>
    <t>Rutinario</t>
  </si>
  <si>
    <t>Combos</t>
  </si>
  <si>
    <t>Inocuidad y Ambiente</t>
  </si>
  <si>
    <t>VALOR ANUAL CON CARGA PRESTACIONAL</t>
  </si>
  <si>
    <t>SALARIO BASE 2016 CON NIVELACIÓN E IPC</t>
  </si>
  <si>
    <t>correo google</t>
  </si>
  <si>
    <t>correo</t>
  </si>
  <si>
    <t>Gastos varios</t>
  </si>
  <si>
    <t>Internet</t>
  </si>
  <si>
    <t>DIFERENCIA</t>
  </si>
  <si>
    <t>% NIVELACIÓN</t>
  </si>
  <si>
    <t>técnica</t>
  </si>
  <si>
    <t>Investigación</t>
  </si>
  <si>
    <t>Total general</t>
  </si>
  <si>
    <t>Directores</t>
  </si>
  <si>
    <t>Coordinadores Recaudo</t>
  </si>
  <si>
    <t>Coordinadores PPC</t>
  </si>
  <si>
    <t>Total General</t>
  </si>
  <si>
    <t>TOTAL NIVELACIÓN RECAUDO</t>
  </si>
  <si>
    <t>TOTAL NIVELACIÓN EPPC</t>
  </si>
  <si>
    <t>TOTAL NIVELACIÓN GENERAL</t>
  </si>
  <si>
    <t>Funcionamiento</t>
  </si>
  <si>
    <t>Económica</t>
  </si>
  <si>
    <t>Mercadeo</t>
  </si>
  <si>
    <t>Sanidad</t>
  </si>
  <si>
    <t>Incrementos IPC-SMMLV</t>
  </si>
  <si>
    <t>Sub coordinadores PPC</t>
  </si>
  <si>
    <t>1. Nivelación coordinadores salario mensual  $1,746,952 salario nivelación $2,208.660 incremento nivelación $461,708</t>
  </si>
  <si>
    <t>2. Nivelación Subcoordinadores $1,529,582 salario nivelación $1,680,615 incremento nivelación $151,033</t>
  </si>
  <si>
    <t>Taller técnologia de carnicos</t>
  </si>
  <si>
    <t>Taller tecnologia de carnicos</t>
  </si>
  <si>
    <t>Reparaciones</t>
  </si>
  <si>
    <t>% VAR</t>
  </si>
  <si>
    <t>SUELDO TRIMESTRAL</t>
  </si>
  <si>
    <t>CESANTÍAS TRIMESTRALES 1SMMLV</t>
  </si>
  <si>
    <t>INT./CES. TRIMESTRALES (12%)</t>
  </si>
  <si>
    <t>PRIMA LEGAL TRIMESTRAL</t>
  </si>
  <si>
    <t>SEGUROS Y/O FONDOS PRIVADOS TRIMESTRAL</t>
  </si>
  <si>
    <t>CAJA DE COMPENSACIÓN TRIMESTRAL</t>
  </si>
  <si>
    <t>ICBF Y SENA TRIMESTRAL</t>
  </si>
  <si>
    <t>VALOR TRIMESTRAL 2016</t>
  </si>
  <si>
    <t>GASTOS FNP</t>
  </si>
  <si>
    <t>GASTOS PPC</t>
  </si>
  <si>
    <t>Control al Contrabando</t>
  </si>
  <si>
    <t>Equipos comunicación puestos control</t>
  </si>
  <si>
    <t>Seguimiento a proyectos</t>
  </si>
  <si>
    <t>PRESUPUESTO DE INGRESOS VIGENCIA  2016</t>
  </si>
  <si>
    <t>ABR-JUN</t>
  </si>
  <si>
    <t>Estudio del estatus de comercializacion de la carne de cerdo</t>
  </si>
  <si>
    <t>Porcicultores (Gira técnica)</t>
  </si>
  <si>
    <t>Determinació de factores de riesgo</t>
  </si>
  <si>
    <t>PRESUPUESTO EJECUTADO ABRIL-JUNIO 2016</t>
  </si>
  <si>
    <t>ACUERDO 8/16</t>
  </si>
  <si>
    <t>% EJECUCIÓN</t>
  </si>
  <si>
    <t>% PARTICIPACIÓN</t>
  </si>
  <si>
    <t>Programas y proyectos PPC</t>
  </si>
  <si>
    <t>TOTAL EJECUTADO</t>
  </si>
  <si>
    <t>%EJECU-CIÓN</t>
  </si>
  <si>
    <t>Depuración, codificación y verificación de predios</t>
  </si>
  <si>
    <t>EJECUCIÓN TRIMESTRE ABRIL-JUNIO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</si>
</sst>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quot;$&quot;\ * #,##0.00_);_(&quot;$&quot;\ * \(#,##0.00\);_(&quot;$&quot;\ * &quot;-&quot;??_);_(@_)"/>
    <numFmt numFmtId="43" formatCode="_(* #,##0.00_);_(* \(#,##0.00\);_(* &quot;-&quot;??_);_(@_)"/>
    <numFmt numFmtId="170" formatCode="_-&quot;$&quot;* #,##0.00_-;\-&quot;$&quot;* #,##0.00_-;_-&quot;$&quot;* &quot;-&quot;??_-;_-@_-"/>
    <numFmt numFmtId="171" formatCode="_-* #,##0.00_-;\-* #,##0.00_-;_-* &quot;-&quot;??_-;_-@_-"/>
    <numFmt numFmtId="174" formatCode="_ &quot;$&quot;\ * #,##0.00_ ;_ &quot;$&quot;\ * \-#,##0.00_ ;_ &quot;$&quot;\ * &quot;-&quot;??_ ;_ @_ "/>
    <numFmt numFmtId="175" formatCode="_ * #,##0.00_ ;_ * \-#,##0.00_ ;_ * &quot;-&quot;??_ ;_ @_ "/>
    <numFmt numFmtId="176" formatCode="_-* #,##0.00\ _€_-;\-* #,##0.00\ _€_-;_-* &quot;-&quot;??\ _€_-;_-@_-"/>
    <numFmt numFmtId="177" formatCode="_ * #,##0_ ;_ * \-#,##0_ ;_ * &quot;-&quot;??_ ;_ @_ "/>
    <numFmt numFmtId="178" formatCode="0.0%"/>
    <numFmt numFmtId="179" formatCode="_(* #,##0_);_(* \(#,##0\);_(* &quot;-&quot;??_);_(@_)"/>
    <numFmt numFmtId="180" formatCode="_(* #,##0.000_);_(* \(#,##0.000\);_(* &quot;-&quot;??_);_(@_)"/>
    <numFmt numFmtId="182" formatCode="_-* #,##0\ _€_-;\-* #,##0\ _€_-;_-* &quot;-&quot;??\ _€_-;_-@_-"/>
    <numFmt numFmtId="183" formatCode="_ &quot;$&quot;\ * #,##0_ ;_ &quot;$&quot;\ * \-#,##0_ ;_ &quot;$&quot;\ * &quot;-&quot;??_ ;_ @_ "/>
    <numFmt numFmtId="185" formatCode="0.0000"/>
    <numFmt numFmtId="187" formatCode="_ [$€-2]\ * #,##0.00_ ;_ [$€-2]\ * \-#,##0.00_ ;_ [$€-2]\ * &quot;-&quot;??_ "/>
    <numFmt numFmtId="190" formatCode="_-* #,##0.00\ &quot;Pts&quot;_-;\-* #,##0.00\ &quot;Pts&quot;_-;_-* &quot;-&quot;??\ &quot;Pts&quot;_-;_-@_-"/>
    <numFmt numFmtId="193" formatCode="_ * #,##0.0_ ;_ * \-#,##0.0_ ;_ * &quot;-&quot;??_ ;_ @_ "/>
    <numFmt numFmtId="194" formatCode="_-* #,##0.00\ &quot;€&quot;_-;\-* #,##0.00\ &quot;€&quot;_-;_-* &quot;-&quot;??\ &quot;€&quot;_-;_-@_-"/>
    <numFmt numFmtId="195" formatCode="_-&quot;$&quot;\ * #,##0_-;\-&quot;$&quot;\ * #,##0_-;_-&quot;$&quot;\ * &quot;-&quot;??_-;_-@_-"/>
    <numFmt numFmtId="208" formatCode="_([$€-2]* #,##0.00_);_([$€-2]* \(#,##0.00\);_([$€-2]* &quot;-&quot;??_)"/>
  </numFmts>
  <fonts count="94" x14ac:knownFonts="1">
    <font>
      <sz val="10"/>
      <name val="Arial"/>
    </font>
    <font>
      <sz val="10"/>
      <name val="Arial"/>
    </font>
    <font>
      <sz val="9"/>
      <name val="Times New Roman"/>
      <family val="1"/>
    </font>
    <font>
      <b/>
      <sz val="10"/>
      <name val="Arial"/>
      <family val="2"/>
    </font>
    <font>
      <sz val="11"/>
      <name val="Arial"/>
      <family val="2"/>
    </font>
    <font>
      <u/>
      <sz val="10"/>
      <color indexed="12"/>
      <name val="Arial"/>
      <family val="2"/>
    </font>
    <font>
      <sz val="10"/>
      <name val="Comic Sans MS"/>
      <family val="4"/>
    </font>
    <font>
      <sz val="8"/>
      <color indexed="81"/>
      <name val="Tahoma"/>
      <family val="2"/>
    </font>
    <font>
      <b/>
      <sz val="8"/>
      <color indexed="81"/>
      <name val="Tahoma"/>
      <family val="2"/>
    </font>
    <font>
      <sz val="10"/>
      <name val="Arial"/>
      <family val="2"/>
    </font>
    <font>
      <sz val="8"/>
      <name val="Arial"/>
      <family val="2"/>
    </font>
    <font>
      <sz val="10"/>
      <name val="Times New Roman"/>
      <family val="1"/>
    </font>
    <font>
      <sz val="8"/>
      <color indexed="81"/>
      <name val="Tahoma"/>
      <family val="2"/>
    </font>
    <font>
      <sz val="11"/>
      <name val="Comic Sans MS"/>
      <family val="4"/>
    </font>
    <font>
      <sz val="10"/>
      <color indexed="10"/>
      <name val="Comic Sans MS"/>
      <family val="4"/>
    </font>
    <font>
      <sz val="10"/>
      <color indexed="14"/>
      <name val="Arial"/>
      <family val="2"/>
    </font>
    <font>
      <sz val="10"/>
      <name val="Arial"/>
      <family val="2"/>
    </font>
    <font>
      <sz val="10"/>
      <name val="Arial"/>
      <family val="2"/>
      <charset val="186"/>
    </font>
    <font>
      <b/>
      <sz val="10"/>
      <name val="Arial"/>
      <family val="2"/>
      <charset val="186"/>
    </font>
    <font>
      <sz val="11"/>
      <name val="Arial"/>
      <family val="2"/>
      <charset val="186"/>
    </font>
    <font>
      <b/>
      <sz val="11"/>
      <name val="Arial"/>
      <family val="2"/>
      <charset val="186"/>
    </font>
    <font>
      <b/>
      <sz val="11"/>
      <name val="Arial"/>
      <family val="2"/>
    </font>
    <font>
      <sz val="11"/>
      <name val="Arial"/>
      <family val="2"/>
    </font>
    <font>
      <sz val="11"/>
      <color indexed="8"/>
      <name val="Arial"/>
      <family val="2"/>
    </font>
    <font>
      <sz val="12"/>
      <name val="Times New Roman"/>
      <family val="1"/>
    </font>
    <font>
      <b/>
      <sz val="12"/>
      <name val="Times New Roman"/>
      <family val="1"/>
    </font>
    <font>
      <b/>
      <sz val="14"/>
      <name val="Arial"/>
      <family val="2"/>
    </font>
    <font>
      <sz val="10"/>
      <color indexed="9"/>
      <name val="Arial"/>
      <family val="2"/>
    </font>
    <font>
      <b/>
      <sz val="12"/>
      <name val="Arial"/>
      <family val="2"/>
    </font>
    <font>
      <sz val="10"/>
      <color indexed="10"/>
      <name val="Arial"/>
      <family val="2"/>
    </font>
    <font>
      <sz val="10"/>
      <name val="Arial"/>
      <family val="2"/>
    </font>
    <font>
      <sz val="10"/>
      <name val="Arial"/>
      <family val="2"/>
    </font>
    <font>
      <b/>
      <sz val="11"/>
      <color indexed="8"/>
      <name val="Arial"/>
      <family val="2"/>
      <charset val="186"/>
    </font>
    <font>
      <b/>
      <sz val="11"/>
      <color indexed="10"/>
      <name val="Arial"/>
      <family val="2"/>
      <charset val="186"/>
    </font>
    <font>
      <sz val="10"/>
      <name val="Arial"/>
      <family val="2"/>
    </font>
    <font>
      <sz val="10"/>
      <name val="Arial"/>
      <family val="2"/>
    </font>
    <font>
      <sz val="11"/>
      <color indexed="8"/>
      <name val="Calibri"/>
      <family val="2"/>
    </font>
    <font>
      <sz val="10"/>
      <name val="Arial"/>
      <family val="2"/>
    </font>
    <font>
      <sz val="9"/>
      <color indexed="81"/>
      <name val="Tahoma"/>
      <family val="2"/>
    </font>
    <font>
      <b/>
      <sz val="12"/>
      <color indexed="8"/>
      <name val="Arial"/>
      <family val="2"/>
    </font>
    <font>
      <b/>
      <sz val="10"/>
      <color indexed="9"/>
      <name val="Arial"/>
      <family val="2"/>
    </font>
    <font>
      <sz val="10"/>
      <name val="Arial"/>
      <family val="2"/>
    </font>
    <font>
      <b/>
      <sz val="11"/>
      <color indexed="56"/>
      <name val="Calibri"/>
      <family val="2"/>
    </font>
    <font>
      <b/>
      <sz val="18"/>
      <color indexed="56"/>
      <name val="Cambria"/>
      <family val="2"/>
    </font>
    <font>
      <b/>
      <sz val="15"/>
      <color indexed="56"/>
      <name val="Calibri"/>
      <family val="2"/>
    </font>
    <font>
      <b/>
      <sz val="13"/>
      <color indexed="56"/>
      <name val="Calibri"/>
      <family val="2"/>
    </font>
    <font>
      <sz val="10"/>
      <name val="Arial"/>
      <family val="2"/>
    </font>
    <font>
      <sz val="12"/>
      <color indexed="8"/>
      <name val="Calibri"/>
      <family val="2"/>
    </font>
    <font>
      <sz val="12"/>
      <color indexed="9"/>
      <name val="Calibri"/>
      <family val="2"/>
    </font>
    <font>
      <sz val="12"/>
      <color indexed="17"/>
      <name val="Calibri"/>
      <family val="2"/>
    </font>
    <font>
      <b/>
      <sz val="12"/>
      <color indexed="52"/>
      <name val="Calibri"/>
      <family val="2"/>
    </font>
    <font>
      <b/>
      <sz val="12"/>
      <color indexed="9"/>
      <name val="Calibri"/>
      <family val="2"/>
    </font>
    <font>
      <sz val="12"/>
      <color indexed="52"/>
      <name val="Calibri"/>
      <family val="2"/>
    </font>
    <font>
      <sz val="12"/>
      <color indexed="62"/>
      <name val="Calibri"/>
      <family val="2"/>
    </font>
    <font>
      <sz val="12"/>
      <color indexed="20"/>
      <name val="Calibri"/>
      <family val="2"/>
    </font>
    <font>
      <sz val="12"/>
      <color indexed="60"/>
      <name val="Calibri"/>
      <family val="2"/>
    </font>
    <font>
      <b/>
      <sz val="12"/>
      <color indexed="63"/>
      <name val="Calibri"/>
      <family val="2"/>
    </font>
    <font>
      <sz val="12"/>
      <color indexed="10"/>
      <name val="Calibri"/>
      <family val="2"/>
    </font>
    <font>
      <i/>
      <sz val="12"/>
      <color indexed="23"/>
      <name val="Calibri"/>
      <family val="2"/>
    </font>
    <font>
      <b/>
      <sz val="12"/>
      <color indexed="8"/>
      <name val="Calibri"/>
      <family val="2"/>
    </font>
    <font>
      <b/>
      <sz val="11"/>
      <color indexed="8"/>
      <name val="Calibri"/>
      <family val="2"/>
    </font>
    <font>
      <sz val="10"/>
      <name val="Arial"/>
      <family val="2"/>
    </font>
    <font>
      <sz val="10"/>
      <name val="Arial"/>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sz val="10"/>
      <name val="Arial"/>
      <family val="2"/>
    </font>
    <font>
      <sz val="10"/>
      <name val="Arial"/>
      <family val="2"/>
    </font>
    <font>
      <b/>
      <sz val="8"/>
      <color indexed="81"/>
      <name val="Tahoma"/>
      <family val="2"/>
    </font>
    <font>
      <sz val="10"/>
      <name val="Arial"/>
      <family val="2"/>
    </font>
    <font>
      <sz val="9"/>
      <color indexed="81"/>
      <name val="Tahoma"/>
      <family val="2"/>
    </font>
    <font>
      <b/>
      <sz val="9"/>
      <color indexed="81"/>
      <name val="Tahoma"/>
      <family val="2"/>
    </font>
    <font>
      <b/>
      <i/>
      <sz val="9"/>
      <color indexed="81"/>
      <name val="Tahoma"/>
      <family val="2"/>
    </font>
    <font>
      <sz val="10"/>
      <name val="Arial"/>
      <family val="2"/>
    </font>
    <font>
      <b/>
      <sz val="11"/>
      <name val="Times New Roman"/>
      <family val="1"/>
    </font>
    <font>
      <b/>
      <sz val="9"/>
      <color indexed="81"/>
      <name val="Tahoma"/>
      <charset val="1"/>
    </font>
    <font>
      <sz val="9"/>
      <color indexed="81"/>
      <name val="Tahoma"/>
      <charset val="1"/>
    </font>
    <font>
      <sz val="11"/>
      <color theme="1"/>
      <name val="Calibri"/>
      <family val="2"/>
      <scheme val="minor"/>
    </font>
    <font>
      <u/>
      <sz val="10"/>
      <color theme="10"/>
      <name val="Arial"/>
      <family val="2"/>
    </font>
    <font>
      <b/>
      <sz val="11"/>
      <color theme="1"/>
      <name val="Calibri"/>
      <family val="2"/>
      <scheme val="minor"/>
    </font>
    <font>
      <b/>
      <sz val="11"/>
      <color rgb="FFFF0000"/>
      <name val="Arial"/>
      <family val="2"/>
      <charset val="186"/>
    </font>
    <font>
      <sz val="11"/>
      <color theme="1"/>
      <name val="Arial"/>
      <family val="2"/>
      <charset val="186"/>
    </font>
    <font>
      <sz val="14"/>
      <color theme="0"/>
      <name val="Arial"/>
      <family val="2"/>
    </font>
    <font>
      <sz val="10"/>
      <color theme="0"/>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
      <patternFill patternType="solid">
        <fgColor indexed="51"/>
        <bgColor indexed="64"/>
      </patternFill>
    </fill>
    <fill>
      <patternFill patternType="solid">
        <fgColor rgb="FFFFFFCC"/>
      </patternFill>
    </fill>
    <fill>
      <patternFill patternType="solid">
        <fgColor theme="0"/>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0" tint="-0.14999847407452621"/>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hair">
        <color indexed="64"/>
      </top>
      <bottom style="hair">
        <color indexed="64"/>
      </bottom>
      <diagonal/>
    </border>
    <border>
      <left/>
      <right/>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hair">
        <color indexed="64"/>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55"/>
      </top>
      <bottom style="thin">
        <color indexed="55"/>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double">
        <color indexed="64"/>
      </left>
      <right style="hair">
        <color indexed="64"/>
      </right>
      <top/>
      <bottom/>
      <diagonal/>
    </border>
    <border>
      <left style="hair">
        <color indexed="64"/>
      </left>
      <right style="hair">
        <color indexed="64"/>
      </right>
      <top/>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medium">
        <color indexed="64"/>
      </right>
      <top/>
      <bottom style="thin">
        <color indexed="55"/>
      </bottom>
      <diagonal/>
    </border>
    <border>
      <left/>
      <right style="double">
        <color indexed="64"/>
      </right>
      <top style="hair">
        <color indexed="64"/>
      </top>
      <bottom/>
      <diagonal/>
    </border>
    <border>
      <left/>
      <right style="double">
        <color indexed="64"/>
      </right>
      <top/>
      <bottom/>
      <diagonal/>
    </border>
    <border>
      <left/>
      <right style="double">
        <color indexed="64"/>
      </right>
      <top/>
      <bottom style="hair">
        <color indexed="64"/>
      </bottom>
      <diagonal/>
    </border>
    <border>
      <left/>
      <right/>
      <top style="medium">
        <color indexed="64"/>
      </top>
      <bottom style="medium">
        <color indexed="64"/>
      </bottom>
      <diagonal/>
    </border>
    <border>
      <left style="medium">
        <color indexed="64"/>
      </left>
      <right style="medium">
        <color indexed="64"/>
      </right>
      <top style="thin">
        <color indexed="55"/>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style="medium">
        <color indexed="64"/>
      </right>
      <top style="double">
        <color indexed="64"/>
      </top>
      <bottom/>
      <diagonal/>
    </border>
    <border>
      <left style="thin">
        <color indexed="64"/>
      </left>
      <right style="double">
        <color indexed="64"/>
      </right>
      <top style="thin">
        <color indexed="55"/>
      </top>
      <bottom style="thin">
        <color indexed="55"/>
      </bottom>
      <diagonal/>
    </border>
    <border>
      <left/>
      <right style="double">
        <color indexed="64"/>
      </right>
      <top style="thin">
        <color indexed="55"/>
      </top>
      <bottom style="thin">
        <color indexed="55"/>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double">
        <color indexed="64"/>
      </left>
      <right/>
      <top style="medium">
        <color indexed="64"/>
      </top>
      <bottom/>
      <diagonal/>
    </border>
    <border>
      <left style="double">
        <color indexed="64"/>
      </left>
      <right/>
      <top style="thin">
        <color indexed="55"/>
      </top>
      <bottom style="thin">
        <color indexed="55"/>
      </bottom>
      <diagonal/>
    </border>
    <border>
      <left style="double">
        <color indexed="64"/>
      </left>
      <right/>
      <top/>
      <bottom style="thin">
        <color indexed="55"/>
      </bottom>
      <diagonal/>
    </border>
    <border>
      <left style="double">
        <color indexed="64"/>
      </left>
      <right/>
      <top style="thin">
        <color indexed="55"/>
      </top>
      <bottom/>
      <diagonal/>
    </border>
    <border>
      <left style="double">
        <color indexed="64"/>
      </left>
      <right/>
      <top style="medium">
        <color indexed="64"/>
      </top>
      <bottom style="double">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s>
  <cellStyleXfs count="931">
    <xf numFmtId="0" fontId="0" fillId="0" borderId="0"/>
    <xf numFmtId="0" fontId="36" fillId="2" borderId="0" applyNumberFormat="0" applyBorder="0" applyAlignment="0" applyProtection="0"/>
    <xf numFmtId="0" fontId="36" fillId="2" borderId="0" applyNumberFormat="0" applyBorder="0" applyAlignment="0" applyProtection="0"/>
    <xf numFmtId="208" fontId="36" fillId="2" borderId="0" applyNumberFormat="0" applyBorder="0" applyAlignment="0" applyProtection="0"/>
    <xf numFmtId="208" fontId="36" fillId="2"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208" fontId="36" fillId="3" borderId="0" applyNumberFormat="0" applyBorder="0" applyAlignment="0" applyProtection="0"/>
    <xf numFmtId="208" fontId="36" fillId="3"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208" fontId="36" fillId="4" borderId="0" applyNumberFormat="0" applyBorder="0" applyAlignment="0" applyProtection="0"/>
    <xf numFmtId="208" fontId="36" fillId="4"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208" fontId="36" fillId="5" borderId="0" applyNumberFormat="0" applyBorder="0" applyAlignment="0" applyProtection="0"/>
    <xf numFmtId="208" fontId="36" fillId="5"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208" fontId="36" fillId="6" borderId="0" applyNumberFormat="0" applyBorder="0" applyAlignment="0" applyProtection="0"/>
    <xf numFmtId="208" fontId="36" fillId="6"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208" fontId="36" fillId="7" borderId="0" applyNumberFormat="0" applyBorder="0" applyAlignment="0" applyProtection="0"/>
    <xf numFmtId="208" fontId="36" fillId="7" borderId="0" applyNumberFormat="0" applyBorder="0" applyAlignment="0" applyProtection="0"/>
    <xf numFmtId="0" fontId="47" fillId="2" borderId="0" applyNumberFormat="0" applyBorder="0" applyAlignment="0" applyProtection="0"/>
    <xf numFmtId="0" fontId="36" fillId="2" borderId="0" applyNumberFormat="0" applyBorder="0" applyAlignment="0" applyProtection="0"/>
    <xf numFmtId="208" fontId="36" fillId="2" borderId="0" applyNumberFormat="0" applyBorder="0" applyAlignment="0" applyProtection="0"/>
    <xf numFmtId="208" fontId="47" fillId="2" borderId="0" applyNumberFormat="0" applyBorder="0" applyAlignment="0" applyProtection="0"/>
    <xf numFmtId="0" fontId="36" fillId="2" borderId="0" applyNumberFormat="0" applyBorder="0" applyAlignment="0" applyProtection="0"/>
    <xf numFmtId="208" fontId="36" fillId="2" borderId="0" applyNumberFormat="0" applyBorder="0" applyAlignment="0" applyProtection="0"/>
    <xf numFmtId="0" fontId="36" fillId="2" borderId="0" applyNumberFormat="0" applyBorder="0" applyAlignment="0" applyProtection="0"/>
    <xf numFmtId="208" fontId="36" fillId="2" borderId="0" applyNumberFormat="0" applyBorder="0" applyAlignment="0" applyProtection="0"/>
    <xf numFmtId="0" fontId="36" fillId="2" borderId="0" applyNumberFormat="0" applyBorder="0" applyAlignment="0" applyProtection="0"/>
    <xf numFmtId="208" fontId="36" fillId="2" borderId="0" applyNumberFormat="0" applyBorder="0" applyAlignment="0" applyProtection="0"/>
    <xf numFmtId="0" fontId="36" fillId="2" borderId="0" applyNumberFormat="0" applyBorder="0" applyAlignment="0" applyProtection="0"/>
    <xf numFmtId="208" fontId="36" fillId="2" borderId="0" applyNumberFormat="0" applyBorder="0" applyAlignment="0" applyProtection="0"/>
    <xf numFmtId="0" fontId="36" fillId="2" borderId="0" applyNumberFormat="0" applyBorder="0" applyAlignment="0" applyProtection="0"/>
    <xf numFmtId="208" fontId="36" fillId="2" borderId="0" applyNumberFormat="0" applyBorder="0" applyAlignment="0" applyProtection="0"/>
    <xf numFmtId="208" fontId="36" fillId="2" borderId="0" applyNumberFormat="0" applyBorder="0" applyAlignment="0" applyProtection="0"/>
    <xf numFmtId="0" fontId="47" fillId="3" borderId="0" applyNumberFormat="0" applyBorder="0" applyAlignment="0" applyProtection="0"/>
    <xf numFmtId="0" fontId="36" fillId="3" borderId="0" applyNumberFormat="0" applyBorder="0" applyAlignment="0" applyProtection="0"/>
    <xf numFmtId="208" fontId="36" fillId="3" borderId="0" applyNumberFormat="0" applyBorder="0" applyAlignment="0" applyProtection="0"/>
    <xf numFmtId="208" fontId="47" fillId="3" borderId="0" applyNumberFormat="0" applyBorder="0" applyAlignment="0" applyProtection="0"/>
    <xf numFmtId="0" fontId="36" fillId="3" borderId="0" applyNumberFormat="0" applyBorder="0" applyAlignment="0" applyProtection="0"/>
    <xf numFmtId="208" fontId="36" fillId="3" borderId="0" applyNumberFormat="0" applyBorder="0" applyAlignment="0" applyProtection="0"/>
    <xf numFmtId="0" fontId="36" fillId="3" borderId="0" applyNumberFormat="0" applyBorder="0" applyAlignment="0" applyProtection="0"/>
    <xf numFmtId="208" fontId="36" fillId="3" borderId="0" applyNumberFormat="0" applyBorder="0" applyAlignment="0" applyProtection="0"/>
    <xf numFmtId="0" fontId="36" fillId="3" borderId="0" applyNumberFormat="0" applyBorder="0" applyAlignment="0" applyProtection="0"/>
    <xf numFmtId="208" fontId="36" fillId="3" borderId="0" applyNumberFormat="0" applyBorder="0" applyAlignment="0" applyProtection="0"/>
    <xf numFmtId="0" fontId="36" fillId="3" borderId="0" applyNumberFormat="0" applyBorder="0" applyAlignment="0" applyProtection="0"/>
    <xf numFmtId="208" fontId="36" fillId="3" borderId="0" applyNumberFormat="0" applyBorder="0" applyAlignment="0" applyProtection="0"/>
    <xf numFmtId="0" fontId="36" fillId="3" borderId="0" applyNumberFormat="0" applyBorder="0" applyAlignment="0" applyProtection="0"/>
    <xf numFmtId="208" fontId="36" fillId="3" borderId="0" applyNumberFormat="0" applyBorder="0" applyAlignment="0" applyProtection="0"/>
    <xf numFmtId="208" fontId="36" fillId="3" borderId="0" applyNumberFormat="0" applyBorder="0" applyAlignment="0" applyProtection="0"/>
    <xf numFmtId="0" fontId="47" fillId="4" borderId="0" applyNumberFormat="0" applyBorder="0" applyAlignment="0" applyProtection="0"/>
    <xf numFmtId="0" fontId="36" fillId="4" borderId="0" applyNumberFormat="0" applyBorder="0" applyAlignment="0" applyProtection="0"/>
    <xf numFmtId="208" fontId="36" fillId="4" borderId="0" applyNumberFormat="0" applyBorder="0" applyAlignment="0" applyProtection="0"/>
    <xf numFmtId="208" fontId="47" fillId="4" borderId="0" applyNumberFormat="0" applyBorder="0" applyAlignment="0" applyProtection="0"/>
    <xf numFmtId="0" fontId="36" fillId="4" borderId="0" applyNumberFormat="0" applyBorder="0" applyAlignment="0" applyProtection="0"/>
    <xf numFmtId="208" fontId="36" fillId="4" borderId="0" applyNumberFormat="0" applyBorder="0" applyAlignment="0" applyProtection="0"/>
    <xf numFmtId="0" fontId="36" fillId="4" borderId="0" applyNumberFormat="0" applyBorder="0" applyAlignment="0" applyProtection="0"/>
    <xf numFmtId="208" fontId="36" fillId="4" borderId="0" applyNumberFormat="0" applyBorder="0" applyAlignment="0" applyProtection="0"/>
    <xf numFmtId="0" fontId="36" fillId="4" borderId="0" applyNumberFormat="0" applyBorder="0" applyAlignment="0" applyProtection="0"/>
    <xf numFmtId="208" fontId="36" fillId="4" borderId="0" applyNumberFormat="0" applyBorder="0" applyAlignment="0" applyProtection="0"/>
    <xf numFmtId="0" fontId="36" fillId="4" borderId="0" applyNumberFormat="0" applyBorder="0" applyAlignment="0" applyProtection="0"/>
    <xf numFmtId="208" fontId="36" fillId="4" borderId="0" applyNumberFormat="0" applyBorder="0" applyAlignment="0" applyProtection="0"/>
    <xf numFmtId="0" fontId="36" fillId="4" borderId="0" applyNumberFormat="0" applyBorder="0" applyAlignment="0" applyProtection="0"/>
    <xf numFmtId="208" fontId="36" fillId="4" borderId="0" applyNumberFormat="0" applyBorder="0" applyAlignment="0" applyProtection="0"/>
    <xf numFmtId="208" fontId="36" fillId="4" borderId="0" applyNumberFormat="0" applyBorder="0" applyAlignment="0" applyProtection="0"/>
    <xf numFmtId="0" fontId="47" fillId="5" borderId="0" applyNumberFormat="0" applyBorder="0" applyAlignment="0" applyProtection="0"/>
    <xf numFmtId="0" fontId="36" fillId="5" borderId="0" applyNumberFormat="0" applyBorder="0" applyAlignment="0" applyProtection="0"/>
    <xf numFmtId="208" fontId="36" fillId="5" borderId="0" applyNumberFormat="0" applyBorder="0" applyAlignment="0" applyProtection="0"/>
    <xf numFmtId="208" fontId="47" fillId="5" borderId="0" applyNumberFormat="0" applyBorder="0" applyAlignment="0" applyProtection="0"/>
    <xf numFmtId="0" fontId="36" fillId="5" borderId="0" applyNumberFormat="0" applyBorder="0" applyAlignment="0" applyProtection="0"/>
    <xf numFmtId="208" fontId="36" fillId="5" borderId="0" applyNumberFormat="0" applyBorder="0" applyAlignment="0" applyProtection="0"/>
    <xf numFmtId="0" fontId="36" fillId="5" borderId="0" applyNumberFormat="0" applyBorder="0" applyAlignment="0" applyProtection="0"/>
    <xf numFmtId="208" fontId="36" fillId="5" borderId="0" applyNumberFormat="0" applyBorder="0" applyAlignment="0" applyProtection="0"/>
    <xf numFmtId="0" fontId="36" fillId="5" borderId="0" applyNumberFormat="0" applyBorder="0" applyAlignment="0" applyProtection="0"/>
    <xf numFmtId="208" fontId="36" fillId="5" borderId="0" applyNumberFormat="0" applyBorder="0" applyAlignment="0" applyProtection="0"/>
    <xf numFmtId="0" fontId="36" fillId="5" borderId="0" applyNumberFormat="0" applyBorder="0" applyAlignment="0" applyProtection="0"/>
    <xf numFmtId="208" fontId="36" fillId="5" borderId="0" applyNumberFormat="0" applyBorder="0" applyAlignment="0" applyProtection="0"/>
    <xf numFmtId="0" fontId="36" fillId="5" borderId="0" applyNumberFormat="0" applyBorder="0" applyAlignment="0" applyProtection="0"/>
    <xf numFmtId="208" fontId="36" fillId="5" borderId="0" applyNumberFormat="0" applyBorder="0" applyAlignment="0" applyProtection="0"/>
    <xf numFmtId="208" fontId="36" fillId="5" borderId="0" applyNumberFormat="0" applyBorder="0" applyAlignment="0" applyProtection="0"/>
    <xf numFmtId="0" fontId="47" fillId="6" borderId="0" applyNumberFormat="0" applyBorder="0" applyAlignment="0" applyProtection="0"/>
    <xf numFmtId="0" fontId="36" fillId="6" borderId="0" applyNumberFormat="0" applyBorder="0" applyAlignment="0" applyProtection="0"/>
    <xf numFmtId="208" fontId="36" fillId="6" borderId="0" applyNumberFormat="0" applyBorder="0" applyAlignment="0" applyProtection="0"/>
    <xf numFmtId="208" fontId="47" fillId="6" borderId="0" applyNumberFormat="0" applyBorder="0" applyAlignment="0" applyProtection="0"/>
    <xf numFmtId="0" fontId="36" fillId="6" borderId="0" applyNumberFormat="0" applyBorder="0" applyAlignment="0" applyProtection="0"/>
    <xf numFmtId="208" fontId="36" fillId="6" borderId="0" applyNumberFormat="0" applyBorder="0" applyAlignment="0" applyProtection="0"/>
    <xf numFmtId="0" fontId="36" fillId="6" borderId="0" applyNumberFormat="0" applyBorder="0" applyAlignment="0" applyProtection="0"/>
    <xf numFmtId="208" fontId="36" fillId="6" borderId="0" applyNumberFormat="0" applyBorder="0" applyAlignment="0" applyProtection="0"/>
    <xf numFmtId="0" fontId="36" fillId="6" borderId="0" applyNumberFormat="0" applyBorder="0" applyAlignment="0" applyProtection="0"/>
    <xf numFmtId="208" fontId="36" fillId="6" borderId="0" applyNumberFormat="0" applyBorder="0" applyAlignment="0" applyProtection="0"/>
    <xf numFmtId="0" fontId="36" fillId="6" borderId="0" applyNumberFormat="0" applyBorder="0" applyAlignment="0" applyProtection="0"/>
    <xf numFmtId="208" fontId="36" fillId="6" borderId="0" applyNumberFormat="0" applyBorder="0" applyAlignment="0" applyProtection="0"/>
    <xf numFmtId="0" fontId="36" fillId="6" borderId="0" applyNumberFormat="0" applyBorder="0" applyAlignment="0" applyProtection="0"/>
    <xf numFmtId="208" fontId="36" fillId="6" borderId="0" applyNumberFormat="0" applyBorder="0" applyAlignment="0" applyProtection="0"/>
    <xf numFmtId="208" fontId="36" fillId="6" borderId="0" applyNumberFormat="0" applyBorder="0" applyAlignment="0" applyProtection="0"/>
    <xf numFmtId="0" fontId="47" fillId="7" borderId="0" applyNumberFormat="0" applyBorder="0" applyAlignment="0" applyProtection="0"/>
    <xf numFmtId="0" fontId="36" fillId="7" borderId="0" applyNumberFormat="0" applyBorder="0" applyAlignment="0" applyProtection="0"/>
    <xf numFmtId="208" fontId="36" fillId="7" borderId="0" applyNumberFormat="0" applyBorder="0" applyAlignment="0" applyProtection="0"/>
    <xf numFmtId="208" fontId="47" fillId="7" borderId="0" applyNumberFormat="0" applyBorder="0" applyAlignment="0" applyProtection="0"/>
    <xf numFmtId="0" fontId="36" fillId="7" borderId="0" applyNumberFormat="0" applyBorder="0" applyAlignment="0" applyProtection="0"/>
    <xf numFmtId="208" fontId="36" fillId="7" borderId="0" applyNumberFormat="0" applyBorder="0" applyAlignment="0" applyProtection="0"/>
    <xf numFmtId="0" fontId="36" fillId="7" borderId="0" applyNumberFormat="0" applyBorder="0" applyAlignment="0" applyProtection="0"/>
    <xf numFmtId="208" fontId="36" fillId="7" borderId="0" applyNumberFormat="0" applyBorder="0" applyAlignment="0" applyProtection="0"/>
    <xf numFmtId="0" fontId="36" fillId="7" borderId="0" applyNumberFormat="0" applyBorder="0" applyAlignment="0" applyProtection="0"/>
    <xf numFmtId="208" fontId="36" fillId="7" borderId="0" applyNumberFormat="0" applyBorder="0" applyAlignment="0" applyProtection="0"/>
    <xf numFmtId="0" fontId="36" fillId="7" borderId="0" applyNumberFormat="0" applyBorder="0" applyAlignment="0" applyProtection="0"/>
    <xf numFmtId="208" fontId="36" fillId="7" borderId="0" applyNumberFormat="0" applyBorder="0" applyAlignment="0" applyProtection="0"/>
    <xf numFmtId="0" fontId="36" fillId="7" borderId="0" applyNumberFormat="0" applyBorder="0" applyAlignment="0" applyProtection="0"/>
    <xf numFmtId="208" fontId="36" fillId="7" borderId="0" applyNumberFormat="0" applyBorder="0" applyAlignment="0" applyProtection="0"/>
    <xf numFmtId="208" fontId="36" fillId="7"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208" fontId="36" fillId="8" borderId="0" applyNumberFormat="0" applyBorder="0" applyAlignment="0" applyProtection="0"/>
    <xf numFmtId="208" fontId="36" fillId="8"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208" fontId="36" fillId="9" borderId="0" applyNumberFormat="0" applyBorder="0" applyAlignment="0" applyProtection="0"/>
    <xf numFmtId="208"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208" fontId="36" fillId="10" borderId="0" applyNumberFormat="0" applyBorder="0" applyAlignment="0" applyProtection="0"/>
    <xf numFmtId="208" fontId="36" fillId="10"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208" fontId="36" fillId="5" borderId="0" applyNumberFormat="0" applyBorder="0" applyAlignment="0" applyProtection="0"/>
    <xf numFmtId="208" fontId="36" fillId="5"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208" fontId="36" fillId="8" borderId="0" applyNumberFormat="0" applyBorder="0" applyAlignment="0" applyProtection="0"/>
    <xf numFmtId="208" fontId="36" fillId="8"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208" fontId="36" fillId="11" borderId="0" applyNumberFormat="0" applyBorder="0" applyAlignment="0" applyProtection="0"/>
    <xf numFmtId="208" fontId="36" fillId="11" borderId="0" applyNumberFormat="0" applyBorder="0" applyAlignment="0" applyProtection="0"/>
    <xf numFmtId="0" fontId="47" fillId="8" borderId="0" applyNumberFormat="0" applyBorder="0" applyAlignment="0" applyProtection="0"/>
    <xf numFmtId="0" fontId="36" fillId="8" borderId="0" applyNumberFormat="0" applyBorder="0" applyAlignment="0" applyProtection="0"/>
    <xf numFmtId="208" fontId="36" fillId="8" borderId="0" applyNumberFormat="0" applyBorder="0" applyAlignment="0" applyProtection="0"/>
    <xf numFmtId="208" fontId="47" fillId="8" borderId="0" applyNumberFormat="0" applyBorder="0" applyAlignment="0" applyProtection="0"/>
    <xf numFmtId="0" fontId="36" fillId="8" borderId="0" applyNumberFormat="0" applyBorder="0" applyAlignment="0" applyProtection="0"/>
    <xf numFmtId="208" fontId="36" fillId="8" borderId="0" applyNumberFormat="0" applyBorder="0" applyAlignment="0" applyProtection="0"/>
    <xf numFmtId="0" fontId="36" fillId="8" borderId="0" applyNumberFormat="0" applyBorder="0" applyAlignment="0" applyProtection="0"/>
    <xf numFmtId="208" fontId="36" fillId="8" borderId="0" applyNumberFormat="0" applyBorder="0" applyAlignment="0" applyProtection="0"/>
    <xf numFmtId="0" fontId="36" fillId="8" borderId="0" applyNumberFormat="0" applyBorder="0" applyAlignment="0" applyProtection="0"/>
    <xf numFmtId="208" fontId="36" fillId="8" borderId="0" applyNumberFormat="0" applyBorder="0" applyAlignment="0" applyProtection="0"/>
    <xf numFmtId="0" fontId="36" fillId="8" borderId="0" applyNumberFormat="0" applyBorder="0" applyAlignment="0" applyProtection="0"/>
    <xf numFmtId="208" fontId="36" fillId="8" borderId="0" applyNumberFormat="0" applyBorder="0" applyAlignment="0" applyProtection="0"/>
    <xf numFmtId="0" fontId="36" fillId="8" borderId="0" applyNumberFormat="0" applyBorder="0" applyAlignment="0" applyProtection="0"/>
    <xf numFmtId="208" fontId="36" fillId="8" borderId="0" applyNumberFormat="0" applyBorder="0" applyAlignment="0" applyProtection="0"/>
    <xf numFmtId="208" fontId="36" fillId="8" borderId="0" applyNumberFormat="0" applyBorder="0" applyAlignment="0" applyProtection="0"/>
    <xf numFmtId="0" fontId="47" fillId="9" borderId="0" applyNumberFormat="0" applyBorder="0" applyAlignment="0" applyProtection="0"/>
    <xf numFmtId="0" fontId="36" fillId="9" borderId="0" applyNumberFormat="0" applyBorder="0" applyAlignment="0" applyProtection="0"/>
    <xf numFmtId="208" fontId="36" fillId="9" borderId="0" applyNumberFormat="0" applyBorder="0" applyAlignment="0" applyProtection="0"/>
    <xf numFmtId="208" fontId="47" fillId="9" borderId="0" applyNumberFormat="0" applyBorder="0" applyAlignment="0" applyProtection="0"/>
    <xf numFmtId="0" fontId="36" fillId="9" borderId="0" applyNumberFormat="0" applyBorder="0" applyAlignment="0" applyProtection="0"/>
    <xf numFmtId="208" fontId="36" fillId="9" borderId="0" applyNumberFormat="0" applyBorder="0" applyAlignment="0" applyProtection="0"/>
    <xf numFmtId="0" fontId="36" fillId="9" borderId="0" applyNumberFormat="0" applyBorder="0" applyAlignment="0" applyProtection="0"/>
    <xf numFmtId="208" fontId="36" fillId="9" borderId="0" applyNumberFormat="0" applyBorder="0" applyAlignment="0" applyProtection="0"/>
    <xf numFmtId="0" fontId="36" fillId="9" borderId="0" applyNumberFormat="0" applyBorder="0" applyAlignment="0" applyProtection="0"/>
    <xf numFmtId="208" fontId="36" fillId="9" borderId="0" applyNumberFormat="0" applyBorder="0" applyAlignment="0" applyProtection="0"/>
    <xf numFmtId="0" fontId="36" fillId="9" borderId="0" applyNumberFormat="0" applyBorder="0" applyAlignment="0" applyProtection="0"/>
    <xf numFmtId="208" fontId="36" fillId="9" borderId="0" applyNumberFormat="0" applyBorder="0" applyAlignment="0" applyProtection="0"/>
    <xf numFmtId="0" fontId="36" fillId="9" borderId="0" applyNumberFormat="0" applyBorder="0" applyAlignment="0" applyProtection="0"/>
    <xf numFmtId="208" fontId="36" fillId="9" borderId="0" applyNumberFormat="0" applyBorder="0" applyAlignment="0" applyProtection="0"/>
    <xf numFmtId="208" fontId="36" fillId="9" borderId="0" applyNumberFormat="0" applyBorder="0" applyAlignment="0" applyProtection="0"/>
    <xf numFmtId="0" fontId="47" fillId="10" borderId="0" applyNumberFormat="0" applyBorder="0" applyAlignment="0" applyProtection="0"/>
    <xf numFmtId="0" fontId="36" fillId="10" borderId="0" applyNumberFormat="0" applyBorder="0" applyAlignment="0" applyProtection="0"/>
    <xf numFmtId="208" fontId="36" fillId="10" borderId="0" applyNumberFormat="0" applyBorder="0" applyAlignment="0" applyProtection="0"/>
    <xf numFmtId="208" fontId="47" fillId="10" borderId="0" applyNumberFormat="0" applyBorder="0" applyAlignment="0" applyProtection="0"/>
    <xf numFmtId="0" fontId="36" fillId="10" borderId="0" applyNumberFormat="0" applyBorder="0" applyAlignment="0" applyProtection="0"/>
    <xf numFmtId="208" fontId="36" fillId="10" borderId="0" applyNumberFormat="0" applyBorder="0" applyAlignment="0" applyProtection="0"/>
    <xf numFmtId="0" fontId="36" fillId="10" borderId="0" applyNumberFormat="0" applyBorder="0" applyAlignment="0" applyProtection="0"/>
    <xf numFmtId="208" fontId="36" fillId="10" borderId="0" applyNumberFormat="0" applyBorder="0" applyAlignment="0" applyProtection="0"/>
    <xf numFmtId="0" fontId="36" fillId="10" borderId="0" applyNumberFormat="0" applyBorder="0" applyAlignment="0" applyProtection="0"/>
    <xf numFmtId="208" fontId="36" fillId="10" borderId="0" applyNumberFormat="0" applyBorder="0" applyAlignment="0" applyProtection="0"/>
    <xf numFmtId="0" fontId="36" fillId="10" borderId="0" applyNumberFormat="0" applyBorder="0" applyAlignment="0" applyProtection="0"/>
    <xf numFmtId="208" fontId="36" fillId="10" borderId="0" applyNumberFormat="0" applyBorder="0" applyAlignment="0" applyProtection="0"/>
    <xf numFmtId="0" fontId="36" fillId="10" borderId="0" applyNumberFormat="0" applyBorder="0" applyAlignment="0" applyProtection="0"/>
    <xf numFmtId="208" fontId="36" fillId="10" borderId="0" applyNumberFormat="0" applyBorder="0" applyAlignment="0" applyProtection="0"/>
    <xf numFmtId="208" fontId="36" fillId="10" borderId="0" applyNumberFormat="0" applyBorder="0" applyAlignment="0" applyProtection="0"/>
    <xf numFmtId="0" fontId="47" fillId="5" borderId="0" applyNumberFormat="0" applyBorder="0" applyAlignment="0" applyProtection="0"/>
    <xf numFmtId="0" fontId="36" fillId="5" borderId="0" applyNumberFormat="0" applyBorder="0" applyAlignment="0" applyProtection="0"/>
    <xf numFmtId="208" fontId="36" fillId="5" borderId="0" applyNumberFormat="0" applyBorder="0" applyAlignment="0" applyProtection="0"/>
    <xf numFmtId="208" fontId="47" fillId="5" borderId="0" applyNumberFormat="0" applyBorder="0" applyAlignment="0" applyProtection="0"/>
    <xf numFmtId="0" fontId="36" fillId="5" borderId="0" applyNumberFormat="0" applyBorder="0" applyAlignment="0" applyProtection="0"/>
    <xf numFmtId="208" fontId="36" fillId="5" borderId="0" applyNumberFormat="0" applyBorder="0" applyAlignment="0" applyProtection="0"/>
    <xf numFmtId="0" fontId="36" fillId="5" borderId="0" applyNumberFormat="0" applyBorder="0" applyAlignment="0" applyProtection="0"/>
    <xf numFmtId="208" fontId="36" fillId="5" borderId="0" applyNumberFormat="0" applyBorder="0" applyAlignment="0" applyProtection="0"/>
    <xf numFmtId="0" fontId="36" fillId="5" borderId="0" applyNumberFormat="0" applyBorder="0" applyAlignment="0" applyProtection="0"/>
    <xf numFmtId="208" fontId="36" fillId="5" borderId="0" applyNumberFormat="0" applyBorder="0" applyAlignment="0" applyProtection="0"/>
    <xf numFmtId="0" fontId="36" fillId="5" borderId="0" applyNumberFormat="0" applyBorder="0" applyAlignment="0" applyProtection="0"/>
    <xf numFmtId="208" fontId="36" fillId="5" borderId="0" applyNumberFormat="0" applyBorder="0" applyAlignment="0" applyProtection="0"/>
    <xf numFmtId="0" fontId="36" fillId="5" borderId="0" applyNumberFormat="0" applyBorder="0" applyAlignment="0" applyProtection="0"/>
    <xf numFmtId="208" fontId="36" fillId="5" borderId="0" applyNumberFormat="0" applyBorder="0" applyAlignment="0" applyProtection="0"/>
    <xf numFmtId="208" fontId="36" fillId="5" borderId="0" applyNumberFormat="0" applyBorder="0" applyAlignment="0" applyProtection="0"/>
    <xf numFmtId="0" fontId="47" fillId="8" borderId="0" applyNumberFormat="0" applyBorder="0" applyAlignment="0" applyProtection="0"/>
    <xf numFmtId="0" fontId="36" fillId="8" borderId="0" applyNumberFormat="0" applyBorder="0" applyAlignment="0" applyProtection="0"/>
    <xf numFmtId="208" fontId="36" fillId="8" borderId="0" applyNumberFormat="0" applyBorder="0" applyAlignment="0" applyProtection="0"/>
    <xf numFmtId="208" fontId="47" fillId="8" borderId="0" applyNumberFormat="0" applyBorder="0" applyAlignment="0" applyProtection="0"/>
    <xf numFmtId="0" fontId="36" fillId="8" borderId="0" applyNumberFormat="0" applyBorder="0" applyAlignment="0" applyProtection="0"/>
    <xf numFmtId="208" fontId="36" fillId="8" borderId="0" applyNumberFormat="0" applyBorder="0" applyAlignment="0" applyProtection="0"/>
    <xf numFmtId="0" fontId="36" fillId="8" borderId="0" applyNumberFormat="0" applyBorder="0" applyAlignment="0" applyProtection="0"/>
    <xf numFmtId="208" fontId="36" fillId="8" borderId="0" applyNumberFormat="0" applyBorder="0" applyAlignment="0" applyProtection="0"/>
    <xf numFmtId="0" fontId="36" fillId="8" borderId="0" applyNumberFormat="0" applyBorder="0" applyAlignment="0" applyProtection="0"/>
    <xf numFmtId="208" fontId="36" fillId="8" borderId="0" applyNumberFormat="0" applyBorder="0" applyAlignment="0" applyProtection="0"/>
    <xf numFmtId="0" fontId="36" fillId="8" borderId="0" applyNumberFormat="0" applyBorder="0" applyAlignment="0" applyProtection="0"/>
    <xf numFmtId="208" fontId="36" fillId="8" borderId="0" applyNumberFormat="0" applyBorder="0" applyAlignment="0" applyProtection="0"/>
    <xf numFmtId="0" fontId="36" fillId="8" borderId="0" applyNumberFormat="0" applyBorder="0" applyAlignment="0" applyProtection="0"/>
    <xf numFmtId="208" fontId="36" fillId="8" borderId="0" applyNumberFormat="0" applyBorder="0" applyAlignment="0" applyProtection="0"/>
    <xf numFmtId="208" fontId="36" fillId="8" borderId="0" applyNumberFormat="0" applyBorder="0" applyAlignment="0" applyProtection="0"/>
    <xf numFmtId="0" fontId="47" fillId="11" borderId="0" applyNumberFormat="0" applyBorder="0" applyAlignment="0" applyProtection="0"/>
    <xf numFmtId="0" fontId="36" fillId="11" borderId="0" applyNumberFormat="0" applyBorder="0" applyAlignment="0" applyProtection="0"/>
    <xf numFmtId="208" fontId="36" fillId="11" borderId="0" applyNumberFormat="0" applyBorder="0" applyAlignment="0" applyProtection="0"/>
    <xf numFmtId="208" fontId="47" fillId="11" borderId="0" applyNumberFormat="0" applyBorder="0" applyAlignment="0" applyProtection="0"/>
    <xf numFmtId="0" fontId="36" fillId="11" borderId="0" applyNumberFormat="0" applyBorder="0" applyAlignment="0" applyProtection="0"/>
    <xf numFmtId="208" fontId="36" fillId="11" borderId="0" applyNumberFormat="0" applyBorder="0" applyAlignment="0" applyProtection="0"/>
    <xf numFmtId="0" fontId="36" fillId="11" borderId="0" applyNumberFormat="0" applyBorder="0" applyAlignment="0" applyProtection="0"/>
    <xf numFmtId="208" fontId="36" fillId="11" borderId="0" applyNumberFormat="0" applyBorder="0" applyAlignment="0" applyProtection="0"/>
    <xf numFmtId="0" fontId="36" fillId="11" borderId="0" applyNumberFormat="0" applyBorder="0" applyAlignment="0" applyProtection="0"/>
    <xf numFmtId="208" fontId="36" fillId="11" borderId="0" applyNumberFormat="0" applyBorder="0" applyAlignment="0" applyProtection="0"/>
    <xf numFmtId="0" fontId="36" fillId="11" borderId="0" applyNumberFormat="0" applyBorder="0" applyAlignment="0" applyProtection="0"/>
    <xf numFmtId="208" fontId="36" fillId="11" borderId="0" applyNumberFormat="0" applyBorder="0" applyAlignment="0" applyProtection="0"/>
    <xf numFmtId="0" fontId="36" fillId="11" borderId="0" applyNumberFormat="0" applyBorder="0" applyAlignment="0" applyProtection="0"/>
    <xf numFmtId="208" fontId="36" fillId="11" borderId="0" applyNumberFormat="0" applyBorder="0" applyAlignment="0" applyProtection="0"/>
    <xf numFmtId="208" fontId="36" fillId="11" borderId="0" applyNumberFormat="0" applyBorder="0" applyAlignment="0" applyProtection="0"/>
    <xf numFmtId="0" fontId="36" fillId="10" borderId="0" applyNumberFormat="0" applyBorder="0" applyAlignment="0" applyProtection="0"/>
    <xf numFmtId="208" fontId="36" fillId="10" borderId="0" applyNumberFormat="0" applyBorder="0" applyAlignment="0" applyProtection="0"/>
    <xf numFmtId="0" fontId="65" fillId="12" borderId="0" applyNumberFormat="0" applyBorder="0" applyAlignment="0" applyProtection="0"/>
    <xf numFmtId="208" fontId="65" fillId="12" borderId="0" applyNumberFormat="0" applyBorder="0" applyAlignment="0" applyProtection="0"/>
    <xf numFmtId="0" fontId="65" fillId="9" borderId="0" applyNumberFormat="0" applyBorder="0" applyAlignment="0" applyProtection="0"/>
    <xf numFmtId="208" fontId="65" fillId="9" borderId="0" applyNumberFormat="0" applyBorder="0" applyAlignment="0" applyProtection="0"/>
    <xf numFmtId="0" fontId="65" fillId="10" borderId="0" applyNumberFormat="0" applyBorder="0" applyAlignment="0" applyProtection="0"/>
    <xf numFmtId="208" fontId="65" fillId="10" borderId="0" applyNumberFormat="0" applyBorder="0" applyAlignment="0" applyProtection="0"/>
    <xf numFmtId="0" fontId="65" fillId="13" borderId="0" applyNumberFormat="0" applyBorder="0" applyAlignment="0" applyProtection="0"/>
    <xf numFmtId="208" fontId="65" fillId="13" borderId="0" applyNumberFormat="0" applyBorder="0" applyAlignment="0" applyProtection="0"/>
    <xf numFmtId="0" fontId="65" fillId="14" borderId="0" applyNumberFormat="0" applyBorder="0" applyAlignment="0" applyProtection="0"/>
    <xf numFmtId="208" fontId="65" fillId="14" borderId="0" applyNumberFormat="0" applyBorder="0" applyAlignment="0" applyProtection="0"/>
    <xf numFmtId="0" fontId="65" fillId="15" borderId="0" applyNumberFormat="0" applyBorder="0" applyAlignment="0" applyProtection="0"/>
    <xf numFmtId="208" fontId="65" fillId="15" borderId="0" applyNumberFormat="0" applyBorder="0" applyAlignment="0" applyProtection="0"/>
    <xf numFmtId="0" fontId="48" fillId="12" borderId="0" applyNumberFormat="0" applyBorder="0" applyAlignment="0" applyProtection="0"/>
    <xf numFmtId="0" fontId="65" fillId="12" borderId="0" applyNumberFormat="0" applyBorder="0" applyAlignment="0" applyProtection="0"/>
    <xf numFmtId="208" fontId="65" fillId="12" borderId="0" applyNumberFormat="0" applyBorder="0" applyAlignment="0" applyProtection="0"/>
    <xf numFmtId="208" fontId="48" fillId="12" borderId="0" applyNumberFormat="0" applyBorder="0" applyAlignment="0" applyProtection="0"/>
    <xf numFmtId="0" fontId="65" fillId="12" borderId="0" applyNumberFormat="0" applyBorder="0" applyAlignment="0" applyProtection="0"/>
    <xf numFmtId="208" fontId="65" fillId="12" borderId="0" applyNumberFormat="0" applyBorder="0" applyAlignment="0" applyProtection="0"/>
    <xf numFmtId="0" fontId="65" fillId="12" borderId="0" applyNumberFormat="0" applyBorder="0" applyAlignment="0" applyProtection="0"/>
    <xf numFmtId="208" fontId="65" fillId="12" borderId="0" applyNumberFormat="0" applyBorder="0" applyAlignment="0" applyProtection="0"/>
    <xf numFmtId="0" fontId="65" fillId="12" borderId="0" applyNumberFormat="0" applyBorder="0" applyAlignment="0" applyProtection="0"/>
    <xf numFmtId="208" fontId="65" fillId="12" borderId="0" applyNumberFormat="0" applyBorder="0" applyAlignment="0" applyProtection="0"/>
    <xf numFmtId="0" fontId="65" fillId="12" borderId="0" applyNumberFormat="0" applyBorder="0" applyAlignment="0" applyProtection="0"/>
    <xf numFmtId="208" fontId="65" fillId="12" borderId="0" applyNumberFormat="0" applyBorder="0" applyAlignment="0" applyProtection="0"/>
    <xf numFmtId="0" fontId="65" fillId="12" borderId="0" applyNumberFormat="0" applyBorder="0" applyAlignment="0" applyProtection="0"/>
    <xf numFmtId="208" fontId="65" fillId="12" borderId="0" applyNumberFormat="0" applyBorder="0" applyAlignment="0" applyProtection="0"/>
    <xf numFmtId="208" fontId="65" fillId="12" borderId="0" applyNumberFormat="0" applyBorder="0" applyAlignment="0" applyProtection="0"/>
    <xf numFmtId="0" fontId="48" fillId="9" borderId="0" applyNumberFormat="0" applyBorder="0" applyAlignment="0" applyProtection="0"/>
    <xf numFmtId="0" fontId="65" fillId="9" borderId="0" applyNumberFormat="0" applyBorder="0" applyAlignment="0" applyProtection="0"/>
    <xf numFmtId="208" fontId="65" fillId="9" borderId="0" applyNumberFormat="0" applyBorder="0" applyAlignment="0" applyProtection="0"/>
    <xf numFmtId="208" fontId="48" fillId="9" borderId="0" applyNumberFormat="0" applyBorder="0" applyAlignment="0" applyProtection="0"/>
    <xf numFmtId="0" fontId="65" fillId="9" borderId="0" applyNumberFormat="0" applyBorder="0" applyAlignment="0" applyProtection="0"/>
    <xf numFmtId="208" fontId="65" fillId="9" borderId="0" applyNumberFormat="0" applyBorder="0" applyAlignment="0" applyProtection="0"/>
    <xf numFmtId="0" fontId="65" fillId="9" borderId="0" applyNumberFormat="0" applyBorder="0" applyAlignment="0" applyProtection="0"/>
    <xf numFmtId="208" fontId="65" fillId="9" borderId="0" applyNumberFormat="0" applyBorder="0" applyAlignment="0" applyProtection="0"/>
    <xf numFmtId="0" fontId="65" fillId="9" borderId="0" applyNumberFormat="0" applyBorder="0" applyAlignment="0" applyProtection="0"/>
    <xf numFmtId="208" fontId="65" fillId="9" borderId="0" applyNumberFormat="0" applyBorder="0" applyAlignment="0" applyProtection="0"/>
    <xf numFmtId="0" fontId="65" fillId="9" borderId="0" applyNumberFormat="0" applyBorder="0" applyAlignment="0" applyProtection="0"/>
    <xf numFmtId="208" fontId="65" fillId="9" borderId="0" applyNumberFormat="0" applyBorder="0" applyAlignment="0" applyProtection="0"/>
    <xf numFmtId="0" fontId="65" fillId="9" borderId="0" applyNumberFormat="0" applyBorder="0" applyAlignment="0" applyProtection="0"/>
    <xf numFmtId="208" fontId="65" fillId="9" borderId="0" applyNumberFormat="0" applyBorder="0" applyAlignment="0" applyProtection="0"/>
    <xf numFmtId="208" fontId="65" fillId="9" borderId="0" applyNumberFormat="0" applyBorder="0" applyAlignment="0" applyProtection="0"/>
    <xf numFmtId="0" fontId="48" fillId="10" borderId="0" applyNumberFormat="0" applyBorder="0" applyAlignment="0" applyProtection="0"/>
    <xf numFmtId="0" fontId="65" fillId="10" borderId="0" applyNumberFormat="0" applyBorder="0" applyAlignment="0" applyProtection="0"/>
    <xf numFmtId="208" fontId="65" fillId="10" borderId="0" applyNumberFormat="0" applyBorder="0" applyAlignment="0" applyProtection="0"/>
    <xf numFmtId="208" fontId="48" fillId="10" borderId="0" applyNumberFormat="0" applyBorder="0" applyAlignment="0" applyProtection="0"/>
    <xf numFmtId="0" fontId="65" fillId="10" borderId="0" applyNumberFormat="0" applyBorder="0" applyAlignment="0" applyProtection="0"/>
    <xf numFmtId="208" fontId="65" fillId="10" borderId="0" applyNumberFormat="0" applyBorder="0" applyAlignment="0" applyProtection="0"/>
    <xf numFmtId="0" fontId="65" fillId="10" borderId="0" applyNumberFormat="0" applyBorder="0" applyAlignment="0" applyProtection="0"/>
    <xf numFmtId="208" fontId="65" fillId="10" borderId="0" applyNumberFormat="0" applyBorder="0" applyAlignment="0" applyProtection="0"/>
    <xf numFmtId="0" fontId="65" fillId="10" borderId="0" applyNumberFormat="0" applyBorder="0" applyAlignment="0" applyProtection="0"/>
    <xf numFmtId="208" fontId="65" fillId="10" borderId="0" applyNumberFormat="0" applyBorder="0" applyAlignment="0" applyProtection="0"/>
    <xf numFmtId="0" fontId="65" fillId="10" borderId="0" applyNumberFormat="0" applyBorder="0" applyAlignment="0" applyProtection="0"/>
    <xf numFmtId="208" fontId="65" fillId="10" borderId="0" applyNumberFormat="0" applyBorder="0" applyAlignment="0" applyProtection="0"/>
    <xf numFmtId="0" fontId="65" fillId="10" borderId="0" applyNumberFormat="0" applyBorder="0" applyAlignment="0" applyProtection="0"/>
    <xf numFmtId="208" fontId="65" fillId="10" borderId="0" applyNumberFormat="0" applyBorder="0" applyAlignment="0" applyProtection="0"/>
    <xf numFmtId="208" fontId="65" fillId="10" borderId="0" applyNumberFormat="0" applyBorder="0" applyAlignment="0" applyProtection="0"/>
    <xf numFmtId="0" fontId="48" fillId="13" borderId="0" applyNumberFormat="0" applyBorder="0" applyAlignment="0" applyProtection="0"/>
    <xf numFmtId="0" fontId="65" fillId="13" borderId="0" applyNumberFormat="0" applyBorder="0" applyAlignment="0" applyProtection="0"/>
    <xf numFmtId="208" fontId="65" fillId="13" borderId="0" applyNumberFormat="0" applyBorder="0" applyAlignment="0" applyProtection="0"/>
    <xf numFmtId="208" fontId="48" fillId="13" borderId="0" applyNumberFormat="0" applyBorder="0" applyAlignment="0" applyProtection="0"/>
    <xf numFmtId="0" fontId="65" fillId="13" borderId="0" applyNumberFormat="0" applyBorder="0" applyAlignment="0" applyProtection="0"/>
    <xf numFmtId="208" fontId="65" fillId="13" borderId="0" applyNumberFormat="0" applyBorder="0" applyAlignment="0" applyProtection="0"/>
    <xf numFmtId="0" fontId="65" fillId="13" borderId="0" applyNumberFormat="0" applyBorder="0" applyAlignment="0" applyProtection="0"/>
    <xf numFmtId="208" fontId="65" fillId="13" borderId="0" applyNumberFormat="0" applyBorder="0" applyAlignment="0" applyProtection="0"/>
    <xf numFmtId="0" fontId="65" fillId="13" borderId="0" applyNumberFormat="0" applyBorder="0" applyAlignment="0" applyProtection="0"/>
    <xf numFmtId="208" fontId="65" fillId="13" borderId="0" applyNumberFormat="0" applyBorder="0" applyAlignment="0" applyProtection="0"/>
    <xf numFmtId="0" fontId="65" fillId="13" borderId="0" applyNumberFormat="0" applyBorder="0" applyAlignment="0" applyProtection="0"/>
    <xf numFmtId="208" fontId="65" fillId="13" borderId="0" applyNumberFormat="0" applyBorder="0" applyAlignment="0" applyProtection="0"/>
    <xf numFmtId="0" fontId="65" fillId="13" borderId="0" applyNumberFormat="0" applyBorder="0" applyAlignment="0" applyProtection="0"/>
    <xf numFmtId="208" fontId="65" fillId="13" borderId="0" applyNumberFormat="0" applyBorder="0" applyAlignment="0" applyProtection="0"/>
    <xf numFmtId="208" fontId="65" fillId="13" borderId="0" applyNumberFormat="0" applyBorder="0" applyAlignment="0" applyProtection="0"/>
    <xf numFmtId="0" fontId="48" fillId="14" borderId="0" applyNumberFormat="0" applyBorder="0" applyAlignment="0" applyProtection="0"/>
    <xf numFmtId="0" fontId="65" fillId="14" borderId="0" applyNumberFormat="0" applyBorder="0" applyAlignment="0" applyProtection="0"/>
    <xf numFmtId="208" fontId="65" fillId="14" borderId="0" applyNumberFormat="0" applyBorder="0" applyAlignment="0" applyProtection="0"/>
    <xf numFmtId="208" fontId="48" fillId="14" borderId="0" applyNumberFormat="0" applyBorder="0" applyAlignment="0" applyProtection="0"/>
    <xf numFmtId="0" fontId="65" fillId="14" borderId="0" applyNumberFormat="0" applyBorder="0" applyAlignment="0" applyProtection="0"/>
    <xf numFmtId="208" fontId="65" fillId="14" borderId="0" applyNumberFormat="0" applyBorder="0" applyAlignment="0" applyProtection="0"/>
    <xf numFmtId="0" fontId="65" fillId="14" borderId="0" applyNumberFormat="0" applyBorder="0" applyAlignment="0" applyProtection="0"/>
    <xf numFmtId="208" fontId="65" fillId="14" borderId="0" applyNumberFormat="0" applyBorder="0" applyAlignment="0" applyProtection="0"/>
    <xf numFmtId="0" fontId="65" fillId="14" borderId="0" applyNumberFormat="0" applyBorder="0" applyAlignment="0" applyProtection="0"/>
    <xf numFmtId="208" fontId="65" fillId="14" borderId="0" applyNumberFormat="0" applyBorder="0" applyAlignment="0" applyProtection="0"/>
    <xf numFmtId="0" fontId="65" fillId="14" borderId="0" applyNumberFormat="0" applyBorder="0" applyAlignment="0" applyProtection="0"/>
    <xf numFmtId="208" fontId="65" fillId="14" borderId="0" applyNumberFormat="0" applyBorder="0" applyAlignment="0" applyProtection="0"/>
    <xf numFmtId="0" fontId="65" fillId="14" borderId="0" applyNumberFormat="0" applyBorder="0" applyAlignment="0" applyProtection="0"/>
    <xf numFmtId="208" fontId="65" fillId="14" borderId="0" applyNumberFormat="0" applyBorder="0" applyAlignment="0" applyProtection="0"/>
    <xf numFmtId="208" fontId="65" fillId="14" borderId="0" applyNumberFormat="0" applyBorder="0" applyAlignment="0" applyProtection="0"/>
    <xf numFmtId="0" fontId="48" fillId="15" borderId="0" applyNumberFormat="0" applyBorder="0" applyAlignment="0" applyProtection="0"/>
    <xf numFmtId="0" fontId="65" fillId="15" borderId="0" applyNumberFormat="0" applyBorder="0" applyAlignment="0" applyProtection="0"/>
    <xf numFmtId="208" fontId="65" fillId="15" borderId="0" applyNumberFormat="0" applyBorder="0" applyAlignment="0" applyProtection="0"/>
    <xf numFmtId="208" fontId="48" fillId="15" borderId="0" applyNumberFormat="0" applyBorder="0" applyAlignment="0" applyProtection="0"/>
    <xf numFmtId="0" fontId="65" fillId="15" borderId="0" applyNumberFormat="0" applyBorder="0" applyAlignment="0" applyProtection="0"/>
    <xf numFmtId="208" fontId="65" fillId="15" borderId="0" applyNumberFormat="0" applyBorder="0" applyAlignment="0" applyProtection="0"/>
    <xf numFmtId="0" fontId="65" fillId="15" borderId="0" applyNumberFormat="0" applyBorder="0" applyAlignment="0" applyProtection="0"/>
    <xf numFmtId="208" fontId="65" fillId="15" borderId="0" applyNumberFormat="0" applyBorder="0" applyAlignment="0" applyProtection="0"/>
    <xf numFmtId="0" fontId="65" fillId="15" borderId="0" applyNumberFormat="0" applyBorder="0" applyAlignment="0" applyProtection="0"/>
    <xf numFmtId="208" fontId="65" fillId="15" borderId="0" applyNumberFormat="0" applyBorder="0" applyAlignment="0" applyProtection="0"/>
    <xf numFmtId="0" fontId="65" fillId="15" borderId="0" applyNumberFormat="0" applyBorder="0" applyAlignment="0" applyProtection="0"/>
    <xf numFmtId="208" fontId="65" fillId="15" borderId="0" applyNumberFormat="0" applyBorder="0" applyAlignment="0" applyProtection="0"/>
    <xf numFmtId="0" fontId="65" fillId="15" borderId="0" applyNumberFormat="0" applyBorder="0" applyAlignment="0" applyProtection="0"/>
    <xf numFmtId="208" fontId="65" fillId="15" borderId="0" applyNumberFormat="0" applyBorder="0" applyAlignment="0" applyProtection="0"/>
    <xf numFmtId="208" fontId="65" fillId="15" borderId="0" applyNumberFormat="0" applyBorder="0" applyAlignment="0" applyProtection="0"/>
    <xf numFmtId="0" fontId="65" fillId="16" borderId="0" applyNumberFormat="0" applyBorder="0" applyAlignment="0" applyProtection="0"/>
    <xf numFmtId="208" fontId="65" fillId="16" borderId="0" applyNumberFormat="0" applyBorder="0" applyAlignment="0" applyProtection="0"/>
    <xf numFmtId="0" fontId="65" fillId="17" borderId="0" applyNumberFormat="0" applyBorder="0" applyAlignment="0" applyProtection="0"/>
    <xf numFmtId="208" fontId="65" fillId="17" borderId="0" applyNumberFormat="0" applyBorder="0" applyAlignment="0" applyProtection="0"/>
    <xf numFmtId="0" fontId="65" fillId="18" borderId="0" applyNumberFormat="0" applyBorder="0" applyAlignment="0" applyProtection="0"/>
    <xf numFmtId="208" fontId="65" fillId="18" borderId="0" applyNumberFormat="0" applyBorder="0" applyAlignment="0" applyProtection="0"/>
    <xf numFmtId="0" fontId="65" fillId="13" borderId="0" applyNumberFormat="0" applyBorder="0" applyAlignment="0" applyProtection="0"/>
    <xf numFmtId="208" fontId="65" fillId="13" borderId="0" applyNumberFormat="0" applyBorder="0" applyAlignment="0" applyProtection="0"/>
    <xf numFmtId="0" fontId="65" fillId="14" borderId="0" applyNumberFormat="0" applyBorder="0" applyAlignment="0" applyProtection="0"/>
    <xf numFmtId="208" fontId="65" fillId="14" borderId="0" applyNumberFormat="0" applyBorder="0" applyAlignment="0" applyProtection="0"/>
    <xf numFmtId="0" fontId="65" fillId="19" borderId="0" applyNumberFormat="0" applyBorder="0" applyAlignment="0" applyProtection="0"/>
    <xf numFmtId="208" fontId="65" fillId="19" borderId="0" applyNumberFormat="0" applyBorder="0" applyAlignment="0" applyProtection="0"/>
    <xf numFmtId="0" fontId="71" fillId="3" borderId="0" applyNumberFormat="0" applyBorder="0" applyAlignment="0" applyProtection="0"/>
    <xf numFmtId="208" fontId="71" fillId="3" borderId="0" applyNumberFormat="0" applyBorder="0" applyAlignment="0" applyProtection="0"/>
    <xf numFmtId="0" fontId="49" fillId="4" borderId="0" applyNumberFormat="0" applyBorder="0" applyAlignment="0" applyProtection="0"/>
    <xf numFmtId="0" fontId="66" fillId="4" borderId="0" applyNumberFormat="0" applyBorder="0" applyAlignment="0" applyProtection="0"/>
    <xf numFmtId="208" fontId="66" fillId="4" borderId="0" applyNumberFormat="0" applyBorder="0" applyAlignment="0" applyProtection="0"/>
    <xf numFmtId="208" fontId="49" fillId="4" borderId="0" applyNumberFormat="0" applyBorder="0" applyAlignment="0" applyProtection="0"/>
    <xf numFmtId="0" fontId="66" fillId="4" borderId="0" applyNumberFormat="0" applyBorder="0" applyAlignment="0" applyProtection="0"/>
    <xf numFmtId="208" fontId="66" fillId="4" borderId="0" applyNumberFormat="0" applyBorder="0" applyAlignment="0" applyProtection="0"/>
    <xf numFmtId="0" fontId="66" fillId="4" borderId="0" applyNumberFormat="0" applyBorder="0" applyAlignment="0" applyProtection="0"/>
    <xf numFmtId="208" fontId="66" fillId="4" borderId="0" applyNumberFormat="0" applyBorder="0" applyAlignment="0" applyProtection="0"/>
    <xf numFmtId="0" fontId="66" fillId="4" borderId="0" applyNumberFormat="0" applyBorder="0" applyAlignment="0" applyProtection="0"/>
    <xf numFmtId="208" fontId="66" fillId="4" borderId="0" applyNumberFormat="0" applyBorder="0" applyAlignment="0" applyProtection="0"/>
    <xf numFmtId="0" fontId="66" fillId="4" borderId="0" applyNumberFormat="0" applyBorder="0" applyAlignment="0" applyProtection="0"/>
    <xf numFmtId="208" fontId="66" fillId="4" borderId="0" applyNumberFormat="0" applyBorder="0" applyAlignment="0" applyProtection="0"/>
    <xf numFmtId="0" fontId="66" fillId="4" borderId="0" applyNumberFormat="0" applyBorder="0" applyAlignment="0" applyProtection="0"/>
    <xf numFmtId="208" fontId="66" fillId="4" borderId="0" applyNumberFormat="0" applyBorder="0" applyAlignment="0" applyProtection="0"/>
    <xf numFmtId="208" fontId="66" fillId="4" borderId="0" applyNumberFormat="0" applyBorder="0" applyAlignment="0" applyProtection="0"/>
    <xf numFmtId="0" fontId="67" fillId="20" borderId="1" applyNumberFormat="0" applyAlignment="0" applyProtection="0"/>
    <xf numFmtId="208" fontId="67" fillId="20" borderId="1" applyNumberFormat="0" applyAlignment="0" applyProtection="0"/>
    <xf numFmtId="0" fontId="50" fillId="20" borderId="1" applyNumberFormat="0" applyAlignment="0" applyProtection="0"/>
    <xf numFmtId="0" fontId="67" fillId="20" borderId="1" applyNumberFormat="0" applyAlignment="0" applyProtection="0"/>
    <xf numFmtId="208" fontId="67" fillId="20" borderId="1" applyNumberFormat="0" applyAlignment="0" applyProtection="0"/>
    <xf numFmtId="208" fontId="50" fillId="20" borderId="1" applyNumberFormat="0" applyAlignment="0" applyProtection="0"/>
    <xf numFmtId="0" fontId="67" fillId="20" borderId="1" applyNumberFormat="0" applyAlignment="0" applyProtection="0"/>
    <xf numFmtId="208" fontId="67" fillId="20" borderId="1" applyNumberFormat="0" applyAlignment="0" applyProtection="0"/>
    <xf numFmtId="0" fontId="67" fillId="20" borderId="1" applyNumberFormat="0" applyAlignment="0" applyProtection="0"/>
    <xf numFmtId="208" fontId="67" fillId="20" borderId="1" applyNumberFormat="0" applyAlignment="0" applyProtection="0"/>
    <xf numFmtId="0" fontId="67" fillId="20" borderId="1" applyNumberFormat="0" applyAlignment="0" applyProtection="0"/>
    <xf numFmtId="208" fontId="67" fillId="20" borderId="1" applyNumberFormat="0" applyAlignment="0" applyProtection="0"/>
    <xf numFmtId="0" fontId="67" fillId="20" borderId="1" applyNumberFormat="0" applyAlignment="0" applyProtection="0"/>
    <xf numFmtId="208" fontId="67" fillId="20" borderId="1" applyNumberFormat="0" applyAlignment="0" applyProtection="0"/>
    <xf numFmtId="0" fontId="67" fillId="20" borderId="1" applyNumberFormat="0" applyAlignment="0" applyProtection="0"/>
    <xf numFmtId="208" fontId="67" fillId="20" borderId="1" applyNumberFormat="0" applyAlignment="0" applyProtection="0"/>
    <xf numFmtId="208" fontId="67" fillId="20" borderId="1" applyNumberFormat="0" applyAlignment="0" applyProtection="0"/>
    <xf numFmtId="0" fontId="51" fillId="21" borderId="2" applyNumberFormat="0" applyAlignment="0" applyProtection="0"/>
    <xf numFmtId="0" fontId="68" fillId="21" borderId="2" applyNumberFormat="0" applyAlignment="0" applyProtection="0"/>
    <xf numFmtId="208" fontId="68" fillId="21" borderId="2" applyNumberFormat="0" applyAlignment="0" applyProtection="0"/>
    <xf numFmtId="208" fontId="51" fillId="21" borderId="2" applyNumberFormat="0" applyAlignment="0" applyProtection="0"/>
    <xf numFmtId="0" fontId="68" fillId="21" borderId="2" applyNumberFormat="0" applyAlignment="0" applyProtection="0"/>
    <xf numFmtId="208" fontId="68" fillId="21" borderId="2" applyNumberFormat="0" applyAlignment="0" applyProtection="0"/>
    <xf numFmtId="0" fontId="68" fillId="21" borderId="2" applyNumberFormat="0" applyAlignment="0" applyProtection="0"/>
    <xf numFmtId="208" fontId="68" fillId="21" borderId="2" applyNumberFormat="0" applyAlignment="0" applyProtection="0"/>
    <xf numFmtId="0" fontId="68" fillId="21" borderId="2" applyNumberFormat="0" applyAlignment="0" applyProtection="0"/>
    <xf numFmtId="208" fontId="68" fillId="21" borderId="2" applyNumberFormat="0" applyAlignment="0" applyProtection="0"/>
    <xf numFmtId="0" fontId="68" fillId="21" borderId="2" applyNumberFormat="0" applyAlignment="0" applyProtection="0"/>
    <xf numFmtId="208" fontId="68" fillId="21" borderId="2" applyNumberFormat="0" applyAlignment="0" applyProtection="0"/>
    <xf numFmtId="0" fontId="68" fillId="21" borderId="2" applyNumberFormat="0" applyAlignment="0" applyProtection="0"/>
    <xf numFmtId="208" fontId="68" fillId="21" borderId="2" applyNumberFormat="0" applyAlignment="0" applyProtection="0"/>
    <xf numFmtId="208" fontId="68" fillId="21" borderId="2" applyNumberFormat="0" applyAlignment="0" applyProtection="0"/>
    <xf numFmtId="0" fontId="52" fillId="0" borderId="3" applyNumberFormat="0" applyFill="0" applyAlignment="0" applyProtection="0"/>
    <xf numFmtId="0" fontId="69" fillId="0" borderId="3" applyNumberFormat="0" applyFill="0" applyAlignment="0" applyProtection="0"/>
    <xf numFmtId="208" fontId="69" fillId="0" borderId="3" applyNumberFormat="0" applyFill="0" applyAlignment="0" applyProtection="0"/>
    <xf numFmtId="208" fontId="52" fillId="0" borderId="3" applyNumberFormat="0" applyFill="0" applyAlignment="0" applyProtection="0"/>
    <xf numFmtId="0" fontId="69" fillId="0" borderId="3" applyNumberFormat="0" applyFill="0" applyAlignment="0" applyProtection="0"/>
    <xf numFmtId="208" fontId="69" fillId="0" borderId="3" applyNumberFormat="0" applyFill="0" applyAlignment="0" applyProtection="0"/>
    <xf numFmtId="0" fontId="69" fillId="0" borderId="3" applyNumberFormat="0" applyFill="0" applyAlignment="0" applyProtection="0"/>
    <xf numFmtId="208" fontId="69" fillId="0" borderId="3" applyNumberFormat="0" applyFill="0" applyAlignment="0" applyProtection="0"/>
    <xf numFmtId="0" fontId="69" fillId="0" borderId="3" applyNumberFormat="0" applyFill="0" applyAlignment="0" applyProtection="0"/>
    <xf numFmtId="208" fontId="69" fillId="0" borderId="3" applyNumberFormat="0" applyFill="0" applyAlignment="0" applyProtection="0"/>
    <xf numFmtId="0" fontId="69" fillId="0" borderId="3" applyNumberFormat="0" applyFill="0" applyAlignment="0" applyProtection="0"/>
    <xf numFmtId="208" fontId="69" fillId="0" borderId="3" applyNumberFormat="0" applyFill="0" applyAlignment="0" applyProtection="0"/>
    <xf numFmtId="0" fontId="69" fillId="0" borderId="3" applyNumberFormat="0" applyFill="0" applyAlignment="0" applyProtection="0"/>
    <xf numFmtId="208" fontId="69" fillId="0" borderId="3" applyNumberFormat="0" applyFill="0" applyAlignment="0" applyProtection="0"/>
    <xf numFmtId="208" fontId="69" fillId="0" borderId="3" applyNumberFormat="0" applyFill="0" applyAlignment="0" applyProtection="0"/>
    <xf numFmtId="0" fontId="68" fillId="21" borderId="2" applyNumberFormat="0" applyAlignment="0" applyProtection="0"/>
    <xf numFmtId="208" fontId="68" fillId="21" borderId="2"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208" fontId="42" fillId="0" borderId="0" applyNumberFormat="0" applyFill="0" applyBorder="0" applyAlignment="0" applyProtection="0"/>
    <xf numFmtId="208" fontId="42" fillId="0" borderId="0" applyNumberFormat="0" applyFill="0" applyBorder="0" applyAlignment="0" applyProtection="0"/>
    <xf numFmtId="0" fontId="42" fillId="0" borderId="0" applyNumberFormat="0" applyFill="0" applyBorder="0" applyAlignment="0" applyProtection="0"/>
    <xf numFmtId="208" fontId="42" fillId="0" borderId="0" applyNumberFormat="0" applyFill="0" applyBorder="0" applyAlignment="0" applyProtection="0"/>
    <xf numFmtId="0" fontId="42" fillId="0" borderId="0" applyNumberFormat="0" applyFill="0" applyBorder="0" applyAlignment="0" applyProtection="0"/>
    <xf numFmtId="208" fontId="42" fillId="0" borderId="0" applyNumberFormat="0" applyFill="0" applyBorder="0" applyAlignment="0" applyProtection="0"/>
    <xf numFmtId="0" fontId="42" fillId="0" borderId="0" applyNumberFormat="0" applyFill="0" applyBorder="0" applyAlignment="0" applyProtection="0"/>
    <xf numFmtId="208" fontId="42" fillId="0" borderId="0" applyNumberFormat="0" applyFill="0" applyBorder="0" applyAlignment="0" applyProtection="0"/>
    <xf numFmtId="0" fontId="42" fillId="0" borderId="0" applyNumberFormat="0" applyFill="0" applyBorder="0" applyAlignment="0" applyProtection="0"/>
    <xf numFmtId="208" fontId="42" fillId="0" borderId="0" applyNumberFormat="0" applyFill="0" applyBorder="0" applyAlignment="0" applyProtection="0"/>
    <xf numFmtId="0" fontId="42" fillId="0" borderId="0" applyNumberFormat="0" applyFill="0" applyBorder="0" applyAlignment="0" applyProtection="0"/>
    <xf numFmtId="208" fontId="42" fillId="0" borderId="0" applyNumberFormat="0" applyFill="0" applyBorder="0" applyAlignment="0" applyProtection="0"/>
    <xf numFmtId="208" fontId="42" fillId="0" borderId="0" applyNumberFormat="0" applyFill="0" applyBorder="0" applyAlignment="0" applyProtection="0"/>
    <xf numFmtId="0" fontId="48" fillId="16" borderId="0" applyNumberFormat="0" applyBorder="0" applyAlignment="0" applyProtection="0"/>
    <xf numFmtId="0" fontId="65" fillId="16" borderId="0" applyNumberFormat="0" applyBorder="0" applyAlignment="0" applyProtection="0"/>
    <xf numFmtId="208" fontId="65" fillId="16" borderId="0" applyNumberFormat="0" applyBorder="0" applyAlignment="0" applyProtection="0"/>
    <xf numFmtId="208" fontId="48" fillId="16" borderId="0" applyNumberFormat="0" applyBorder="0" applyAlignment="0" applyProtection="0"/>
    <xf numFmtId="0" fontId="65" fillId="16" borderId="0" applyNumberFormat="0" applyBorder="0" applyAlignment="0" applyProtection="0"/>
    <xf numFmtId="208" fontId="65" fillId="16" borderId="0" applyNumberFormat="0" applyBorder="0" applyAlignment="0" applyProtection="0"/>
    <xf numFmtId="0" fontId="65" fillId="16" borderId="0" applyNumberFormat="0" applyBorder="0" applyAlignment="0" applyProtection="0"/>
    <xf numFmtId="208" fontId="65" fillId="16" borderId="0" applyNumberFormat="0" applyBorder="0" applyAlignment="0" applyProtection="0"/>
    <xf numFmtId="0" fontId="65" fillId="16" borderId="0" applyNumberFormat="0" applyBorder="0" applyAlignment="0" applyProtection="0"/>
    <xf numFmtId="208" fontId="65" fillId="16" borderId="0" applyNumberFormat="0" applyBorder="0" applyAlignment="0" applyProtection="0"/>
    <xf numFmtId="0" fontId="65" fillId="16" borderId="0" applyNumberFormat="0" applyBorder="0" applyAlignment="0" applyProtection="0"/>
    <xf numFmtId="208" fontId="65" fillId="16" borderId="0" applyNumberFormat="0" applyBorder="0" applyAlignment="0" applyProtection="0"/>
    <xf numFmtId="0" fontId="65" fillId="16" borderId="0" applyNumberFormat="0" applyBorder="0" applyAlignment="0" applyProtection="0"/>
    <xf numFmtId="208" fontId="65" fillId="16" borderId="0" applyNumberFormat="0" applyBorder="0" applyAlignment="0" applyProtection="0"/>
    <xf numFmtId="208" fontId="65" fillId="16" borderId="0" applyNumberFormat="0" applyBorder="0" applyAlignment="0" applyProtection="0"/>
    <xf numFmtId="0" fontId="48" fillId="17" borderId="0" applyNumberFormat="0" applyBorder="0" applyAlignment="0" applyProtection="0"/>
    <xf numFmtId="0" fontId="65" fillId="17" borderId="0" applyNumberFormat="0" applyBorder="0" applyAlignment="0" applyProtection="0"/>
    <xf numFmtId="208" fontId="65" fillId="17" borderId="0" applyNumberFormat="0" applyBorder="0" applyAlignment="0" applyProtection="0"/>
    <xf numFmtId="208" fontId="48" fillId="17" borderId="0" applyNumberFormat="0" applyBorder="0" applyAlignment="0" applyProtection="0"/>
    <xf numFmtId="0" fontId="65" fillId="17" borderId="0" applyNumberFormat="0" applyBorder="0" applyAlignment="0" applyProtection="0"/>
    <xf numFmtId="208" fontId="65" fillId="17" borderId="0" applyNumberFormat="0" applyBorder="0" applyAlignment="0" applyProtection="0"/>
    <xf numFmtId="0" fontId="65" fillId="17" borderId="0" applyNumberFormat="0" applyBorder="0" applyAlignment="0" applyProtection="0"/>
    <xf numFmtId="208" fontId="65" fillId="17" borderId="0" applyNumberFormat="0" applyBorder="0" applyAlignment="0" applyProtection="0"/>
    <xf numFmtId="0" fontId="65" fillId="17" borderId="0" applyNumberFormat="0" applyBorder="0" applyAlignment="0" applyProtection="0"/>
    <xf numFmtId="208" fontId="65" fillId="17" borderId="0" applyNumberFormat="0" applyBorder="0" applyAlignment="0" applyProtection="0"/>
    <xf numFmtId="0" fontId="65" fillId="17" borderId="0" applyNumberFormat="0" applyBorder="0" applyAlignment="0" applyProtection="0"/>
    <xf numFmtId="208" fontId="65" fillId="17" borderId="0" applyNumberFormat="0" applyBorder="0" applyAlignment="0" applyProtection="0"/>
    <xf numFmtId="0" fontId="65" fillId="17" borderId="0" applyNumberFormat="0" applyBorder="0" applyAlignment="0" applyProtection="0"/>
    <xf numFmtId="208" fontId="65" fillId="17" borderId="0" applyNumberFormat="0" applyBorder="0" applyAlignment="0" applyProtection="0"/>
    <xf numFmtId="208" fontId="65" fillId="17" borderId="0" applyNumberFormat="0" applyBorder="0" applyAlignment="0" applyProtection="0"/>
    <xf numFmtId="0" fontId="48" fillId="18" borderId="0" applyNumberFormat="0" applyBorder="0" applyAlignment="0" applyProtection="0"/>
    <xf numFmtId="0" fontId="65" fillId="18" borderId="0" applyNumberFormat="0" applyBorder="0" applyAlignment="0" applyProtection="0"/>
    <xf numFmtId="208" fontId="65" fillId="18" borderId="0" applyNumberFormat="0" applyBorder="0" applyAlignment="0" applyProtection="0"/>
    <xf numFmtId="208" fontId="48" fillId="18" borderId="0" applyNumberFormat="0" applyBorder="0" applyAlignment="0" applyProtection="0"/>
    <xf numFmtId="0" fontId="65" fillId="18" borderId="0" applyNumberFormat="0" applyBorder="0" applyAlignment="0" applyProtection="0"/>
    <xf numFmtId="208" fontId="65" fillId="18" borderId="0" applyNumberFormat="0" applyBorder="0" applyAlignment="0" applyProtection="0"/>
    <xf numFmtId="0" fontId="65" fillId="18" borderId="0" applyNumberFormat="0" applyBorder="0" applyAlignment="0" applyProtection="0"/>
    <xf numFmtId="208" fontId="65" fillId="18" borderId="0" applyNumberFormat="0" applyBorder="0" applyAlignment="0" applyProtection="0"/>
    <xf numFmtId="0" fontId="65" fillId="18" borderId="0" applyNumberFormat="0" applyBorder="0" applyAlignment="0" applyProtection="0"/>
    <xf numFmtId="208" fontId="65" fillId="18" borderId="0" applyNumberFormat="0" applyBorder="0" applyAlignment="0" applyProtection="0"/>
    <xf numFmtId="0" fontId="65" fillId="18" borderId="0" applyNumberFormat="0" applyBorder="0" applyAlignment="0" applyProtection="0"/>
    <xf numFmtId="208" fontId="65" fillId="18" borderId="0" applyNumberFormat="0" applyBorder="0" applyAlignment="0" applyProtection="0"/>
    <xf numFmtId="0" fontId="65" fillId="18" borderId="0" applyNumberFormat="0" applyBorder="0" applyAlignment="0" applyProtection="0"/>
    <xf numFmtId="208" fontId="65" fillId="18" borderId="0" applyNumberFormat="0" applyBorder="0" applyAlignment="0" applyProtection="0"/>
    <xf numFmtId="208" fontId="65" fillId="18" borderId="0" applyNumberFormat="0" applyBorder="0" applyAlignment="0" applyProtection="0"/>
    <xf numFmtId="0" fontId="48" fillId="13" borderId="0" applyNumberFormat="0" applyBorder="0" applyAlignment="0" applyProtection="0"/>
    <xf numFmtId="0" fontId="65" fillId="13" borderId="0" applyNumberFormat="0" applyBorder="0" applyAlignment="0" applyProtection="0"/>
    <xf numFmtId="208" fontId="65" fillId="13" borderId="0" applyNumberFormat="0" applyBorder="0" applyAlignment="0" applyProtection="0"/>
    <xf numFmtId="208" fontId="48" fillId="13" borderId="0" applyNumberFormat="0" applyBorder="0" applyAlignment="0" applyProtection="0"/>
    <xf numFmtId="0" fontId="65" fillId="13" borderId="0" applyNumberFormat="0" applyBorder="0" applyAlignment="0" applyProtection="0"/>
    <xf numFmtId="208" fontId="65" fillId="13" borderId="0" applyNumberFormat="0" applyBorder="0" applyAlignment="0" applyProtection="0"/>
    <xf numFmtId="0" fontId="65" fillId="13" borderId="0" applyNumberFormat="0" applyBorder="0" applyAlignment="0" applyProtection="0"/>
    <xf numFmtId="208" fontId="65" fillId="13" borderId="0" applyNumberFormat="0" applyBorder="0" applyAlignment="0" applyProtection="0"/>
    <xf numFmtId="0" fontId="65" fillId="13" borderId="0" applyNumberFormat="0" applyBorder="0" applyAlignment="0" applyProtection="0"/>
    <xf numFmtId="208" fontId="65" fillId="13" borderId="0" applyNumberFormat="0" applyBorder="0" applyAlignment="0" applyProtection="0"/>
    <xf numFmtId="0" fontId="65" fillId="13" borderId="0" applyNumberFormat="0" applyBorder="0" applyAlignment="0" applyProtection="0"/>
    <xf numFmtId="208" fontId="65" fillId="13" borderId="0" applyNumberFormat="0" applyBorder="0" applyAlignment="0" applyProtection="0"/>
    <xf numFmtId="0" fontId="65" fillId="13" borderId="0" applyNumberFormat="0" applyBorder="0" applyAlignment="0" applyProtection="0"/>
    <xf numFmtId="208" fontId="65" fillId="13" borderId="0" applyNumberFormat="0" applyBorder="0" applyAlignment="0" applyProtection="0"/>
    <xf numFmtId="208" fontId="65" fillId="13" borderId="0" applyNumberFormat="0" applyBorder="0" applyAlignment="0" applyProtection="0"/>
    <xf numFmtId="0" fontId="48" fillId="14" borderId="0" applyNumberFormat="0" applyBorder="0" applyAlignment="0" applyProtection="0"/>
    <xf numFmtId="0" fontId="65" fillId="14" borderId="0" applyNumberFormat="0" applyBorder="0" applyAlignment="0" applyProtection="0"/>
    <xf numFmtId="208" fontId="65" fillId="14" borderId="0" applyNumberFormat="0" applyBorder="0" applyAlignment="0" applyProtection="0"/>
    <xf numFmtId="208" fontId="48" fillId="14" borderId="0" applyNumberFormat="0" applyBorder="0" applyAlignment="0" applyProtection="0"/>
    <xf numFmtId="0" fontId="65" fillId="14" borderId="0" applyNumberFormat="0" applyBorder="0" applyAlignment="0" applyProtection="0"/>
    <xf numFmtId="208" fontId="65" fillId="14" borderId="0" applyNumberFormat="0" applyBorder="0" applyAlignment="0" applyProtection="0"/>
    <xf numFmtId="0" fontId="65" fillId="14" borderId="0" applyNumberFormat="0" applyBorder="0" applyAlignment="0" applyProtection="0"/>
    <xf numFmtId="208" fontId="65" fillId="14" borderId="0" applyNumberFormat="0" applyBorder="0" applyAlignment="0" applyProtection="0"/>
    <xf numFmtId="0" fontId="65" fillId="14" borderId="0" applyNumberFormat="0" applyBorder="0" applyAlignment="0" applyProtection="0"/>
    <xf numFmtId="208" fontId="65" fillId="14" borderId="0" applyNumberFormat="0" applyBorder="0" applyAlignment="0" applyProtection="0"/>
    <xf numFmtId="0" fontId="65" fillId="14" borderId="0" applyNumberFormat="0" applyBorder="0" applyAlignment="0" applyProtection="0"/>
    <xf numFmtId="208" fontId="65" fillId="14" borderId="0" applyNumberFormat="0" applyBorder="0" applyAlignment="0" applyProtection="0"/>
    <xf numFmtId="0" fontId="65" fillId="14" borderId="0" applyNumberFormat="0" applyBorder="0" applyAlignment="0" applyProtection="0"/>
    <xf numFmtId="208" fontId="65" fillId="14" borderId="0" applyNumberFormat="0" applyBorder="0" applyAlignment="0" applyProtection="0"/>
    <xf numFmtId="208" fontId="65" fillId="14" borderId="0" applyNumberFormat="0" applyBorder="0" applyAlignment="0" applyProtection="0"/>
    <xf numFmtId="0" fontId="48" fillId="19" borderId="0" applyNumberFormat="0" applyBorder="0" applyAlignment="0" applyProtection="0"/>
    <xf numFmtId="0" fontId="65" fillId="19" borderId="0" applyNumberFormat="0" applyBorder="0" applyAlignment="0" applyProtection="0"/>
    <xf numFmtId="208" fontId="65" fillId="19" borderId="0" applyNumberFormat="0" applyBorder="0" applyAlignment="0" applyProtection="0"/>
    <xf numFmtId="208" fontId="48" fillId="19" borderId="0" applyNumberFormat="0" applyBorder="0" applyAlignment="0" applyProtection="0"/>
    <xf numFmtId="0" fontId="65" fillId="19" borderId="0" applyNumberFormat="0" applyBorder="0" applyAlignment="0" applyProtection="0"/>
    <xf numFmtId="208" fontId="65" fillId="19" borderId="0" applyNumberFormat="0" applyBorder="0" applyAlignment="0" applyProtection="0"/>
    <xf numFmtId="0" fontId="65" fillId="19" borderId="0" applyNumberFormat="0" applyBorder="0" applyAlignment="0" applyProtection="0"/>
    <xf numFmtId="208" fontId="65" fillId="19" borderId="0" applyNumberFormat="0" applyBorder="0" applyAlignment="0" applyProtection="0"/>
    <xf numFmtId="0" fontId="65" fillId="19" borderId="0" applyNumberFormat="0" applyBorder="0" applyAlignment="0" applyProtection="0"/>
    <xf numFmtId="208" fontId="65" fillId="19" borderId="0" applyNumberFormat="0" applyBorder="0" applyAlignment="0" applyProtection="0"/>
    <xf numFmtId="0" fontId="65" fillId="19" borderId="0" applyNumberFormat="0" applyBorder="0" applyAlignment="0" applyProtection="0"/>
    <xf numFmtId="208" fontId="65" fillId="19" borderId="0" applyNumberFormat="0" applyBorder="0" applyAlignment="0" applyProtection="0"/>
    <xf numFmtId="0" fontId="65" fillId="19" borderId="0" applyNumberFormat="0" applyBorder="0" applyAlignment="0" applyProtection="0"/>
    <xf numFmtId="208" fontId="65" fillId="19" borderId="0" applyNumberFormat="0" applyBorder="0" applyAlignment="0" applyProtection="0"/>
    <xf numFmtId="208" fontId="65" fillId="19" borderId="0" applyNumberFormat="0" applyBorder="0" applyAlignment="0" applyProtection="0"/>
    <xf numFmtId="0" fontId="53" fillId="7" borderId="1" applyNumberFormat="0" applyAlignment="0" applyProtection="0"/>
    <xf numFmtId="0" fontId="70" fillId="7" borderId="1" applyNumberFormat="0" applyAlignment="0" applyProtection="0"/>
    <xf numFmtId="208" fontId="70" fillId="7" borderId="1" applyNumberFormat="0" applyAlignment="0" applyProtection="0"/>
    <xf numFmtId="208" fontId="53" fillId="7" borderId="1" applyNumberFormat="0" applyAlignment="0" applyProtection="0"/>
    <xf numFmtId="0" fontId="70" fillId="7" borderId="1" applyNumberFormat="0" applyAlignment="0" applyProtection="0"/>
    <xf numFmtId="208" fontId="70" fillId="7" borderId="1" applyNumberFormat="0" applyAlignment="0" applyProtection="0"/>
    <xf numFmtId="0" fontId="70" fillId="7" borderId="1" applyNumberFormat="0" applyAlignment="0" applyProtection="0"/>
    <xf numFmtId="208" fontId="70" fillId="7" borderId="1" applyNumberFormat="0" applyAlignment="0" applyProtection="0"/>
    <xf numFmtId="0" fontId="70" fillId="7" borderId="1" applyNumberFormat="0" applyAlignment="0" applyProtection="0"/>
    <xf numFmtId="208" fontId="70" fillId="7" borderId="1" applyNumberFormat="0" applyAlignment="0" applyProtection="0"/>
    <xf numFmtId="0" fontId="70" fillId="7" borderId="1" applyNumberFormat="0" applyAlignment="0" applyProtection="0"/>
    <xf numFmtId="208" fontId="70" fillId="7" borderId="1" applyNumberFormat="0" applyAlignment="0" applyProtection="0"/>
    <xf numFmtId="0" fontId="70" fillId="7" borderId="1" applyNumberFormat="0" applyAlignment="0" applyProtection="0"/>
    <xf numFmtId="208" fontId="70" fillId="7" borderId="1" applyNumberFormat="0" applyAlignment="0" applyProtection="0"/>
    <xf numFmtId="208" fontId="70" fillId="7" borderId="1" applyNumberFormat="0" applyAlignment="0" applyProtection="0"/>
    <xf numFmtId="187" fontId="35" fillId="0" borderId="0" applyFont="0" applyFill="0" applyBorder="0" applyAlignment="0" applyProtection="0"/>
    <xf numFmtId="187" fontId="9" fillId="0" borderId="0" applyFont="0" applyFill="0" applyBorder="0" applyAlignment="0" applyProtection="0"/>
    <xf numFmtId="208" fontId="9" fillId="0" borderId="0" applyFont="0" applyFill="0" applyBorder="0" applyAlignment="0" applyProtection="0"/>
    <xf numFmtId="187" fontId="9" fillId="0" borderId="0" applyFont="0" applyFill="0" applyBorder="0" applyAlignment="0" applyProtection="0"/>
    <xf numFmtId="208" fontId="9" fillId="0" borderId="0" applyFont="0" applyFill="0" applyBorder="0" applyAlignment="0" applyProtection="0"/>
    <xf numFmtId="187" fontId="9" fillId="0" borderId="0" applyFont="0" applyFill="0" applyBorder="0" applyAlignment="0" applyProtection="0"/>
    <xf numFmtId="208" fontId="9" fillId="0" borderId="0" applyFont="0" applyFill="0" applyBorder="0" applyAlignment="0" applyProtection="0"/>
    <xf numFmtId="187" fontId="9" fillId="0" borderId="0" applyFont="0" applyFill="0" applyBorder="0" applyAlignment="0" applyProtection="0"/>
    <xf numFmtId="208" fontId="9" fillId="0" borderId="0" applyFont="0" applyFill="0" applyBorder="0" applyAlignment="0" applyProtection="0"/>
    <xf numFmtId="208" fontId="9" fillId="0" borderId="0" applyFont="0" applyFill="0" applyBorder="0" applyAlignment="0" applyProtection="0"/>
    <xf numFmtId="208" fontId="9" fillId="0" borderId="0" applyFont="0" applyFill="0" applyBorder="0" applyAlignment="0" applyProtection="0"/>
    <xf numFmtId="194" fontId="9" fillId="0" borderId="0" applyFont="0" applyFill="0" applyBorder="0" applyAlignment="0" applyProtection="0"/>
    <xf numFmtId="0" fontId="75" fillId="0" borderId="0" applyNumberFormat="0" applyFill="0" applyBorder="0" applyAlignment="0" applyProtection="0"/>
    <xf numFmtId="208" fontId="75" fillId="0" borderId="0" applyNumberFormat="0" applyFill="0" applyBorder="0" applyAlignment="0" applyProtection="0"/>
    <xf numFmtId="0" fontId="66" fillId="4" borderId="0" applyNumberFormat="0" applyBorder="0" applyAlignment="0" applyProtection="0"/>
    <xf numFmtId="208" fontId="66" fillId="4" borderId="0" applyNumberFormat="0" applyBorder="0" applyAlignment="0" applyProtection="0"/>
    <xf numFmtId="0" fontId="44" fillId="0" borderId="4" applyNumberFormat="0" applyFill="0" applyAlignment="0" applyProtection="0"/>
    <xf numFmtId="208" fontId="44" fillId="0" borderId="4" applyNumberFormat="0" applyFill="0" applyAlignment="0" applyProtection="0"/>
    <xf numFmtId="0" fontId="45" fillId="0" borderId="5" applyNumberFormat="0" applyFill="0" applyAlignment="0" applyProtection="0"/>
    <xf numFmtId="208" fontId="45" fillId="0" borderId="5" applyNumberFormat="0" applyFill="0" applyAlignment="0" applyProtection="0"/>
    <xf numFmtId="0" fontId="42" fillId="0" borderId="6" applyNumberFormat="0" applyFill="0" applyAlignment="0" applyProtection="0"/>
    <xf numFmtId="208" fontId="42" fillId="0" borderId="6" applyNumberFormat="0" applyFill="0" applyAlignment="0" applyProtection="0"/>
    <xf numFmtId="0" fontId="42" fillId="0" borderId="0" applyNumberFormat="0" applyFill="0" applyBorder="0" applyAlignment="0" applyProtection="0"/>
    <xf numFmtId="208" fontId="42" fillId="0" borderId="0" applyNumberFormat="0" applyFill="0" applyBorder="0" applyAlignment="0" applyProtection="0"/>
    <xf numFmtId="0" fontId="5"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208" fontId="88" fillId="0" borderId="0" applyNumberFormat="0" applyFill="0" applyBorder="0" applyAlignment="0" applyProtection="0">
      <alignment vertical="top"/>
      <protection locked="0"/>
    </xf>
    <xf numFmtId="208" fontId="5" fillId="0" borderId="0" applyNumberFormat="0" applyFill="0" applyBorder="0" applyAlignment="0" applyProtection="0">
      <alignment vertical="top"/>
      <protection locked="0"/>
    </xf>
    <xf numFmtId="208" fontId="5" fillId="0" borderId="0" applyNumberFormat="0" applyFill="0" applyBorder="0" applyAlignment="0" applyProtection="0">
      <alignment vertical="top"/>
      <protection locked="0"/>
    </xf>
    <xf numFmtId="0" fontId="54" fillId="3" borderId="0" applyNumberFormat="0" applyBorder="0" applyAlignment="0" applyProtection="0"/>
    <xf numFmtId="0" fontId="71" fillId="3" borderId="0" applyNumberFormat="0" applyBorder="0" applyAlignment="0" applyProtection="0"/>
    <xf numFmtId="208" fontId="71" fillId="3" borderId="0" applyNumberFormat="0" applyBorder="0" applyAlignment="0" applyProtection="0"/>
    <xf numFmtId="208" fontId="54" fillId="3" borderId="0" applyNumberFormat="0" applyBorder="0" applyAlignment="0" applyProtection="0"/>
    <xf numFmtId="0" fontId="71" fillId="3" borderId="0" applyNumberFormat="0" applyBorder="0" applyAlignment="0" applyProtection="0"/>
    <xf numFmtId="208" fontId="71" fillId="3" borderId="0" applyNumberFormat="0" applyBorder="0" applyAlignment="0" applyProtection="0"/>
    <xf numFmtId="0" fontId="71" fillId="3" borderId="0" applyNumberFormat="0" applyBorder="0" applyAlignment="0" applyProtection="0"/>
    <xf numFmtId="208" fontId="71" fillId="3" borderId="0" applyNumberFormat="0" applyBorder="0" applyAlignment="0" applyProtection="0"/>
    <xf numFmtId="0" fontId="71" fillId="3" borderId="0" applyNumberFormat="0" applyBorder="0" applyAlignment="0" applyProtection="0"/>
    <xf numFmtId="208" fontId="71" fillId="3" borderId="0" applyNumberFormat="0" applyBorder="0" applyAlignment="0" applyProtection="0"/>
    <xf numFmtId="0" fontId="71" fillId="3" borderId="0" applyNumberFormat="0" applyBorder="0" applyAlignment="0" applyProtection="0"/>
    <xf numFmtId="208" fontId="71" fillId="3" borderId="0" applyNumberFormat="0" applyBorder="0" applyAlignment="0" applyProtection="0"/>
    <xf numFmtId="0" fontId="71" fillId="3" borderId="0" applyNumberFormat="0" applyBorder="0" applyAlignment="0" applyProtection="0"/>
    <xf numFmtId="208" fontId="71" fillId="3" borderId="0" applyNumberFormat="0" applyBorder="0" applyAlignment="0" applyProtection="0"/>
    <xf numFmtId="208" fontId="71" fillId="3" borderId="0" applyNumberFormat="0" applyBorder="0" applyAlignment="0" applyProtection="0"/>
    <xf numFmtId="0" fontId="70" fillId="7" borderId="1" applyNumberFormat="0" applyAlignment="0" applyProtection="0"/>
    <xf numFmtId="208" fontId="70" fillId="7" borderId="1" applyNumberFormat="0" applyAlignment="0" applyProtection="0"/>
    <xf numFmtId="0" fontId="69" fillId="0" borderId="3" applyNumberFormat="0" applyFill="0" applyAlignment="0" applyProtection="0"/>
    <xf numFmtId="208" fontId="69" fillId="0" borderId="3" applyNumberFormat="0" applyFill="0" applyAlignment="0" applyProtection="0"/>
    <xf numFmtId="175" fontId="1" fillId="0" borderId="0" applyFont="0" applyFill="0" applyBorder="0" applyAlignment="0" applyProtection="0"/>
    <xf numFmtId="171" fontId="9" fillId="0" borderId="0" applyFont="0" applyFill="0" applyBorder="0" applyAlignment="0" applyProtection="0"/>
    <xf numFmtId="175" fontId="9" fillId="0" borderId="0" applyFont="0" applyFill="0" applyBorder="0" applyAlignment="0" applyProtection="0"/>
    <xf numFmtId="175" fontId="9" fillId="0" borderId="0" applyFont="0" applyFill="0" applyBorder="0" applyAlignment="0" applyProtection="0"/>
    <xf numFmtId="171" fontId="9" fillId="0" borderId="0" applyFont="0" applyFill="0" applyBorder="0" applyAlignment="0" applyProtection="0"/>
    <xf numFmtId="171" fontId="87" fillId="0" borderId="0" applyFont="0" applyFill="0" applyBorder="0" applyAlignment="0" applyProtection="0"/>
    <xf numFmtId="175" fontId="46" fillId="0" borderId="0" applyFont="0" applyFill="0" applyBorder="0" applyAlignment="0" applyProtection="0"/>
    <xf numFmtId="175" fontId="9" fillId="0" borderId="0" applyFont="0" applyFill="0" applyBorder="0" applyAlignment="0" applyProtection="0"/>
    <xf numFmtId="171" fontId="87" fillId="0" borderId="0" applyFont="0" applyFill="0" applyBorder="0" applyAlignment="0" applyProtection="0"/>
    <xf numFmtId="171" fontId="9" fillId="0" borderId="0" applyFont="0" applyFill="0" applyBorder="0" applyAlignment="0" applyProtection="0"/>
    <xf numFmtId="175" fontId="64" fillId="0" borderId="0" applyFont="0" applyFill="0" applyBorder="0" applyAlignment="0" applyProtection="0"/>
    <xf numFmtId="175" fontId="9" fillId="0" borderId="0" applyFont="0" applyFill="0" applyBorder="0" applyAlignment="0" applyProtection="0"/>
    <xf numFmtId="175" fontId="9" fillId="0" borderId="0" applyFont="0" applyFill="0" applyBorder="0" applyAlignment="0" applyProtection="0"/>
    <xf numFmtId="175" fontId="9" fillId="0" borderId="0" applyFont="0" applyFill="0" applyBorder="0" applyAlignment="0" applyProtection="0"/>
    <xf numFmtId="175" fontId="83" fillId="0" borderId="0" applyFont="0" applyFill="0" applyBorder="0" applyAlignment="0" applyProtection="0"/>
    <xf numFmtId="171" fontId="9" fillId="0" borderId="0" applyFont="0" applyFill="0" applyBorder="0" applyAlignment="0" applyProtection="0"/>
    <xf numFmtId="175" fontId="9" fillId="0" borderId="0" applyFont="0" applyFill="0" applyBorder="0" applyAlignment="0" applyProtection="0"/>
    <xf numFmtId="171" fontId="9" fillId="0" borderId="0" applyFont="0" applyFill="0" applyBorder="0" applyAlignment="0" applyProtection="0"/>
    <xf numFmtId="175" fontId="9" fillId="0" borderId="0" applyFont="0" applyFill="0" applyBorder="0" applyAlignment="0" applyProtection="0"/>
    <xf numFmtId="175" fontId="30" fillId="0" borderId="0" applyFont="0" applyFill="0" applyBorder="0" applyAlignment="0" applyProtection="0"/>
    <xf numFmtId="175" fontId="9" fillId="0" borderId="0" applyFont="0" applyFill="0" applyBorder="0" applyAlignment="0" applyProtection="0"/>
    <xf numFmtId="175" fontId="9" fillId="0" borderId="0" applyFont="0" applyFill="0" applyBorder="0" applyAlignment="0" applyProtection="0"/>
    <xf numFmtId="171" fontId="9" fillId="0" borderId="0" applyFont="0" applyFill="0" applyBorder="0" applyAlignment="0" applyProtection="0"/>
    <xf numFmtId="175" fontId="9" fillId="0" borderId="0" applyFont="0" applyFill="0" applyBorder="0" applyAlignment="0" applyProtection="0"/>
    <xf numFmtId="176" fontId="64" fillId="0" borderId="0" applyFont="0" applyFill="0" applyBorder="0" applyAlignment="0" applyProtection="0"/>
    <xf numFmtId="175" fontId="76" fillId="0" borderId="0" applyFont="0" applyFill="0" applyBorder="0" applyAlignment="0" applyProtection="0"/>
    <xf numFmtId="175" fontId="77" fillId="0" borderId="0" applyFont="0" applyFill="0" applyBorder="0" applyAlignment="0" applyProtection="0"/>
    <xf numFmtId="180" fontId="31" fillId="0" borderId="0" applyFont="0" applyFill="0" applyBorder="0" applyAlignment="0" applyProtection="0"/>
    <xf numFmtId="180" fontId="9" fillId="0" borderId="0" applyFont="0" applyFill="0" applyBorder="0" applyAlignment="0" applyProtection="0"/>
    <xf numFmtId="175" fontId="9" fillId="0" borderId="0" applyFont="0" applyFill="0" applyBorder="0" applyAlignment="0" applyProtection="0"/>
    <xf numFmtId="175" fontId="9" fillId="0" borderId="0" applyFont="0" applyFill="0" applyBorder="0" applyAlignment="0" applyProtection="0"/>
    <xf numFmtId="175" fontId="9" fillId="0" borderId="0" applyFont="0" applyFill="0" applyBorder="0" applyAlignment="0" applyProtection="0"/>
    <xf numFmtId="0" fontId="16"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208" fontId="9" fillId="0" borderId="0" applyFont="0" applyFill="0" applyBorder="0" applyAlignment="0" applyProtection="0"/>
    <xf numFmtId="208" fontId="9" fillId="0" borderId="0" applyFont="0" applyFill="0" applyBorder="0" applyAlignment="0" applyProtection="0"/>
    <xf numFmtId="208" fontId="9" fillId="0" borderId="0" applyFont="0" applyFill="0" applyBorder="0" applyAlignment="0" applyProtection="0"/>
    <xf numFmtId="175" fontId="9" fillId="0" borderId="0" applyFont="0" applyFill="0" applyBorder="0" applyAlignment="0" applyProtection="0"/>
    <xf numFmtId="175" fontId="9" fillId="0" borderId="0" applyFont="0" applyFill="0" applyBorder="0" applyAlignment="0" applyProtection="0"/>
    <xf numFmtId="175" fontId="34" fillId="0" borderId="0" applyFont="0" applyFill="0" applyBorder="0" applyAlignment="0" applyProtection="0"/>
    <xf numFmtId="179" fontId="9" fillId="0" borderId="0" applyFont="0" applyFill="0" applyBorder="0" applyAlignment="0" applyProtection="0"/>
    <xf numFmtId="175" fontId="9" fillId="0" borderId="0" applyFont="0" applyFill="0" applyBorder="0" applyAlignment="0" applyProtection="0"/>
    <xf numFmtId="175" fontId="9" fillId="0" borderId="0" applyFont="0" applyFill="0" applyBorder="0" applyAlignment="0" applyProtection="0"/>
    <xf numFmtId="175" fontId="35" fillId="0" borderId="0" applyFont="0" applyFill="0" applyBorder="0" applyAlignment="0" applyProtection="0"/>
    <xf numFmtId="175" fontId="9" fillId="0" borderId="0" applyFont="0" applyFill="0" applyBorder="0" applyAlignment="0" applyProtection="0"/>
    <xf numFmtId="175" fontId="9" fillId="0" borderId="0" applyFont="0" applyFill="0" applyBorder="0" applyAlignment="0" applyProtection="0"/>
    <xf numFmtId="171" fontId="36" fillId="0" borderId="0" applyFont="0" applyFill="0" applyBorder="0" applyAlignment="0" applyProtection="0"/>
    <xf numFmtId="175" fontId="9" fillId="0" borderId="0" applyFont="0" applyFill="0" applyBorder="0" applyAlignment="0" applyProtection="0"/>
    <xf numFmtId="171" fontId="36" fillId="0" borderId="0" applyFont="0" applyFill="0" applyBorder="0" applyAlignment="0" applyProtection="0"/>
    <xf numFmtId="175" fontId="37" fillId="0" borderId="0" applyFont="0" applyFill="0" applyBorder="0" applyAlignment="0" applyProtection="0"/>
    <xf numFmtId="175" fontId="9" fillId="0" borderId="0" applyFont="0" applyFill="0" applyBorder="0" applyAlignment="0" applyProtection="0"/>
    <xf numFmtId="175" fontId="9"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174" fontId="1" fillId="0" borderId="0" applyFont="0" applyFill="0" applyBorder="0" applyAlignment="0" applyProtection="0"/>
    <xf numFmtId="174" fontId="34" fillId="0" borderId="0" applyFont="0" applyFill="0" applyBorder="0" applyAlignment="0" applyProtection="0"/>
    <xf numFmtId="174" fontId="9" fillId="0" borderId="0" applyFont="0" applyFill="0" applyBorder="0" applyAlignment="0" applyProtection="0"/>
    <xf numFmtId="190"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46" fillId="0" borderId="0" applyFont="0" applyFill="0" applyBorder="0" applyAlignment="0" applyProtection="0"/>
    <xf numFmtId="44" fontId="87" fillId="0" borderId="0" applyFont="0" applyFill="0" applyBorder="0" applyAlignment="0" applyProtection="0"/>
    <xf numFmtId="174" fontId="9" fillId="0" borderId="0" applyFont="0" applyFill="0" applyBorder="0" applyAlignment="0" applyProtection="0"/>
    <xf numFmtId="174" fontId="63" fillId="0" borderId="0" applyFont="0" applyFill="0" applyBorder="0" applyAlignment="0" applyProtection="0"/>
    <xf numFmtId="174" fontId="9" fillId="0" borderId="0" applyFont="0" applyFill="0" applyBorder="0" applyAlignment="0" applyProtection="0"/>
    <xf numFmtId="174" fontId="64" fillId="0" borderId="0" applyFont="0" applyFill="0" applyBorder="0" applyAlignment="0" applyProtection="0"/>
    <xf numFmtId="174" fontId="9" fillId="0" borderId="0" applyFont="0" applyFill="0" applyBorder="0" applyAlignment="0" applyProtection="0"/>
    <xf numFmtId="174" fontId="77" fillId="0" borderId="0" applyFont="0" applyFill="0" applyBorder="0" applyAlignment="0" applyProtection="0"/>
    <xf numFmtId="174" fontId="83" fillId="0" borderId="0" applyFont="0" applyFill="0" applyBorder="0" applyAlignment="0" applyProtection="0"/>
    <xf numFmtId="174" fontId="79" fillId="0" borderId="0" applyFont="0" applyFill="0" applyBorder="0" applyAlignment="0" applyProtection="0"/>
    <xf numFmtId="0" fontId="55" fillId="22" borderId="0" applyNumberFormat="0" applyBorder="0" applyAlignment="0" applyProtection="0"/>
    <xf numFmtId="0" fontId="72" fillId="22" borderId="0" applyNumberFormat="0" applyBorder="0" applyAlignment="0" applyProtection="0"/>
    <xf numFmtId="208" fontId="72" fillId="22" borderId="0" applyNumberFormat="0" applyBorder="0" applyAlignment="0" applyProtection="0"/>
    <xf numFmtId="208" fontId="55" fillId="22" borderId="0" applyNumberFormat="0" applyBorder="0" applyAlignment="0" applyProtection="0"/>
    <xf numFmtId="0" fontId="72" fillId="22" borderId="0" applyNumberFormat="0" applyBorder="0" applyAlignment="0" applyProtection="0"/>
    <xf numFmtId="208" fontId="72" fillId="22" borderId="0" applyNumberFormat="0" applyBorder="0" applyAlignment="0" applyProtection="0"/>
    <xf numFmtId="0" fontId="72" fillId="22" borderId="0" applyNumberFormat="0" applyBorder="0" applyAlignment="0" applyProtection="0"/>
    <xf numFmtId="208" fontId="72" fillId="22" borderId="0" applyNumberFormat="0" applyBorder="0" applyAlignment="0" applyProtection="0"/>
    <xf numFmtId="0" fontId="72" fillId="22" borderId="0" applyNumberFormat="0" applyBorder="0" applyAlignment="0" applyProtection="0"/>
    <xf numFmtId="208" fontId="72" fillId="22" borderId="0" applyNumberFormat="0" applyBorder="0" applyAlignment="0" applyProtection="0"/>
    <xf numFmtId="0" fontId="72" fillId="22" borderId="0" applyNumberFormat="0" applyBorder="0" applyAlignment="0" applyProtection="0"/>
    <xf numFmtId="208" fontId="72" fillId="22" borderId="0" applyNumberFormat="0" applyBorder="0" applyAlignment="0" applyProtection="0"/>
    <xf numFmtId="0" fontId="72" fillId="22" borderId="0" applyNumberFormat="0" applyBorder="0" applyAlignment="0" applyProtection="0"/>
    <xf numFmtId="208" fontId="72" fillId="22" borderId="0" applyNumberFormat="0" applyBorder="0" applyAlignment="0" applyProtection="0"/>
    <xf numFmtId="208" fontId="72" fillId="22" borderId="0" applyNumberFormat="0" applyBorder="0" applyAlignment="0" applyProtection="0"/>
    <xf numFmtId="0" fontId="9" fillId="0" borderId="0"/>
    <xf numFmtId="208" fontId="9" fillId="0" borderId="0"/>
    <xf numFmtId="0" fontId="9" fillId="0" borderId="0"/>
    <xf numFmtId="0" fontId="9" fillId="0" borderId="0"/>
    <xf numFmtId="208" fontId="9" fillId="0" borderId="0"/>
    <xf numFmtId="0" fontId="9" fillId="0" borderId="0"/>
    <xf numFmtId="208" fontId="9" fillId="0" borderId="0"/>
    <xf numFmtId="208" fontId="9" fillId="0" borderId="0"/>
    <xf numFmtId="0" fontId="87" fillId="0" borderId="0"/>
    <xf numFmtId="208" fontId="87" fillId="0" borderId="0"/>
    <xf numFmtId="208" fontId="83" fillId="0" borderId="0"/>
    <xf numFmtId="0" fontId="9" fillId="0" borderId="0"/>
    <xf numFmtId="0" fontId="9" fillId="0" borderId="0"/>
    <xf numFmtId="208" fontId="9" fillId="0" borderId="0"/>
    <xf numFmtId="208" fontId="9" fillId="0" borderId="0"/>
    <xf numFmtId="0" fontId="9" fillId="0" borderId="0"/>
    <xf numFmtId="208" fontId="9" fillId="0" borderId="0"/>
    <xf numFmtId="0" fontId="9" fillId="0" borderId="0"/>
    <xf numFmtId="0" fontId="9" fillId="0" borderId="0"/>
    <xf numFmtId="0" fontId="9" fillId="0" borderId="0"/>
    <xf numFmtId="208" fontId="9" fillId="0" borderId="0"/>
    <xf numFmtId="208" fontId="87" fillId="0" borderId="0"/>
    <xf numFmtId="208" fontId="9" fillId="0" borderId="0"/>
    <xf numFmtId="208" fontId="9" fillId="0" borderId="0"/>
    <xf numFmtId="208" fontId="9" fillId="0" borderId="0"/>
    <xf numFmtId="0" fontId="9" fillId="0" borderId="0"/>
    <xf numFmtId="0" fontId="87" fillId="0" borderId="0"/>
    <xf numFmtId="0" fontId="9" fillId="0" borderId="0"/>
    <xf numFmtId="208" fontId="9" fillId="0" borderId="0"/>
    <xf numFmtId="208" fontId="87" fillId="0" borderId="0"/>
    <xf numFmtId="0" fontId="87" fillId="0" borderId="0"/>
    <xf numFmtId="208" fontId="87" fillId="0" borderId="0"/>
    <xf numFmtId="0" fontId="87" fillId="0" borderId="0"/>
    <xf numFmtId="208" fontId="87" fillId="0" borderId="0"/>
    <xf numFmtId="208" fontId="9" fillId="0" borderId="0"/>
    <xf numFmtId="0" fontId="9" fillId="0" borderId="0"/>
    <xf numFmtId="0" fontId="87" fillId="0" borderId="0"/>
    <xf numFmtId="0" fontId="9" fillId="0" borderId="0"/>
    <xf numFmtId="208" fontId="9" fillId="0" borderId="0"/>
    <xf numFmtId="208" fontId="87" fillId="0" borderId="0"/>
    <xf numFmtId="0" fontId="9" fillId="0" borderId="0"/>
    <xf numFmtId="0" fontId="9" fillId="0" borderId="0"/>
    <xf numFmtId="0" fontId="9" fillId="0" borderId="0"/>
    <xf numFmtId="208" fontId="9" fillId="0" borderId="0"/>
    <xf numFmtId="0" fontId="87" fillId="0" borderId="0"/>
    <xf numFmtId="208" fontId="87" fillId="0" borderId="0"/>
    <xf numFmtId="208" fontId="9" fillId="0" borderId="0"/>
    <xf numFmtId="0" fontId="87" fillId="0" borderId="0"/>
    <xf numFmtId="208" fontId="87" fillId="0" borderId="0"/>
    <xf numFmtId="0" fontId="9" fillId="0" borderId="0"/>
    <xf numFmtId="208" fontId="9" fillId="0" borderId="0"/>
    <xf numFmtId="208" fontId="9" fillId="0" borderId="0"/>
    <xf numFmtId="0" fontId="9" fillId="0" borderId="0"/>
    <xf numFmtId="0" fontId="9" fillId="0" borderId="0"/>
    <xf numFmtId="208" fontId="9" fillId="0" borderId="0"/>
    <xf numFmtId="0" fontId="9" fillId="0" borderId="0"/>
    <xf numFmtId="208" fontId="9" fillId="0" borderId="0"/>
    <xf numFmtId="0" fontId="87" fillId="0" borderId="0"/>
    <xf numFmtId="208" fontId="87" fillId="0" borderId="0"/>
    <xf numFmtId="0" fontId="9" fillId="0" borderId="0"/>
    <xf numFmtId="208" fontId="9" fillId="0" borderId="0"/>
    <xf numFmtId="208" fontId="9" fillId="0" borderId="0"/>
    <xf numFmtId="0" fontId="9" fillId="0" borderId="0"/>
    <xf numFmtId="0" fontId="9" fillId="0" borderId="0"/>
    <xf numFmtId="0" fontId="9" fillId="0" borderId="0"/>
    <xf numFmtId="208" fontId="9" fillId="0" borderId="0"/>
    <xf numFmtId="0" fontId="9" fillId="0" borderId="0"/>
    <xf numFmtId="208" fontId="9" fillId="0" borderId="0"/>
    <xf numFmtId="0" fontId="9" fillId="0" borderId="0"/>
    <xf numFmtId="208" fontId="9" fillId="0" borderId="0"/>
    <xf numFmtId="208" fontId="9" fillId="0" borderId="0"/>
    <xf numFmtId="0" fontId="9" fillId="0" borderId="0"/>
    <xf numFmtId="0" fontId="9" fillId="0" borderId="0"/>
    <xf numFmtId="208" fontId="9" fillId="0" borderId="0"/>
    <xf numFmtId="0" fontId="9" fillId="0" borderId="0"/>
    <xf numFmtId="208" fontId="9" fillId="0" borderId="0"/>
    <xf numFmtId="208" fontId="9" fillId="0" borderId="0"/>
    <xf numFmtId="0" fontId="9" fillId="0" borderId="0"/>
    <xf numFmtId="208" fontId="9" fillId="0" borderId="0"/>
    <xf numFmtId="0" fontId="87" fillId="0" borderId="0"/>
    <xf numFmtId="208" fontId="87" fillId="0" borderId="0"/>
    <xf numFmtId="0" fontId="9" fillId="23" borderId="7" applyNumberFormat="0" applyFont="0" applyAlignment="0" applyProtection="0"/>
    <xf numFmtId="0" fontId="36" fillId="23" borderId="7" applyNumberFormat="0" applyFont="0" applyAlignment="0" applyProtection="0"/>
    <xf numFmtId="208" fontId="36" fillId="23" borderId="7" applyNumberFormat="0" applyFont="0" applyAlignment="0" applyProtection="0"/>
    <xf numFmtId="208" fontId="9" fillId="23" borderId="7" applyNumberFormat="0" applyFont="0" applyAlignment="0" applyProtection="0"/>
    <xf numFmtId="0" fontId="36" fillId="23" borderId="7" applyNumberFormat="0" applyFont="0" applyAlignment="0" applyProtection="0"/>
    <xf numFmtId="208" fontId="36" fillId="23" borderId="7" applyNumberFormat="0" applyFont="0" applyAlignment="0" applyProtection="0"/>
    <xf numFmtId="0" fontId="36" fillId="23" borderId="7" applyNumberFormat="0" applyFont="0" applyAlignment="0" applyProtection="0"/>
    <xf numFmtId="208" fontId="36" fillId="23" borderId="7" applyNumberFormat="0" applyFont="0" applyAlignment="0" applyProtection="0"/>
    <xf numFmtId="0" fontId="36" fillId="23" borderId="7" applyNumberFormat="0" applyFont="0" applyAlignment="0" applyProtection="0"/>
    <xf numFmtId="208" fontId="36" fillId="23" borderId="7" applyNumberFormat="0" applyFont="0" applyAlignment="0" applyProtection="0"/>
    <xf numFmtId="0" fontId="36" fillId="23" borderId="7" applyNumberFormat="0" applyFont="0" applyAlignment="0" applyProtection="0"/>
    <xf numFmtId="208" fontId="36" fillId="23" borderId="7" applyNumberFormat="0" applyFont="0" applyAlignment="0" applyProtection="0"/>
    <xf numFmtId="0" fontId="36" fillId="23" borderId="7" applyNumberFormat="0" applyFont="0" applyAlignment="0" applyProtection="0"/>
    <xf numFmtId="208" fontId="36" fillId="23" borderId="7" applyNumberFormat="0" applyFont="0" applyAlignment="0" applyProtection="0"/>
    <xf numFmtId="208" fontId="9"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208" fontId="36" fillId="23" borderId="7" applyNumberFormat="0" applyFont="0" applyAlignment="0" applyProtection="0"/>
    <xf numFmtId="208" fontId="36" fillId="23" borderId="7" applyNumberFormat="0" applyFont="0" applyAlignment="0" applyProtection="0"/>
    <xf numFmtId="0" fontId="9" fillId="29" borderId="81" applyNumberFormat="0" applyFont="0" applyAlignment="0" applyProtection="0"/>
    <xf numFmtId="0" fontId="73" fillId="20" borderId="8" applyNumberFormat="0" applyAlignment="0" applyProtection="0"/>
    <xf numFmtId="208" fontId="73" fillId="20" borderId="8" applyNumberFormat="0" applyAlignment="0" applyProtection="0"/>
    <xf numFmtId="9" fontId="1" fillId="0" borderId="0" applyFont="0" applyFill="0" applyBorder="0" applyAlignment="0" applyProtection="0"/>
    <xf numFmtId="9" fontId="76" fillId="0" borderId="0" applyFont="0" applyFill="0" applyBorder="0" applyAlignment="0" applyProtection="0"/>
    <xf numFmtId="9" fontId="83" fillId="0" borderId="0" applyFont="0" applyFill="0" applyBorder="0" applyAlignment="0" applyProtection="0"/>
    <xf numFmtId="9" fontId="77" fillId="0" borderId="0" applyFont="0" applyFill="0" applyBorder="0" applyAlignment="0" applyProtection="0"/>
    <xf numFmtId="9" fontId="7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6" fillId="0" borderId="0" applyFont="0" applyFill="0" applyBorder="0" applyAlignment="0" applyProtection="0"/>
    <xf numFmtId="9" fontId="9" fillId="0" borderId="0" applyFill="0" applyBorder="0" applyAlignment="0" applyProtection="0"/>
    <xf numFmtId="9" fontId="9" fillId="0" borderId="0" applyFont="0" applyFill="0" applyBorder="0" applyAlignment="0" applyProtection="0"/>
    <xf numFmtId="9" fontId="61" fillId="0" borderId="0" applyFont="0" applyFill="0" applyBorder="0" applyAlignment="0" applyProtection="0"/>
    <xf numFmtId="9" fontId="9" fillId="0" borderId="0" applyFont="0" applyFill="0" applyBorder="0" applyAlignment="0" applyProtection="0"/>
    <xf numFmtId="9" fontId="62" fillId="0" borderId="0" applyFont="0" applyFill="0" applyBorder="0" applyAlignment="0" applyProtection="0"/>
    <xf numFmtId="9" fontId="9" fillId="0" borderId="0" applyFont="0" applyFill="0" applyBorder="0" applyAlignment="0" applyProtection="0"/>
    <xf numFmtId="9" fontId="63" fillId="0" borderId="0" applyFont="0" applyFill="0" applyBorder="0" applyAlignment="0" applyProtection="0"/>
    <xf numFmtId="9" fontId="9" fillId="0" borderId="0" applyFont="0" applyFill="0" applyBorder="0" applyAlignment="0" applyProtection="0"/>
    <xf numFmtId="9" fontId="64" fillId="0" borderId="0" applyFont="0" applyFill="0" applyBorder="0" applyAlignment="0" applyProtection="0"/>
    <xf numFmtId="9" fontId="87" fillId="0" borderId="0" applyFont="0" applyFill="0" applyBorder="0" applyAlignment="0" applyProtection="0"/>
    <xf numFmtId="9" fontId="9"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4" fillId="0" borderId="0" applyFont="0" applyFill="0" applyBorder="0" applyAlignment="0" applyProtection="0"/>
    <xf numFmtId="9" fontId="9" fillId="0" borderId="0" applyFont="0" applyFill="0" applyBorder="0" applyAlignment="0" applyProtection="0"/>
    <xf numFmtId="9" fontId="35" fillId="0" borderId="0" applyFont="0" applyFill="0" applyBorder="0" applyAlignment="0" applyProtection="0"/>
    <xf numFmtId="9" fontId="9" fillId="0" borderId="0" applyFont="0" applyFill="0" applyBorder="0" applyAlignment="0" applyProtection="0"/>
    <xf numFmtId="9" fontId="37" fillId="0" borderId="0" applyFont="0" applyFill="0" applyBorder="0" applyAlignment="0" applyProtection="0"/>
    <xf numFmtId="9" fontId="9" fillId="0" borderId="0" applyFont="0" applyFill="0" applyBorder="0" applyAlignment="0" applyProtection="0"/>
    <xf numFmtId="9" fontId="4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56" fillId="20" borderId="8" applyNumberFormat="0" applyAlignment="0" applyProtection="0"/>
    <xf numFmtId="0" fontId="73" fillId="20" borderId="8" applyNumberFormat="0" applyAlignment="0" applyProtection="0"/>
    <xf numFmtId="208" fontId="73" fillId="20" borderId="8" applyNumberFormat="0" applyAlignment="0" applyProtection="0"/>
    <xf numFmtId="208" fontId="56" fillId="20" borderId="8" applyNumberFormat="0" applyAlignment="0" applyProtection="0"/>
    <xf numFmtId="0" fontId="73" fillId="20" borderId="8" applyNumberFormat="0" applyAlignment="0" applyProtection="0"/>
    <xf numFmtId="208" fontId="73" fillId="20" borderId="8" applyNumberFormat="0" applyAlignment="0" applyProtection="0"/>
    <xf numFmtId="0" fontId="73" fillId="20" borderId="8" applyNumberFormat="0" applyAlignment="0" applyProtection="0"/>
    <xf numFmtId="208" fontId="73" fillId="20" borderId="8" applyNumberFormat="0" applyAlignment="0" applyProtection="0"/>
    <xf numFmtId="0" fontId="73" fillId="20" borderId="8" applyNumberFormat="0" applyAlignment="0" applyProtection="0"/>
    <xf numFmtId="208" fontId="73" fillId="20" borderId="8" applyNumberFormat="0" applyAlignment="0" applyProtection="0"/>
    <xf numFmtId="0" fontId="73" fillId="20" borderId="8" applyNumberFormat="0" applyAlignment="0" applyProtection="0"/>
    <xf numFmtId="208" fontId="73" fillId="20" borderId="8" applyNumberFormat="0" applyAlignment="0" applyProtection="0"/>
    <xf numFmtId="0" fontId="73" fillId="20" borderId="8" applyNumberFormat="0" applyAlignment="0" applyProtection="0"/>
    <xf numFmtId="208" fontId="73" fillId="20" borderId="8" applyNumberFormat="0" applyAlignment="0" applyProtection="0"/>
    <xf numFmtId="208" fontId="73" fillId="20" borderId="8" applyNumberFormat="0" applyAlignment="0" applyProtection="0"/>
    <xf numFmtId="0" fontId="57" fillId="0" borderId="0" applyNumberFormat="0" applyFill="0" applyBorder="0" applyAlignment="0" applyProtection="0"/>
    <xf numFmtId="0" fontId="74" fillId="0" borderId="0" applyNumberFormat="0" applyFill="0" applyBorder="0" applyAlignment="0" applyProtection="0"/>
    <xf numFmtId="208" fontId="74" fillId="0" borderId="0" applyNumberFormat="0" applyFill="0" applyBorder="0" applyAlignment="0" applyProtection="0"/>
    <xf numFmtId="208" fontId="57" fillId="0" borderId="0" applyNumberFormat="0" applyFill="0" applyBorder="0" applyAlignment="0" applyProtection="0"/>
    <xf numFmtId="0" fontId="74" fillId="0" borderId="0" applyNumberFormat="0" applyFill="0" applyBorder="0" applyAlignment="0" applyProtection="0"/>
    <xf numFmtId="208" fontId="74" fillId="0" borderId="0" applyNumberFormat="0" applyFill="0" applyBorder="0" applyAlignment="0" applyProtection="0"/>
    <xf numFmtId="0" fontId="74" fillId="0" borderId="0" applyNumberFormat="0" applyFill="0" applyBorder="0" applyAlignment="0" applyProtection="0"/>
    <xf numFmtId="208" fontId="74" fillId="0" borderId="0" applyNumberFormat="0" applyFill="0" applyBorder="0" applyAlignment="0" applyProtection="0"/>
    <xf numFmtId="0" fontId="74" fillId="0" borderId="0" applyNumberFormat="0" applyFill="0" applyBorder="0" applyAlignment="0" applyProtection="0"/>
    <xf numFmtId="208" fontId="74" fillId="0" borderId="0" applyNumberFormat="0" applyFill="0" applyBorder="0" applyAlignment="0" applyProtection="0"/>
    <xf numFmtId="0" fontId="74" fillId="0" borderId="0" applyNumberFormat="0" applyFill="0" applyBorder="0" applyAlignment="0" applyProtection="0"/>
    <xf numFmtId="208" fontId="74" fillId="0" borderId="0" applyNumberFormat="0" applyFill="0" applyBorder="0" applyAlignment="0" applyProtection="0"/>
    <xf numFmtId="0" fontId="74" fillId="0" borderId="0" applyNumberFormat="0" applyFill="0" applyBorder="0" applyAlignment="0" applyProtection="0"/>
    <xf numFmtId="208" fontId="74" fillId="0" borderId="0" applyNumberFormat="0" applyFill="0" applyBorder="0" applyAlignment="0" applyProtection="0"/>
    <xf numFmtId="208" fontId="74" fillId="0" borderId="0" applyNumberFormat="0" applyFill="0" applyBorder="0" applyAlignment="0" applyProtection="0"/>
    <xf numFmtId="0" fontId="58" fillId="0" borderId="0" applyNumberFormat="0" applyFill="0" applyBorder="0" applyAlignment="0" applyProtection="0"/>
    <xf numFmtId="0" fontId="75" fillId="0" borderId="0" applyNumberFormat="0" applyFill="0" applyBorder="0" applyAlignment="0" applyProtection="0"/>
    <xf numFmtId="208" fontId="75" fillId="0" borderId="0" applyNumberFormat="0" applyFill="0" applyBorder="0" applyAlignment="0" applyProtection="0"/>
    <xf numFmtId="208" fontId="58" fillId="0" borderId="0" applyNumberFormat="0" applyFill="0" applyBorder="0" applyAlignment="0" applyProtection="0"/>
    <xf numFmtId="0" fontId="75" fillId="0" borderId="0" applyNumberFormat="0" applyFill="0" applyBorder="0" applyAlignment="0" applyProtection="0"/>
    <xf numFmtId="208" fontId="75" fillId="0" borderId="0" applyNumberFormat="0" applyFill="0" applyBorder="0" applyAlignment="0" applyProtection="0"/>
    <xf numFmtId="0" fontId="75" fillId="0" borderId="0" applyNumberFormat="0" applyFill="0" applyBorder="0" applyAlignment="0" applyProtection="0"/>
    <xf numFmtId="208" fontId="75" fillId="0" borderId="0" applyNumberFormat="0" applyFill="0" applyBorder="0" applyAlignment="0" applyProtection="0"/>
    <xf numFmtId="0" fontId="75" fillId="0" borderId="0" applyNumberFormat="0" applyFill="0" applyBorder="0" applyAlignment="0" applyProtection="0"/>
    <xf numFmtId="208" fontId="75" fillId="0" borderId="0" applyNumberFormat="0" applyFill="0" applyBorder="0" applyAlignment="0" applyProtection="0"/>
    <xf numFmtId="0" fontId="75" fillId="0" borderId="0" applyNumberFormat="0" applyFill="0" applyBorder="0" applyAlignment="0" applyProtection="0"/>
    <xf numFmtId="208" fontId="75" fillId="0" borderId="0" applyNumberFormat="0" applyFill="0" applyBorder="0" applyAlignment="0" applyProtection="0"/>
    <xf numFmtId="0" fontId="75" fillId="0" borderId="0" applyNumberFormat="0" applyFill="0" applyBorder="0" applyAlignment="0" applyProtection="0"/>
    <xf numFmtId="208" fontId="75" fillId="0" borderId="0" applyNumberFormat="0" applyFill="0" applyBorder="0" applyAlignment="0" applyProtection="0"/>
    <xf numFmtId="208" fontId="75" fillId="0" borderId="0" applyNumberFormat="0" applyFill="0" applyBorder="0" applyAlignment="0" applyProtection="0"/>
    <xf numFmtId="0" fontId="43" fillId="0" borderId="0" applyNumberFormat="0" applyFill="0" applyBorder="0" applyAlignment="0" applyProtection="0"/>
    <xf numFmtId="208" fontId="43" fillId="0" borderId="0" applyNumberFormat="0" applyFill="0" applyBorder="0" applyAlignment="0" applyProtection="0"/>
    <xf numFmtId="0" fontId="44" fillId="0" borderId="4" applyNumberFormat="0" applyFill="0" applyAlignment="0" applyProtection="0"/>
    <xf numFmtId="0" fontId="44" fillId="0" borderId="4" applyNumberFormat="0" applyFill="0" applyAlignment="0" applyProtection="0"/>
    <xf numFmtId="208" fontId="44" fillId="0" borderId="4" applyNumberFormat="0" applyFill="0" applyAlignment="0" applyProtection="0"/>
    <xf numFmtId="208" fontId="44" fillId="0" borderId="4" applyNumberFormat="0" applyFill="0" applyAlignment="0" applyProtection="0"/>
    <xf numFmtId="0" fontId="44" fillId="0" borderId="4" applyNumberFormat="0" applyFill="0" applyAlignment="0" applyProtection="0"/>
    <xf numFmtId="208" fontId="44" fillId="0" borderId="4" applyNumberFormat="0" applyFill="0" applyAlignment="0" applyProtection="0"/>
    <xf numFmtId="0" fontId="44" fillId="0" borderId="4" applyNumberFormat="0" applyFill="0" applyAlignment="0" applyProtection="0"/>
    <xf numFmtId="208" fontId="44" fillId="0" borderId="4" applyNumberFormat="0" applyFill="0" applyAlignment="0" applyProtection="0"/>
    <xf numFmtId="0" fontId="44" fillId="0" borderId="4" applyNumberFormat="0" applyFill="0" applyAlignment="0" applyProtection="0"/>
    <xf numFmtId="208" fontId="44" fillId="0" borderId="4" applyNumberFormat="0" applyFill="0" applyAlignment="0" applyProtection="0"/>
    <xf numFmtId="0" fontId="44" fillId="0" borderId="4" applyNumberFormat="0" applyFill="0" applyAlignment="0" applyProtection="0"/>
    <xf numFmtId="208" fontId="44" fillId="0" borderId="4" applyNumberFormat="0" applyFill="0" applyAlignment="0" applyProtection="0"/>
    <xf numFmtId="0" fontId="44" fillId="0" borderId="4" applyNumberFormat="0" applyFill="0" applyAlignment="0" applyProtection="0"/>
    <xf numFmtId="208" fontId="44" fillId="0" borderId="4" applyNumberFormat="0" applyFill="0" applyAlignment="0" applyProtection="0"/>
    <xf numFmtId="208" fontId="43" fillId="0" borderId="0" applyNumberFormat="0" applyFill="0" applyBorder="0" applyAlignment="0" applyProtection="0"/>
    <xf numFmtId="0" fontId="45" fillId="0" borderId="5" applyNumberFormat="0" applyFill="0" applyAlignment="0" applyProtection="0"/>
    <xf numFmtId="0" fontId="45" fillId="0" borderId="5" applyNumberFormat="0" applyFill="0" applyAlignment="0" applyProtection="0"/>
    <xf numFmtId="208" fontId="45" fillId="0" borderId="5" applyNumberFormat="0" applyFill="0" applyAlignment="0" applyProtection="0"/>
    <xf numFmtId="208" fontId="45" fillId="0" borderId="5" applyNumberFormat="0" applyFill="0" applyAlignment="0" applyProtection="0"/>
    <xf numFmtId="0" fontId="45" fillId="0" borderId="5" applyNumberFormat="0" applyFill="0" applyAlignment="0" applyProtection="0"/>
    <xf numFmtId="208" fontId="45" fillId="0" borderId="5" applyNumberFormat="0" applyFill="0" applyAlignment="0" applyProtection="0"/>
    <xf numFmtId="0" fontId="45" fillId="0" borderId="5" applyNumberFormat="0" applyFill="0" applyAlignment="0" applyProtection="0"/>
    <xf numFmtId="208" fontId="45" fillId="0" borderId="5" applyNumberFormat="0" applyFill="0" applyAlignment="0" applyProtection="0"/>
    <xf numFmtId="0" fontId="45" fillId="0" borderId="5" applyNumberFormat="0" applyFill="0" applyAlignment="0" applyProtection="0"/>
    <xf numFmtId="208" fontId="45" fillId="0" borderId="5" applyNumberFormat="0" applyFill="0" applyAlignment="0" applyProtection="0"/>
    <xf numFmtId="0" fontId="45" fillId="0" borderId="5" applyNumberFormat="0" applyFill="0" applyAlignment="0" applyProtection="0"/>
    <xf numFmtId="208" fontId="45" fillId="0" borderId="5" applyNumberFormat="0" applyFill="0" applyAlignment="0" applyProtection="0"/>
    <xf numFmtId="0" fontId="45" fillId="0" borderId="5" applyNumberFormat="0" applyFill="0" applyAlignment="0" applyProtection="0"/>
    <xf numFmtId="208" fontId="45" fillId="0" borderId="5" applyNumberFormat="0" applyFill="0" applyAlignment="0" applyProtection="0"/>
    <xf numFmtId="208" fontId="45" fillId="0" borderId="5" applyNumberFormat="0" applyFill="0" applyAlignment="0" applyProtection="0"/>
    <xf numFmtId="0" fontId="42" fillId="0" borderId="6" applyNumberFormat="0" applyFill="0" applyAlignment="0" applyProtection="0"/>
    <xf numFmtId="0" fontId="42" fillId="0" borderId="6" applyNumberFormat="0" applyFill="0" applyAlignment="0" applyProtection="0"/>
    <xf numFmtId="208" fontId="42" fillId="0" borderId="6" applyNumberFormat="0" applyFill="0" applyAlignment="0" applyProtection="0"/>
    <xf numFmtId="208" fontId="42" fillId="0" borderId="6" applyNumberFormat="0" applyFill="0" applyAlignment="0" applyProtection="0"/>
    <xf numFmtId="0" fontId="42" fillId="0" borderId="6" applyNumberFormat="0" applyFill="0" applyAlignment="0" applyProtection="0"/>
    <xf numFmtId="208" fontId="42" fillId="0" borderId="6" applyNumberFormat="0" applyFill="0" applyAlignment="0" applyProtection="0"/>
    <xf numFmtId="0" fontId="42" fillId="0" borderId="6" applyNumberFormat="0" applyFill="0" applyAlignment="0" applyProtection="0"/>
    <xf numFmtId="208" fontId="42" fillId="0" borderId="6" applyNumberFormat="0" applyFill="0" applyAlignment="0" applyProtection="0"/>
    <xf numFmtId="0" fontId="42" fillId="0" borderId="6" applyNumberFormat="0" applyFill="0" applyAlignment="0" applyProtection="0"/>
    <xf numFmtId="208" fontId="42" fillId="0" borderId="6" applyNumberFormat="0" applyFill="0" applyAlignment="0" applyProtection="0"/>
    <xf numFmtId="0" fontId="42" fillId="0" borderId="6" applyNumberFormat="0" applyFill="0" applyAlignment="0" applyProtection="0"/>
    <xf numFmtId="208" fontId="42" fillId="0" borderId="6" applyNumberFormat="0" applyFill="0" applyAlignment="0" applyProtection="0"/>
    <xf numFmtId="0" fontId="42" fillId="0" borderId="6" applyNumberFormat="0" applyFill="0" applyAlignment="0" applyProtection="0"/>
    <xf numFmtId="208" fontId="42" fillId="0" borderId="6" applyNumberFormat="0" applyFill="0" applyAlignment="0" applyProtection="0"/>
    <xf numFmtId="208" fontId="42" fillId="0" borderId="6"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208" fontId="43" fillId="0" borderId="0" applyNumberFormat="0" applyFill="0" applyBorder="0" applyAlignment="0" applyProtection="0"/>
    <xf numFmtId="208" fontId="43" fillId="0" borderId="0" applyNumberFormat="0" applyFill="0" applyBorder="0" applyAlignment="0" applyProtection="0"/>
    <xf numFmtId="0" fontId="43" fillId="0" borderId="0" applyNumberFormat="0" applyFill="0" applyBorder="0" applyAlignment="0" applyProtection="0"/>
    <xf numFmtId="208" fontId="43" fillId="0" borderId="0" applyNumberFormat="0" applyFill="0" applyBorder="0" applyAlignment="0" applyProtection="0"/>
    <xf numFmtId="0" fontId="43" fillId="0" borderId="0" applyNumberFormat="0" applyFill="0" applyBorder="0" applyAlignment="0" applyProtection="0"/>
    <xf numFmtId="208" fontId="43" fillId="0" borderId="0" applyNumberFormat="0" applyFill="0" applyBorder="0" applyAlignment="0" applyProtection="0"/>
    <xf numFmtId="0" fontId="43" fillId="0" borderId="0" applyNumberFormat="0" applyFill="0" applyBorder="0" applyAlignment="0" applyProtection="0"/>
    <xf numFmtId="208" fontId="43" fillId="0" borderId="0" applyNumberFormat="0" applyFill="0" applyBorder="0" applyAlignment="0" applyProtection="0"/>
    <xf numFmtId="0" fontId="43" fillId="0" borderId="0" applyNumberFormat="0" applyFill="0" applyBorder="0" applyAlignment="0" applyProtection="0"/>
    <xf numFmtId="208" fontId="43" fillId="0" borderId="0" applyNumberFormat="0" applyFill="0" applyBorder="0" applyAlignment="0" applyProtection="0"/>
    <xf numFmtId="0" fontId="43" fillId="0" borderId="0" applyNumberFormat="0" applyFill="0" applyBorder="0" applyAlignment="0" applyProtection="0"/>
    <xf numFmtId="208" fontId="43" fillId="0" borderId="0" applyNumberFormat="0" applyFill="0" applyBorder="0" applyAlignment="0" applyProtection="0"/>
    <xf numFmtId="0" fontId="59" fillId="0" borderId="9" applyNumberFormat="0" applyFill="0" applyAlignment="0" applyProtection="0"/>
    <xf numFmtId="0" fontId="60" fillId="0" borderId="9" applyNumberFormat="0" applyFill="0" applyAlignment="0" applyProtection="0"/>
    <xf numFmtId="208" fontId="60" fillId="0" borderId="9" applyNumberFormat="0" applyFill="0" applyAlignment="0" applyProtection="0"/>
    <xf numFmtId="208" fontId="59" fillId="0" borderId="9" applyNumberFormat="0" applyFill="0" applyAlignment="0" applyProtection="0"/>
    <xf numFmtId="0" fontId="60" fillId="0" borderId="9" applyNumberFormat="0" applyFill="0" applyAlignment="0" applyProtection="0"/>
    <xf numFmtId="208" fontId="60" fillId="0" borderId="9" applyNumberFormat="0" applyFill="0" applyAlignment="0" applyProtection="0"/>
    <xf numFmtId="0" fontId="60" fillId="0" borderId="9" applyNumberFormat="0" applyFill="0" applyAlignment="0" applyProtection="0"/>
    <xf numFmtId="208" fontId="60" fillId="0" borderId="9" applyNumberFormat="0" applyFill="0" applyAlignment="0" applyProtection="0"/>
    <xf numFmtId="0" fontId="60" fillId="0" borderId="9" applyNumberFormat="0" applyFill="0" applyAlignment="0" applyProtection="0"/>
    <xf numFmtId="208" fontId="60" fillId="0" borderId="9" applyNumberFormat="0" applyFill="0" applyAlignment="0" applyProtection="0"/>
    <xf numFmtId="0" fontId="60" fillId="0" borderId="9" applyNumberFormat="0" applyFill="0" applyAlignment="0" applyProtection="0"/>
    <xf numFmtId="208" fontId="60" fillId="0" borderId="9" applyNumberFormat="0" applyFill="0" applyAlignment="0" applyProtection="0"/>
    <xf numFmtId="0" fontId="60" fillId="0" borderId="9" applyNumberFormat="0" applyFill="0" applyAlignment="0" applyProtection="0"/>
    <xf numFmtId="208" fontId="60" fillId="0" borderId="9" applyNumberFormat="0" applyFill="0" applyAlignment="0" applyProtection="0"/>
    <xf numFmtId="208" fontId="60" fillId="0" borderId="9" applyNumberFormat="0" applyFill="0" applyAlignment="0" applyProtection="0"/>
    <xf numFmtId="0" fontId="74" fillId="0" borderId="0" applyNumberFormat="0" applyFill="0" applyBorder="0" applyAlignment="0" applyProtection="0"/>
    <xf numFmtId="208" fontId="74" fillId="0" borderId="0" applyNumberFormat="0" applyFill="0" applyBorder="0" applyAlignment="0" applyProtection="0"/>
  </cellStyleXfs>
  <cellXfs count="471">
    <xf numFmtId="0" fontId="0" fillId="0" borderId="0" xfId="0"/>
    <xf numFmtId="0" fontId="6" fillId="0" borderId="0" xfId="0" applyFont="1"/>
    <xf numFmtId="0" fontId="0" fillId="0" borderId="0" xfId="0" applyFill="1"/>
    <xf numFmtId="3" fontId="6" fillId="0" borderId="0" xfId="0" applyNumberFormat="1" applyFont="1"/>
    <xf numFmtId="0" fontId="2" fillId="0" borderId="0" xfId="0" applyFont="1" applyFill="1"/>
    <xf numFmtId="0" fontId="13" fillId="0" borderId="0" xfId="0" applyFont="1"/>
    <xf numFmtId="177" fontId="6" fillId="0" borderId="0" xfId="0" applyNumberFormat="1" applyFont="1"/>
    <xf numFmtId="0" fontId="13" fillId="0" borderId="0" xfId="0" applyFont="1" applyFill="1"/>
    <xf numFmtId="3" fontId="14" fillId="0" borderId="0" xfId="0" applyNumberFormat="1" applyFont="1"/>
    <xf numFmtId="0" fontId="14" fillId="0" borderId="0" xfId="0" applyFont="1"/>
    <xf numFmtId="0" fontId="13" fillId="0" borderId="0" xfId="0" applyFont="1" applyFill="1" applyBorder="1"/>
    <xf numFmtId="0" fontId="17" fillId="0" borderId="0" xfId="0" applyFont="1"/>
    <xf numFmtId="177" fontId="18" fillId="24" borderId="10" xfId="0" applyNumberFormat="1" applyFont="1" applyFill="1" applyBorder="1"/>
    <xf numFmtId="3" fontId="20" fillId="0" borderId="11" xfId="0" applyNumberFormat="1" applyFont="1" applyFill="1" applyBorder="1" applyAlignment="1"/>
    <xf numFmtId="3" fontId="20" fillId="0" borderId="12" xfId="0" applyNumberFormat="1" applyFont="1" applyFill="1" applyBorder="1"/>
    <xf numFmtId="0" fontId="19" fillId="0" borderId="13" xfId="0" applyFont="1" applyFill="1" applyBorder="1"/>
    <xf numFmtId="3" fontId="20" fillId="0" borderId="13" xfId="0" applyNumberFormat="1" applyFont="1" applyFill="1" applyBorder="1"/>
    <xf numFmtId="3" fontId="19" fillId="0" borderId="11" xfId="0" applyNumberFormat="1" applyFont="1" applyFill="1" applyBorder="1" applyAlignment="1"/>
    <xf numFmtId="3" fontId="19" fillId="0" borderId="13" xfId="0" applyNumberFormat="1" applyFont="1" applyFill="1" applyBorder="1"/>
    <xf numFmtId="0" fontId="19" fillId="0" borderId="11" xfId="0" applyFont="1" applyFill="1" applyBorder="1" applyAlignment="1"/>
    <xf numFmtId="37" fontId="20" fillId="0" borderId="11" xfId="0" applyNumberFormat="1" applyFont="1" applyFill="1" applyBorder="1" applyAlignment="1"/>
    <xf numFmtId="3" fontId="21" fillId="0" borderId="13" xfId="0" applyNumberFormat="1" applyFont="1" applyFill="1" applyBorder="1"/>
    <xf numFmtId="0" fontId="20" fillId="0" borderId="11" xfId="0" applyFont="1" applyFill="1" applyBorder="1" applyAlignment="1"/>
    <xf numFmtId="179" fontId="14" fillId="0" borderId="0" xfId="0" applyNumberFormat="1" applyFont="1"/>
    <xf numFmtId="0" fontId="0" fillId="0" borderId="0" xfId="0" applyFill="1" applyBorder="1"/>
    <xf numFmtId="177" fontId="14" fillId="0" borderId="0" xfId="0" applyNumberFormat="1" applyFont="1"/>
    <xf numFmtId="0" fontId="9" fillId="0" borderId="0" xfId="0" applyFont="1" applyFill="1"/>
    <xf numFmtId="0" fontId="21" fillId="0" borderId="0" xfId="0" applyFont="1" applyFill="1" applyBorder="1" applyAlignment="1">
      <alignment horizontal="center"/>
    </xf>
    <xf numFmtId="3" fontId="21" fillId="0" borderId="11" xfId="0" applyNumberFormat="1" applyFont="1" applyFill="1" applyBorder="1" applyAlignment="1"/>
    <xf numFmtId="0" fontId="22" fillId="0" borderId="0" xfId="0" applyFont="1" applyFill="1"/>
    <xf numFmtId="0" fontId="21" fillId="0" borderId="0" xfId="0" applyFont="1" applyFill="1" applyAlignment="1">
      <alignment horizontal="centerContinuous"/>
    </xf>
    <xf numFmtId="0" fontId="22" fillId="0" borderId="0" xfId="0" applyFont="1" applyFill="1" applyAlignment="1">
      <alignment horizontal="centerContinuous"/>
    </xf>
    <xf numFmtId="179" fontId="6" fillId="0" borderId="0" xfId="0" applyNumberFormat="1" applyFont="1"/>
    <xf numFmtId="0" fontId="20" fillId="0" borderId="0" xfId="0" applyFont="1" applyFill="1" applyBorder="1" applyAlignment="1">
      <alignment horizontal="center"/>
    </xf>
    <xf numFmtId="0" fontId="20" fillId="24" borderId="10" xfId="0" applyFont="1" applyFill="1" applyBorder="1" applyAlignment="1">
      <alignment horizontal="center"/>
    </xf>
    <xf numFmtId="0" fontId="20" fillId="0" borderId="14" xfId="0" applyFont="1" applyFill="1" applyBorder="1" applyAlignment="1">
      <alignment horizontal="center"/>
    </xf>
    <xf numFmtId="0" fontId="20" fillId="24" borderId="15" xfId="0" applyFont="1" applyFill="1" applyBorder="1" applyAlignment="1">
      <alignment horizontal="center"/>
    </xf>
    <xf numFmtId="0" fontId="20" fillId="24" borderId="16" xfId="0" applyFont="1" applyFill="1" applyBorder="1" applyAlignment="1">
      <alignment horizontal="center"/>
    </xf>
    <xf numFmtId="177" fontId="18" fillId="24" borderId="16" xfId="0" applyNumberFormat="1" applyFont="1" applyFill="1" applyBorder="1"/>
    <xf numFmtId="174" fontId="18" fillId="0" borderId="15" xfId="634" applyFont="1" applyFill="1" applyBorder="1"/>
    <xf numFmtId="43" fontId="0" fillId="0" borderId="0" xfId="0" applyNumberFormat="1" applyFill="1"/>
    <xf numFmtId="0" fontId="19" fillId="0" borderId="17" xfId="0" applyFont="1" applyFill="1" applyBorder="1"/>
    <xf numFmtId="3" fontId="4" fillId="0" borderId="13" xfId="0" applyNumberFormat="1" applyFont="1" applyFill="1" applyBorder="1"/>
    <xf numFmtId="37" fontId="4" fillId="0" borderId="11" xfId="0" applyNumberFormat="1" applyFont="1" applyFill="1" applyBorder="1" applyAlignment="1"/>
    <xf numFmtId="174" fontId="6" fillId="0" borderId="0" xfId="634" applyFont="1"/>
    <xf numFmtId="174" fontId="18" fillId="25" borderId="15" xfId="634" applyFont="1" applyFill="1" applyBorder="1"/>
    <xf numFmtId="174" fontId="18" fillId="0" borderId="16" xfId="634" applyFont="1" applyFill="1" applyBorder="1"/>
    <xf numFmtId="0" fontId="0" fillId="25" borderId="0" xfId="0" applyFill="1"/>
    <xf numFmtId="0" fontId="20" fillId="25" borderId="0" xfId="0" applyFont="1" applyFill="1" applyBorder="1" applyAlignment="1">
      <alignment horizontal="right"/>
    </xf>
    <xf numFmtId="0" fontId="0" fillId="25" borderId="0" xfId="0" applyFill="1" applyBorder="1"/>
    <xf numFmtId="183" fontId="18" fillId="24" borderId="15" xfId="634" applyNumberFormat="1" applyFont="1" applyFill="1" applyBorder="1"/>
    <xf numFmtId="0" fontId="19" fillId="25" borderId="0" xfId="0" applyFont="1" applyFill="1"/>
    <xf numFmtId="0" fontId="20" fillId="25" borderId="0" xfId="0" applyFont="1" applyFill="1" applyBorder="1" applyAlignment="1">
      <alignment horizontal="center"/>
    </xf>
    <xf numFmtId="185" fontId="21" fillId="26" borderId="10" xfId="0" applyNumberFormat="1" applyFont="1" applyFill="1" applyBorder="1" applyAlignment="1">
      <alignment horizontal="center"/>
    </xf>
    <xf numFmtId="0" fontId="21" fillId="26" borderId="10" xfId="0" applyFont="1" applyFill="1" applyBorder="1"/>
    <xf numFmtId="0" fontId="13" fillId="25" borderId="0" xfId="0" applyFont="1" applyFill="1"/>
    <xf numFmtId="3" fontId="22" fillId="25" borderId="0" xfId="0" applyNumberFormat="1" applyFont="1" applyFill="1" applyBorder="1" applyAlignment="1"/>
    <xf numFmtId="177" fontId="13" fillId="25" borderId="0" xfId="579" applyNumberFormat="1" applyFont="1" applyFill="1" applyBorder="1"/>
    <xf numFmtId="0" fontId="13" fillId="25" borderId="0" xfId="0" applyFont="1" applyFill="1" applyBorder="1"/>
    <xf numFmtId="177" fontId="13" fillId="25" borderId="0" xfId="0" applyNumberFormat="1" applyFont="1" applyFill="1" applyBorder="1"/>
    <xf numFmtId="174" fontId="18" fillId="27" borderId="15" xfId="634" applyFont="1" applyFill="1" applyBorder="1"/>
    <xf numFmtId="3" fontId="33" fillId="0" borderId="18" xfId="0" applyNumberFormat="1" applyFont="1" applyFill="1" applyBorder="1" applyAlignment="1">
      <alignment horizontal="centerContinuous"/>
    </xf>
    <xf numFmtId="0" fontId="20" fillId="0" borderId="18" xfId="0" applyFont="1" applyFill="1" applyBorder="1" applyAlignment="1">
      <alignment horizontal="centerContinuous"/>
    </xf>
    <xf numFmtId="0" fontId="33" fillId="0" borderId="18" xfId="0" applyFont="1" applyFill="1" applyBorder="1" applyAlignment="1">
      <alignment horizontal="centerContinuous"/>
    </xf>
    <xf numFmtId="0" fontId="20" fillId="0" borderId="19" xfId="0" applyFont="1" applyFill="1" applyBorder="1" applyAlignment="1">
      <alignment horizontal="center" vertical="center"/>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15" fillId="0" borderId="0" xfId="0" applyFont="1" applyFill="1"/>
    <xf numFmtId="0" fontId="0" fillId="0" borderId="0" xfId="0" applyFill="1" applyAlignment="1">
      <alignment horizontal="center"/>
    </xf>
    <xf numFmtId="3" fontId="0" fillId="0" borderId="0" xfId="0" applyNumberFormat="1" applyFill="1"/>
    <xf numFmtId="10" fontId="2" fillId="0" borderId="0" xfId="0" applyNumberFormat="1" applyFont="1" applyFill="1"/>
    <xf numFmtId="3" fontId="2" fillId="0" borderId="0" xfId="0" applyNumberFormat="1" applyFont="1" applyFill="1"/>
    <xf numFmtId="0" fontId="19" fillId="0" borderId="22" xfId="0" applyFont="1" applyFill="1" applyBorder="1" applyAlignment="1"/>
    <xf numFmtId="0" fontId="19" fillId="0" borderId="12" xfId="0" applyFont="1" applyFill="1" applyBorder="1"/>
    <xf numFmtId="0" fontId="19" fillId="0" borderId="23" xfId="0" applyFont="1" applyFill="1" applyBorder="1"/>
    <xf numFmtId="0" fontId="2" fillId="0" borderId="0" xfId="0" applyFont="1" applyFill="1" applyAlignment="1"/>
    <xf numFmtId="0" fontId="24" fillId="0" borderId="0" xfId="0" applyFont="1" applyFill="1"/>
    <xf numFmtId="0" fontId="25" fillId="0" borderId="0" xfId="0" applyFont="1" applyFill="1" applyAlignment="1">
      <alignment horizontal="center"/>
    </xf>
    <xf numFmtId="3" fontId="25" fillId="0" borderId="0" xfId="0" applyNumberFormat="1" applyFont="1" applyFill="1" applyAlignment="1">
      <alignment horizontal="center"/>
    </xf>
    <xf numFmtId="3" fontId="2" fillId="0" borderId="0" xfId="0" applyNumberFormat="1" applyFont="1" applyFill="1" applyAlignment="1"/>
    <xf numFmtId="3" fontId="24" fillId="0" borderId="0" xfId="0" applyNumberFormat="1" applyFont="1" applyFill="1"/>
    <xf numFmtId="3" fontId="24" fillId="0" borderId="18" xfId="0" applyNumberFormat="1" applyFont="1" applyFill="1" applyBorder="1"/>
    <xf numFmtId="177" fontId="0" fillId="25" borderId="0" xfId="0" applyNumberFormat="1" applyFill="1"/>
    <xf numFmtId="177" fontId="13" fillId="25" borderId="0" xfId="579" applyNumberFormat="1" applyFont="1" applyFill="1"/>
    <xf numFmtId="177" fontId="22" fillId="25" borderId="0" xfId="579" applyNumberFormat="1" applyFont="1" applyFill="1" applyBorder="1" applyAlignment="1"/>
    <xf numFmtId="177" fontId="35" fillId="25" borderId="0" xfId="579" applyNumberFormat="1" applyFont="1" applyFill="1"/>
    <xf numFmtId="0" fontId="3" fillId="0" borderId="0" xfId="0" applyFont="1" applyFill="1"/>
    <xf numFmtId="0" fontId="6" fillId="0" borderId="0" xfId="0" applyFont="1" applyFill="1"/>
    <xf numFmtId="0" fontId="21" fillId="25" borderId="0" xfId="0" applyFont="1" applyFill="1"/>
    <xf numFmtId="3" fontId="19" fillId="0" borderId="12" xfId="0" applyNumberFormat="1" applyFont="1" applyFill="1" applyBorder="1"/>
    <xf numFmtId="0" fontId="0" fillId="30" borderId="0" xfId="0" applyFill="1"/>
    <xf numFmtId="0" fontId="9" fillId="30" borderId="10" xfId="0" applyFont="1" applyFill="1" applyBorder="1" applyAlignment="1">
      <alignment horizontal="left"/>
    </xf>
    <xf numFmtId="0" fontId="9" fillId="30" borderId="10" xfId="0" applyFont="1" applyFill="1" applyBorder="1" applyAlignment="1" applyProtection="1">
      <alignment horizontal="center"/>
      <protection locked="0"/>
    </xf>
    <xf numFmtId="0" fontId="9" fillId="30" borderId="10" xfId="0" applyFont="1" applyFill="1" applyBorder="1" applyAlignment="1">
      <alignment horizontal="center"/>
    </xf>
    <xf numFmtId="0" fontId="0" fillId="30" borderId="0" xfId="0" applyFill="1" applyBorder="1"/>
    <xf numFmtId="0" fontId="3" fillId="30" borderId="10" xfId="0" applyFont="1" applyFill="1" applyBorder="1" applyAlignment="1">
      <alignment horizontal="center"/>
    </xf>
    <xf numFmtId="177" fontId="3" fillId="30" borderId="10" xfId="0" applyNumberFormat="1" applyFont="1" applyFill="1" applyBorder="1"/>
    <xf numFmtId="0" fontId="9" fillId="30" borderId="0" xfId="0" applyFont="1" applyFill="1"/>
    <xf numFmtId="0" fontId="3" fillId="30" borderId="10" xfId="0" applyFont="1" applyFill="1" applyBorder="1"/>
    <xf numFmtId="0" fontId="3" fillId="30" borderId="24" xfId="0" applyFont="1" applyFill="1" applyBorder="1" applyAlignment="1">
      <alignment horizontal="center"/>
    </xf>
    <xf numFmtId="0" fontId="9" fillId="30" borderId="10" xfId="0" applyFont="1" applyFill="1" applyBorder="1"/>
    <xf numFmtId="0" fontId="9" fillId="0" borderId="0" xfId="683"/>
    <xf numFmtId="3" fontId="9" fillId="0" borderId="0" xfId="683" applyNumberFormat="1"/>
    <xf numFmtId="0" fontId="9" fillId="0" borderId="0" xfId="683" applyFill="1"/>
    <xf numFmtId="0" fontId="9" fillId="0" borderId="0" xfId="683" applyFont="1" applyBorder="1"/>
    <xf numFmtId="3" fontId="20" fillId="0" borderId="18" xfId="0" applyNumberFormat="1" applyFont="1" applyFill="1" applyBorder="1" applyAlignment="1">
      <alignment horizontal="centerContinuous"/>
    </xf>
    <xf numFmtId="0" fontId="20" fillId="30" borderId="25" xfId="0" applyFont="1" applyFill="1" applyBorder="1" applyAlignment="1">
      <alignment horizontal="center"/>
    </xf>
    <xf numFmtId="0" fontId="20" fillId="31" borderId="16" xfId="0" applyFont="1" applyFill="1" applyBorder="1" applyAlignment="1">
      <alignment horizontal="center"/>
    </xf>
    <xf numFmtId="0" fontId="21" fillId="30" borderId="26" xfId="0" applyFont="1" applyFill="1" applyBorder="1" applyAlignment="1">
      <alignment horizontal="center" wrapText="1"/>
    </xf>
    <xf numFmtId="0" fontId="21" fillId="30" borderId="27" xfId="0" applyFont="1" applyFill="1" applyBorder="1" applyAlignment="1">
      <alignment horizontal="center" wrapText="1"/>
    </xf>
    <xf numFmtId="179" fontId="21" fillId="25" borderId="25" xfId="633" applyNumberFormat="1" applyFont="1" applyFill="1" applyBorder="1" applyAlignment="1">
      <alignment horizontal="center" wrapText="1"/>
    </xf>
    <xf numFmtId="177" fontId="22" fillId="0" borderId="28" xfId="632" applyNumberFormat="1" applyFont="1" applyFill="1" applyBorder="1" applyAlignment="1">
      <alignment wrapText="1"/>
    </xf>
    <xf numFmtId="0" fontId="90" fillId="0" borderId="18" xfId="0" applyFont="1" applyFill="1" applyBorder="1" applyAlignment="1">
      <alignment horizontal="centerContinuous"/>
    </xf>
    <xf numFmtId="0" fontId="0" fillId="0" borderId="0" xfId="0" applyAlignment="1">
      <alignment vertical="center"/>
    </xf>
    <xf numFmtId="37" fontId="21" fillId="0" borderId="11" xfId="0" applyNumberFormat="1" applyFont="1" applyFill="1" applyBorder="1" applyAlignment="1"/>
    <xf numFmtId="37" fontId="4" fillId="0" borderId="11" xfId="0" applyNumberFormat="1" applyFont="1" applyFill="1" applyBorder="1" applyAlignment="1">
      <alignment horizontal="left"/>
    </xf>
    <xf numFmtId="0" fontId="9" fillId="0" borderId="0" xfId="683" applyFont="1" applyFill="1"/>
    <xf numFmtId="0" fontId="3" fillId="0" borderId="0" xfId="683" applyFont="1"/>
    <xf numFmtId="177" fontId="21" fillId="0" borderId="28" xfId="632" applyNumberFormat="1" applyFont="1" applyFill="1" applyBorder="1" applyAlignment="1">
      <alignment wrapText="1"/>
    </xf>
    <xf numFmtId="177" fontId="17" fillId="0" borderId="10" xfId="579" applyNumberFormat="1" applyFont="1" applyFill="1" applyBorder="1"/>
    <xf numFmtId="3" fontId="25" fillId="0" borderId="0" xfId="0" applyNumberFormat="1" applyFont="1" applyFill="1" applyAlignment="1"/>
    <xf numFmtId="182" fontId="25" fillId="0" borderId="0" xfId="0" applyNumberFormat="1" applyFont="1" applyFill="1" applyAlignment="1"/>
    <xf numFmtId="37" fontId="2" fillId="0" borderId="0" xfId="0" applyNumberFormat="1" applyFont="1" applyFill="1"/>
    <xf numFmtId="37" fontId="0" fillId="0" borderId="0" xfId="0" applyNumberFormat="1" applyFill="1"/>
    <xf numFmtId="0" fontId="20" fillId="0" borderId="29" xfId="0" applyFont="1" applyFill="1" applyBorder="1" applyAlignment="1"/>
    <xf numFmtId="3" fontId="20" fillId="0" borderId="30" xfId="0" applyNumberFormat="1" applyFont="1" applyFill="1" applyBorder="1"/>
    <xf numFmtId="0" fontId="19" fillId="30" borderId="25" xfId="0" applyFont="1" applyFill="1" applyBorder="1"/>
    <xf numFmtId="0" fontId="20" fillId="30" borderId="31" xfId="0" applyFont="1" applyFill="1" applyBorder="1" applyAlignment="1">
      <alignment horizontal="center"/>
    </xf>
    <xf numFmtId="0" fontId="20" fillId="30" borderId="26" xfId="0" applyFont="1" applyFill="1" applyBorder="1" applyAlignment="1">
      <alignment horizontal="center"/>
    </xf>
    <xf numFmtId="0" fontId="20" fillId="30" borderId="26" xfId="0" applyFont="1" applyFill="1" applyBorder="1" applyAlignment="1">
      <alignment horizontal="center" vertical="center" wrapText="1"/>
    </xf>
    <xf numFmtId="0" fontId="19" fillId="30" borderId="27" xfId="0" applyFont="1" applyFill="1" applyBorder="1"/>
    <xf numFmtId="177" fontId="19" fillId="30" borderId="27" xfId="579" applyNumberFormat="1" applyFont="1" applyFill="1" applyBorder="1"/>
    <xf numFmtId="177" fontId="19" fillId="30" borderId="32" xfId="579" applyNumberFormat="1" applyFont="1" applyFill="1" applyBorder="1"/>
    <xf numFmtId="177" fontId="19" fillId="30" borderId="27" xfId="0" applyNumberFormat="1" applyFont="1" applyFill="1" applyBorder="1"/>
    <xf numFmtId="0" fontId="19" fillId="30" borderId="31" xfId="0" applyFont="1" applyFill="1" applyBorder="1"/>
    <xf numFmtId="0" fontId="20" fillId="30" borderId="33" xfId="0" applyFont="1" applyFill="1" applyBorder="1" applyAlignment="1">
      <alignment horizontal="center"/>
    </xf>
    <xf numFmtId="177" fontId="19" fillId="30" borderId="25" xfId="579" applyNumberFormat="1" applyFont="1" applyFill="1" applyBorder="1"/>
    <xf numFmtId="0" fontId="19" fillId="30" borderId="34" xfId="0" applyFont="1" applyFill="1" applyBorder="1"/>
    <xf numFmtId="0" fontId="19" fillId="30" borderId="35" xfId="0" applyFont="1" applyFill="1" applyBorder="1"/>
    <xf numFmtId="177" fontId="19" fillId="30" borderId="34" xfId="579" applyNumberFormat="1" applyFont="1" applyFill="1" applyBorder="1"/>
    <xf numFmtId="0" fontId="20" fillId="30" borderId="36" xfId="0" applyFont="1" applyFill="1" applyBorder="1" applyAlignment="1">
      <alignment horizontal="center"/>
    </xf>
    <xf numFmtId="177" fontId="4" fillId="30" borderId="25" xfId="579" applyNumberFormat="1" applyFont="1" applyFill="1" applyBorder="1" applyAlignment="1">
      <alignment horizontal="center"/>
    </xf>
    <xf numFmtId="177" fontId="4" fillId="30" borderId="25" xfId="0" applyNumberFormat="1" applyFont="1" applyFill="1" applyBorder="1" applyAlignment="1">
      <alignment horizontal="center"/>
    </xf>
    <xf numFmtId="0" fontId="19" fillId="30" borderId="33" xfId="0" applyFont="1" applyFill="1" applyBorder="1"/>
    <xf numFmtId="177" fontId="19" fillId="30" borderId="25" xfId="0" applyNumberFormat="1" applyFont="1" applyFill="1" applyBorder="1"/>
    <xf numFmtId="175" fontId="19" fillId="30" borderId="27" xfId="0" applyNumberFormat="1" applyFont="1" applyFill="1" applyBorder="1"/>
    <xf numFmtId="0" fontId="19" fillId="0" borderId="37" xfId="0" applyFont="1" applyFill="1" applyBorder="1" applyAlignment="1"/>
    <xf numFmtId="3" fontId="19" fillId="0" borderId="38" xfId="0" applyNumberFormat="1" applyFont="1" applyFill="1" applyBorder="1"/>
    <xf numFmtId="0" fontId="20" fillId="0" borderId="39" xfId="0" applyFont="1" applyFill="1" applyBorder="1" applyAlignment="1"/>
    <xf numFmtId="3" fontId="20" fillId="0" borderId="40" xfId="0" applyNumberFormat="1" applyFont="1" applyFill="1" applyBorder="1"/>
    <xf numFmtId="177" fontId="21" fillId="0" borderId="41" xfId="632" applyNumberFormat="1" applyFont="1" applyFill="1" applyBorder="1" applyAlignment="1">
      <alignment wrapText="1"/>
    </xf>
    <xf numFmtId="177" fontId="19" fillId="0" borderId="27" xfId="579" applyNumberFormat="1" applyFont="1" applyFill="1" applyBorder="1"/>
    <xf numFmtId="177" fontId="19" fillId="0" borderId="32" xfId="579" applyNumberFormat="1" applyFont="1" applyFill="1" applyBorder="1"/>
    <xf numFmtId="177" fontId="9" fillId="0" borderId="10" xfId="589" applyNumberFormat="1" applyFont="1" applyFill="1" applyBorder="1" applyAlignment="1">
      <alignment horizontal="right"/>
    </xf>
    <xf numFmtId="177" fontId="3" fillId="0" borderId="0" xfId="589" applyNumberFormat="1" applyFont="1" applyFill="1" applyBorder="1" applyAlignment="1">
      <alignment horizontal="center" wrapText="1"/>
    </xf>
    <xf numFmtId="37" fontId="21" fillId="0" borderId="11" xfId="0" applyNumberFormat="1" applyFont="1" applyFill="1" applyBorder="1" applyAlignment="1">
      <alignment horizontal="left"/>
    </xf>
    <xf numFmtId="177" fontId="19" fillId="0" borderId="27" xfId="579" applyNumberFormat="1" applyFont="1" applyFill="1" applyBorder="1" applyAlignment="1">
      <alignment horizontal="center"/>
    </xf>
    <xf numFmtId="0" fontId="20" fillId="0" borderId="25" xfId="0" applyFont="1" applyFill="1" applyBorder="1" applyAlignment="1">
      <alignment horizontal="center"/>
    </xf>
    <xf numFmtId="0" fontId="19" fillId="0" borderId="27" xfId="0" applyFont="1" applyFill="1" applyBorder="1"/>
    <xf numFmtId="0" fontId="20" fillId="0" borderId="25" xfId="0" applyFont="1" applyFill="1" applyBorder="1"/>
    <xf numFmtId="10" fontId="21" fillId="0" borderId="17" xfId="770" applyNumberFormat="1" applyFont="1" applyFill="1" applyBorder="1"/>
    <xf numFmtId="10" fontId="4" fillId="0" borderId="17" xfId="770" applyNumberFormat="1" applyFont="1" applyFill="1" applyBorder="1"/>
    <xf numFmtId="10" fontId="0" fillId="0" borderId="0" xfId="770" applyNumberFormat="1" applyFont="1" applyFill="1"/>
    <xf numFmtId="3" fontId="23" fillId="0" borderId="13" xfId="0" applyNumberFormat="1" applyFont="1" applyFill="1" applyBorder="1"/>
    <xf numFmtId="3" fontId="19" fillId="0" borderId="13" xfId="604" applyNumberFormat="1" applyFont="1" applyFill="1" applyBorder="1"/>
    <xf numFmtId="3" fontId="21" fillId="0" borderId="13" xfId="604" applyNumberFormat="1" applyFont="1" applyFill="1" applyBorder="1"/>
    <xf numFmtId="3" fontId="21" fillId="0" borderId="40" xfId="604" applyNumberFormat="1" applyFont="1" applyFill="1" applyBorder="1"/>
    <xf numFmtId="10" fontId="21" fillId="0" borderId="42" xfId="770" applyNumberFormat="1" applyFont="1" applyFill="1" applyBorder="1"/>
    <xf numFmtId="10" fontId="21" fillId="0" borderId="43" xfId="770" applyNumberFormat="1" applyFont="1" applyFill="1" applyBorder="1"/>
    <xf numFmtId="10" fontId="21" fillId="0" borderId="44" xfId="770" applyNumberFormat="1" applyFont="1" applyFill="1" applyBorder="1"/>
    <xf numFmtId="175" fontId="20" fillId="0" borderId="13" xfId="604" applyFont="1" applyFill="1" applyBorder="1"/>
    <xf numFmtId="175" fontId="4" fillId="0" borderId="13" xfId="604" applyFont="1" applyFill="1" applyBorder="1"/>
    <xf numFmtId="175" fontId="3" fillId="0" borderId="0" xfId="604" applyFont="1" applyFill="1"/>
    <xf numFmtId="3" fontId="21" fillId="0" borderId="13" xfId="599" applyNumberFormat="1" applyFont="1" applyFill="1" applyBorder="1"/>
    <xf numFmtId="175" fontId="2" fillId="0" borderId="0" xfId="604" applyFont="1" applyFill="1"/>
    <xf numFmtId="9" fontId="2" fillId="0" borderId="0" xfId="770" applyFont="1" applyFill="1"/>
    <xf numFmtId="177" fontId="24" fillId="0" borderId="0" xfId="604" applyNumberFormat="1" applyFont="1" applyFill="1"/>
    <xf numFmtId="10" fontId="2" fillId="0" borderId="0" xfId="770" applyNumberFormat="1" applyFont="1" applyFill="1"/>
    <xf numFmtId="177" fontId="24" fillId="0" borderId="18" xfId="604" applyNumberFormat="1" applyFont="1" applyFill="1" applyBorder="1"/>
    <xf numFmtId="175" fontId="24" fillId="0" borderId="0" xfId="604" applyFont="1" applyFill="1"/>
    <xf numFmtId="0" fontId="26" fillId="30" borderId="0" xfId="0" applyFont="1" applyFill="1" applyAlignment="1">
      <alignment horizontal="center"/>
    </xf>
    <xf numFmtId="0" fontId="3" fillId="32" borderId="16" xfId="0" applyFont="1" applyFill="1" applyBorder="1" applyAlignment="1">
      <alignment horizontal="center"/>
    </xf>
    <xf numFmtId="0" fontId="3" fillId="32" borderId="16" xfId="0" applyFont="1" applyFill="1" applyBorder="1" applyAlignment="1">
      <alignment horizontal="center" wrapText="1"/>
    </xf>
    <xf numFmtId="3" fontId="3" fillId="30" borderId="10" xfId="0" applyNumberFormat="1" applyFont="1" applyFill="1" applyBorder="1" applyAlignment="1">
      <alignment horizontal="left" vertical="center"/>
    </xf>
    <xf numFmtId="177" fontId="3" fillId="30" borderId="0" xfId="625" applyNumberFormat="1" applyFont="1" applyFill="1" applyBorder="1"/>
    <xf numFmtId="177" fontId="3" fillId="30" borderId="10" xfId="625" applyNumberFormat="1" applyFont="1" applyFill="1" applyBorder="1"/>
    <xf numFmtId="10" fontId="3" fillId="30" borderId="10" xfId="797" applyNumberFormat="1" applyFont="1" applyFill="1" applyBorder="1"/>
    <xf numFmtId="177" fontId="9" fillId="30" borderId="10" xfId="625" applyNumberFormat="1" applyFont="1" applyFill="1" applyBorder="1"/>
    <xf numFmtId="177" fontId="9" fillId="30" borderId="0" xfId="625" applyNumberFormat="1" applyFont="1" applyFill="1" applyBorder="1"/>
    <xf numFmtId="177" fontId="9" fillId="30" borderId="10" xfId="631" applyNumberFormat="1" applyFont="1" applyFill="1" applyBorder="1" applyAlignment="1">
      <alignment horizontal="right"/>
    </xf>
    <xf numFmtId="10" fontId="9" fillId="30" borderId="10" xfId="797" applyNumberFormat="1" applyFont="1" applyFill="1" applyBorder="1"/>
    <xf numFmtId="0" fontId="21" fillId="30" borderId="14" xfId="0" applyFont="1" applyFill="1" applyBorder="1"/>
    <xf numFmtId="0" fontId="4" fillId="30" borderId="45" xfId="0" applyFont="1" applyFill="1" applyBorder="1"/>
    <xf numFmtId="195" fontId="21" fillId="30" borderId="15" xfId="634" applyNumberFormat="1" applyFont="1" applyFill="1" applyBorder="1" applyAlignment="1">
      <alignment horizontal="right"/>
    </xf>
    <xf numFmtId="0" fontId="4" fillId="30" borderId="0" xfId="0" applyFont="1" applyFill="1" applyBorder="1"/>
    <xf numFmtId="0" fontId="19" fillId="0" borderId="31" xfId="0" applyFont="1" applyFill="1" applyBorder="1"/>
    <xf numFmtId="0" fontId="20" fillId="0" borderId="25" xfId="0" applyFont="1" applyFill="1" applyBorder="1" applyAlignment="1">
      <alignment horizontal="left"/>
    </xf>
    <xf numFmtId="0" fontId="20" fillId="0" borderId="33" xfId="0" applyFont="1" applyFill="1" applyBorder="1" applyAlignment="1">
      <alignment horizontal="center"/>
    </xf>
    <xf numFmtId="177" fontId="19" fillId="0" borderId="25" xfId="579" applyNumberFormat="1" applyFont="1" applyFill="1" applyBorder="1"/>
    <xf numFmtId="177" fontId="19" fillId="0" borderId="27" xfId="579" applyNumberFormat="1" applyFont="1" applyFill="1" applyBorder="1" applyAlignment="1">
      <alignment wrapText="1"/>
    </xf>
    <xf numFmtId="0" fontId="19" fillId="0" borderId="34" xfId="0" applyFont="1" applyFill="1" applyBorder="1"/>
    <xf numFmtId="177" fontId="19" fillId="0" borderId="27" xfId="0" applyNumberFormat="1" applyFont="1" applyFill="1" applyBorder="1"/>
    <xf numFmtId="10" fontId="19" fillId="0" borderId="27" xfId="769" applyNumberFormat="1" applyFont="1" applyFill="1" applyBorder="1"/>
    <xf numFmtId="177" fontId="20" fillId="0" borderId="25" xfId="579" applyNumberFormat="1" applyFont="1" applyFill="1" applyBorder="1" applyAlignment="1">
      <alignment horizontal="center"/>
    </xf>
    <xf numFmtId="0" fontId="20" fillId="0" borderId="33" xfId="0" applyFont="1" applyFill="1" applyBorder="1"/>
    <xf numFmtId="9" fontId="19" fillId="0" borderId="25" xfId="769" applyNumberFormat="1" applyFont="1" applyFill="1" applyBorder="1"/>
    <xf numFmtId="0" fontId="19" fillId="0" borderId="35" xfId="0" applyFont="1" applyFill="1" applyBorder="1"/>
    <xf numFmtId="0" fontId="20" fillId="0" borderId="33" xfId="0" applyFont="1" applyFill="1" applyBorder="1" applyAlignment="1">
      <alignment horizontal="left"/>
    </xf>
    <xf numFmtId="9" fontId="91" fillId="0" borderId="25" xfId="769" applyNumberFormat="1" applyFont="1" applyFill="1" applyBorder="1"/>
    <xf numFmtId="177" fontId="19" fillId="0" borderId="34" xfId="579" applyNumberFormat="1" applyFont="1" applyFill="1" applyBorder="1"/>
    <xf numFmtId="10" fontId="91" fillId="0" borderId="27" xfId="769" applyNumberFormat="1" applyFont="1" applyFill="1" applyBorder="1"/>
    <xf numFmtId="0" fontId="32" fillId="0" borderId="25" xfId="0" applyFont="1" applyFill="1" applyBorder="1" applyAlignment="1">
      <alignment horizontal="center"/>
    </xf>
    <xf numFmtId="177" fontId="22" fillId="0" borderId="46" xfId="632" applyNumberFormat="1" applyFont="1" applyFill="1" applyBorder="1" applyAlignment="1">
      <alignment wrapText="1"/>
    </xf>
    <xf numFmtId="0" fontId="3" fillId="30" borderId="24" xfId="0" applyFont="1" applyFill="1" applyBorder="1"/>
    <xf numFmtId="0" fontId="21" fillId="30" borderId="45" xfId="0" applyFont="1" applyFill="1" applyBorder="1"/>
    <xf numFmtId="193" fontId="9" fillId="30" borderId="10" xfId="579" applyNumberFormat="1" applyFont="1" applyFill="1" applyBorder="1" applyAlignment="1">
      <alignment horizontal="right"/>
    </xf>
    <xf numFmtId="177" fontId="9" fillId="30" borderId="10" xfId="579" applyNumberFormat="1" applyFont="1" applyFill="1" applyBorder="1" applyAlignment="1">
      <alignment horizontal="left"/>
    </xf>
    <xf numFmtId="177" fontId="9" fillId="0" borderId="0" xfId="683" applyNumberFormat="1"/>
    <xf numFmtId="177" fontId="0" fillId="0" borderId="0" xfId="599" applyNumberFormat="1" applyFont="1"/>
    <xf numFmtId="0" fontId="26" fillId="0" borderId="0" xfId="683" applyFont="1" applyAlignment="1">
      <alignment horizontal="center"/>
    </xf>
    <xf numFmtId="177" fontId="26" fillId="0" borderId="0" xfId="599" applyNumberFormat="1" applyFont="1" applyAlignment="1">
      <alignment horizontal="center"/>
    </xf>
    <xf numFmtId="0" fontId="9" fillId="0" borderId="0" xfId="683" applyFont="1"/>
    <xf numFmtId="0" fontId="39" fillId="28" borderId="10" xfId="683" applyFont="1" applyFill="1" applyBorder="1"/>
    <xf numFmtId="10" fontId="39" fillId="28" borderId="10" xfId="683" applyNumberFormat="1" applyFont="1" applyFill="1" applyBorder="1"/>
    <xf numFmtId="177" fontId="39" fillId="28" borderId="10" xfId="599" applyNumberFormat="1" applyFont="1" applyFill="1" applyBorder="1"/>
    <xf numFmtId="0" fontId="92" fillId="0" borderId="0" xfId="683" applyFont="1" applyAlignment="1">
      <alignment horizontal="center"/>
    </xf>
    <xf numFmtId="177" fontId="26" fillId="0" borderId="0" xfId="683" applyNumberFormat="1" applyFont="1" applyAlignment="1">
      <alignment horizontal="center"/>
    </xf>
    <xf numFmtId="0" fontId="93" fillId="0" borderId="0" xfId="683" applyFont="1"/>
    <xf numFmtId="0" fontId="3" fillId="24" borderId="45" xfId="683" applyFont="1" applyFill="1" applyBorder="1" applyAlignment="1">
      <alignment horizontal="center" vertical="center" wrapText="1"/>
    </xf>
    <xf numFmtId="0" fontId="3" fillId="0" borderId="0" xfId="683" applyFont="1" applyFill="1" applyBorder="1" applyAlignment="1">
      <alignment horizontal="center"/>
    </xf>
    <xf numFmtId="0" fontId="9" fillId="0" borderId="0" xfId="683" applyFont="1" applyFill="1" applyBorder="1"/>
    <xf numFmtId="177" fontId="9" fillId="0" borderId="0" xfId="599" applyNumberFormat="1" applyFont="1"/>
    <xf numFmtId="0" fontId="3" fillId="24" borderId="16" xfId="683" applyFont="1" applyFill="1" applyBorder="1" applyAlignment="1">
      <alignment horizontal="center" vertical="center"/>
    </xf>
    <xf numFmtId="0" fontId="3" fillId="24" borderId="27" xfId="683" applyFont="1" applyFill="1" applyBorder="1" applyAlignment="1">
      <alignment horizontal="center" vertical="center"/>
    </xf>
    <xf numFmtId="0" fontId="3" fillId="24" borderId="27" xfId="683" applyFont="1" applyFill="1" applyBorder="1" applyAlignment="1">
      <alignment horizontal="center" vertical="center" wrapText="1"/>
    </xf>
    <xf numFmtId="0" fontId="3" fillId="24" borderId="16" xfId="683" applyFont="1" applyFill="1" applyBorder="1" applyAlignment="1">
      <alignment horizontal="center" vertical="center" wrapText="1"/>
    </xf>
    <xf numFmtId="9" fontId="3" fillId="24" borderId="47" xfId="683" applyNumberFormat="1" applyFont="1" applyFill="1" applyBorder="1" applyAlignment="1">
      <alignment horizontal="center" vertical="center" wrapText="1"/>
    </xf>
    <xf numFmtId="10" fontId="3" fillId="24" borderId="48" xfId="683" applyNumberFormat="1" applyFont="1" applyFill="1" applyBorder="1" applyAlignment="1">
      <alignment horizontal="center" vertical="center" wrapText="1"/>
    </xf>
    <xf numFmtId="10" fontId="3" fillId="24" borderId="49" xfId="683" applyNumberFormat="1" applyFont="1" applyFill="1" applyBorder="1" applyAlignment="1">
      <alignment horizontal="center" vertical="center" wrapText="1"/>
    </xf>
    <xf numFmtId="10" fontId="3" fillId="24" borderId="15" xfId="683" applyNumberFormat="1" applyFont="1" applyFill="1" applyBorder="1" applyAlignment="1">
      <alignment horizontal="center" vertical="center" wrapText="1"/>
    </xf>
    <xf numFmtId="10" fontId="3" fillId="24" borderId="16" xfId="683" applyNumberFormat="1" applyFont="1" applyFill="1" applyBorder="1" applyAlignment="1">
      <alignment horizontal="center" vertical="center" wrapText="1"/>
    </xf>
    <xf numFmtId="177" fontId="9" fillId="0" borderId="0" xfId="599" applyNumberFormat="1" applyFont="1" applyBorder="1" applyAlignment="1">
      <alignment vertical="center"/>
    </xf>
    <xf numFmtId="0" fontId="9" fillId="0" borderId="0" xfId="683" applyFont="1" applyBorder="1" applyAlignment="1">
      <alignment vertical="center"/>
    </xf>
    <xf numFmtId="0" fontId="9" fillId="0" borderId="0" xfId="683" applyFont="1" applyAlignment="1">
      <alignment vertical="center"/>
    </xf>
    <xf numFmtId="0" fontId="9" fillId="0" borderId="0" xfId="683" applyAlignment="1">
      <alignment vertical="center"/>
    </xf>
    <xf numFmtId="0" fontId="3" fillId="0" borderId="0" xfId="683" applyFont="1" applyFill="1" applyBorder="1" applyAlignment="1">
      <alignment horizontal="center" wrapText="1"/>
    </xf>
    <xf numFmtId="9" fontId="3" fillId="0" borderId="0" xfId="683" applyNumberFormat="1" applyFont="1" applyFill="1" applyBorder="1" applyAlignment="1">
      <alignment horizontal="center" wrapText="1"/>
    </xf>
    <xf numFmtId="10" fontId="3" fillId="0" borderId="0" xfId="683" applyNumberFormat="1" applyFont="1" applyFill="1" applyBorder="1" applyAlignment="1">
      <alignment horizontal="center" wrapText="1"/>
    </xf>
    <xf numFmtId="0" fontId="3" fillId="0" borderId="0" xfId="683" applyFont="1" applyFill="1" applyBorder="1" applyAlignment="1">
      <alignment horizontal="center" vertical="justify" wrapText="1"/>
    </xf>
    <xf numFmtId="177" fontId="3" fillId="0" borderId="0" xfId="599" applyNumberFormat="1" applyFont="1" applyFill="1" applyBorder="1" applyAlignment="1">
      <alignment horizontal="center" wrapText="1"/>
    </xf>
    <xf numFmtId="0" fontId="28" fillId="24" borderId="10" xfId="683" applyFont="1" applyFill="1" applyBorder="1" applyAlignment="1">
      <alignment horizontal="center"/>
    </xf>
    <xf numFmtId="3" fontId="3" fillId="24" borderId="10" xfId="683" applyNumberFormat="1" applyFont="1" applyFill="1" applyBorder="1" applyAlignment="1">
      <alignment horizontal="right" wrapText="1"/>
    </xf>
    <xf numFmtId="0" fontId="9" fillId="0" borderId="0" xfId="683" applyFill="1" applyBorder="1"/>
    <xf numFmtId="3" fontId="3" fillId="24" borderId="10" xfId="683" applyNumberFormat="1" applyFont="1" applyFill="1" applyBorder="1" applyAlignment="1">
      <alignment horizontal="left" vertical="center"/>
    </xf>
    <xf numFmtId="0" fontId="3" fillId="24" borderId="10" xfId="683" applyFont="1" applyFill="1" applyBorder="1" applyAlignment="1">
      <alignment horizontal="center" vertical="center"/>
    </xf>
    <xf numFmtId="15" fontId="4" fillId="24" borderId="10" xfId="683" applyNumberFormat="1" applyFont="1" applyFill="1" applyBorder="1" applyAlignment="1">
      <alignment horizontal="center"/>
    </xf>
    <xf numFmtId="0" fontId="4" fillId="24" borderId="10" xfId="683" applyNumberFormat="1" applyFont="1" applyFill="1" applyBorder="1" applyAlignment="1">
      <alignment horizontal="center"/>
    </xf>
    <xf numFmtId="177" fontId="3" fillId="24" borderId="10" xfId="683" applyNumberFormat="1" applyFont="1" applyFill="1" applyBorder="1" applyAlignment="1">
      <alignment horizontal="center" vertical="center"/>
    </xf>
    <xf numFmtId="177" fontId="40" fillId="0" borderId="0" xfId="599" applyNumberFormat="1" applyFont="1" applyFill="1" applyBorder="1" applyAlignment="1">
      <alignment horizontal="center" wrapText="1"/>
    </xf>
    <xf numFmtId="0" fontId="9" fillId="0" borderId="24" xfId="683" applyFont="1" applyFill="1" applyBorder="1" applyAlignment="1">
      <alignment horizontal="left"/>
    </xf>
    <xf numFmtId="0" fontId="9" fillId="0" borderId="10" xfId="683" applyFont="1" applyFill="1" applyBorder="1" applyAlignment="1" applyProtection="1">
      <alignment horizontal="center"/>
      <protection locked="0"/>
    </xf>
    <xf numFmtId="15" fontId="4" fillId="0" borderId="10" xfId="683" applyNumberFormat="1" applyFont="1" applyFill="1" applyBorder="1" applyAlignment="1">
      <alignment horizontal="center"/>
    </xf>
    <xf numFmtId="0" fontId="4" fillId="0" borderId="10" xfId="683" applyNumberFormat="1" applyFont="1" applyFill="1" applyBorder="1" applyAlignment="1">
      <alignment horizontal="center"/>
    </xf>
    <xf numFmtId="0" fontId="3" fillId="0" borderId="10" xfId="683" applyFont="1" applyFill="1" applyBorder="1" applyAlignment="1" applyProtection="1">
      <alignment horizontal="center"/>
      <protection locked="0"/>
    </xf>
    <xf numFmtId="177" fontId="9" fillId="0" borderId="10" xfId="599" applyNumberFormat="1" applyFont="1" applyFill="1" applyBorder="1" applyAlignment="1">
      <alignment horizontal="right"/>
    </xf>
    <xf numFmtId="177" fontId="9" fillId="0" borderId="0" xfId="683" applyNumberFormat="1" applyFont="1" applyFill="1" applyBorder="1"/>
    <xf numFmtId="0" fontId="9" fillId="0" borderId="10" xfId="683" applyFont="1" applyFill="1" applyBorder="1" applyAlignment="1">
      <alignment horizontal="left"/>
    </xf>
    <xf numFmtId="0" fontId="9" fillId="0" borderId="0" xfId="683" applyFont="1" applyFill="1" applyBorder="1" applyAlignment="1">
      <alignment horizontal="left"/>
    </xf>
    <xf numFmtId="0" fontId="9" fillId="0" borderId="0" xfId="683" applyFont="1" applyFill="1" applyBorder="1" applyAlignment="1" applyProtection="1">
      <alignment horizontal="center"/>
      <protection locked="0"/>
    </xf>
    <xf numFmtId="177" fontId="9" fillId="0" borderId="0" xfId="599" applyNumberFormat="1" applyFont="1" applyFill="1" applyBorder="1" applyAlignment="1">
      <alignment horizontal="right"/>
    </xf>
    <xf numFmtId="177" fontId="9" fillId="25" borderId="0" xfId="599" applyNumberFormat="1" applyFont="1" applyFill="1" applyBorder="1" applyAlignment="1">
      <alignment horizontal="right"/>
    </xf>
    <xf numFmtId="3" fontId="9" fillId="0" borderId="0" xfId="683" applyNumberFormat="1" applyFont="1" applyFill="1" applyBorder="1"/>
    <xf numFmtId="175" fontId="9" fillId="0" borderId="0" xfId="599" applyFont="1" applyFill="1" applyBorder="1"/>
    <xf numFmtId="177" fontId="9" fillId="30" borderId="10" xfId="599" applyNumberFormat="1" applyFont="1" applyFill="1" applyBorder="1" applyAlignment="1">
      <alignment horizontal="right"/>
    </xf>
    <xf numFmtId="175" fontId="9" fillId="0" borderId="0" xfId="599" applyFont="1" applyFill="1"/>
    <xf numFmtId="43" fontId="9" fillId="0" borderId="0" xfId="683" applyNumberFormat="1" applyFont="1" applyFill="1"/>
    <xf numFmtId="177" fontId="9" fillId="0" borderId="0" xfId="599" applyNumberFormat="1" applyFont="1" applyFill="1" applyBorder="1"/>
    <xf numFmtId="0" fontId="3" fillId="25" borderId="0" xfId="683" applyFont="1" applyFill="1" applyBorder="1" applyAlignment="1">
      <alignment horizontal="center" wrapText="1"/>
    </xf>
    <xf numFmtId="0" fontId="3" fillId="30" borderId="0" xfId="683" applyFont="1" applyFill="1" applyBorder="1" applyAlignment="1">
      <alignment horizontal="center" wrapText="1"/>
    </xf>
    <xf numFmtId="177" fontId="29" fillId="0" borderId="0" xfId="599" applyNumberFormat="1" applyFont="1" applyFill="1" applyBorder="1" applyAlignment="1">
      <alignment horizontal="right" wrapText="1"/>
    </xf>
    <xf numFmtId="177" fontId="29" fillId="0" borderId="0" xfId="683" applyNumberFormat="1" applyFont="1" applyFill="1" applyBorder="1"/>
    <xf numFmtId="0" fontId="29" fillId="0" borderId="0" xfId="683" applyFont="1" applyFill="1" applyBorder="1"/>
    <xf numFmtId="0" fontId="9" fillId="25" borderId="10" xfId="683" applyFont="1" applyFill="1" applyBorder="1" applyAlignment="1">
      <alignment horizontal="left"/>
    </xf>
    <xf numFmtId="177" fontId="9" fillId="0" borderId="0" xfId="683" applyNumberFormat="1" applyFont="1" applyFill="1"/>
    <xf numFmtId="177" fontId="27" fillId="0" borderId="0" xfId="599" applyNumberFormat="1" applyFont="1" applyFill="1" applyBorder="1" applyAlignment="1">
      <alignment horizontal="right"/>
    </xf>
    <xf numFmtId="0" fontId="9" fillId="0" borderId="0" xfId="683" applyFont="1" applyFill="1" applyAlignment="1">
      <alignment horizontal="right"/>
    </xf>
    <xf numFmtId="3" fontId="9" fillId="0" borderId="10" xfId="683" applyNumberFormat="1" applyFont="1" applyFill="1" applyBorder="1" applyAlignment="1">
      <alignment horizontal="left"/>
    </xf>
    <xf numFmtId="3" fontId="9" fillId="30" borderId="10" xfId="683" applyNumberFormat="1" applyFont="1" applyFill="1" applyBorder="1" applyAlignment="1">
      <alignment horizontal="left"/>
    </xf>
    <xf numFmtId="0" fontId="9" fillId="30" borderId="10" xfId="683" applyFont="1" applyFill="1" applyBorder="1" applyAlignment="1">
      <alignment horizontal="left"/>
    </xf>
    <xf numFmtId="0" fontId="9" fillId="30" borderId="0" xfId="683" applyFont="1" applyFill="1" applyBorder="1" applyAlignment="1">
      <alignment horizontal="left"/>
    </xf>
    <xf numFmtId="0" fontId="9" fillId="0" borderId="10" xfId="683" applyFont="1" applyFill="1" applyBorder="1" applyAlignment="1">
      <alignment horizontal="center"/>
    </xf>
    <xf numFmtId="0" fontId="3" fillId="0" borderId="10" xfId="683" applyFont="1" applyFill="1" applyBorder="1" applyAlignment="1">
      <alignment horizontal="center"/>
    </xf>
    <xf numFmtId="15" fontId="4" fillId="0" borderId="0" xfId="683" applyNumberFormat="1" applyFont="1" applyFill="1" applyBorder="1" applyAlignment="1">
      <alignment horizontal="center"/>
    </xf>
    <xf numFmtId="0" fontId="4" fillId="0" borderId="0" xfId="683" applyNumberFormat="1" applyFont="1" applyFill="1" applyBorder="1" applyAlignment="1">
      <alignment horizontal="center"/>
    </xf>
    <xf numFmtId="175" fontId="9" fillId="0" borderId="0" xfId="599" applyFont="1" applyBorder="1"/>
    <xf numFmtId="3" fontId="9" fillId="0" borderId="0" xfId="683" applyNumberFormat="1" applyFont="1" applyFill="1" applyBorder="1" applyAlignment="1">
      <alignment horizontal="right"/>
    </xf>
    <xf numFmtId="177" fontId="27" fillId="0" borderId="0" xfId="599" applyNumberFormat="1" applyFont="1" applyBorder="1"/>
    <xf numFmtId="0" fontId="9" fillId="0" borderId="0" xfId="683" applyFont="1" applyFill="1" applyBorder="1" applyAlignment="1">
      <alignment horizontal="right"/>
    </xf>
    <xf numFmtId="3" fontId="9" fillId="0" borderId="0" xfId="683" applyNumberFormat="1" applyFont="1" applyAlignment="1">
      <alignment horizontal="right"/>
    </xf>
    <xf numFmtId="3" fontId="9" fillId="0" borderId="0" xfId="683" applyNumberFormat="1" applyFont="1" applyFill="1" applyAlignment="1">
      <alignment horizontal="right"/>
    </xf>
    <xf numFmtId="0" fontId="9" fillId="0" borderId="0" xfId="683" applyFont="1" applyAlignment="1">
      <alignment horizontal="right"/>
    </xf>
    <xf numFmtId="0" fontId="3" fillId="0" borderId="47" xfId="683" applyFont="1" applyBorder="1"/>
    <xf numFmtId="0" fontId="3" fillId="0" borderId="50" xfId="683" applyFont="1" applyBorder="1"/>
    <xf numFmtId="3" fontId="3" fillId="0" borderId="0" xfId="683" applyNumberFormat="1" applyFont="1"/>
    <xf numFmtId="183" fontId="3" fillId="0" borderId="0" xfId="636" applyNumberFormat="1" applyFont="1"/>
    <xf numFmtId="15" fontId="9" fillId="0" borderId="0" xfId="683" applyNumberFormat="1" applyFont="1"/>
    <xf numFmtId="15" fontId="9" fillId="0" borderId="0" xfId="683" applyNumberFormat="1" applyFont="1" applyFill="1" applyBorder="1"/>
    <xf numFmtId="3" fontId="3" fillId="0" borderId="0" xfId="683" applyNumberFormat="1" applyFont="1" applyFill="1" applyBorder="1" applyAlignment="1">
      <alignment horizontal="right"/>
    </xf>
    <xf numFmtId="9" fontId="9" fillId="0" borderId="0" xfId="683" applyNumberFormat="1" applyFont="1"/>
    <xf numFmtId="0" fontId="29" fillId="0" borderId="0" xfId="683" applyFont="1"/>
    <xf numFmtId="3" fontId="9" fillId="0" borderId="0" xfId="683" applyNumberFormat="1" applyFont="1"/>
    <xf numFmtId="9" fontId="9" fillId="0" borderId="0" xfId="774" applyFont="1"/>
    <xf numFmtId="15" fontId="3" fillId="0" borderId="0" xfId="683" applyNumberFormat="1" applyFont="1" applyFill="1" applyBorder="1" applyAlignment="1">
      <alignment horizontal="center"/>
    </xf>
    <xf numFmtId="0" fontId="3" fillId="24" borderId="16" xfId="683" applyFont="1" applyFill="1" applyBorder="1"/>
    <xf numFmtId="0" fontId="3" fillId="0" borderId="10" xfId="683" applyNumberFormat="1" applyFont="1" applyFill="1" applyBorder="1" applyAlignment="1">
      <alignment horizontal="center"/>
    </xf>
    <xf numFmtId="0" fontId="3" fillId="0" borderId="0" xfId="683" applyNumberFormat="1" applyFont="1" applyFill="1" applyBorder="1"/>
    <xf numFmtId="15" fontId="3" fillId="0" borderId="0" xfId="683" applyNumberFormat="1" applyFont="1" applyFill="1" applyBorder="1"/>
    <xf numFmtId="0" fontId="3" fillId="0" borderId="10" xfId="683" applyNumberFormat="1" applyFont="1" applyFill="1" applyBorder="1" applyAlignment="1">
      <alignment horizontal="center" vertical="center" wrapText="1"/>
    </xf>
    <xf numFmtId="170" fontId="9" fillId="0" borderId="0" xfId="683" applyNumberFormat="1" applyFont="1"/>
    <xf numFmtId="3" fontId="9" fillId="0" borderId="0" xfId="683" applyNumberFormat="1" applyFont="1" applyFill="1" applyBorder="1" applyAlignment="1" applyProtection="1">
      <alignment horizontal="right"/>
      <protection locked="0"/>
    </xf>
    <xf numFmtId="0" fontId="9" fillId="0" borderId="10" xfId="683" applyNumberFormat="1" applyFont="1" applyFill="1" applyBorder="1"/>
    <xf numFmtId="0" fontId="3" fillId="0" borderId="10" xfId="683" applyNumberFormat="1" applyFont="1" applyFill="1" applyBorder="1"/>
    <xf numFmtId="3" fontId="9" fillId="0" borderId="10" xfId="683" applyNumberFormat="1" applyFont="1" applyFill="1" applyBorder="1" applyAlignment="1" applyProtection="1">
      <alignment horizontal="left"/>
      <protection locked="0"/>
    </xf>
    <xf numFmtId="3" fontId="9" fillId="0" borderId="10" xfId="683" applyNumberFormat="1" applyFont="1" applyFill="1" applyBorder="1" applyAlignment="1" applyProtection="1">
      <alignment horizontal="right"/>
      <protection locked="0"/>
    </xf>
    <xf numFmtId="0" fontId="9" fillId="0" borderId="10" xfId="683" applyFont="1" applyFill="1" applyBorder="1"/>
    <xf numFmtId="0" fontId="27" fillId="0" borderId="0" xfId="683" applyFont="1" applyFill="1" applyBorder="1"/>
    <xf numFmtId="15" fontId="27" fillId="0" borderId="0" xfId="683" applyNumberFormat="1" applyFont="1" applyFill="1" applyBorder="1"/>
    <xf numFmtId="0" fontId="3" fillId="0" borderId="10" xfId="683" applyFont="1" applyBorder="1"/>
    <xf numFmtId="177" fontId="3" fillId="0" borderId="10" xfId="599" applyNumberFormat="1" applyFont="1" applyBorder="1"/>
    <xf numFmtId="177" fontId="27" fillId="0" borderId="0" xfId="599" applyNumberFormat="1" applyFont="1"/>
    <xf numFmtId="0" fontId="9" fillId="0" borderId="0" xfId="683" applyFont="1" applyBorder="1" applyAlignment="1">
      <alignment horizontal="center"/>
    </xf>
    <xf numFmtId="177" fontId="9" fillId="0" borderId="0" xfId="683" applyNumberFormat="1" applyFont="1" applyBorder="1"/>
    <xf numFmtId="175" fontId="9" fillId="0" borderId="0" xfId="683" applyNumberFormat="1" applyFont="1" applyBorder="1"/>
    <xf numFmtId="0" fontId="3" fillId="24" borderId="10" xfId="683" applyFont="1" applyFill="1" applyBorder="1"/>
    <xf numFmtId="177" fontId="9" fillId="0" borderId="10" xfId="599" applyNumberFormat="1" applyFont="1" applyFill="1" applyBorder="1"/>
    <xf numFmtId="0" fontId="3" fillId="24" borderId="0" xfId="683" applyFont="1" applyFill="1" applyBorder="1"/>
    <xf numFmtId="0" fontId="3" fillId="0" borderId="0" xfId="683" applyFont="1" applyFill="1" applyBorder="1"/>
    <xf numFmtId="15" fontId="9" fillId="0" borderId="0" xfId="683" applyNumberFormat="1" applyFont="1" applyBorder="1"/>
    <xf numFmtId="0" fontId="3" fillId="0" borderId="0" xfId="683" applyFont="1" applyBorder="1"/>
    <xf numFmtId="176" fontId="3" fillId="0" borderId="0" xfId="683" applyNumberFormat="1" applyFont="1" applyBorder="1"/>
    <xf numFmtId="0" fontId="11" fillId="0" borderId="0" xfId="683" applyFont="1"/>
    <xf numFmtId="15" fontId="11" fillId="0" borderId="0" xfId="683" applyNumberFormat="1" applyFont="1"/>
    <xf numFmtId="0" fontId="3" fillId="0" borderId="51" xfId="683" applyFont="1" applyFill="1" applyBorder="1"/>
    <xf numFmtId="0" fontId="3" fillId="0" borderId="47" xfId="683" applyFont="1" applyFill="1" applyBorder="1"/>
    <xf numFmtId="0" fontId="3" fillId="0" borderId="48" xfId="683" applyFont="1" applyFill="1" applyBorder="1" applyAlignment="1">
      <alignment horizontal="center"/>
    </xf>
    <xf numFmtId="3" fontId="3" fillId="0" borderId="48" xfId="683" applyNumberFormat="1" applyFont="1" applyFill="1" applyBorder="1" applyAlignment="1">
      <alignment horizontal="right"/>
    </xf>
    <xf numFmtId="177" fontId="27" fillId="0" borderId="0" xfId="599" applyNumberFormat="1" applyFont="1" applyFill="1" applyBorder="1"/>
    <xf numFmtId="0" fontId="4" fillId="30" borderId="0" xfId="0" applyFont="1" applyFill="1"/>
    <xf numFmtId="3" fontId="21" fillId="30" borderId="13" xfId="0" applyNumberFormat="1" applyFont="1" applyFill="1" applyBorder="1"/>
    <xf numFmtId="178" fontId="0" fillId="0" borderId="0" xfId="0" applyNumberFormat="1"/>
    <xf numFmtId="0" fontId="21" fillId="30" borderId="33" xfId="0" applyFont="1" applyFill="1" applyBorder="1"/>
    <xf numFmtId="179" fontId="89" fillId="0" borderId="0" xfId="579" applyNumberFormat="1" applyFont="1"/>
    <xf numFmtId="179" fontId="89" fillId="0" borderId="0" xfId="0" applyNumberFormat="1" applyFont="1"/>
    <xf numFmtId="178" fontId="0" fillId="0" borderId="0" xfId="579" applyNumberFormat="1" applyFont="1" applyAlignment="1">
      <alignment horizontal="center"/>
    </xf>
    <xf numFmtId="0" fontId="0" fillId="0" borderId="0" xfId="0" applyAlignment="1">
      <alignment horizontal="center"/>
    </xf>
    <xf numFmtId="179" fontId="0" fillId="0" borderId="10" xfId="579" applyNumberFormat="1" applyFont="1" applyBorder="1"/>
    <xf numFmtId="0" fontId="89" fillId="0" borderId="52" xfId="0" applyFont="1" applyBorder="1"/>
    <xf numFmtId="179" fontId="0" fillId="0" borderId="53" xfId="579" applyNumberFormat="1" applyFont="1" applyBorder="1"/>
    <xf numFmtId="178" fontId="0" fillId="0" borderId="54" xfId="0" applyNumberFormat="1" applyBorder="1" applyAlignment="1">
      <alignment horizontal="center"/>
    </xf>
    <xf numFmtId="0" fontId="89" fillId="0" borderId="55" xfId="0" applyFont="1" applyBorder="1"/>
    <xf numFmtId="178" fontId="0" fillId="0" borderId="56" xfId="0" applyNumberFormat="1" applyFill="1" applyBorder="1" applyAlignment="1">
      <alignment horizontal="center"/>
    </xf>
    <xf numFmtId="178" fontId="0" fillId="0" borderId="56" xfId="0" applyNumberFormat="1" applyBorder="1" applyAlignment="1">
      <alignment horizontal="center"/>
    </xf>
    <xf numFmtId="0" fontId="89" fillId="0" borderId="57" xfId="0" applyFont="1" applyBorder="1"/>
    <xf numFmtId="179" fontId="0" fillId="0" borderId="58" xfId="579" applyNumberFormat="1" applyFont="1" applyBorder="1"/>
    <xf numFmtId="178" fontId="0" fillId="0" borderId="59" xfId="0" applyNumberFormat="1" applyFill="1" applyBorder="1" applyAlignment="1">
      <alignment horizontal="center"/>
    </xf>
    <xf numFmtId="179" fontId="0" fillId="0" borderId="10" xfId="0" applyNumberFormat="1" applyBorder="1"/>
    <xf numFmtId="179" fontId="0" fillId="0" borderId="10" xfId="769" applyNumberFormat="1" applyFont="1" applyBorder="1"/>
    <xf numFmtId="179" fontId="0" fillId="0" borderId="53" xfId="0" applyNumberFormat="1" applyBorder="1"/>
    <xf numFmtId="179" fontId="0" fillId="0" borderId="53" xfId="769" applyNumberFormat="1" applyFont="1" applyBorder="1"/>
    <xf numFmtId="179" fontId="0" fillId="0" borderId="58" xfId="0" applyNumberFormat="1" applyBorder="1"/>
    <xf numFmtId="179" fontId="0" fillId="0" borderId="58" xfId="769" applyNumberFormat="1" applyFont="1" applyBorder="1"/>
    <xf numFmtId="178" fontId="0" fillId="0" borderId="59" xfId="0" applyNumberFormat="1" applyBorder="1" applyAlignment="1">
      <alignment horizontal="center"/>
    </xf>
    <xf numFmtId="0" fontId="89" fillId="33" borderId="25" xfId="0" applyFont="1" applyFill="1" applyBorder="1" applyAlignment="1">
      <alignment horizontal="center"/>
    </xf>
    <xf numFmtId="178" fontId="89" fillId="33" borderId="36" xfId="0" applyNumberFormat="1" applyFont="1" applyFill="1" applyBorder="1" applyAlignment="1">
      <alignment horizontal="center"/>
    </xf>
    <xf numFmtId="0" fontId="89" fillId="33" borderId="16" xfId="0" applyFont="1" applyFill="1" applyBorder="1" applyAlignment="1">
      <alignment horizontal="center"/>
    </xf>
    <xf numFmtId="0" fontId="89" fillId="33" borderId="16" xfId="0" applyFont="1" applyFill="1" applyBorder="1"/>
    <xf numFmtId="178" fontId="89" fillId="33" borderId="16" xfId="0" applyNumberFormat="1" applyFont="1" applyFill="1" applyBorder="1" applyAlignment="1">
      <alignment horizontal="center"/>
    </xf>
    <xf numFmtId="0" fontId="89" fillId="33" borderId="14" xfId="0" applyFont="1" applyFill="1" applyBorder="1"/>
    <xf numFmtId="179" fontId="89" fillId="33" borderId="16" xfId="579" applyNumberFormat="1" applyFont="1" applyFill="1" applyBorder="1"/>
    <xf numFmtId="179" fontId="89" fillId="33" borderId="16" xfId="0" applyNumberFormat="1" applyFont="1" applyFill="1" applyBorder="1"/>
    <xf numFmtId="178" fontId="89" fillId="33" borderId="15" xfId="0" applyNumberFormat="1" applyFont="1" applyFill="1" applyBorder="1" applyAlignment="1">
      <alignment horizontal="center"/>
    </xf>
    <xf numFmtId="179" fontId="89" fillId="33" borderId="60" xfId="0" applyNumberFormat="1" applyFont="1" applyFill="1" applyBorder="1"/>
    <xf numFmtId="178" fontId="3" fillId="33" borderId="16" xfId="0" applyNumberFormat="1" applyFont="1" applyFill="1" applyBorder="1" applyAlignment="1">
      <alignment horizontal="center"/>
    </xf>
    <xf numFmtId="0" fontId="21" fillId="30" borderId="61" xfId="0" applyFont="1" applyFill="1" applyBorder="1" applyAlignment="1">
      <alignment horizontal="center" wrapText="1"/>
    </xf>
    <xf numFmtId="10" fontId="21" fillId="0" borderId="62" xfId="769" applyNumberFormat="1" applyFont="1" applyFill="1" applyBorder="1" applyAlignment="1">
      <alignment wrapText="1"/>
    </xf>
    <xf numFmtId="10" fontId="4" fillId="0" borderId="62" xfId="769" applyNumberFormat="1" applyFont="1" applyFill="1" applyBorder="1" applyAlignment="1">
      <alignment wrapText="1"/>
    </xf>
    <xf numFmtId="10" fontId="4" fillId="0" borderId="63" xfId="769" applyNumberFormat="1" applyFont="1" applyFill="1" applyBorder="1" applyAlignment="1">
      <alignment wrapText="1"/>
    </xf>
    <xf numFmtId="177" fontId="21" fillId="25" borderId="64" xfId="0" applyNumberFormat="1" applyFont="1" applyFill="1" applyBorder="1" applyAlignment="1">
      <alignment wrapText="1"/>
    </xf>
    <xf numFmtId="10" fontId="21" fillId="0" borderId="65" xfId="769" applyNumberFormat="1" applyFont="1" applyFill="1" applyBorder="1" applyAlignment="1">
      <alignment wrapText="1"/>
    </xf>
    <xf numFmtId="183" fontId="18" fillId="31" borderId="15" xfId="634" applyNumberFormat="1" applyFont="1" applyFill="1" applyBorder="1"/>
    <xf numFmtId="10" fontId="21" fillId="31" borderId="16" xfId="769" applyNumberFormat="1" applyFont="1" applyFill="1" applyBorder="1"/>
    <xf numFmtId="1" fontId="4" fillId="0" borderId="10" xfId="683" applyNumberFormat="1" applyFont="1" applyFill="1" applyBorder="1" applyAlignment="1">
      <alignment horizontal="center"/>
    </xf>
    <xf numFmtId="182" fontId="3" fillId="0" borderId="10" xfId="683" applyNumberFormat="1" applyFont="1" applyBorder="1" applyAlignment="1">
      <alignment horizontal="right"/>
    </xf>
    <xf numFmtId="3" fontId="19" fillId="30" borderId="27" xfId="0" applyNumberFormat="1" applyFont="1" applyFill="1" applyBorder="1"/>
    <xf numFmtId="0" fontId="21" fillId="0" borderId="66" xfId="0" applyFont="1" applyFill="1" applyBorder="1" applyAlignment="1">
      <alignment horizontal="left" wrapText="1"/>
    </xf>
    <xf numFmtId="0" fontId="22" fillId="0" borderId="67" xfId="0" applyFont="1" applyFill="1" applyBorder="1" applyAlignment="1">
      <alignment wrapText="1"/>
    </xf>
    <xf numFmtId="0" fontId="21" fillId="0" borderId="68" xfId="0" applyFont="1" applyFill="1" applyBorder="1" applyAlignment="1">
      <alignment wrapText="1"/>
    </xf>
    <xf numFmtId="0" fontId="21" fillId="0" borderId="67" xfId="0" applyFont="1" applyFill="1" applyBorder="1" applyAlignment="1">
      <alignment wrapText="1"/>
    </xf>
    <xf numFmtId="0" fontId="22" fillId="0" borderId="69" xfId="0" applyFont="1" applyFill="1" applyBorder="1" applyAlignment="1">
      <alignment wrapText="1"/>
    </xf>
    <xf numFmtId="0" fontId="21" fillId="0" borderId="70" xfId="0" applyFont="1" applyFill="1" applyBorder="1" applyAlignment="1">
      <alignment wrapText="1"/>
    </xf>
    <xf numFmtId="177" fontId="22" fillId="25" borderId="28" xfId="632" applyNumberFormat="1" applyFont="1" applyFill="1" applyBorder="1" applyAlignment="1">
      <alignment wrapText="1"/>
    </xf>
    <xf numFmtId="179" fontId="21" fillId="0" borderId="41" xfId="633" applyNumberFormat="1" applyFont="1" applyFill="1" applyBorder="1" applyAlignment="1">
      <alignment wrapText="1"/>
    </xf>
    <xf numFmtId="177" fontId="22" fillId="0" borderId="28" xfId="769" applyNumberFormat="1" applyFont="1" applyFill="1" applyBorder="1" applyAlignment="1">
      <alignment wrapText="1"/>
    </xf>
    <xf numFmtId="0" fontId="4" fillId="0" borderId="0" xfId="0" applyFont="1" applyFill="1" applyBorder="1" applyAlignment="1">
      <alignment wrapText="1"/>
    </xf>
    <xf numFmtId="177" fontId="19" fillId="30" borderId="27" xfId="579" applyNumberFormat="1" applyFont="1" applyFill="1" applyBorder="1" applyAlignment="1">
      <alignment horizontal="center"/>
    </xf>
    <xf numFmtId="0" fontId="20" fillId="30" borderId="25" xfId="0" applyFont="1" applyFill="1" applyBorder="1"/>
    <xf numFmtId="3" fontId="23" fillId="30" borderId="13" xfId="0" applyNumberFormat="1" applyFont="1" applyFill="1" applyBorder="1"/>
    <xf numFmtId="177" fontId="17" fillId="30" borderId="10" xfId="579" applyNumberFormat="1" applyFont="1" applyFill="1" applyBorder="1" applyAlignment="1">
      <alignment vertical="center"/>
    </xf>
    <xf numFmtId="177" fontId="17" fillId="30" borderId="10" xfId="579" applyNumberFormat="1" applyFont="1" applyFill="1" applyBorder="1"/>
    <xf numFmtId="0" fontId="4" fillId="0" borderId="69" xfId="0" applyFont="1" applyFill="1" applyBorder="1" applyAlignment="1">
      <alignment wrapText="1"/>
    </xf>
    <xf numFmtId="0" fontId="21" fillId="30" borderId="71" xfId="0" applyFont="1" applyFill="1" applyBorder="1" applyAlignment="1">
      <alignment horizontal="center" vertical="center" wrapText="1"/>
    </xf>
    <xf numFmtId="0" fontId="21" fillId="30" borderId="72" xfId="0" applyFont="1" applyFill="1" applyBorder="1" applyAlignment="1">
      <alignment horizontal="center" vertical="center" wrapText="1"/>
    </xf>
    <xf numFmtId="0" fontId="21" fillId="30" borderId="73" xfId="0" applyFont="1" applyFill="1" applyBorder="1" applyAlignment="1">
      <alignment horizontal="center" vertical="center" wrapText="1"/>
    </xf>
    <xf numFmtId="0" fontId="21" fillId="0" borderId="0" xfId="0" applyFont="1" applyFill="1" applyAlignment="1">
      <alignment horizontal="center"/>
    </xf>
    <xf numFmtId="0" fontId="21" fillId="0" borderId="0" xfId="0" applyFont="1" applyFill="1" applyBorder="1" applyAlignment="1">
      <alignment horizontal="center"/>
    </xf>
    <xf numFmtId="0" fontId="84" fillId="30" borderId="61" xfId="0" applyFont="1" applyFill="1" applyBorder="1" applyAlignment="1">
      <alignment horizontal="center" vertical="center" wrapText="1"/>
    </xf>
    <xf numFmtId="0" fontId="84" fillId="30" borderId="26" xfId="0" applyFont="1" applyFill="1" applyBorder="1" applyAlignment="1">
      <alignment horizontal="center" vertical="center" wrapText="1"/>
    </xf>
    <xf numFmtId="0" fontId="84" fillId="30" borderId="27" xfId="0" applyFont="1" applyFill="1" applyBorder="1" applyAlignment="1">
      <alignment horizontal="center" vertical="center" wrapText="1"/>
    </xf>
    <xf numFmtId="0" fontId="21" fillId="30" borderId="61" xfId="0" applyFont="1" applyFill="1" applyBorder="1" applyAlignment="1">
      <alignment horizontal="center" vertical="center" wrapText="1"/>
    </xf>
    <xf numFmtId="0" fontId="21" fillId="30" borderId="26" xfId="0" applyFont="1" applyFill="1" applyBorder="1" applyAlignment="1">
      <alignment horizontal="center" vertical="center" wrapText="1"/>
    </xf>
    <xf numFmtId="0" fontId="21" fillId="30" borderId="27" xfId="0" applyFont="1" applyFill="1" applyBorder="1" applyAlignment="1">
      <alignment horizontal="center" vertical="center" wrapText="1"/>
    </xf>
    <xf numFmtId="0" fontId="84" fillId="30" borderId="74" xfId="0" applyFont="1" applyFill="1" applyBorder="1" applyAlignment="1">
      <alignment horizontal="center" vertical="center" wrapText="1"/>
    </xf>
    <xf numFmtId="0" fontId="84" fillId="30" borderId="75" xfId="0" applyFont="1" applyFill="1" applyBorder="1" applyAlignment="1">
      <alignment horizontal="center" vertical="center" wrapText="1"/>
    </xf>
    <xf numFmtId="0" fontId="84" fillId="30" borderId="76" xfId="0" applyFont="1" applyFill="1" applyBorder="1" applyAlignment="1">
      <alignment horizontal="center" vertical="center" wrapText="1"/>
    </xf>
    <xf numFmtId="0" fontId="20" fillId="25" borderId="0" xfId="0" applyFont="1" applyFill="1" applyBorder="1" applyAlignment="1">
      <alignment horizontal="right"/>
    </xf>
    <xf numFmtId="0" fontId="17" fillId="0" borderId="77" xfId="0" applyFont="1" applyFill="1" applyBorder="1" applyAlignment="1">
      <alignment horizontal="left" wrapText="1"/>
    </xf>
    <xf numFmtId="0" fontId="17" fillId="0" borderId="78" xfId="0" applyFont="1" applyFill="1" applyBorder="1" applyAlignment="1">
      <alignment horizontal="left" wrapText="1"/>
    </xf>
    <xf numFmtId="0" fontId="17" fillId="0" borderId="10" xfId="0" applyFont="1" applyFill="1" applyBorder="1" applyAlignment="1">
      <alignment horizontal="left" wrapText="1"/>
    </xf>
    <xf numFmtId="0" fontId="3" fillId="28" borderId="10" xfId="0" applyFont="1" applyFill="1" applyBorder="1" applyAlignment="1">
      <alignment horizontal="center" vertical="center" wrapText="1"/>
    </xf>
    <xf numFmtId="0" fontId="17" fillId="0" borderId="77" xfId="0" applyFont="1" applyFill="1" applyBorder="1" applyAlignment="1">
      <alignment horizontal="left" vertical="center" wrapText="1"/>
    </xf>
    <xf numFmtId="0" fontId="17" fillId="0" borderId="78" xfId="0" applyFont="1" applyFill="1" applyBorder="1" applyAlignment="1">
      <alignment horizontal="left" vertical="center" wrapText="1"/>
    </xf>
    <xf numFmtId="0" fontId="20" fillId="0" borderId="0" xfId="0" applyFont="1" applyFill="1" applyAlignment="1">
      <alignment horizontal="center"/>
    </xf>
    <xf numFmtId="0" fontId="3" fillId="28" borderId="77" xfId="0" applyFont="1" applyFill="1" applyBorder="1" applyAlignment="1">
      <alignment horizontal="center" vertical="center" wrapText="1"/>
    </xf>
    <xf numFmtId="0" fontId="3" fillId="28" borderId="78"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77" xfId="0" applyFont="1" applyFill="1" applyBorder="1" applyAlignment="1">
      <alignment horizontal="center" vertical="center" wrapText="1"/>
    </xf>
    <xf numFmtId="0" fontId="18" fillId="24" borderId="78" xfId="0" applyFont="1" applyFill="1" applyBorder="1" applyAlignment="1">
      <alignment horizontal="center" vertical="center" wrapText="1"/>
    </xf>
    <xf numFmtId="0" fontId="20" fillId="24" borderId="25" xfId="0" applyFont="1" applyFill="1" applyBorder="1" applyAlignment="1">
      <alignment horizontal="center" wrapText="1"/>
    </xf>
    <xf numFmtId="0" fontId="20" fillId="24" borderId="27" xfId="0" applyFont="1" applyFill="1" applyBorder="1" applyAlignment="1">
      <alignment horizontal="center" wrapText="1"/>
    </xf>
    <xf numFmtId="0" fontId="20" fillId="35" borderId="14" xfId="0" applyFont="1" applyFill="1" applyBorder="1" applyAlignment="1">
      <alignment horizontal="center"/>
    </xf>
    <xf numFmtId="0" fontId="20" fillId="35" borderId="45" xfId="0" applyFont="1" applyFill="1" applyBorder="1" applyAlignment="1">
      <alignment horizontal="center"/>
    </xf>
    <xf numFmtId="0" fontId="20" fillId="35" borderId="15" xfId="0" applyFont="1" applyFill="1" applyBorder="1" applyAlignment="1">
      <alignment horizontal="center"/>
    </xf>
    <xf numFmtId="0" fontId="20" fillId="24" borderId="25" xfId="0" applyFont="1" applyFill="1" applyBorder="1" applyAlignment="1">
      <alignment horizontal="center"/>
    </xf>
    <xf numFmtId="0" fontId="20" fillId="24" borderId="27" xfId="0" applyFont="1" applyFill="1" applyBorder="1" applyAlignment="1">
      <alignment horizontal="center"/>
    </xf>
    <xf numFmtId="0" fontId="3" fillId="34" borderId="14" xfId="0" applyFont="1" applyFill="1" applyBorder="1" applyAlignment="1">
      <alignment horizontal="center"/>
    </xf>
    <xf numFmtId="0" fontId="3" fillId="34" borderId="45" xfId="0" applyFont="1" applyFill="1" applyBorder="1" applyAlignment="1">
      <alignment horizontal="center"/>
    </xf>
    <xf numFmtId="0" fontId="3" fillId="34" borderId="15" xfId="0" applyFont="1" applyFill="1" applyBorder="1" applyAlignment="1">
      <alignment horizontal="center"/>
    </xf>
    <xf numFmtId="0" fontId="28" fillId="25" borderId="0" xfId="0" applyFont="1" applyFill="1" applyAlignment="1">
      <alignment horizontal="center"/>
    </xf>
    <xf numFmtId="0" fontId="20" fillId="0" borderId="0" xfId="0" applyFont="1" applyFill="1" applyBorder="1" applyAlignment="1">
      <alignment horizontal="center"/>
    </xf>
    <xf numFmtId="0" fontId="20" fillId="24" borderId="31" xfId="0" applyFont="1" applyFill="1" applyBorder="1" applyAlignment="1">
      <alignment horizontal="center"/>
    </xf>
    <xf numFmtId="0" fontId="20" fillId="24" borderId="0" xfId="0" applyFont="1" applyFill="1" applyBorder="1" applyAlignment="1">
      <alignment horizontal="center"/>
    </xf>
    <xf numFmtId="0" fontId="20" fillId="24" borderId="33" xfId="0" applyFont="1" applyFill="1" applyBorder="1" applyAlignment="1">
      <alignment horizontal="center"/>
    </xf>
    <xf numFmtId="0" fontId="20" fillId="24" borderId="35" xfId="0" applyFont="1" applyFill="1" applyBorder="1" applyAlignment="1">
      <alignment horizontal="center"/>
    </xf>
    <xf numFmtId="0" fontId="20" fillId="24" borderId="34" xfId="0" applyFont="1" applyFill="1" applyBorder="1" applyAlignment="1">
      <alignment horizontal="center"/>
    </xf>
    <xf numFmtId="0" fontId="26" fillId="0" borderId="0" xfId="683" applyFont="1" applyAlignment="1">
      <alignment horizontal="center"/>
    </xf>
    <xf numFmtId="174" fontId="3" fillId="24" borderId="31" xfId="636" applyFont="1" applyFill="1" applyBorder="1" applyAlignment="1">
      <alignment horizontal="center"/>
    </xf>
    <xf numFmtId="174" fontId="3" fillId="24" borderId="36" xfId="636" applyFont="1" applyFill="1" applyBorder="1" applyAlignment="1">
      <alignment horizontal="center"/>
    </xf>
    <xf numFmtId="174" fontId="3" fillId="24" borderId="35" xfId="636" applyFont="1" applyFill="1" applyBorder="1" applyAlignment="1">
      <alignment horizontal="center"/>
    </xf>
    <xf numFmtId="174" fontId="3" fillId="24" borderId="32" xfId="636" applyFont="1" applyFill="1" applyBorder="1" applyAlignment="1">
      <alignment horizontal="center"/>
    </xf>
    <xf numFmtId="0" fontId="3" fillId="24" borderId="25" xfId="683" applyFont="1" applyFill="1" applyBorder="1" applyAlignment="1">
      <alignment horizontal="center" vertical="center" wrapText="1"/>
    </xf>
    <xf numFmtId="0" fontId="3" fillId="24" borderId="27" xfId="683" applyFont="1" applyFill="1" applyBorder="1" applyAlignment="1">
      <alignment horizontal="center" vertical="center" wrapText="1"/>
    </xf>
    <xf numFmtId="0" fontId="3" fillId="24" borderId="14" xfId="683" applyFont="1" applyFill="1" applyBorder="1" applyAlignment="1">
      <alignment horizontal="center" vertical="center" wrapText="1"/>
    </xf>
    <xf numFmtId="0" fontId="3" fillId="24" borderId="45" xfId="683" applyFont="1" applyFill="1" applyBorder="1" applyAlignment="1">
      <alignment horizontal="center" vertical="center" wrapText="1"/>
    </xf>
    <xf numFmtId="0" fontId="3" fillId="24" borderId="15" xfId="683" applyFont="1" applyFill="1" applyBorder="1" applyAlignment="1">
      <alignment horizontal="center" vertical="center" wrapText="1"/>
    </xf>
    <xf numFmtId="177" fontId="3" fillId="0" borderId="48" xfId="683" applyNumberFormat="1" applyFont="1" applyBorder="1" applyAlignment="1">
      <alignment horizontal="center"/>
    </xf>
    <xf numFmtId="0" fontId="3" fillId="0" borderId="49" xfId="683" applyFont="1" applyBorder="1" applyAlignment="1">
      <alignment horizontal="center"/>
    </xf>
    <xf numFmtId="0" fontId="3" fillId="24" borderId="79" xfId="683" applyFont="1" applyFill="1" applyBorder="1" applyAlignment="1">
      <alignment horizontal="center" vertical="center" wrapText="1"/>
    </xf>
    <xf numFmtId="0" fontId="3" fillId="24" borderId="80" xfId="683" applyFont="1" applyFill="1" applyBorder="1" applyAlignment="1">
      <alignment horizontal="center" vertical="center" wrapText="1"/>
    </xf>
    <xf numFmtId="0" fontId="3" fillId="24" borderId="14" xfId="683" applyFont="1" applyFill="1" applyBorder="1" applyAlignment="1">
      <alignment horizontal="center"/>
    </xf>
    <xf numFmtId="0" fontId="3" fillId="24" borderId="15" xfId="683" applyFont="1" applyFill="1" applyBorder="1" applyAlignment="1">
      <alignment horizontal="center"/>
    </xf>
    <xf numFmtId="0" fontId="26" fillId="30" borderId="0" xfId="0" applyFont="1" applyFill="1" applyAlignment="1">
      <alignment horizontal="center"/>
    </xf>
  </cellXfs>
  <cellStyles count="931">
    <cellStyle name="20% - Accent1" xfId="1"/>
    <cellStyle name="20% - Accent1 2" xfId="2"/>
    <cellStyle name="20% - Accent1 2 2" xfId="3"/>
    <cellStyle name="20% - Accent1 3" xfId="4"/>
    <cellStyle name="20% - Accent2" xfId="5"/>
    <cellStyle name="20% - Accent2 2" xfId="6"/>
    <cellStyle name="20% - Accent2 2 2" xfId="7"/>
    <cellStyle name="20% - Accent2 3" xfId="8"/>
    <cellStyle name="20% - Accent3" xfId="9"/>
    <cellStyle name="20% - Accent3 2" xfId="10"/>
    <cellStyle name="20% - Accent3 2 2" xfId="11"/>
    <cellStyle name="20% - Accent3 3" xfId="12"/>
    <cellStyle name="20% - Accent4" xfId="13"/>
    <cellStyle name="20% - Accent4 2" xfId="14"/>
    <cellStyle name="20% - Accent4 2 2" xfId="15"/>
    <cellStyle name="20% - Accent4 3" xfId="16"/>
    <cellStyle name="20% - Accent5" xfId="17"/>
    <cellStyle name="20% - Accent5 2" xfId="18"/>
    <cellStyle name="20% - Accent5 2 2" xfId="19"/>
    <cellStyle name="20% - Accent5 3" xfId="20"/>
    <cellStyle name="20% - Accent6" xfId="21"/>
    <cellStyle name="20% - Accent6 2" xfId="22"/>
    <cellStyle name="20% - Accent6 2 2" xfId="23"/>
    <cellStyle name="20% - Accent6 3" xfId="24"/>
    <cellStyle name="20% - Énfasis1 2" xfId="25"/>
    <cellStyle name="20% - Énfasis1 2 2" xfId="26"/>
    <cellStyle name="20% - Énfasis1 2 2 2" xfId="27"/>
    <cellStyle name="20% - Énfasis1 2 3" xfId="28"/>
    <cellStyle name="20% - Énfasis1 3" xfId="29"/>
    <cellStyle name="20% - Énfasis1 3 2" xfId="30"/>
    <cellStyle name="20% - Énfasis1 4" xfId="31"/>
    <cellStyle name="20% - Énfasis1 4 2" xfId="32"/>
    <cellStyle name="20% - Énfasis1 5" xfId="33"/>
    <cellStyle name="20% - Énfasis1 5 2" xfId="34"/>
    <cellStyle name="20% - Énfasis1 6" xfId="35"/>
    <cellStyle name="20% - Énfasis1 6 2" xfId="36"/>
    <cellStyle name="20% - Énfasis1 7" xfId="37"/>
    <cellStyle name="20% - Énfasis1 7 2" xfId="38"/>
    <cellStyle name="20% - Énfasis1 8" xfId="39"/>
    <cellStyle name="20% - Énfasis2 2" xfId="40"/>
    <cellStyle name="20% - Énfasis2 2 2" xfId="41"/>
    <cellStyle name="20% - Énfasis2 2 2 2" xfId="42"/>
    <cellStyle name="20% - Énfasis2 2 3" xfId="43"/>
    <cellStyle name="20% - Énfasis2 3" xfId="44"/>
    <cellStyle name="20% - Énfasis2 3 2" xfId="45"/>
    <cellStyle name="20% - Énfasis2 4" xfId="46"/>
    <cellStyle name="20% - Énfasis2 4 2" xfId="47"/>
    <cellStyle name="20% - Énfasis2 5" xfId="48"/>
    <cellStyle name="20% - Énfasis2 5 2" xfId="49"/>
    <cellStyle name="20% - Énfasis2 6" xfId="50"/>
    <cellStyle name="20% - Énfasis2 6 2" xfId="51"/>
    <cellStyle name="20% - Énfasis2 7" xfId="52"/>
    <cellStyle name="20% - Énfasis2 7 2" xfId="53"/>
    <cellStyle name="20% - Énfasis2 8" xfId="54"/>
    <cellStyle name="20% - Énfasis3 2" xfId="55"/>
    <cellStyle name="20% - Énfasis3 2 2" xfId="56"/>
    <cellStyle name="20% - Énfasis3 2 2 2" xfId="57"/>
    <cellStyle name="20% - Énfasis3 2 3" xfId="58"/>
    <cellStyle name="20% - Énfasis3 3" xfId="59"/>
    <cellStyle name="20% - Énfasis3 3 2" xfId="60"/>
    <cellStyle name="20% - Énfasis3 4" xfId="61"/>
    <cellStyle name="20% - Énfasis3 4 2" xfId="62"/>
    <cellStyle name="20% - Énfasis3 5" xfId="63"/>
    <cellStyle name="20% - Énfasis3 5 2" xfId="64"/>
    <cellStyle name="20% - Énfasis3 6" xfId="65"/>
    <cellStyle name="20% - Énfasis3 6 2" xfId="66"/>
    <cellStyle name="20% - Énfasis3 7" xfId="67"/>
    <cellStyle name="20% - Énfasis3 7 2" xfId="68"/>
    <cellStyle name="20% - Énfasis3 8" xfId="69"/>
    <cellStyle name="20% - Énfasis4 2" xfId="70"/>
    <cellStyle name="20% - Énfasis4 2 2" xfId="71"/>
    <cellStyle name="20% - Énfasis4 2 2 2" xfId="72"/>
    <cellStyle name="20% - Énfasis4 2 3" xfId="73"/>
    <cellStyle name="20% - Énfasis4 3" xfId="74"/>
    <cellStyle name="20% - Énfasis4 3 2" xfId="75"/>
    <cellStyle name="20% - Énfasis4 4" xfId="76"/>
    <cellStyle name="20% - Énfasis4 4 2" xfId="77"/>
    <cellStyle name="20% - Énfasis4 5" xfId="78"/>
    <cellStyle name="20% - Énfasis4 5 2" xfId="79"/>
    <cellStyle name="20% - Énfasis4 6" xfId="80"/>
    <cellStyle name="20% - Énfasis4 6 2" xfId="81"/>
    <cellStyle name="20% - Énfasis4 7" xfId="82"/>
    <cellStyle name="20% - Énfasis4 7 2" xfId="83"/>
    <cellStyle name="20% - Énfasis4 8" xfId="84"/>
    <cellStyle name="20% - Énfasis5 2" xfId="85"/>
    <cellStyle name="20% - Énfasis5 2 2" xfId="86"/>
    <cellStyle name="20% - Énfasis5 2 2 2" xfId="87"/>
    <cellStyle name="20% - Énfasis5 2 3" xfId="88"/>
    <cellStyle name="20% - Énfasis5 3" xfId="89"/>
    <cellStyle name="20% - Énfasis5 3 2" xfId="90"/>
    <cellStyle name="20% - Énfasis5 4" xfId="91"/>
    <cellStyle name="20% - Énfasis5 4 2" xfId="92"/>
    <cellStyle name="20% - Énfasis5 5" xfId="93"/>
    <cellStyle name="20% - Énfasis5 5 2" xfId="94"/>
    <cellStyle name="20% - Énfasis5 6" xfId="95"/>
    <cellStyle name="20% - Énfasis5 6 2" xfId="96"/>
    <cellStyle name="20% - Énfasis5 7" xfId="97"/>
    <cellStyle name="20% - Énfasis5 7 2" xfId="98"/>
    <cellStyle name="20% - Énfasis5 8" xfId="99"/>
    <cellStyle name="20% - Énfasis6 2" xfId="100"/>
    <cellStyle name="20% - Énfasis6 2 2" xfId="101"/>
    <cellStyle name="20% - Énfasis6 2 2 2" xfId="102"/>
    <cellStyle name="20% - Énfasis6 2 3" xfId="103"/>
    <cellStyle name="20% - Énfasis6 3" xfId="104"/>
    <cellStyle name="20% - Énfasis6 3 2" xfId="105"/>
    <cellStyle name="20% - Énfasis6 4" xfId="106"/>
    <cellStyle name="20% - Énfasis6 4 2" xfId="107"/>
    <cellStyle name="20% - Énfasis6 5" xfId="108"/>
    <cellStyle name="20% - Énfasis6 5 2" xfId="109"/>
    <cellStyle name="20% - Énfasis6 6" xfId="110"/>
    <cellStyle name="20% - Énfasis6 6 2" xfId="111"/>
    <cellStyle name="20% - Énfasis6 7" xfId="112"/>
    <cellStyle name="20% - Énfasis6 7 2" xfId="113"/>
    <cellStyle name="20% - Énfasis6 8" xfId="114"/>
    <cellStyle name="40% - Accent1" xfId="115"/>
    <cellStyle name="40% - Accent1 2" xfId="116"/>
    <cellStyle name="40% - Accent1 2 2" xfId="117"/>
    <cellStyle name="40% - Accent1 3" xfId="118"/>
    <cellStyle name="40% - Accent2" xfId="119"/>
    <cellStyle name="40% - Accent2 2" xfId="120"/>
    <cellStyle name="40% - Accent2 2 2" xfId="121"/>
    <cellStyle name="40% - Accent2 3" xfId="122"/>
    <cellStyle name="40% - Accent3" xfId="123"/>
    <cellStyle name="40% - Accent3 2" xfId="124"/>
    <cellStyle name="40% - Accent3 2 2" xfId="125"/>
    <cellStyle name="40% - Accent3 3" xfId="126"/>
    <cellStyle name="40% - Accent4" xfId="127"/>
    <cellStyle name="40% - Accent4 2" xfId="128"/>
    <cellStyle name="40% - Accent4 2 2" xfId="129"/>
    <cellStyle name="40% - Accent4 3" xfId="130"/>
    <cellStyle name="40% - Accent5" xfId="131"/>
    <cellStyle name="40% - Accent5 2" xfId="132"/>
    <cellStyle name="40% - Accent5 2 2" xfId="133"/>
    <cellStyle name="40% - Accent5 3" xfId="134"/>
    <cellStyle name="40% - Accent6" xfId="135"/>
    <cellStyle name="40% - Accent6 2" xfId="136"/>
    <cellStyle name="40% - Accent6 2 2" xfId="137"/>
    <cellStyle name="40% - Accent6 3" xfId="138"/>
    <cellStyle name="40% - Énfasis1 2" xfId="139"/>
    <cellStyle name="40% - Énfasis1 2 2" xfId="140"/>
    <cellStyle name="40% - Énfasis1 2 2 2" xfId="141"/>
    <cellStyle name="40% - Énfasis1 2 3" xfId="142"/>
    <cellStyle name="40% - Énfasis1 3" xfId="143"/>
    <cellStyle name="40% - Énfasis1 3 2" xfId="144"/>
    <cellStyle name="40% - Énfasis1 4" xfId="145"/>
    <cellStyle name="40% - Énfasis1 4 2" xfId="146"/>
    <cellStyle name="40% - Énfasis1 5" xfId="147"/>
    <cellStyle name="40% - Énfasis1 5 2" xfId="148"/>
    <cellStyle name="40% - Énfasis1 6" xfId="149"/>
    <cellStyle name="40% - Énfasis1 6 2" xfId="150"/>
    <cellStyle name="40% - Énfasis1 7" xfId="151"/>
    <cellStyle name="40% - Énfasis1 7 2" xfId="152"/>
    <cellStyle name="40% - Énfasis1 8" xfId="153"/>
    <cellStyle name="40% - Énfasis2 2" xfId="154"/>
    <cellStyle name="40% - Énfasis2 2 2" xfId="155"/>
    <cellStyle name="40% - Énfasis2 2 2 2" xfId="156"/>
    <cellStyle name="40% - Énfasis2 2 3" xfId="157"/>
    <cellStyle name="40% - Énfasis2 3" xfId="158"/>
    <cellStyle name="40% - Énfasis2 3 2" xfId="159"/>
    <cellStyle name="40% - Énfasis2 4" xfId="160"/>
    <cellStyle name="40% - Énfasis2 4 2" xfId="161"/>
    <cellStyle name="40% - Énfasis2 5" xfId="162"/>
    <cellStyle name="40% - Énfasis2 5 2" xfId="163"/>
    <cellStyle name="40% - Énfasis2 6" xfId="164"/>
    <cellStyle name="40% - Énfasis2 6 2" xfId="165"/>
    <cellStyle name="40% - Énfasis2 7" xfId="166"/>
    <cellStyle name="40% - Énfasis2 7 2" xfId="167"/>
    <cellStyle name="40% - Énfasis2 8" xfId="168"/>
    <cellStyle name="40% - Énfasis3 2" xfId="169"/>
    <cellStyle name="40% - Énfasis3 2 2" xfId="170"/>
    <cellStyle name="40% - Énfasis3 2 2 2" xfId="171"/>
    <cellStyle name="40% - Énfasis3 2 3" xfId="172"/>
    <cellStyle name="40% - Énfasis3 3" xfId="173"/>
    <cellStyle name="40% - Énfasis3 3 2" xfId="174"/>
    <cellStyle name="40% - Énfasis3 4" xfId="175"/>
    <cellStyle name="40% - Énfasis3 4 2" xfId="176"/>
    <cellStyle name="40% - Énfasis3 5" xfId="177"/>
    <cellStyle name="40% - Énfasis3 5 2" xfId="178"/>
    <cellStyle name="40% - Énfasis3 6" xfId="179"/>
    <cellStyle name="40% - Énfasis3 6 2" xfId="180"/>
    <cellStyle name="40% - Énfasis3 7" xfId="181"/>
    <cellStyle name="40% - Énfasis3 7 2" xfId="182"/>
    <cellStyle name="40% - Énfasis3 8" xfId="183"/>
    <cellStyle name="40% - Énfasis4 2" xfId="184"/>
    <cellStyle name="40% - Énfasis4 2 2" xfId="185"/>
    <cellStyle name="40% - Énfasis4 2 2 2" xfId="186"/>
    <cellStyle name="40% - Énfasis4 2 3" xfId="187"/>
    <cellStyle name="40% - Énfasis4 3" xfId="188"/>
    <cellStyle name="40% - Énfasis4 3 2" xfId="189"/>
    <cellStyle name="40% - Énfasis4 4" xfId="190"/>
    <cellStyle name="40% - Énfasis4 4 2" xfId="191"/>
    <cellStyle name="40% - Énfasis4 5" xfId="192"/>
    <cellStyle name="40% - Énfasis4 5 2" xfId="193"/>
    <cellStyle name="40% - Énfasis4 6" xfId="194"/>
    <cellStyle name="40% - Énfasis4 6 2" xfId="195"/>
    <cellStyle name="40% - Énfasis4 7" xfId="196"/>
    <cellStyle name="40% - Énfasis4 7 2" xfId="197"/>
    <cellStyle name="40% - Énfasis4 8" xfId="198"/>
    <cellStyle name="40% - Énfasis5 2" xfId="199"/>
    <cellStyle name="40% - Énfasis5 2 2" xfId="200"/>
    <cellStyle name="40% - Énfasis5 2 2 2" xfId="201"/>
    <cellStyle name="40% - Énfasis5 2 3" xfId="202"/>
    <cellStyle name="40% - Énfasis5 3" xfId="203"/>
    <cellStyle name="40% - Énfasis5 3 2" xfId="204"/>
    <cellStyle name="40% - Énfasis5 4" xfId="205"/>
    <cellStyle name="40% - Énfasis5 4 2" xfId="206"/>
    <cellStyle name="40% - Énfasis5 5" xfId="207"/>
    <cellStyle name="40% - Énfasis5 5 2" xfId="208"/>
    <cellStyle name="40% - Énfasis5 6" xfId="209"/>
    <cellStyle name="40% - Énfasis5 6 2" xfId="210"/>
    <cellStyle name="40% - Énfasis5 7" xfId="211"/>
    <cellStyle name="40% - Énfasis5 7 2" xfId="212"/>
    <cellStyle name="40% - Énfasis5 8" xfId="213"/>
    <cellStyle name="40% - Énfasis6 2" xfId="214"/>
    <cellStyle name="40% - Énfasis6 2 2" xfId="215"/>
    <cellStyle name="40% - Énfasis6 2 2 2" xfId="216"/>
    <cellStyle name="40% - Énfasis6 2 3" xfId="217"/>
    <cellStyle name="40% - Énfasis6 3" xfId="218"/>
    <cellStyle name="40% - Énfasis6 3 2" xfId="219"/>
    <cellStyle name="40% - Énfasis6 4" xfId="220"/>
    <cellStyle name="40% - Énfasis6 4 2" xfId="221"/>
    <cellStyle name="40% - Énfasis6 5" xfId="222"/>
    <cellStyle name="40% - Énfasis6 5 2" xfId="223"/>
    <cellStyle name="40% - Énfasis6 6" xfId="224"/>
    <cellStyle name="40% - Énfasis6 6 2" xfId="225"/>
    <cellStyle name="40% - Énfasis6 7" xfId="226"/>
    <cellStyle name="40% - Énfasis6 7 2" xfId="227"/>
    <cellStyle name="40% - Énfasis6 8" xfId="228"/>
    <cellStyle name="40% - Énfšsis3" xfId="229"/>
    <cellStyle name="40% - Énfšsis3 2" xfId="230"/>
    <cellStyle name="60% - Accent1" xfId="231"/>
    <cellStyle name="60% - Accent1 2" xfId="232"/>
    <cellStyle name="60% - Accent2" xfId="233"/>
    <cellStyle name="60% - Accent2 2" xfId="234"/>
    <cellStyle name="60% - Accent3" xfId="235"/>
    <cellStyle name="60% - Accent3 2" xfId="236"/>
    <cellStyle name="60% - Accent4" xfId="237"/>
    <cellStyle name="60% - Accent4 2" xfId="238"/>
    <cellStyle name="60% - Accent5" xfId="239"/>
    <cellStyle name="60% - Accent5 2" xfId="240"/>
    <cellStyle name="60% - Accent6" xfId="241"/>
    <cellStyle name="60% - Accent6 2" xfId="242"/>
    <cellStyle name="60% - Énfasis1 2" xfId="243"/>
    <cellStyle name="60% - Énfasis1 2 2" xfId="244"/>
    <cellStyle name="60% - Énfasis1 2 2 2" xfId="245"/>
    <cellStyle name="60% - Énfasis1 2 3" xfId="246"/>
    <cellStyle name="60% - Énfasis1 3" xfId="247"/>
    <cellStyle name="60% - Énfasis1 3 2" xfId="248"/>
    <cellStyle name="60% - Énfasis1 4" xfId="249"/>
    <cellStyle name="60% - Énfasis1 4 2" xfId="250"/>
    <cellStyle name="60% - Énfasis1 5" xfId="251"/>
    <cellStyle name="60% - Énfasis1 5 2" xfId="252"/>
    <cellStyle name="60% - Énfasis1 6" xfId="253"/>
    <cellStyle name="60% - Énfasis1 6 2" xfId="254"/>
    <cellStyle name="60% - Énfasis1 7" xfId="255"/>
    <cellStyle name="60% - Énfasis1 7 2" xfId="256"/>
    <cellStyle name="60% - Énfasis1 8" xfId="257"/>
    <cellStyle name="60% - Énfasis2 2" xfId="258"/>
    <cellStyle name="60% - Énfasis2 2 2" xfId="259"/>
    <cellStyle name="60% - Énfasis2 2 2 2" xfId="260"/>
    <cellStyle name="60% - Énfasis2 2 3" xfId="261"/>
    <cellStyle name="60% - Énfasis2 3" xfId="262"/>
    <cellStyle name="60% - Énfasis2 3 2" xfId="263"/>
    <cellStyle name="60% - Énfasis2 4" xfId="264"/>
    <cellStyle name="60% - Énfasis2 4 2" xfId="265"/>
    <cellStyle name="60% - Énfasis2 5" xfId="266"/>
    <cellStyle name="60% - Énfasis2 5 2" xfId="267"/>
    <cellStyle name="60% - Énfasis2 6" xfId="268"/>
    <cellStyle name="60% - Énfasis2 6 2" xfId="269"/>
    <cellStyle name="60% - Énfasis2 7" xfId="270"/>
    <cellStyle name="60% - Énfasis2 7 2" xfId="271"/>
    <cellStyle name="60% - Énfasis2 8" xfId="272"/>
    <cellStyle name="60% - Énfasis3 2" xfId="273"/>
    <cellStyle name="60% - Énfasis3 2 2" xfId="274"/>
    <cellStyle name="60% - Énfasis3 2 2 2" xfId="275"/>
    <cellStyle name="60% - Énfasis3 2 3" xfId="276"/>
    <cellStyle name="60% - Énfasis3 3" xfId="277"/>
    <cellStyle name="60% - Énfasis3 3 2" xfId="278"/>
    <cellStyle name="60% - Énfasis3 4" xfId="279"/>
    <cellStyle name="60% - Énfasis3 4 2" xfId="280"/>
    <cellStyle name="60% - Énfasis3 5" xfId="281"/>
    <cellStyle name="60% - Énfasis3 5 2" xfId="282"/>
    <cellStyle name="60% - Énfasis3 6" xfId="283"/>
    <cellStyle name="60% - Énfasis3 6 2" xfId="284"/>
    <cellStyle name="60% - Énfasis3 7" xfId="285"/>
    <cellStyle name="60% - Énfasis3 7 2" xfId="286"/>
    <cellStyle name="60% - Énfasis3 8" xfId="287"/>
    <cellStyle name="60% - Énfasis4 2" xfId="288"/>
    <cellStyle name="60% - Énfasis4 2 2" xfId="289"/>
    <cellStyle name="60% - Énfasis4 2 2 2" xfId="290"/>
    <cellStyle name="60% - Énfasis4 2 3" xfId="291"/>
    <cellStyle name="60% - Énfasis4 3" xfId="292"/>
    <cellStyle name="60% - Énfasis4 3 2" xfId="293"/>
    <cellStyle name="60% - Énfasis4 4" xfId="294"/>
    <cellStyle name="60% - Énfasis4 4 2" xfId="295"/>
    <cellStyle name="60% - Énfasis4 5" xfId="296"/>
    <cellStyle name="60% - Énfasis4 5 2" xfId="297"/>
    <cellStyle name="60% - Énfasis4 6" xfId="298"/>
    <cellStyle name="60% - Énfasis4 6 2" xfId="299"/>
    <cellStyle name="60% - Énfasis4 7" xfId="300"/>
    <cellStyle name="60% - Énfasis4 7 2" xfId="301"/>
    <cellStyle name="60% - Énfasis4 8" xfId="302"/>
    <cellStyle name="60% - Énfasis5 2" xfId="303"/>
    <cellStyle name="60% - Énfasis5 2 2" xfId="304"/>
    <cellStyle name="60% - Énfasis5 2 2 2" xfId="305"/>
    <cellStyle name="60% - Énfasis5 2 3" xfId="306"/>
    <cellStyle name="60% - Énfasis5 3" xfId="307"/>
    <cellStyle name="60% - Énfasis5 3 2" xfId="308"/>
    <cellStyle name="60% - Énfasis5 4" xfId="309"/>
    <cellStyle name="60% - Énfasis5 4 2" xfId="310"/>
    <cellStyle name="60% - Énfasis5 5" xfId="311"/>
    <cellStyle name="60% - Énfasis5 5 2" xfId="312"/>
    <cellStyle name="60% - Énfasis5 6" xfId="313"/>
    <cellStyle name="60% - Énfasis5 6 2" xfId="314"/>
    <cellStyle name="60% - Énfasis5 7" xfId="315"/>
    <cellStyle name="60% - Énfasis5 7 2" xfId="316"/>
    <cellStyle name="60% - Énfasis5 8" xfId="317"/>
    <cellStyle name="60% - Énfasis6 2" xfId="318"/>
    <cellStyle name="60% - Énfasis6 2 2" xfId="319"/>
    <cellStyle name="60% - Énfasis6 2 2 2" xfId="320"/>
    <cellStyle name="60% - Énfasis6 2 3" xfId="321"/>
    <cellStyle name="60% - Énfasis6 3" xfId="322"/>
    <cellStyle name="60% - Énfasis6 3 2" xfId="323"/>
    <cellStyle name="60% - Énfasis6 4" xfId="324"/>
    <cellStyle name="60% - Énfasis6 4 2" xfId="325"/>
    <cellStyle name="60% - Énfasis6 5" xfId="326"/>
    <cellStyle name="60% - Énfasis6 5 2" xfId="327"/>
    <cellStyle name="60% - Énfasis6 6" xfId="328"/>
    <cellStyle name="60% - Énfasis6 6 2" xfId="329"/>
    <cellStyle name="60% - Énfasis6 7" xfId="330"/>
    <cellStyle name="60% - Énfasis6 7 2" xfId="331"/>
    <cellStyle name="60% - Énfasis6 8" xfId="332"/>
    <cellStyle name="Accent1" xfId="333"/>
    <cellStyle name="Accent1 2" xfId="334"/>
    <cellStyle name="Accent2" xfId="335"/>
    <cellStyle name="Accent2 2" xfId="336"/>
    <cellStyle name="Accent3" xfId="337"/>
    <cellStyle name="Accent3 2" xfId="338"/>
    <cellStyle name="Accent4" xfId="339"/>
    <cellStyle name="Accent4 2" xfId="340"/>
    <cellStyle name="Accent5" xfId="341"/>
    <cellStyle name="Accent5 2" xfId="342"/>
    <cellStyle name="Accent6" xfId="343"/>
    <cellStyle name="Accent6 2" xfId="344"/>
    <cellStyle name="Bad" xfId="345"/>
    <cellStyle name="Bad 2" xfId="346"/>
    <cellStyle name="Buena 2" xfId="347"/>
    <cellStyle name="Buena 2 2" xfId="348"/>
    <cellStyle name="Buena 2 2 2" xfId="349"/>
    <cellStyle name="Buena 2 3" xfId="350"/>
    <cellStyle name="Buena 3" xfId="351"/>
    <cellStyle name="Buena 3 2" xfId="352"/>
    <cellStyle name="Buena 4" xfId="353"/>
    <cellStyle name="Buena 4 2" xfId="354"/>
    <cellStyle name="Buena 5" xfId="355"/>
    <cellStyle name="Buena 5 2" xfId="356"/>
    <cellStyle name="Buena 6" xfId="357"/>
    <cellStyle name="Buena 6 2" xfId="358"/>
    <cellStyle name="Buena 7" xfId="359"/>
    <cellStyle name="Buena 7 2" xfId="360"/>
    <cellStyle name="Buena 8" xfId="361"/>
    <cellStyle name="Calculation" xfId="362"/>
    <cellStyle name="Calculation 2" xfId="363"/>
    <cellStyle name="Cálculo 2" xfId="364"/>
    <cellStyle name="Cálculo 2 2" xfId="365"/>
    <cellStyle name="Cálculo 2 2 2" xfId="366"/>
    <cellStyle name="Cálculo 2 3" xfId="367"/>
    <cellStyle name="Cálculo 3" xfId="368"/>
    <cellStyle name="Cálculo 3 2" xfId="369"/>
    <cellStyle name="Cálculo 4" xfId="370"/>
    <cellStyle name="Cálculo 4 2" xfId="371"/>
    <cellStyle name="Cálculo 5" xfId="372"/>
    <cellStyle name="Cálculo 5 2" xfId="373"/>
    <cellStyle name="Cálculo 6" xfId="374"/>
    <cellStyle name="Cálculo 6 2" xfId="375"/>
    <cellStyle name="Cálculo 7" xfId="376"/>
    <cellStyle name="Cálculo 7 2" xfId="377"/>
    <cellStyle name="Cálculo 8" xfId="378"/>
    <cellStyle name="Celda de comprobación 2" xfId="379"/>
    <cellStyle name="Celda de comprobación 2 2" xfId="380"/>
    <cellStyle name="Celda de comprobación 2 2 2" xfId="381"/>
    <cellStyle name="Celda de comprobación 2 3" xfId="382"/>
    <cellStyle name="Celda de comprobación 3" xfId="383"/>
    <cellStyle name="Celda de comprobación 3 2" xfId="384"/>
    <cellStyle name="Celda de comprobación 4" xfId="385"/>
    <cellStyle name="Celda de comprobación 4 2" xfId="386"/>
    <cellStyle name="Celda de comprobación 5" xfId="387"/>
    <cellStyle name="Celda de comprobación 5 2" xfId="388"/>
    <cellStyle name="Celda de comprobación 6" xfId="389"/>
    <cellStyle name="Celda de comprobación 6 2" xfId="390"/>
    <cellStyle name="Celda de comprobación 7" xfId="391"/>
    <cellStyle name="Celda de comprobación 7 2" xfId="392"/>
    <cellStyle name="Celda de comprobación 8" xfId="393"/>
    <cellStyle name="Celda vinculada 2" xfId="394"/>
    <cellStyle name="Celda vinculada 2 2" xfId="395"/>
    <cellStyle name="Celda vinculada 2 2 2" xfId="396"/>
    <cellStyle name="Celda vinculada 2 3" xfId="397"/>
    <cellStyle name="Celda vinculada 3" xfId="398"/>
    <cellStyle name="Celda vinculada 3 2" xfId="399"/>
    <cellStyle name="Celda vinculada 4" xfId="400"/>
    <cellStyle name="Celda vinculada 4 2" xfId="401"/>
    <cellStyle name="Celda vinculada 5" xfId="402"/>
    <cellStyle name="Celda vinculada 5 2" xfId="403"/>
    <cellStyle name="Celda vinculada 6" xfId="404"/>
    <cellStyle name="Celda vinculada 6 2" xfId="405"/>
    <cellStyle name="Celda vinculada 7" xfId="406"/>
    <cellStyle name="Celda vinculada 7 2" xfId="407"/>
    <cellStyle name="Celda vinculada 8" xfId="408"/>
    <cellStyle name="Check Cell" xfId="409"/>
    <cellStyle name="Check Cell 2" xfId="410"/>
    <cellStyle name="Encabezado 4 2" xfId="411"/>
    <cellStyle name="Encabezado 4 2 2" xfId="412"/>
    <cellStyle name="Encabezado 4 2 2 2" xfId="413"/>
    <cellStyle name="Encabezado 4 2 3" xfId="414"/>
    <cellStyle name="Encabezado 4 3" xfId="415"/>
    <cellStyle name="Encabezado 4 3 2" xfId="416"/>
    <cellStyle name="Encabezado 4 4" xfId="417"/>
    <cellStyle name="Encabezado 4 4 2" xfId="418"/>
    <cellStyle name="Encabezado 4 5" xfId="419"/>
    <cellStyle name="Encabezado 4 5 2" xfId="420"/>
    <cellStyle name="Encabezado 4 6" xfId="421"/>
    <cellStyle name="Encabezado 4 6 2" xfId="422"/>
    <cellStyle name="Encabezado 4 7" xfId="423"/>
    <cellStyle name="Encabezado 4 7 2" xfId="424"/>
    <cellStyle name="Encabezado 4 8" xfId="425"/>
    <cellStyle name="Énfasis1 2" xfId="426"/>
    <cellStyle name="Énfasis1 2 2" xfId="427"/>
    <cellStyle name="Énfasis1 2 2 2" xfId="428"/>
    <cellStyle name="Énfasis1 2 3" xfId="429"/>
    <cellStyle name="Énfasis1 3" xfId="430"/>
    <cellStyle name="Énfasis1 3 2" xfId="431"/>
    <cellStyle name="Énfasis1 4" xfId="432"/>
    <cellStyle name="Énfasis1 4 2" xfId="433"/>
    <cellStyle name="Énfasis1 5" xfId="434"/>
    <cellStyle name="Énfasis1 5 2" xfId="435"/>
    <cellStyle name="Énfasis1 6" xfId="436"/>
    <cellStyle name="Énfasis1 6 2" xfId="437"/>
    <cellStyle name="Énfasis1 7" xfId="438"/>
    <cellStyle name="Énfasis1 7 2" xfId="439"/>
    <cellStyle name="Énfasis1 8" xfId="440"/>
    <cellStyle name="Énfasis2 2" xfId="441"/>
    <cellStyle name="Énfasis2 2 2" xfId="442"/>
    <cellStyle name="Énfasis2 2 2 2" xfId="443"/>
    <cellStyle name="Énfasis2 2 3" xfId="444"/>
    <cellStyle name="Énfasis2 3" xfId="445"/>
    <cellStyle name="Énfasis2 3 2" xfId="446"/>
    <cellStyle name="Énfasis2 4" xfId="447"/>
    <cellStyle name="Énfasis2 4 2" xfId="448"/>
    <cellStyle name="Énfasis2 5" xfId="449"/>
    <cellStyle name="Énfasis2 5 2" xfId="450"/>
    <cellStyle name="Énfasis2 6" xfId="451"/>
    <cellStyle name="Énfasis2 6 2" xfId="452"/>
    <cellStyle name="Énfasis2 7" xfId="453"/>
    <cellStyle name="Énfasis2 7 2" xfId="454"/>
    <cellStyle name="Énfasis2 8" xfId="455"/>
    <cellStyle name="Énfasis3 2" xfId="456"/>
    <cellStyle name="Énfasis3 2 2" xfId="457"/>
    <cellStyle name="Énfasis3 2 2 2" xfId="458"/>
    <cellStyle name="Énfasis3 2 3" xfId="459"/>
    <cellStyle name="Énfasis3 3" xfId="460"/>
    <cellStyle name="Énfasis3 3 2" xfId="461"/>
    <cellStyle name="Énfasis3 4" xfId="462"/>
    <cellStyle name="Énfasis3 4 2" xfId="463"/>
    <cellStyle name="Énfasis3 5" xfId="464"/>
    <cellStyle name="Énfasis3 5 2" xfId="465"/>
    <cellStyle name="Énfasis3 6" xfId="466"/>
    <cellStyle name="Énfasis3 6 2" xfId="467"/>
    <cellStyle name="Énfasis3 7" xfId="468"/>
    <cellStyle name="Énfasis3 7 2" xfId="469"/>
    <cellStyle name="Énfasis3 8" xfId="470"/>
    <cellStyle name="Énfasis4 2" xfId="471"/>
    <cellStyle name="Énfasis4 2 2" xfId="472"/>
    <cellStyle name="Énfasis4 2 2 2" xfId="473"/>
    <cellStyle name="Énfasis4 2 3" xfId="474"/>
    <cellStyle name="Énfasis4 3" xfId="475"/>
    <cellStyle name="Énfasis4 3 2" xfId="476"/>
    <cellStyle name="Énfasis4 4" xfId="477"/>
    <cellStyle name="Énfasis4 4 2" xfId="478"/>
    <cellStyle name="Énfasis4 5" xfId="479"/>
    <cellStyle name="Énfasis4 5 2" xfId="480"/>
    <cellStyle name="Énfasis4 6" xfId="481"/>
    <cellStyle name="Énfasis4 6 2" xfId="482"/>
    <cellStyle name="Énfasis4 7" xfId="483"/>
    <cellStyle name="Énfasis4 7 2" xfId="484"/>
    <cellStyle name="Énfasis4 8" xfId="485"/>
    <cellStyle name="Énfasis5 2" xfId="486"/>
    <cellStyle name="Énfasis5 2 2" xfId="487"/>
    <cellStyle name="Énfasis5 2 2 2" xfId="488"/>
    <cellStyle name="Énfasis5 2 3" xfId="489"/>
    <cellStyle name="Énfasis5 3" xfId="490"/>
    <cellStyle name="Énfasis5 3 2" xfId="491"/>
    <cellStyle name="Énfasis5 4" xfId="492"/>
    <cellStyle name="Énfasis5 4 2" xfId="493"/>
    <cellStyle name="Énfasis5 5" xfId="494"/>
    <cellStyle name="Énfasis5 5 2" xfId="495"/>
    <cellStyle name="Énfasis5 6" xfId="496"/>
    <cellStyle name="Énfasis5 6 2" xfId="497"/>
    <cellStyle name="Énfasis5 7" xfId="498"/>
    <cellStyle name="Énfasis5 7 2" xfId="499"/>
    <cellStyle name="Énfasis5 8" xfId="500"/>
    <cellStyle name="Énfasis6 2" xfId="501"/>
    <cellStyle name="Énfasis6 2 2" xfId="502"/>
    <cellStyle name="Énfasis6 2 2 2" xfId="503"/>
    <cellStyle name="Énfasis6 2 3" xfId="504"/>
    <cellStyle name="Énfasis6 3" xfId="505"/>
    <cellStyle name="Énfasis6 3 2" xfId="506"/>
    <cellStyle name="Énfasis6 4" xfId="507"/>
    <cellStyle name="Énfasis6 4 2" xfId="508"/>
    <cellStyle name="Énfasis6 5" xfId="509"/>
    <cellStyle name="Énfasis6 5 2" xfId="510"/>
    <cellStyle name="Énfasis6 6" xfId="511"/>
    <cellStyle name="Énfasis6 6 2" xfId="512"/>
    <cellStyle name="Énfasis6 7" xfId="513"/>
    <cellStyle name="Énfasis6 7 2" xfId="514"/>
    <cellStyle name="Énfasis6 8" xfId="515"/>
    <cellStyle name="Entrada 2" xfId="516"/>
    <cellStyle name="Entrada 2 2" xfId="517"/>
    <cellStyle name="Entrada 2 2 2" xfId="518"/>
    <cellStyle name="Entrada 2 3" xfId="519"/>
    <cellStyle name="Entrada 3" xfId="520"/>
    <cellStyle name="Entrada 3 2" xfId="521"/>
    <cellStyle name="Entrada 4" xfId="522"/>
    <cellStyle name="Entrada 4 2" xfId="523"/>
    <cellStyle name="Entrada 5" xfId="524"/>
    <cellStyle name="Entrada 5 2" xfId="525"/>
    <cellStyle name="Entrada 6" xfId="526"/>
    <cellStyle name="Entrada 6 2" xfId="527"/>
    <cellStyle name="Entrada 7" xfId="528"/>
    <cellStyle name="Entrada 7 2" xfId="529"/>
    <cellStyle name="Entrada 8" xfId="530"/>
    <cellStyle name="Euro" xfId="531"/>
    <cellStyle name="Euro 2" xfId="532"/>
    <cellStyle name="Euro 2 2" xfId="533"/>
    <cellStyle name="Euro 3" xfId="534"/>
    <cellStyle name="Euro 3 2" xfId="535"/>
    <cellStyle name="Euro 4" xfId="536"/>
    <cellStyle name="Euro 4 2" xfId="537"/>
    <cellStyle name="Euro 5" xfId="538"/>
    <cellStyle name="Euro 5 2" xfId="539"/>
    <cellStyle name="Euro 6" xfId="540"/>
    <cellStyle name="Euro 7" xfId="541"/>
    <cellStyle name="Euro_HUILA" xfId="542"/>
    <cellStyle name="Explanatory Text" xfId="543"/>
    <cellStyle name="Explanatory Text 2" xfId="544"/>
    <cellStyle name="Good" xfId="545"/>
    <cellStyle name="Good 2" xfId="546"/>
    <cellStyle name="Heading 1" xfId="547"/>
    <cellStyle name="Heading 1 2" xfId="548"/>
    <cellStyle name="Heading 2" xfId="549"/>
    <cellStyle name="Heading 2 2" xfId="550"/>
    <cellStyle name="Heading 3" xfId="551"/>
    <cellStyle name="Heading 3 2" xfId="552"/>
    <cellStyle name="Heading 4" xfId="553"/>
    <cellStyle name="Heading 4 2" xfId="554"/>
    <cellStyle name="Hipervínculo 2" xfId="555"/>
    <cellStyle name="Hipervínculo 2 2" xfId="556"/>
    <cellStyle name="Hipervínculo 2 2 2" xfId="557"/>
    <cellStyle name="Hipervínculo 2 3" xfId="558"/>
    <cellStyle name="Hipervínculo 3" xfId="559"/>
    <cellStyle name="Incorrecto 2" xfId="560"/>
    <cellStyle name="Incorrecto 2 2" xfId="561"/>
    <cellStyle name="Incorrecto 2 2 2" xfId="562"/>
    <cellStyle name="Incorrecto 2 3" xfId="563"/>
    <cellStyle name="Incorrecto 3" xfId="564"/>
    <cellStyle name="Incorrecto 3 2" xfId="565"/>
    <cellStyle name="Incorrecto 4" xfId="566"/>
    <cellStyle name="Incorrecto 4 2" xfId="567"/>
    <cellStyle name="Incorrecto 5" xfId="568"/>
    <cellStyle name="Incorrecto 5 2" xfId="569"/>
    <cellStyle name="Incorrecto 6" xfId="570"/>
    <cellStyle name="Incorrecto 6 2" xfId="571"/>
    <cellStyle name="Incorrecto 7" xfId="572"/>
    <cellStyle name="Incorrecto 7 2" xfId="573"/>
    <cellStyle name="Incorrecto 8" xfId="574"/>
    <cellStyle name="Input" xfId="575"/>
    <cellStyle name="Input 2" xfId="576"/>
    <cellStyle name="Linked Cell" xfId="577"/>
    <cellStyle name="Linked Cell 2" xfId="578"/>
    <cellStyle name="Millares" xfId="579" builtinId="3"/>
    <cellStyle name="Millares 10" xfId="580"/>
    <cellStyle name="Millares 10 2" xfId="581"/>
    <cellStyle name="Millares 11" xfId="582"/>
    <cellStyle name="Millares 11 2" xfId="583"/>
    <cellStyle name="Millares 11 2 2" xfId="584"/>
    <cellStyle name="Millares 12" xfId="585"/>
    <cellStyle name="Millares 12 2" xfId="586"/>
    <cellStyle name="Millares 13" xfId="587"/>
    <cellStyle name="Millares 13 2" xfId="588"/>
    <cellStyle name="Millares 14" xfId="589"/>
    <cellStyle name="Millares 14 2" xfId="590"/>
    <cellStyle name="Millares 15" xfId="591"/>
    <cellStyle name="Millares 15 2" xfId="592"/>
    <cellStyle name="Millares 15 3" xfId="593"/>
    <cellStyle name="Millares 16" xfId="594"/>
    <cellStyle name="Millares 17" xfId="595"/>
    <cellStyle name="Millares 18" xfId="596"/>
    <cellStyle name="Millares 19" xfId="597"/>
    <cellStyle name="Millares 2" xfId="598"/>
    <cellStyle name="Millares 2 2" xfId="599"/>
    <cellStyle name="Millares 2 2 2" xfId="600"/>
    <cellStyle name="Millares 20" xfId="601"/>
    <cellStyle name="Millares 21" xfId="602"/>
    <cellStyle name="Millares 22" xfId="603"/>
    <cellStyle name="Millares 23" xfId="604"/>
    <cellStyle name="Millares 24" xfId="605"/>
    <cellStyle name="Millares 3" xfId="606"/>
    <cellStyle name="Millares 3 2" xfId="607"/>
    <cellStyle name="Millares 3 2 2" xfId="608"/>
    <cellStyle name="Millares 3 3" xfId="609"/>
    <cellStyle name="Millares 3 4" xfId="610"/>
    <cellStyle name="Millares 4" xfId="611"/>
    <cellStyle name="Millares 4 2" xfId="612"/>
    <cellStyle name="Millares 4 2 2" xfId="613"/>
    <cellStyle name="Millares 4 2 2 2" xfId="614"/>
    <cellStyle name="Millares 4 2 3" xfId="615"/>
    <cellStyle name="Millares 4 3" xfId="616"/>
    <cellStyle name="Millares 5" xfId="617"/>
    <cellStyle name="Millares 5 2" xfId="618"/>
    <cellStyle name="Millares 6" xfId="619"/>
    <cellStyle name="Millares 6 2" xfId="620"/>
    <cellStyle name="Millares 6 3" xfId="621"/>
    <cellStyle name="Millares 6 4" xfId="622"/>
    <cellStyle name="Millares 7" xfId="623"/>
    <cellStyle name="Millares 7 2" xfId="624"/>
    <cellStyle name="Millares 7 2 2" xfId="625"/>
    <cellStyle name="Millares 8" xfId="626"/>
    <cellStyle name="Millares 8 2" xfId="627"/>
    <cellStyle name="Millares 8 3" xfId="628"/>
    <cellStyle name="Millares 9" xfId="629"/>
    <cellStyle name="Millares 9 2" xfId="630"/>
    <cellStyle name="Millares 9 2 2" xfId="631"/>
    <cellStyle name="Millares_Formato Presupuesto Minagricultura" xfId="632"/>
    <cellStyle name="Millares_INGRESOS 2005" xfId="633"/>
    <cellStyle name="Moneda" xfId="634" builtinId="4"/>
    <cellStyle name="Moneda 2" xfId="635"/>
    <cellStyle name="Moneda 2 2" xfId="636"/>
    <cellStyle name="Moneda 3" xfId="637"/>
    <cellStyle name="Moneda 3 2" xfId="638"/>
    <cellStyle name="Moneda 4" xfId="639"/>
    <cellStyle name="Moneda 4 2" xfId="640"/>
    <cellStyle name="Moneda 5" xfId="641"/>
    <cellStyle name="Moneda 5 2" xfId="642"/>
    <cellStyle name="Moneda 5 3" xfId="643"/>
    <cellStyle name="Moneda 6" xfId="644"/>
    <cellStyle name="Moneda 6 2" xfId="645"/>
    <cellStyle name="Moneda 7" xfId="646"/>
    <cellStyle name="Moneda 7 2" xfId="647"/>
    <cellStyle name="Moneda 8" xfId="648"/>
    <cellStyle name="Moneda 8 2" xfId="649"/>
    <cellStyle name="Moneda 9" xfId="650"/>
    <cellStyle name="Neutral 2" xfId="651"/>
    <cellStyle name="Neutral 2 2" xfId="652"/>
    <cellStyle name="Neutral 2 2 2" xfId="653"/>
    <cellStyle name="Neutral 2 3" xfId="654"/>
    <cellStyle name="Neutral 3" xfId="655"/>
    <cellStyle name="Neutral 3 2" xfId="656"/>
    <cellStyle name="Neutral 4" xfId="657"/>
    <cellStyle name="Neutral 4 2" xfId="658"/>
    <cellStyle name="Neutral 5" xfId="659"/>
    <cellStyle name="Neutral 5 2" xfId="660"/>
    <cellStyle name="Neutral 6" xfId="661"/>
    <cellStyle name="Neutral 6 2" xfId="662"/>
    <cellStyle name="Neutral 7" xfId="663"/>
    <cellStyle name="Neutral 7 2" xfId="664"/>
    <cellStyle name="Neutral 8" xfId="665"/>
    <cellStyle name="Normal" xfId="0" builtinId="0"/>
    <cellStyle name="Normal 10" xfId="666"/>
    <cellStyle name="Normal 10 2" xfId="667"/>
    <cellStyle name="Normal 11" xfId="668"/>
    <cellStyle name="Normal 11 2" xfId="669"/>
    <cellStyle name="Normal 11 2 2" xfId="670"/>
    <cellStyle name="Normal 11 3" xfId="671"/>
    <cellStyle name="Normal 11 3 2" xfId="672"/>
    <cellStyle name="Normal 11 4" xfId="673"/>
    <cellStyle name="Normal 12" xfId="674"/>
    <cellStyle name="Normal 12 2" xfId="675"/>
    <cellStyle name="Normal 13" xfId="676"/>
    <cellStyle name="Normal 15" xfId="677"/>
    <cellStyle name="Normal 15 2" xfId="678"/>
    <cellStyle name="Normal 15 2 2" xfId="679"/>
    <cellStyle name="Normal 15 3" xfId="680"/>
    <cellStyle name="Normal 16" xfId="681"/>
    <cellStyle name="Normal 16 2" xfId="682"/>
    <cellStyle name="Normal 2" xfId="683"/>
    <cellStyle name="Normal 2 2" xfId="684"/>
    <cellStyle name="Normal 2 2 10" xfId="685"/>
    <cellStyle name="Normal 2 2 10 2" xfId="686"/>
    <cellStyle name="Normal 2 2 2" xfId="687"/>
    <cellStyle name="Normal 2 2 3" xfId="688"/>
    <cellStyle name="Normal 2 2 4" xfId="689"/>
    <cellStyle name="Normal 2 2 8" xfId="690"/>
    <cellStyle name="Normal 2 2_HUILA" xfId="691"/>
    <cellStyle name="Normal 2 3" xfId="692"/>
    <cellStyle name="Normal 2 3 2" xfId="693"/>
    <cellStyle name="Normal 2 3 2 2" xfId="694"/>
    <cellStyle name="Normal 2 3 3" xfId="695"/>
    <cellStyle name="Normal 2 4" xfId="696"/>
    <cellStyle name="Normal 2 4 2" xfId="697"/>
    <cellStyle name="Normal 2 5" xfId="698"/>
    <cellStyle name="Normal 2 5 2" xfId="699"/>
    <cellStyle name="Normal 2 6" xfId="700"/>
    <cellStyle name="Normal 2_ANTIOQUIA" xfId="701"/>
    <cellStyle name="Normal 3" xfId="702"/>
    <cellStyle name="Normal 3 2" xfId="703"/>
    <cellStyle name="Normal 3 2 2" xfId="704"/>
    <cellStyle name="Normal 3 3" xfId="705"/>
    <cellStyle name="Normal 4" xfId="706"/>
    <cellStyle name="Normal 4 2" xfId="707"/>
    <cellStyle name="Normal 4 2 2" xfId="708"/>
    <cellStyle name="Normal 4 2 2 2" xfId="709"/>
    <cellStyle name="Normal 4 2 3" xfId="710"/>
    <cellStyle name="Normal 4 2 3 2" xfId="711"/>
    <cellStyle name="Normal 4 2 4" xfId="712"/>
    <cellStyle name="Normal 4 3" xfId="713"/>
    <cellStyle name="Normal 4 3 2" xfId="714"/>
    <cellStyle name="Normal 4 4" xfId="715"/>
    <cellStyle name="Normal 4 4 2" xfId="716"/>
    <cellStyle name="Normal 4 5" xfId="717"/>
    <cellStyle name="Normal 5" xfId="718"/>
    <cellStyle name="Normal 5 2" xfId="719"/>
    <cellStyle name="Normal 5 2 2" xfId="720"/>
    <cellStyle name="Normal 5 3" xfId="721"/>
    <cellStyle name="Normal 5 3 2" xfId="722"/>
    <cellStyle name="Normal 5 4" xfId="723"/>
    <cellStyle name="Normal 5 4 2" xfId="724"/>
    <cellStyle name="Normal 5 5" xfId="725"/>
    <cellStyle name="Normal 5 5 2" xfId="726"/>
    <cellStyle name="Normal 5 6" xfId="727"/>
    <cellStyle name="Normal 5_ANTIOQUIA" xfId="728"/>
    <cellStyle name="Normal 6" xfId="729"/>
    <cellStyle name="Normal 6 2" xfId="730"/>
    <cellStyle name="Normal 6 2 2" xfId="731"/>
    <cellStyle name="Normal 6 3" xfId="732"/>
    <cellStyle name="Normal 6 3 2" xfId="733"/>
    <cellStyle name="Normal 6 4" xfId="734"/>
    <cellStyle name="Normal 6 4 2" xfId="735"/>
    <cellStyle name="Normal 6 5" xfId="736"/>
    <cellStyle name="Normal 7" xfId="737"/>
    <cellStyle name="Normal 7 2" xfId="738"/>
    <cellStyle name="Normal 7 2 2" xfId="739"/>
    <cellStyle name="Normal 7 3" xfId="740"/>
    <cellStyle name="Normal 7 3 2" xfId="741"/>
    <cellStyle name="Normal 7 4" xfId="742"/>
    <cellStyle name="Normal 8" xfId="743"/>
    <cellStyle name="Normal 8 2" xfId="744"/>
    <cellStyle name="Normal 9" xfId="745"/>
    <cellStyle name="Normal 9 2" xfId="746"/>
    <cellStyle name="Notas 2" xfId="747"/>
    <cellStyle name="Notas 2 2" xfId="748"/>
    <cellStyle name="Notas 2 2 2" xfId="749"/>
    <cellStyle name="Notas 2 3" xfId="750"/>
    <cellStyle name="Notas 3" xfId="751"/>
    <cellStyle name="Notas 3 2" xfId="752"/>
    <cellStyle name="Notas 4" xfId="753"/>
    <cellStyle name="Notas 4 2" xfId="754"/>
    <cellStyle name="Notas 5" xfId="755"/>
    <cellStyle name="Notas 5 2" xfId="756"/>
    <cellStyle name="Notas 6" xfId="757"/>
    <cellStyle name="Notas 6 2" xfId="758"/>
    <cellStyle name="Notas 7" xfId="759"/>
    <cellStyle name="Notas 7 2" xfId="760"/>
    <cellStyle name="Notas 8" xfId="761"/>
    <cellStyle name="Note" xfId="762"/>
    <cellStyle name="Note 2" xfId="763"/>
    <cellStyle name="Note 2 2" xfId="764"/>
    <cellStyle name="Note 3" xfId="765"/>
    <cellStyle name="Note_NTE DA SANTANDER" xfId="766"/>
    <cellStyle name="Output" xfId="767"/>
    <cellStyle name="Output 2" xfId="768"/>
    <cellStyle name="Porcentaje" xfId="769" builtinId="5"/>
    <cellStyle name="Porcentaje 10" xfId="770"/>
    <cellStyle name="Porcentaje 10 2" xfId="771"/>
    <cellStyle name="Porcentaje 11" xfId="772"/>
    <cellStyle name="Porcentaje 12" xfId="773"/>
    <cellStyle name="Porcentaje 2" xfId="774"/>
    <cellStyle name="Porcentaje 2 2" xfId="775"/>
    <cellStyle name="Porcentaje 2 3" xfId="776"/>
    <cellStyle name="Porcentaje 3" xfId="777"/>
    <cellStyle name="Porcentaje 3 2" xfId="778"/>
    <cellStyle name="Porcentaje 4" xfId="779"/>
    <cellStyle name="Porcentaje 4 2" xfId="780"/>
    <cellStyle name="Porcentaje 5" xfId="781"/>
    <cellStyle name="Porcentaje 5 2" xfId="782"/>
    <cellStyle name="Porcentaje 5 3" xfId="783"/>
    <cellStyle name="Porcentaje 6" xfId="784"/>
    <cellStyle name="Porcentaje 6 2" xfId="785"/>
    <cellStyle name="Porcentaje 7" xfId="786"/>
    <cellStyle name="Porcentaje 7 2" xfId="787"/>
    <cellStyle name="Porcentaje 8" xfId="788"/>
    <cellStyle name="Porcentaje 8 2" xfId="789"/>
    <cellStyle name="Porcentaje 9" xfId="790"/>
    <cellStyle name="Porcentaje 9 2" xfId="791"/>
    <cellStyle name="Porcentaje 9 3" xfId="792"/>
    <cellStyle name="Porcentual 2" xfId="793"/>
    <cellStyle name="Porcentual 2 2" xfId="794"/>
    <cellStyle name="Porcentual 3" xfId="795"/>
    <cellStyle name="Porcentual 3 2" xfId="796"/>
    <cellStyle name="Porcentual 3 2 2" xfId="797"/>
    <cellStyle name="Porcentual 4" xfId="798"/>
    <cellStyle name="Porcentual 5" xfId="799"/>
    <cellStyle name="Porcentual 5 2" xfId="800"/>
    <cellStyle name="Porcentual 6" xfId="801"/>
    <cellStyle name="Porcentual 6 2" xfId="802"/>
    <cellStyle name="Porcentual 7" xfId="803"/>
    <cellStyle name="Porcentual 7 2" xfId="804"/>
    <cellStyle name="Porcentual 8" xfId="805"/>
    <cellStyle name="Porcentual 8 2" xfId="806"/>
    <cellStyle name="Porcentual 9" xfId="807"/>
    <cellStyle name="Salida 2" xfId="808"/>
    <cellStyle name="Salida 2 2" xfId="809"/>
    <cellStyle name="Salida 2 2 2" xfId="810"/>
    <cellStyle name="Salida 2 3" xfId="811"/>
    <cellStyle name="Salida 3" xfId="812"/>
    <cellStyle name="Salida 3 2" xfId="813"/>
    <cellStyle name="Salida 4" xfId="814"/>
    <cellStyle name="Salida 4 2" xfId="815"/>
    <cellStyle name="Salida 5" xfId="816"/>
    <cellStyle name="Salida 5 2" xfId="817"/>
    <cellStyle name="Salida 6" xfId="818"/>
    <cellStyle name="Salida 6 2" xfId="819"/>
    <cellStyle name="Salida 7" xfId="820"/>
    <cellStyle name="Salida 7 2" xfId="821"/>
    <cellStyle name="Salida 8" xfId="822"/>
    <cellStyle name="Texto de advertencia 2" xfId="823"/>
    <cellStyle name="Texto de advertencia 2 2" xfId="824"/>
    <cellStyle name="Texto de advertencia 2 2 2" xfId="825"/>
    <cellStyle name="Texto de advertencia 2 3" xfId="826"/>
    <cellStyle name="Texto de advertencia 3" xfId="827"/>
    <cellStyle name="Texto de advertencia 3 2" xfId="828"/>
    <cellStyle name="Texto de advertencia 4" xfId="829"/>
    <cellStyle name="Texto de advertencia 4 2" xfId="830"/>
    <cellStyle name="Texto de advertencia 5" xfId="831"/>
    <cellStyle name="Texto de advertencia 5 2" xfId="832"/>
    <cellStyle name="Texto de advertencia 6" xfId="833"/>
    <cellStyle name="Texto de advertencia 6 2" xfId="834"/>
    <cellStyle name="Texto de advertencia 7" xfId="835"/>
    <cellStyle name="Texto de advertencia 7 2" xfId="836"/>
    <cellStyle name="Texto de advertencia 8" xfId="837"/>
    <cellStyle name="Texto explicativo 2" xfId="838"/>
    <cellStyle name="Texto explicativo 2 2" xfId="839"/>
    <cellStyle name="Texto explicativo 2 2 2" xfId="840"/>
    <cellStyle name="Texto explicativo 2 3" xfId="841"/>
    <cellStyle name="Texto explicativo 3" xfId="842"/>
    <cellStyle name="Texto explicativo 3 2" xfId="843"/>
    <cellStyle name="Texto explicativo 4" xfId="844"/>
    <cellStyle name="Texto explicativo 4 2" xfId="845"/>
    <cellStyle name="Texto explicativo 5" xfId="846"/>
    <cellStyle name="Texto explicativo 5 2" xfId="847"/>
    <cellStyle name="Texto explicativo 6" xfId="848"/>
    <cellStyle name="Texto explicativo 6 2" xfId="849"/>
    <cellStyle name="Texto explicativo 7" xfId="850"/>
    <cellStyle name="Texto explicativo 7 2" xfId="851"/>
    <cellStyle name="Texto explicativo 8" xfId="852"/>
    <cellStyle name="Title" xfId="853"/>
    <cellStyle name="Title 2" xfId="854"/>
    <cellStyle name="Título 1 2" xfId="855"/>
    <cellStyle name="Título 1 2 2" xfId="856"/>
    <cellStyle name="Título 1 2 2 2" xfId="857"/>
    <cellStyle name="Título 1 2 3" xfId="858"/>
    <cellStyle name="Título 1 3" xfId="859"/>
    <cellStyle name="Título 1 3 2" xfId="860"/>
    <cellStyle name="Título 1 4" xfId="861"/>
    <cellStyle name="Título 1 4 2" xfId="862"/>
    <cellStyle name="Título 1 5" xfId="863"/>
    <cellStyle name="Título 1 5 2" xfId="864"/>
    <cellStyle name="Título 1 6" xfId="865"/>
    <cellStyle name="Título 1 6 2" xfId="866"/>
    <cellStyle name="Título 1 7" xfId="867"/>
    <cellStyle name="Título 1 7 2" xfId="868"/>
    <cellStyle name="Título 10" xfId="869"/>
    <cellStyle name="Título 2 2" xfId="870"/>
    <cellStyle name="Título 2 2 2" xfId="871"/>
    <cellStyle name="Título 2 2 2 2" xfId="872"/>
    <cellStyle name="Título 2 2 3" xfId="873"/>
    <cellStyle name="Título 2 3" xfId="874"/>
    <cellStyle name="Título 2 3 2" xfId="875"/>
    <cellStyle name="Título 2 4" xfId="876"/>
    <cellStyle name="Título 2 4 2" xfId="877"/>
    <cellStyle name="Título 2 5" xfId="878"/>
    <cellStyle name="Título 2 5 2" xfId="879"/>
    <cellStyle name="Título 2 6" xfId="880"/>
    <cellStyle name="Título 2 6 2" xfId="881"/>
    <cellStyle name="Título 2 7" xfId="882"/>
    <cellStyle name="Título 2 7 2" xfId="883"/>
    <cellStyle name="Título 2 8" xfId="884"/>
    <cellStyle name="Título 3 2" xfId="885"/>
    <cellStyle name="Título 3 2 2" xfId="886"/>
    <cellStyle name="Título 3 2 2 2" xfId="887"/>
    <cellStyle name="Título 3 2 3" xfId="888"/>
    <cellStyle name="Título 3 3" xfId="889"/>
    <cellStyle name="Título 3 3 2" xfId="890"/>
    <cellStyle name="Título 3 4" xfId="891"/>
    <cellStyle name="Título 3 4 2" xfId="892"/>
    <cellStyle name="Título 3 5" xfId="893"/>
    <cellStyle name="Título 3 5 2" xfId="894"/>
    <cellStyle name="Título 3 6" xfId="895"/>
    <cellStyle name="Título 3 6 2" xfId="896"/>
    <cellStyle name="Título 3 7" xfId="897"/>
    <cellStyle name="Título 3 7 2" xfId="898"/>
    <cellStyle name="Título 3 8" xfId="899"/>
    <cellStyle name="Título 4" xfId="900"/>
    <cellStyle name="Título 4 2" xfId="901"/>
    <cellStyle name="Título 4 2 2" xfId="902"/>
    <cellStyle name="Título 4 3" xfId="903"/>
    <cellStyle name="Título 5" xfId="904"/>
    <cellStyle name="Título 5 2" xfId="905"/>
    <cellStyle name="Título 6" xfId="906"/>
    <cellStyle name="Título 6 2" xfId="907"/>
    <cellStyle name="Título 7" xfId="908"/>
    <cellStyle name="Título 7 2" xfId="909"/>
    <cellStyle name="Título 8" xfId="910"/>
    <cellStyle name="Título 8 2" xfId="911"/>
    <cellStyle name="Título 9" xfId="912"/>
    <cellStyle name="Título 9 2" xfId="913"/>
    <cellStyle name="Total 2" xfId="914"/>
    <cellStyle name="Total 2 2" xfId="915"/>
    <cellStyle name="Total 2 2 2" xfId="916"/>
    <cellStyle name="Total 2 3" xfId="917"/>
    <cellStyle name="Total 3" xfId="918"/>
    <cellStyle name="Total 3 2" xfId="919"/>
    <cellStyle name="Total 4" xfId="920"/>
    <cellStyle name="Total 4 2" xfId="921"/>
    <cellStyle name="Total 5" xfId="922"/>
    <cellStyle name="Total 5 2" xfId="923"/>
    <cellStyle name="Total 6" xfId="924"/>
    <cellStyle name="Total 6 2" xfId="925"/>
    <cellStyle name="Total 7" xfId="926"/>
    <cellStyle name="Total 7 2" xfId="927"/>
    <cellStyle name="Total 8" xfId="928"/>
    <cellStyle name="Warning Text" xfId="929"/>
    <cellStyle name="Warning Text 2" xfId="9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ntrol%20Previo\A&#241;o2007\MANEJO%20PPTO%202007\PRESUPUESTO%202007%20ESTIMADO.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ORCICOL\Administrativa\Users\OscarRubio\AppData\Local\Microsoft\Windows\Temporary%20Internet%20Files\Content.Outlook\INBWVVAW\ANEXO%20ACUERDO%204-1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directorppc/AppData/Local/Microsoft/Windows/Temporary%20Internet%20Files/Content.IE5/68SX2PI0/Desagregado%20&#193;rea%20201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JorgeOrtiz/Desktop/PPC2013/PRESUPUESTO%202014/PRESUPUESTO%20DEFINITIVO%202014%20NOV/Desagregado%20PPC%202014%20%20definitiv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A&#241;o%202015/PRESUPUESTO%202015/PRESUPUESTO%202015%20V.6/Presupuesto%202015%20version%2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241;o%202019/LEY%201712/EJECUCION%20PRESUPUESTAL%20HISTORICA%20ANUAL/2016/Anexos/Presupuesto%20PPC%20201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A&#241;o%202016/Solicitud%20areas/II%20TRIMESTRE/Presupuesto%202o%20tre%20Sanidad.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A&#241;o%202016/Solicitud%20areas/II%20TRIMESTRE/Presupuesto%20investigaci&#243;n.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A&#241;o%202016/Solicitud%20areas/II%20TRIMESTRE/Solicitud%20II%20trimestre%20Mercadeo.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A&#241;o%202016/Solicitud%20areas/II%20TRIMESTRE/Presupuesto%202o%20tre%20PPC.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orubio\Downloads\Presupuesto%20II%20Trimestre%20AEconomic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ORCICOL\Administrativa\Documents%20and%20Settings\PatriciaMart&#237;nez\Configuraci&#243;n%20local\Archivos%20temporales%20de%20Internet\Content.Outlook\RD6RDTKZ\A&#241;o%202008\Presupuesto%202009\nomina%202009%20ppc.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A&#241;o%202016/Solicitud%20areas/II%20TRIMESTRE/Presupuesto%20II%20Trimestre%20AEconomica.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A&#241;o%202016/Solicitud%20areas/II%20TRIMESTRE/Solicitud%20II%20trimestre%20t&#233;cnica.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A&#241;o%202019/LEY%201712/EJECUCION%20PRESUPUESTAL%20HISTORICA%20ANUAL/2016/ANEXO%20ACUERDO%207-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ORCICOL\Administrativa\JefeControlRegional\Presupuesto%202008\Presupuesto%20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ORCICOL\Administrativa\Temp\desagregado%20ppc%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ORCICOL\Administrativa\A&#241;o%202010\PTO%20FONDO%202010\Presupuesto%202010%20versi&#243;n%203\PRESUPUESTO%2010%203a%20%20versi&#243;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ORCICOL\Administrativa\2011\Presentaciones\COMITES%20PPC\DESPACHOS%20BIOLOGICO%2020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ORCICOL\Administrativa\Informe%20gesti&#243;n%20definitivo%20I%20semestre%202012\gastos%20enero%20junio%20de%2020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ORCICOL\Administrativa\CONTABILIDAD\ANEXO%20CIERRE%20DE%20INGRESOS%2020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ORCICOL\Administrativa\A&#241;o%202010\A&#241;o%202010\MANEJO%20PTO%202010\PRESUPUESTO%20INGRESOS%20ESTIMADO%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 val="FUN"/>
      <sheetName val="PPC"/>
      <sheetName val="ECO"/>
      <sheetName val="TEC"/>
      <sheetName val="MER"/>
    </sheetNames>
    <sheetDataSet>
      <sheetData sheetId="0" refreshError="1">
        <row r="27">
          <cell r="J27">
            <v>49600000</v>
          </cell>
        </row>
        <row r="34">
          <cell r="J34">
            <v>62130000</v>
          </cell>
        </row>
        <row r="35">
          <cell r="J35">
            <v>84000000</v>
          </cell>
        </row>
      </sheetData>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I"/>
      <sheetName val="ANEXO INGRESOS"/>
      <sheetName val="ANEXO II"/>
      <sheetName val="Anexo 2 x Areas"/>
      <sheetName val="SUPERAVIT"/>
      <sheetName val="RES"/>
      <sheetName val="ECO"/>
      <sheetName val="TEC"/>
      <sheetName val="PPC"/>
      <sheetName val="MER"/>
      <sheetName val="FU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área X"/>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 vs 2014"/>
      <sheetName val="justificacion formulada"/>
      <sheetName val="Escenario PPC"/>
      <sheetName val="Arriendos"/>
      <sheetName val="costos vigilancia "/>
      <sheetName val="Ingresos 2014"/>
      <sheetName val="Recolección de desechos"/>
      <sheetName val="Aux comités"/>
      <sheetName val="Barridos 2014"/>
      <sheetName val="Aux distribuidores"/>
      <sheetName val="VALLAS"/>
      <sheetName val="anexo publicidad"/>
      <sheetName val="REUNIÓNES"/>
      <sheetName val="BRIGADAS"/>
      <sheetName val="Correo"/>
      <sheetName val="anexo viaticos gastos de viaje"/>
      <sheetName val="anexo materiales y dotaciones"/>
      <sheetName val="anexo impresos y publicaciones"/>
      <sheetName val="NOMINA HONORARIOS 2013"/>
      <sheetName val="Participación x dosis"/>
      <sheetName val="SIMULACROS"/>
      <sheetName val="Chapetas ZL"/>
      <sheetName val="Biológico"/>
      <sheetName val="Biológico ZF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Rendimientos "/>
      <sheetName val="Escenario PPC"/>
      <sheetName val="Ejecución ingresos 2014"/>
      <sheetName val="Ejecución gastos 2014"/>
      <sheetName val="Superavit 2014"/>
      <sheetName val="Anexo 2 "/>
      <sheetName val="Anexo 3"/>
      <sheetName val="Anexo 4"/>
      <sheetName val="Funcionamiento"/>
      <sheetName val="Nómina y honorarios 2015"/>
      <sheetName val="Comparativo nómina 2014-2015"/>
      <sheetName val="Comparativo gastos personal "/>
    </sheetNames>
    <sheetDataSet>
      <sheetData sheetId="0">
        <row r="46">
          <cell r="C46">
            <v>3182535.7199999997</v>
          </cell>
        </row>
        <row r="53">
          <cell r="C53">
            <v>4295.6000000000004</v>
          </cell>
        </row>
        <row r="54">
          <cell r="C54">
            <v>2577.36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 vs 2016"/>
      <sheetName val="justificacion formulada"/>
      <sheetName val="Consolidado área PPC "/>
      <sheetName val="Recolección desechos y archivo"/>
      <sheetName val="Admon BD 2016"/>
      <sheetName val="Aux comités 2016"/>
      <sheetName val="Vacunadores Chapeteadores"/>
      <sheetName val="Censo 2016"/>
      <sheetName val="Vigilancia PPC"/>
      <sheetName val="Ventas PPC"/>
      <sheetName val="Anexo comunicaciones"/>
      <sheetName val="REUNIÓNES (2)"/>
      <sheetName val="Ingresos 2016"/>
      <sheetName val="Anexo materiales y dotaciones"/>
      <sheetName val="Arriendos"/>
      <sheetName val="Aux distribuidores 2016"/>
      <sheetName val="Aux Coord y Gastos de Viaje"/>
      <sheetName val="Progra vigilancia enf 2015"/>
      <sheetName val="anexo impresos y publicaciones"/>
      <sheetName val="NOMINA HONORARIOS 2015"/>
      <sheetName val="BRIGADAS"/>
      <sheetName val="Correo"/>
      <sheetName val="NOMINA HONORARIOS 2013"/>
      <sheetName val="Participación x dosis"/>
      <sheetName val="SIMULACROS"/>
      <sheetName val="Biologico II"/>
      <sheetName val="BIOLÓGICO 2016"/>
      <sheetName val="Chapetas ZL"/>
      <sheetName val="Chapetas Z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6">
          <cell r="H6">
            <v>1400000</v>
          </cell>
        </row>
        <row r="7">
          <cell r="H7">
            <v>1000000</v>
          </cell>
        </row>
        <row r="9">
          <cell r="H9">
            <v>375000</v>
          </cell>
        </row>
        <row r="11">
          <cell r="H11">
            <v>10000000</v>
          </cell>
        </row>
        <row r="12">
          <cell r="H12">
            <v>80000000</v>
          </cell>
        </row>
        <row r="13">
          <cell r="H13">
            <v>2000000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4">
          <cell r="J4">
            <v>3750000</v>
          </cell>
        </row>
        <row r="6">
          <cell r="J6">
            <v>115436820</v>
          </cell>
        </row>
        <row r="8">
          <cell r="J8">
            <v>2552000</v>
          </cell>
        </row>
        <row r="11">
          <cell r="J11">
            <v>22000000</v>
          </cell>
        </row>
        <row r="12">
          <cell r="J12">
            <v>7192750</v>
          </cell>
        </row>
        <row r="13">
          <cell r="J13">
            <v>51084000</v>
          </cell>
          <cell r="K13">
            <v>105000000</v>
          </cell>
        </row>
        <row r="14">
          <cell r="J14">
            <v>32400000</v>
          </cell>
        </row>
        <row r="15">
          <cell r="J15">
            <v>33000000</v>
          </cell>
        </row>
        <row r="16">
          <cell r="J16">
            <v>9000000</v>
          </cell>
          <cell r="K16">
            <v>25000000</v>
          </cell>
        </row>
        <row r="17">
          <cell r="J17">
            <v>13200000</v>
          </cell>
        </row>
        <row r="18">
          <cell r="J18">
            <v>25000000</v>
          </cell>
        </row>
        <row r="19">
          <cell r="J19">
            <v>66396666</v>
          </cell>
          <cell r="K19">
            <v>39000000</v>
          </cell>
        </row>
        <row r="20">
          <cell r="J20">
            <v>3500000</v>
          </cell>
          <cell r="K20">
            <v>1800000</v>
          </cell>
        </row>
        <row r="21">
          <cell r="J21">
            <v>3500000</v>
          </cell>
          <cell r="K21">
            <v>1500000</v>
          </cell>
        </row>
        <row r="22">
          <cell r="J22">
            <v>5000000</v>
          </cell>
          <cell r="K22">
            <v>2000000</v>
          </cell>
        </row>
        <row r="23">
          <cell r="J23">
            <v>10000000</v>
          </cell>
        </row>
        <row r="24">
          <cell r="J24">
            <v>4000000</v>
          </cell>
          <cell r="K24">
            <v>1500000</v>
          </cell>
        </row>
        <row r="25">
          <cell r="J25">
            <v>14000000</v>
          </cell>
        </row>
        <row r="26">
          <cell r="J26">
            <v>12000000</v>
          </cell>
        </row>
        <row r="27">
          <cell r="J27">
            <v>28000000</v>
          </cell>
        </row>
        <row r="28">
          <cell r="J28">
            <v>5000000</v>
          </cell>
        </row>
        <row r="29">
          <cell r="J29">
            <v>5000000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presupuestal 2016"/>
    </sheetNames>
    <sheetDataSet>
      <sheetData sheetId="0">
        <row r="15">
          <cell r="H15">
            <v>3600000</v>
          </cell>
        </row>
        <row r="20">
          <cell r="H20">
            <v>46088776</v>
          </cell>
        </row>
        <row r="23">
          <cell r="H23">
            <v>7382229</v>
          </cell>
        </row>
        <row r="25">
          <cell r="H25">
            <v>27000000</v>
          </cell>
        </row>
        <row r="28">
          <cell r="H28">
            <v>49401818</v>
          </cell>
        </row>
        <row r="32">
          <cell r="H32">
            <v>30000000</v>
          </cell>
        </row>
        <row r="33">
          <cell r="H33">
            <v>14422158</v>
          </cell>
        </row>
        <row r="34">
          <cell r="H34">
            <v>7865901</v>
          </cell>
        </row>
        <row r="37">
          <cell r="H37">
            <v>30749760</v>
          </cell>
        </row>
        <row r="38">
          <cell r="H38">
            <v>8000000</v>
          </cell>
        </row>
        <row r="39">
          <cell r="H39">
            <v>20499840</v>
          </cell>
        </row>
        <row r="40">
          <cell r="H40">
            <v>9600000</v>
          </cell>
        </row>
        <row r="42">
          <cell r="H42">
            <v>34967175</v>
          </cell>
        </row>
        <row r="44">
          <cell r="H44">
            <v>30000000</v>
          </cell>
        </row>
        <row r="46">
          <cell r="H46">
            <v>16933722</v>
          </cell>
        </row>
        <row r="48">
          <cell r="H48">
            <v>60000000</v>
          </cell>
        </row>
        <row r="51">
          <cell r="H51">
            <v>16933722</v>
          </cell>
        </row>
        <row r="52">
          <cell r="H52">
            <v>20000000</v>
          </cell>
        </row>
        <row r="53">
          <cell r="H53">
            <v>14400000</v>
          </cell>
        </row>
        <row r="54">
          <cell r="H54">
            <v>17900000</v>
          </cell>
        </row>
        <row r="55">
          <cell r="H55">
            <v>39590316</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5">
          <cell r="H5">
            <v>4400000</v>
          </cell>
        </row>
        <row r="6">
          <cell r="H6">
            <v>92000000</v>
          </cell>
        </row>
        <row r="7">
          <cell r="H7">
            <v>4800000</v>
          </cell>
        </row>
        <row r="8">
          <cell r="H8">
            <v>74000000</v>
          </cell>
        </row>
        <row r="9">
          <cell r="H9">
            <v>750000</v>
          </cell>
        </row>
        <row r="10">
          <cell r="H10">
            <v>3000000</v>
          </cell>
        </row>
        <row r="17">
          <cell r="H17">
            <v>630000000</v>
          </cell>
        </row>
        <row r="18">
          <cell r="H18">
            <v>150000000</v>
          </cell>
        </row>
        <row r="20">
          <cell r="H20">
            <v>653500000</v>
          </cell>
        </row>
        <row r="22">
          <cell r="H22">
            <v>100000000</v>
          </cell>
        </row>
        <row r="23">
          <cell r="H23">
            <v>80000000</v>
          </cell>
        </row>
        <row r="25">
          <cell r="H25">
            <v>80000000</v>
          </cell>
        </row>
        <row r="26">
          <cell r="H26">
            <v>430000000</v>
          </cell>
        </row>
        <row r="27">
          <cell r="H27">
            <v>15000000</v>
          </cell>
        </row>
        <row r="28">
          <cell r="H28">
            <v>35000000</v>
          </cell>
        </row>
        <row r="30">
          <cell r="H30">
            <v>1755000</v>
          </cell>
        </row>
        <row r="32">
          <cell r="H32">
            <v>40000000</v>
          </cell>
        </row>
        <row r="35">
          <cell r="H35">
            <v>1600000000</v>
          </cell>
        </row>
        <row r="36">
          <cell r="H36">
            <v>23000000</v>
          </cell>
        </row>
        <row r="37">
          <cell r="H37">
            <v>17000000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gregado"/>
      <sheetName val="Generales"/>
      <sheetName val="Inversión"/>
      <sheetName val="Ejecución 17-02-2016"/>
      <sheetName val="Desagregado 17-02-2016"/>
      <sheetName val="suspensiones 17-02-2016"/>
      <sheetName val="Ejecución estimada I trimestre"/>
      <sheetName val="Supuestos"/>
    </sheetNames>
    <sheetDataSet>
      <sheetData sheetId="0"/>
      <sheetData sheetId="1">
        <row r="7">
          <cell r="F7">
            <v>15096210.300000001</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s PPC"/>
      <sheetName val="Superávit 2006"/>
      <sheetName val="Anexo 2 Minagricultura"/>
      <sheetName val="Anexo 3 Minagricultura"/>
      <sheetName val="Anexo 4 Regionalizacion"/>
      <sheetName val="Funcionamiento"/>
      <sheetName val="NOMINA HONORARIOS 2009 1"/>
      <sheetName val="NOMINA HONORARIOS 2009 2"/>
      <sheetName val="comparativo  alternativas "/>
      <sheetName val="Inversión total en programas"/>
      <sheetName val="MODELO CONTRATISTAS"/>
      <sheetName val="Servicios personal 2005"/>
      <sheetName val="Nómina 2004"/>
    </sheetNames>
    <sheetDataSet>
      <sheetData sheetId="0">
        <row r="51">
          <cell r="C51">
            <v>2168.25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gregado"/>
      <sheetName val="Generales"/>
      <sheetName val="Inversión"/>
      <sheetName val="Ejecución 17-02-2016"/>
      <sheetName val="Desagregado 17-02-2016"/>
      <sheetName val="suspensiones 17-02-2016"/>
      <sheetName val="Ejecución estimada I trimestre"/>
      <sheetName val="Ingresos"/>
      <sheetName val="Supuestos"/>
    </sheetNames>
    <sheetDataSet>
      <sheetData sheetId="0"/>
      <sheetData sheetId="1">
        <row r="10">
          <cell r="F10">
            <v>66081141</v>
          </cell>
        </row>
        <row r="11">
          <cell r="F11">
            <v>3000000</v>
          </cell>
        </row>
        <row r="12">
          <cell r="F12">
            <v>6436903</v>
          </cell>
        </row>
        <row r="13">
          <cell r="F13">
            <v>300000</v>
          </cell>
        </row>
        <row r="15">
          <cell r="F15">
            <v>1000000</v>
          </cell>
        </row>
        <row r="16">
          <cell r="F16">
            <v>4000000</v>
          </cell>
        </row>
        <row r="24">
          <cell r="F24">
            <v>10595060.431200001</v>
          </cell>
        </row>
        <row r="25">
          <cell r="F25">
            <v>0</v>
          </cell>
        </row>
        <row r="28">
          <cell r="F28">
            <v>95464730.300000012</v>
          </cell>
        </row>
        <row r="29">
          <cell r="F29">
            <v>31450048.938600004</v>
          </cell>
        </row>
        <row r="33">
          <cell r="F33">
            <v>167239800.19</v>
          </cell>
        </row>
        <row r="35">
          <cell r="F35">
            <v>25000000</v>
          </cell>
        </row>
        <row r="36">
          <cell r="F36">
            <v>105331000</v>
          </cell>
        </row>
        <row r="40">
          <cell r="F40">
            <v>25141718.584500004</v>
          </cell>
        </row>
        <row r="41">
          <cell r="F41">
            <v>4092619.0208999999</v>
          </cell>
        </row>
        <row r="42">
          <cell r="F42">
            <v>29190000</v>
          </cell>
        </row>
        <row r="45">
          <cell r="F45">
            <v>32426450</v>
          </cell>
        </row>
        <row r="46">
          <cell r="F46">
            <v>45536313.810600005</v>
          </cell>
        </row>
        <row r="50">
          <cell r="F50">
            <v>6993435</v>
          </cell>
        </row>
        <row r="51">
          <cell r="F51">
            <v>37000000</v>
          </cell>
        </row>
        <row r="52">
          <cell r="F52">
            <v>8294000</v>
          </cell>
        </row>
        <row r="55">
          <cell r="F55">
            <v>83086074.800000012</v>
          </cell>
        </row>
        <row r="56">
          <cell r="F56">
            <v>10586950</v>
          </cell>
        </row>
      </sheetData>
      <sheetData sheetId="2"/>
      <sheetData sheetId="3"/>
      <sheetData sheetId="4"/>
      <sheetData sheetId="5"/>
      <sheetData sheetId="6"/>
      <sheetData sheetId="7"/>
      <sheetData sheetId="8">
        <row r="4">
          <cell r="C4">
            <v>160000000</v>
          </cell>
        </row>
      </sheetData>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Hoja2"/>
    </sheetNames>
    <sheetDataSet>
      <sheetData sheetId="0">
        <row r="14">
          <cell r="H14">
            <v>69296420</v>
          </cell>
        </row>
        <row r="15">
          <cell r="H15">
            <v>8000000</v>
          </cell>
        </row>
        <row r="16">
          <cell r="H16">
            <v>9000000</v>
          </cell>
        </row>
        <row r="20">
          <cell r="H20">
            <v>5750000</v>
          </cell>
        </row>
        <row r="21">
          <cell r="H21">
            <v>6000000</v>
          </cell>
        </row>
        <row r="22">
          <cell r="H22">
            <v>173226090.00000003</v>
          </cell>
        </row>
        <row r="23">
          <cell r="H23">
            <v>27500000</v>
          </cell>
        </row>
        <row r="24">
          <cell r="H24">
            <v>53800000</v>
          </cell>
        </row>
        <row r="25">
          <cell r="H25">
            <v>5000000</v>
          </cell>
        </row>
        <row r="27">
          <cell r="H27">
            <v>13196772</v>
          </cell>
        </row>
        <row r="28">
          <cell r="H28">
            <v>7000000</v>
          </cell>
        </row>
        <row r="29">
          <cell r="H29">
            <v>12600000</v>
          </cell>
        </row>
        <row r="30">
          <cell r="H30">
            <v>11600000</v>
          </cell>
        </row>
      </sheetData>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Anexo 2 "/>
      <sheetName val="Funcionamiento"/>
      <sheetName val="Nómina y honorarios 2016"/>
      <sheetName val="Ajuste salarios Coordinadores "/>
      <sheetName val="Detalle Incremento Nomina"/>
    </sheetNames>
    <sheetDataSet>
      <sheetData sheetId="0" refreshError="1"/>
      <sheetData sheetId="1" refreshError="1"/>
      <sheetData sheetId="2" refreshError="1"/>
      <sheetData sheetId="3" refreshError="1"/>
      <sheetData sheetId="4">
        <row r="21">
          <cell r="N21">
            <v>13810830.045299998</v>
          </cell>
        </row>
        <row r="39">
          <cell r="N39">
            <v>2444966.8695750004</v>
          </cell>
        </row>
        <row r="48">
          <cell r="N48">
            <v>3016655.8906500004</v>
          </cell>
        </row>
        <row r="57">
          <cell r="N57">
            <v>2324052.7807499999</v>
          </cell>
        </row>
        <row r="65">
          <cell r="N65">
            <v>581058.35550000006</v>
          </cell>
        </row>
        <row r="69">
          <cell r="N69">
            <v>14377826.560075</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Superávit 2006"/>
      <sheetName val="Otros ingresos"/>
      <sheetName val="Presupuesto general"/>
      <sheetName val="2004VS2005"/>
      <sheetName val="Escenarios PPC"/>
      <sheetName val="Anexo 2 Minagricultura"/>
      <sheetName val="Anexo 3 Minagricultura"/>
      <sheetName val="Anexo 4 Regionalizacion"/>
      <sheetName val="Funcionamiento"/>
      <sheetName val="Presupuesto de recaudo"/>
      <sheetName val="Inversión total en programas"/>
      <sheetName val="MODELO CONTRATISTAS"/>
      <sheetName val="Servicios personal 2005"/>
      <sheetName val="Nómina 2004"/>
    </sheetNames>
    <sheetDataSet>
      <sheetData sheetId="0">
        <row r="19">
          <cell r="C19">
            <v>2489922289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stificacion formulada"/>
      <sheetName val="Ciclos"/>
      <sheetName val="INGRESOS 2010"/>
      <sheetName val="anexo viaticos gastos de viaje"/>
      <sheetName val="anexo materiales y dotaciones"/>
      <sheetName val="anexo publicidad"/>
      <sheetName val="anexo impresos y publicaciones"/>
      <sheetName val="Escenario PPC"/>
      <sheetName val="Auxilios distribuidores"/>
      <sheetName val="NOMINA HONORARIOS 2010"/>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 PPC"/>
      <sheetName val="Ejecución ingresos 2009"/>
      <sheetName val="Ejecución gastos 2009"/>
      <sheetName val="Superavit 2009"/>
      <sheetName val="Anexo 2 "/>
      <sheetName val="Anexo 3 "/>
      <sheetName val="Anexo 4"/>
      <sheetName val="Funcionamiento"/>
      <sheetName val="Nómina y honorarios 2010"/>
      <sheetName val="Comparativo nómina 2009-2010"/>
      <sheetName val="Inversión total en programas"/>
      <sheetName val="MODELO CONTRATISTAS"/>
      <sheetName val="Servicios personal 2005"/>
      <sheetName val="Nómina 2004"/>
      <sheetName val="Hoja1"/>
    </sheetNames>
    <sheetDataSet>
      <sheetData sheetId="0">
        <row r="21">
          <cell r="C21">
            <v>1344784788</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row r="86">
          <cell r="B86">
            <v>117000000</v>
          </cell>
        </row>
      </sheetData>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ES"/>
      <sheetName val="2010  LABORATORIOS"/>
      <sheetName val="2011 LABORATORIOS"/>
      <sheetName val="COMPARATIVO POR DOSIS"/>
      <sheetName val="COMPARATIVO POR LABORATORIO"/>
      <sheetName val="Hoja1"/>
      <sheetName val="BRIGADAS"/>
      <sheetName val="COMITÉ"/>
      <sheetName val="DISTRIBUIDOR"/>
      <sheetName val="DEPARTAMENTO"/>
      <sheetName val="CONSOLIDADO GENERAL"/>
      <sheetName val="BASE"/>
    </sheetNames>
    <sheetDataSet>
      <sheetData sheetId="0"/>
      <sheetData sheetId="1"/>
      <sheetData sheetId="2"/>
      <sheetData sheetId="3"/>
      <sheetData sheetId="4"/>
      <sheetData sheetId="5"/>
      <sheetData sheetId="6"/>
      <sheetData sheetId="7"/>
      <sheetData sheetId="8"/>
      <sheetData sheetId="9"/>
      <sheetData sheetId="10"/>
      <sheetData sheetId="11">
        <row r="3">
          <cell r="E3">
            <v>40191</v>
          </cell>
        </row>
        <row r="4">
          <cell r="E4">
            <v>40196</v>
          </cell>
        </row>
        <row r="5">
          <cell r="E5">
            <v>40179</v>
          </cell>
        </row>
        <row r="6">
          <cell r="E6">
            <v>40193</v>
          </cell>
        </row>
        <row r="7">
          <cell r="E7">
            <v>40193</v>
          </cell>
        </row>
        <row r="8">
          <cell r="E8">
            <v>40190</v>
          </cell>
        </row>
        <row r="9">
          <cell r="E9">
            <v>40190</v>
          </cell>
        </row>
        <row r="10">
          <cell r="E10">
            <v>40190</v>
          </cell>
        </row>
        <row r="11">
          <cell r="E11">
            <v>40190</v>
          </cell>
        </row>
        <row r="12">
          <cell r="E12">
            <v>40190</v>
          </cell>
        </row>
        <row r="13">
          <cell r="E13">
            <v>40191</v>
          </cell>
        </row>
        <row r="14">
          <cell r="E14">
            <v>40191</v>
          </cell>
        </row>
        <row r="15">
          <cell r="E15">
            <v>40196</v>
          </cell>
        </row>
        <row r="16">
          <cell r="E16">
            <v>40196</v>
          </cell>
        </row>
        <row r="17">
          <cell r="E17">
            <v>40196</v>
          </cell>
        </row>
        <row r="18">
          <cell r="E18">
            <v>40196</v>
          </cell>
        </row>
        <row r="19">
          <cell r="E19">
            <v>40197</v>
          </cell>
        </row>
        <row r="20">
          <cell r="E20">
            <v>40197</v>
          </cell>
        </row>
        <row r="21">
          <cell r="E21">
            <v>40197</v>
          </cell>
        </row>
        <row r="22">
          <cell r="E22">
            <v>40192</v>
          </cell>
        </row>
        <row r="23">
          <cell r="E23">
            <v>40192</v>
          </cell>
        </row>
        <row r="24">
          <cell r="E24">
            <v>40192</v>
          </cell>
        </row>
        <row r="25">
          <cell r="E25">
            <v>40192</v>
          </cell>
        </row>
        <row r="26">
          <cell r="E26">
            <v>40197</v>
          </cell>
        </row>
        <row r="27">
          <cell r="E27">
            <v>40197</v>
          </cell>
        </row>
        <row r="28">
          <cell r="E28">
            <v>40196</v>
          </cell>
        </row>
        <row r="29">
          <cell r="E29">
            <v>40196</v>
          </cell>
        </row>
        <row r="30">
          <cell r="E30">
            <v>40196</v>
          </cell>
        </row>
        <row r="31">
          <cell r="E31">
            <v>40199</v>
          </cell>
        </row>
        <row r="32">
          <cell r="E32">
            <v>40199</v>
          </cell>
        </row>
        <row r="33">
          <cell r="E33">
            <v>40199</v>
          </cell>
        </row>
        <row r="34">
          <cell r="E34">
            <v>40199</v>
          </cell>
        </row>
        <row r="35">
          <cell r="E35">
            <v>40203</v>
          </cell>
        </row>
        <row r="36">
          <cell r="E36">
            <v>40203</v>
          </cell>
        </row>
        <row r="37">
          <cell r="E37">
            <v>40203</v>
          </cell>
        </row>
        <row r="38">
          <cell r="E38">
            <v>40203</v>
          </cell>
        </row>
        <row r="39">
          <cell r="E39">
            <v>40200</v>
          </cell>
        </row>
        <row r="40">
          <cell r="E40">
            <v>40200</v>
          </cell>
        </row>
        <row r="41">
          <cell r="E41">
            <v>40199</v>
          </cell>
        </row>
        <row r="42">
          <cell r="E42">
            <v>40203</v>
          </cell>
        </row>
        <row r="43">
          <cell r="E43">
            <v>40203</v>
          </cell>
        </row>
        <row r="44">
          <cell r="E44">
            <v>40203</v>
          </cell>
        </row>
        <row r="45">
          <cell r="E45">
            <v>40203</v>
          </cell>
        </row>
        <row r="46">
          <cell r="E46">
            <v>40203</v>
          </cell>
        </row>
        <row r="47">
          <cell r="E47">
            <v>40203</v>
          </cell>
        </row>
        <row r="48">
          <cell r="E48">
            <v>40205</v>
          </cell>
        </row>
        <row r="49">
          <cell r="E49">
            <v>40205</v>
          </cell>
        </row>
        <row r="50">
          <cell r="E50">
            <v>40205</v>
          </cell>
        </row>
        <row r="51">
          <cell r="E51">
            <v>40205</v>
          </cell>
        </row>
        <row r="52">
          <cell r="E52">
            <v>40205</v>
          </cell>
        </row>
        <row r="53">
          <cell r="E53">
            <v>40205</v>
          </cell>
        </row>
        <row r="54">
          <cell r="E54">
            <v>40205</v>
          </cell>
        </row>
        <row r="55">
          <cell r="E55">
            <v>40205</v>
          </cell>
        </row>
        <row r="56">
          <cell r="E56">
            <v>40205</v>
          </cell>
        </row>
        <row r="57">
          <cell r="E57">
            <v>40205</v>
          </cell>
        </row>
        <row r="58">
          <cell r="E58">
            <v>40205</v>
          </cell>
        </row>
        <row r="59">
          <cell r="E59">
            <v>40205</v>
          </cell>
        </row>
        <row r="60">
          <cell r="E60">
            <v>40210</v>
          </cell>
        </row>
        <row r="61">
          <cell r="E61">
            <v>40210</v>
          </cell>
        </row>
        <row r="62">
          <cell r="E62">
            <v>40210</v>
          </cell>
        </row>
        <row r="63">
          <cell r="E63">
            <v>40210</v>
          </cell>
        </row>
        <row r="64">
          <cell r="E64">
            <v>40210</v>
          </cell>
        </row>
        <row r="65">
          <cell r="E65">
            <v>40210</v>
          </cell>
        </row>
        <row r="66">
          <cell r="E66">
            <v>40210</v>
          </cell>
        </row>
        <row r="67">
          <cell r="E67">
            <v>40210</v>
          </cell>
        </row>
        <row r="68">
          <cell r="E68">
            <v>40210</v>
          </cell>
        </row>
        <row r="69">
          <cell r="E69">
            <v>40210</v>
          </cell>
        </row>
        <row r="70">
          <cell r="E70">
            <v>40211</v>
          </cell>
        </row>
        <row r="71">
          <cell r="E71">
            <v>40211</v>
          </cell>
        </row>
        <row r="72">
          <cell r="E72">
            <v>40211</v>
          </cell>
        </row>
        <row r="73">
          <cell r="E73">
            <v>40211</v>
          </cell>
        </row>
        <row r="74">
          <cell r="E74">
            <v>40211</v>
          </cell>
        </row>
        <row r="75">
          <cell r="E75">
            <v>40211</v>
          </cell>
        </row>
        <row r="76">
          <cell r="E76">
            <v>40211</v>
          </cell>
        </row>
        <row r="77">
          <cell r="E77">
            <v>40211</v>
          </cell>
        </row>
        <row r="78">
          <cell r="E78">
            <v>40211</v>
          </cell>
        </row>
        <row r="79">
          <cell r="E79">
            <v>40211</v>
          </cell>
        </row>
        <row r="80">
          <cell r="E80">
            <v>40211</v>
          </cell>
        </row>
        <row r="81">
          <cell r="E81">
            <v>40211</v>
          </cell>
        </row>
        <row r="82">
          <cell r="E82">
            <v>40211</v>
          </cell>
        </row>
        <row r="83">
          <cell r="E83">
            <v>40210</v>
          </cell>
        </row>
        <row r="84">
          <cell r="E84">
            <v>40210</v>
          </cell>
        </row>
        <row r="85">
          <cell r="E85">
            <v>40205</v>
          </cell>
        </row>
        <row r="86">
          <cell r="E86">
            <v>40205</v>
          </cell>
        </row>
        <row r="87">
          <cell r="E87">
            <v>40210</v>
          </cell>
        </row>
        <row r="88">
          <cell r="E88">
            <v>40212</v>
          </cell>
        </row>
        <row r="89">
          <cell r="E89">
            <v>40212</v>
          </cell>
        </row>
        <row r="90">
          <cell r="E90">
            <v>40210</v>
          </cell>
        </row>
        <row r="91">
          <cell r="E91">
            <v>40210</v>
          </cell>
        </row>
        <row r="92">
          <cell r="E92">
            <v>40213</v>
          </cell>
        </row>
        <row r="93">
          <cell r="E93">
            <v>40213</v>
          </cell>
        </row>
        <row r="94">
          <cell r="E94">
            <v>40210</v>
          </cell>
        </row>
        <row r="95">
          <cell r="E95">
            <v>40210</v>
          </cell>
        </row>
        <row r="96">
          <cell r="E96">
            <v>40212</v>
          </cell>
        </row>
        <row r="97">
          <cell r="E97">
            <v>40212</v>
          </cell>
        </row>
        <row r="98">
          <cell r="E98">
            <v>40213</v>
          </cell>
        </row>
        <row r="99">
          <cell r="E99">
            <v>40213</v>
          </cell>
        </row>
        <row r="100">
          <cell r="E100">
            <v>40214</v>
          </cell>
        </row>
        <row r="101">
          <cell r="E101">
            <v>40214</v>
          </cell>
        </row>
        <row r="102">
          <cell r="E102">
            <v>40217</v>
          </cell>
        </row>
        <row r="103">
          <cell r="E103">
            <v>40217</v>
          </cell>
        </row>
        <row r="104">
          <cell r="E104">
            <v>40217</v>
          </cell>
        </row>
        <row r="105">
          <cell r="E105">
            <v>40217</v>
          </cell>
        </row>
        <row r="106">
          <cell r="E106">
            <v>40214</v>
          </cell>
        </row>
        <row r="107">
          <cell r="E107">
            <v>40214</v>
          </cell>
        </row>
        <row r="108">
          <cell r="E108">
            <v>40207</v>
          </cell>
        </row>
        <row r="109">
          <cell r="E109">
            <v>40207</v>
          </cell>
        </row>
        <row r="110">
          <cell r="E110">
            <v>40212</v>
          </cell>
        </row>
        <row r="111">
          <cell r="E111">
            <v>40212</v>
          </cell>
        </row>
        <row r="112">
          <cell r="E112">
            <v>40212</v>
          </cell>
        </row>
        <row r="113">
          <cell r="E113">
            <v>40212</v>
          </cell>
        </row>
        <row r="114">
          <cell r="E114">
            <v>40212</v>
          </cell>
        </row>
        <row r="115">
          <cell r="E115">
            <v>40212</v>
          </cell>
        </row>
        <row r="116">
          <cell r="E116">
            <v>40218</v>
          </cell>
        </row>
        <row r="117">
          <cell r="E117">
            <v>40218</v>
          </cell>
        </row>
        <row r="118">
          <cell r="E118">
            <v>40218</v>
          </cell>
        </row>
        <row r="119">
          <cell r="E119">
            <v>40218</v>
          </cell>
        </row>
        <row r="120">
          <cell r="E120">
            <v>40218</v>
          </cell>
        </row>
        <row r="121">
          <cell r="E121">
            <v>40211</v>
          </cell>
        </row>
        <row r="122">
          <cell r="E122">
            <v>40211</v>
          </cell>
        </row>
        <row r="123">
          <cell r="E123">
            <v>40211</v>
          </cell>
        </row>
        <row r="124">
          <cell r="E124">
            <v>40211</v>
          </cell>
        </row>
        <row r="125">
          <cell r="E125">
            <v>40211</v>
          </cell>
        </row>
        <row r="126">
          <cell r="E126">
            <v>40214</v>
          </cell>
        </row>
        <row r="127">
          <cell r="E127">
            <v>40214</v>
          </cell>
        </row>
        <row r="128">
          <cell r="E128">
            <v>40211</v>
          </cell>
        </row>
        <row r="129">
          <cell r="E129">
            <v>40218</v>
          </cell>
        </row>
        <row r="130">
          <cell r="E130">
            <v>40218</v>
          </cell>
        </row>
        <row r="131">
          <cell r="E131">
            <v>40218</v>
          </cell>
        </row>
        <row r="132">
          <cell r="E132">
            <v>40218</v>
          </cell>
        </row>
        <row r="133">
          <cell r="E133">
            <v>40213</v>
          </cell>
        </row>
        <row r="134">
          <cell r="E134">
            <v>40213</v>
          </cell>
        </row>
        <row r="135">
          <cell r="E135">
            <v>40213</v>
          </cell>
        </row>
        <row r="136">
          <cell r="E136">
            <v>40213</v>
          </cell>
        </row>
        <row r="137">
          <cell r="E137">
            <v>40218</v>
          </cell>
        </row>
        <row r="138">
          <cell r="E138">
            <v>40218</v>
          </cell>
        </row>
        <row r="139">
          <cell r="E139">
            <v>40218</v>
          </cell>
        </row>
        <row r="140">
          <cell r="E140">
            <v>40218</v>
          </cell>
        </row>
        <row r="141">
          <cell r="E141">
            <v>40218</v>
          </cell>
        </row>
        <row r="142">
          <cell r="E142">
            <v>40210</v>
          </cell>
        </row>
        <row r="143">
          <cell r="E143">
            <v>40210</v>
          </cell>
        </row>
        <row r="144">
          <cell r="E144">
            <v>40218</v>
          </cell>
        </row>
        <row r="145">
          <cell r="E145">
            <v>40218</v>
          </cell>
        </row>
        <row r="146">
          <cell r="E146">
            <v>40218</v>
          </cell>
        </row>
        <row r="147">
          <cell r="E147">
            <v>40220</v>
          </cell>
        </row>
        <row r="148">
          <cell r="E148">
            <v>40220</v>
          </cell>
        </row>
        <row r="149">
          <cell r="E149">
            <v>40220</v>
          </cell>
        </row>
        <row r="150">
          <cell r="E150">
            <v>40220</v>
          </cell>
        </row>
        <row r="151">
          <cell r="E151">
            <v>40224</v>
          </cell>
        </row>
        <row r="152">
          <cell r="E152">
            <v>40224</v>
          </cell>
        </row>
        <row r="153">
          <cell r="E153">
            <v>40224</v>
          </cell>
        </row>
        <row r="154">
          <cell r="E154">
            <v>40224</v>
          </cell>
        </row>
        <row r="155">
          <cell r="E155">
            <v>40224</v>
          </cell>
        </row>
        <row r="156">
          <cell r="E156">
            <v>40218</v>
          </cell>
        </row>
        <row r="157">
          <cell r="E157">
            <v>40218</v>
          </cell>
        </row>
        <row r="158">
          <cell r="E158">
            <v>40218</v>
          </cell>
        </row>
        <row r="159">
          <cell r="E159">
            <v>40225</v>
          </cell>
        </row>
        <row r="160">
          <cell r="E160">
            <v>40225</v>
          </cell>
        </row>
        <row r="161">
          <cell r="E161">
            <v>40225</v>
          </cell>
        </row>
        <row r="162">
          <cell r="E162">
            <v>40227</v>
          </cell>
        </row>
        <row r="163">
          <cell r="E163">
            <v>40227</v>
          </cell>
        </row>
        <row r="164">
          <cell r="E164">
            <v>40227</v>
          </cell>
        </row>
        <row r="165">
          <cell r="E165">
            <v>40227</v>
          </cell>
        </row>
        <row r="166">
          <cell r="E166">
            <v>40228</v>
          </cell>
        </row>
        <row r="167">
          <cell r="E167">
            <v>40228</v>
          </cell>
        </row>
        <row r="168">
          <cell r="E168">
            <v>40228</v>
          </cell>
        </row>
        <row r="169">
          <cell r="E169">
            <v>40231</v>
          </cell>
        </row>
        <row r="170">
          <cell r="E170">
            <v>40231</v>
          </cell>
        </row>
        <row r="171">
          <cell r="E171">
            <v>40233</v>
          </cell>
        </row>
        <row r="172">
          <cell r="E172">
            <v>40233</v>
          </cell>
        </row>
        <row r="173">
          <cell r="E173">
            <v>40232</v>
          </cell>
        </row>
        <row r="174">
          <cell r="E174">
            <v>40232</v>
          </cell>
        </row>
        <row r="175">
          <cell r="E175">
            <v>40233</v>
          </cell>
        </row>
        <row r="176">
          <cell r="E176">
            <v>40232</v>
          </cell>
        </row>
        <row r="177">
          <cell r="E177">
            <v>40233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Anexo 2 X Areas"/>
      <sheetName val="#¡REF"/>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general"/>
      <sheetName val="2004VS2005"/>
      <sheetName val="Otros ingresos Modificaciones"/>
      <sheetName val="Inversión total en programas"/>
      <sheetName val="MODELO CONTRATISTAS"/>
      <sheetName val="Servicios personal 2005"/>
      <sheetName val="Nómina 2004"/>
    </sheetNames>
    <sheetDataSet>
      <sheetData sheetId="0"/>
      <sheetData sheetId="1"/>
      <sheetData sheetId="2"/>
      <sheetData sheetId="3">
        <row r="50">
          <cell r="A50" t="str">
            <v>Cadena avícola porcícola</v>
          </cell>
          <cell r="B50">
            <v>0</v>
          </cell>
        </row>
        <row r="60">
          <cell r="A60" t="str">
            <v>Honorarios director nacional</v>
          </cell>
          <cell r="B60" t="e">
            <v>#REF!</v>
          </cell>
        </row>
        <row r="61">
          <cell r="A61" t="str">
            <v>Conceptualización gráfica</v>
          </cell>
          <cell r="B61" t="e">
            <v>#REF!</v>
          </cell>
        </row>
        <row r="62">
          <cell r="A62" t="str">
            <v>Asistente Call Center</v>
          </cell>
          <cell r="B62" t="e">
            <v>#REF!</v>
          </cell>
        </row>
        <row r="63">
          <cell r="A63" t="str">
            <v>Subtotal gastos de personal</v>
          </cell>
          <cell r="B63" t="e">
            <v>#REF!</v>
          </cell>
        </row>
      </sheetData>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Presupuesto general"/>
      <sheetName val="2004VS2005"/>
      <sheetName val="Inversión total en programas"/>
      <sheetName val="MODELO CONTRATISTAS"/>
      <sheetName val="Servicios personal 2005"/>
      <sheetName val="Nómina 2004"/>
      <sheetName val="Anexo cierre 2010"/>
    </sheetNames>
    <sheetDataSet>
      <sheetData sheetId="0"/>
      <sheetData sheetId="1" refreshError="1"/>
      <sheetData sheetId="2" refreshError="1"/>
      <sheetData sheetId="3"/>
      <sheetData sheetId="4" refreshError="1"/>
      <sheetData sheetId="5" refreshError="1"/>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pageSetUpPr fitToPage="1"/>
  </sheetPr>
  <dimension ref="A1:J64"/>
  <sheetViews>
    <sheetView tabSelected="1" zoomScaleNormal="100" zoomScaleSheetLayoutView="80" workbookViewId="0">
      <pane xSplit="1" ySplit="10" topLeftCell="B29" activePane="bottomRight" state="frozen"/>
      <selection activeCell="X27" sqref="X27"/>
      <selection pane="topRight" activeCell="X27" sqref="X27"/>
      <selection pane="bottomLeft" activeCell="X27" sqref="X27"/>
      <selection pane="bottomRight" activeCell="E39" sqref="E39"/>
    </sheetView>
  </sheetViews>
  <sheetFormatPr baseColWidth="10" defaultRowHeight="15" outlineLevelRow="1" x14ac:dyDescent="0.3"/>
  <cols>
    <col min="1" max="1" width="35.5703125" style="1" customWidth="1"/>
    <col min="2" max="4" width="20.5703125" style="1" customWidth="1"/>
    <col min="5" max="5" width="17.85546875" style="1" customWidth="1"/>
    <col min="6" max="6" width="23" style="1" customWidth="1"/>
    <col min="7" max="7" width="18" style="1" bestFit="1" customWidth="1"/>
    <col min="8" max="8" width="12.5703125" style="1" bestFit="1" customWidth="1"/>
    <col min="9" max="9" width="16.140625" style="1" bestFit="1" customWidth="1"/>
    <col min="10" max="10" width="12" style="1" bestFit="1" customWidth="1"/>
    <col min="11" max="11" width="11.85546875" style="1" bestFit="1" customWidth="1"/>
    <col min="12" max="12" width="12" style="1" bestFit="1" customWidth="1"/>
    <col min="13" max="16384" width="11.42578125" style="1"/>
  </cols>
  <sheetData>
    <row r="1" spans="1:10" ht="15.75" x14ac:dyDescent="0.3">
      <c r="A1" s="29"/>
      <c r="B1" s="29"/>
      <c r="C1" s="29"/>
      <c r="D1" s="29"/>
      <c r="E1" s="29"/>
    </row>
    <row r="2" spans="1:10" ht="15.75" x14ac:dyDescent="0.3">
      <c r="A2" s="413" t="s">
        <v>40</v>
      </c>
      <c r="B2" s="413"/>
      <c r="C2" s="413"/>
      <c r="D2" s="413"/>
      <c r="E2" s="413"/>
    </row>
    <row r="3" spans="1:10" ht="15.75" x14ac:dyDescent="0.3">
      <c r="A3" s="413" t="s">
        <v>39</v>
      </c>
      <c r="B3" s="413"/>
      <c r="C3" s="413"/>
      <c r="D3" s="413"/>
      <c r="E3" s="413"/>
    </row>
    <row r="4" spans="1:10" ht="15.75" x14ac:dyDescent="0.3">
      <c r="A4" s="413" t="s">
        <v>423</v>
      </c>
      <c r="B4" s="413"/>
      <c r="C4" s="413"/>
      <c r="D4" s="413"/>
      <c r="E4" s="413"/>
      <c r="F4" s="87"/>
      <c r="G4" s="44"/>
    </row>
    <row r="5" spans="1:10" ht="15.75" x14ac:dyDescent="0.3">
      <c r="A5" s="30" t="s">
        <v>436</v>
      </c>
      <c r="B5" s="31"/>
      <c r="C5" s="31"/>
      <c r="D5" s="31"/>
      <c r="E5" s="31"/>
      <c r="F5" s="87"/>
    </row>
    <row r="6" spans="1:10" ht="15.75" x14ac:dyDescent="0.3">
      <c r="A6" s="414" t="s">
        <v>16</v>
      </c>
      <c r="B6" s="414"/>
      <c r="C6" s="414"/>
      <c r="D6" s="414"/>
      <c r="E6" s="414"/>
      <c r="F6" s="87"/>
    </row>
    <row r="7" spans="1:10" ht="16.5" thickBot="1" x14ac:dyDescent="0.35">
      <c r="A7" s="27"/>
      <c r="B7" s="27"/>
      <c r="C7" s="27"/>
      <c r="D7" s="27"/>
      <c r="E7" s="27"/>
      <c r="F7" s="87"/>
    </row>
    <row r="8" spans="1:10" ht="16.5" thickTop="1" x14ac:dyDescent="0.3">
      <c r="A8" s="410" t="s">
        <v>29</v>
      </c>
      <c r="B8" s="383" t="s">
        <v>92</v>
      </c>
      <c r="C8" s="415" t="s">
        <v>428</v>
      </c>
      <c r="D8" s="418" t="s">
        <v>429</v>
      </c>
      <c r="E8" s="421" t="s">
        <v>430</v>
      </c>
    </row>
    <row r="9" spans="1:10" ht="15.75" x14ac:dyDescent="0.3">
      <c r="A9" s="411"/>
      <c r="B9" s="108" t="s">
        <v>424</v>
      </c>
      <c r="C9" s="416"/>
      <c r="D9" s="419"/>
      <c r="E9" s="422" t="s">
        <v>431</v>
      </c>
    </row>
    <row r="10" spans="1:10" ht="18" customHeight="1" thickBot="1" x14ac:dyDescent="0.35">
      <c r="A10" s="412"/>
      <c r="B10" s="109">
        <v>2016</v>
      </c>
      <c r="C10" s="417"/>
      <c r="D10" s="420"/>
      <c r="E10" s="423"/>
    </row>
    <row r="11" spans="1:10" ht="15.75" customHeight="1" x14ac:dyDescent="0.3">
      <c r="A11" s="394" t="s">
        <v>94</v>
      </c>
      <c r="B11" s="110">
        <f>+B13+B17+B21</f>
        <v>9548801522.9872513</v>
      </c>
      <c r="C11" s="110">
        <f>+C13+C17+C21</f>
        <v>8196541591</v>
      </c>
      <c r="D11" s="150">
        <f>+C11-B11</f>
        <v>-1352259931.9872513</v>
      </c>
      <c r="E11" s="384">
        <f>+C11/B11</f>
        <v>0.85838432930751607</v>
      </c>
    </row>
    <row r="12" spans="1:10" ht="13.5" customHeight="1" x14ac:dyDescent="0.3">
      <c r="A12" s="395"/>
      <c r="B12" s="400"/>
      <c r="C12" s="400"/>
      <c r="D12" s="400"/>
      <c r="E12" s="384"/>
    </row>
    <row r="13" spans="1:10" ht="30.75" x14ac:dyDescent="0.3">
      <c r="A13" s="396" t="s">
        <v>143</v>
      </c>
      <c r="B13" s="401">
        <f>+B14+B15</f>
        <v>6799317196</v>
      </c>
      <c r="C13" s="401">
        <f>+C14+C15</f>
        <v>7451898545</v>
      </c>
      <c r="D13" s="401">
        <f t="shared" ref="D13:D39" si="0">+C13-B13</f>
        <v>652581349</v>
      </c>
      <c r="E13" s="384">
        <f t="shared" ref="E13:E39" si="1">+C13/B13</f>
        <v>1.0959774827660504</v>
      </c>
      <c r="H13" s="6"/>
    </row>
    <row r="14" spans="1:10" ht="15.75" x14ac:dyDescent="0.3">
      <c r="A14" s="395" t="s">
        <v>95</v>
      </c>
      <c r="B14" s="111">
        <v>4249573247.5</v>
      </c>
      <c r="C14" s="111">
        <v>4657436590.625</v>
      </c>
      <c r="D14" s="111">
        <f t="shared" si="0"/>
        <v>407863343.125</v>
      </c>
      <c r="E14" s="385">
        <f t="shared" si="1"/>
        <v>1.0959774827660504</v>
      </c>
      <c r="G14" s="32"/>
      <c r="J14" s="6"/>
    </row>
    <row r="15" spans="1:10" ht="30" x14ac:dyDescent="0.3">
      <c r="A15" s="395" t="s">
        <v>96</v>
      </c>
      <c r="B15" s="111">
        <v>2549743948.5</v>
      </c>
      <c r="C15" s="111">
        <v>2794461954.375</v>
      </c>
      <c r="D15" s="111">
        <f t="shared" si="0"/>
        <v>244718005.875</v>
      </c>
      <c r="E15" s="385">
        <f t="shared" si="1"/>
        <v>1.0959774827660504</v>
      </c>
      <c r="G15" s="32"/>
      <c r="J15" s="6"/>
    </row>
    <row r="16" spans="1:10" ht="15.75" x14ac:dyDescent="0.3">
      <c r="A16" s="395"/>
      <c r="B16" s="111"/>
      <c r="C16" s="111"/>
      <c r="D16" s="111"/>
      <c r="E16" s="385"/>
      <c r="G16" s="25"/>
      <c r="J16" s="6"/>
    </row>
    <row r="17" spans="1:8" ht="30.75" x14ac:dyDescent="0.3">
      <c r="A17" s="397" t="s">
        <v>46</v>
      </c>
      <c r="B17" s="118">
        <f>+B18+B19</f>
        <v>0</v>
      </c>
      <c r="C17" s="118">
        <f>+C18+C19</f>
        <v>18532480</v>
      </c>
      <c r="D17" s="118">
        <f t="shared" si="0"/>
        <v>18532480</v>
      </c>
      <c r="E17" s="384">
        <v>0</v>
      </c>
      <c r="G17" s="6"/>
    </row>
    <row r="18" spans="1:8" ht="15.75" x14ac:dyDescent="0.3">
      <c r="A18" s="395" t="s">
        <v>95</v>
      </c>
      <c r="B18" s="111"/>
      <c r="C18" s="111">
        <v>11582800</v>
      </c>
      <c r="D18" s="111">
        <f t="shared" si="0"/>
        <v>11582800</v>
      </c>
      <c r="E18" s="385">
        <v>0</v>
      </c>
      <c r="G18" s="6"/>
    </row>
    <row r="19" spans="1:8" ht="30" x14ac:dyDescent="0.3">
      <c r="A19" s="395" t="s">
        <v>96</v>
      </c>
      <c r="B19" s="111"/>
      <c r="C19" s="111">
        <v>6949680</v>
      </c>
      <c r="D19" s="111">
        <f t="shared" si="0"/>
        <v>6949680</v>
      </c>
      <c r="E19" s="385">
        <v>0</v>
      </c>
      <c r="G19" s="6"/>
    </row>
    <row r="20" spans="1:8" ht="15.75" x14ac:dyDescent="0.3">
      <c r="A20" s="395"/>
      <c r="B20" s="111"/>
      <c r="C20" s="111"/>
      <c r="D20" s="111"/>
      <c r="E20" s="386"/>
      <c r="G20" s="8"/>
      <c r="H20" s="6"/>
    </row>
    <row r="21" spans="1:8" ht="30.75" x14ac:dyDescent="0.3">
      <c r="A21" s="396" t="s">
        <v>13</v>
      </c>
      <c r="B21" s="150">
        <f>+B22+B23</f>
        <v>2749484326.9872503</v>
      </c>
      <c r="C21" s="150">
        <f>+C22+C23</f>
        <v>726110566</v>
      </c>
      <c r="D21" s="150">
        <f t="shared" si="0"/>
        <v>-2023373760.9872503</v>
      </c>
      <c r="E21" s="384">
        <f t="shared" si="1"/>
        <v>0.26408972725283225</v>
      </c>
      <c r="G21" s="3"/>
    </row>
    <row r="22" spans="1:8" ht="15.75" x14ac:dyDescent="0.3">
      <c r="A22" s="395" t="s">
        <v>95</v>
      </c>
      <c r="B22" s="402">
        <v>1283163967.9623101</v>
      </c>
      <c r="C22" s="402">
        <v>2942776</v>
      </c>
      <c r="D22" s="111">
        <f t="shared" si="0"/>
        <v>-1280221191.9623101</v>
      </c>
      <c r="E22" s="385">
        <f t="shared" si="1"/>
        <v>2.2933748713916797E-3</v>
      </c>
      <c r="G22" s="23"/>
    </row>
    <row r="23" spans="1:8" ht="30" x14ac:dyDescent="0.3">
      <c r="A23" s="395" t="s">
        <v>96</v>
      </c>
      <c r="B23" s="111">
        <v>1466320359.02494</v>
      </c>
      <c r="C23" s="111">
        <v>723167790</v>
      </c>
      <c r="D23" s="111">
        <f t="shared" si="0"/>
        <v>-743152569.02494001</v>
      </c>
      <c r="E23" s="385">
        <f t="shared" si="1"/>
        <v>0.49318539809464651</v>
      </c>
      <c r="G23" s="9"/>
    </row>
    <row r="24" spans="1:8" ht="15.75" x14ac:dyDescent="0.3">
      <c r="A24" s="395"/>
      <c r="B24" s="111"/>
      <c r="C24" s="111"/>
      <c r="D24" s="111"/>
      <c r="E24" s="385"/>
      <c r="G24" s="9"/>
    </row>
    <row r="25" spans="1:8" ht="30.75" x14ac:dyDescent="0.3">
      <c r="A25" s="397" t="s">
        <v>97</v>
      </c>
      <c r="B25" s="118">
        <f>+B27+B31</f>
        <v>1239353333</v>
      </c>
      <c r="C25" s="118">
        <f>+C27+C31</f>
        <v>1212602510</v>
      </c>
      <c r="D25" s="118">
        <f t="shared" si="0"/>
        <v>-26750823</v>
      </c>
      <c r="E25" s="384">
        <f t="shared" si="1"/>
        <v>0.97841549920614934</v>
      </c>
      <c r="G25" s="3"/>
    </row>
    <row r="26" spans="1:8" ht="15.75" x14ac:dyDescent="0.3">
      <c r="A26" s="395"/>
      <c r="B26" s="111"/>
      <c r="C26" s="111"/>
      <c r="D26" s="111"/>
      <c r="E26" s="384"/>
      <c r="G26" s="6"/>
    </row>
    <row r="27" spans="1:8" ht="15.75" x14ac:dyDescent="0.3">
      <c r="A27" s="397" t="s">
        <v>98</v>
      </c>
      <c r="B27" s="118">
        <f>+B28+B29</f>
        <v>67958504</v>
      </c>
      <c r="C27" s="118">
        <f>+C28+C29</f>
        <v>126456101</v>
      </c>
      <c r="D27" s="118">
        <f t="shared" si="0"/>
        <v>58497597</v>
      </c>
      <c r="E27" s="384">
        <f t="shared" si="1"/>
        <v>1.8607840602259285</v>
      </c>
    </row>
    <row r="28" spans="1:8" ht="15.75" x14ac:dyDescent="0.3">
      <c r="A28" s="395" t="s">
        <v>64</v>
      </c>
      <c r="B28" s="111">
        <v>12937931</v>
      </c>
      <c r="C28" s="111">
        <v>26156648</v>
      </c>
      <c r="D28" s="111">
        <f t="shared" si="0"/>
        <v>13218717</v>
      </c>
      <c r="E28" s="385">
        <f t="shared" si="1"/>
        <v>2.0217025427017656</v>
      </c>
      <c r="G28" s="6"/>
    </row>
    <row r="29" spans="1:8" ht="15.75" x14ac:dyDescent="0.3">
      <c r="A29" s="395" t="s">
        <v>65</v>
      </c>
      <c r="B29" s="111">
        <v>55020573</v>
      </c>
      <c r="C29" s="111">
        <v>100299453</v>
      </c>
      <c r="D29" s="111">
        <f t="shared" si="0"/>
        <v>45278880</v>
      </c>
      <c r="E29" s="385">
        <f t="shared" si="1"/>
        <v>1.8229445374914579</v>
      </c>
      <c r="G29" s="6"/>
    </row>
    <row r="30" spans="1:8" ht="15.75" x14ac:dyDescent="0.3">
      <c r="A30" s="395"/>
      <c r="B30" s="111"/>
      <c r="C30" s="111"/>
      <c r="D30" s="111"/>
      <c r="E30" s="385"/>
    </row>
    <row r="31" spans="1:8" ht="15.75" x14ac:dyDescent="0.3">
      <c r="A31" s="397" t="s">
        <v>99</v>
      </c>
      <c r="B31" s="118">
        <f>SUM(B32:B38)</f>
        <v>1171394829</v>
      </c>
      <c r="C31" s="118">
        <f>SUM(C32:C38)</f>
        <v>1086146409</v>
      </c>
      <c r="D31" s="118">
        <f t="shared" si="0"/>
        <v>-85248420</v>
      </c>
      <c r="E31" s="384">
        <f t="shared" si="1"/>
        <v>0.9272248622842435</v>
      </c>
    </row>
    <row r="32" spans="1:8" ht="15.75" x14ac:dyDescent="0.3">
      <c r="A32" s="395" t="s">
        <v>100</v>
      </c>
      <c r="B32" s="212">
        <v>664940336</v>
      </c>
      <c r="C32" s="212">
        <v>605322009</v>
      </c>
      <c r="D32" s="212">
        <f t="shared" si="0"/>
        <v>-59618327</v>
      </c>
      <c r="E32" s="385">
        <f>+C32/B32</f>
        <v>0.91034033615912269</v>
      </c>
    </row>
    <row r="33" spans="1:5" ht="15.75" x14ac:dyDescent="0.3">
      <c r="A33" s="398" t="s">
        <v>67</v>
      </c>
      <c r="B33" s="212">
        <v>1093708</v>
      </c>
      <c r="C33" s="212">
        <v>37145980</v>
      </c>
      <c r="D33" s="212">
        <f t="shared" si="0"/>
        <v>36052272</v>
      </c>
      <c r="E33" s="385">
        <f t="shared" si="1"/>
        <v>33.963343049515956</v>
      </c>
    </row>
    <row r="34" spans="1:5" ht="15.75" x14ac:dyDescent="0.3">
      <c r="A34" s="398" t="s">
        <v>68</v>
      </c>
      <c r="B34" s="212">
        <v>1115614</v>
      </c>
      <c r="C34" s="212">
        <v>1702912</v>
      </c>
      <c r="D34" s="212">
        <f t="shared" si="0"/>
        <v>587298</v>
      </c>
      <c r="E34" s="385">
        <f t="shared" si="1"/>
        <v>1.5264347704492773</v>
      </c>
    </row>
    <row r="35" spans="1:5" ht="15.75" x14ac:dyDescent="0.3">
      <c r="A35" s="398" t="s">
        <v>66</v>
      </c>
      <c r="B35" s="212">
        <v>72445171</v>
      </c>
      <c r="C35" s="212">
        <v>17307801</v>
      </c>
      <c r="D35" s="212">
        <f t="shared" si="0"/>
        <v>-55137370</v>
      </c>
      <c r="E35" s="385">
        <f t="shared" si="1"/>
        <v>0.23890896744518691</v>
      </c>
    </row>
    <row r="36" spans="1:5" ht="15.75" x14ac:dyDescent="0.3">
      <c r="A36" s="398" t="s">
        <v>124</v>
      </c>
      <c r="B36" s="212">
        <v>271800000</v>
      </c>
      <c r="C36" s="212">
        <v>424667707</v>
      </c>
      <c r="D36" s="212">
        <f t="shared" si="0"/>
        <v>152867707</v>
      </c>
      <c r="E36" s="385">
        <f t="shared" si="1"/>
        <v>1.562427178072112</v>
      </c>
    </row>
    <row r="37" spans="1:5" ht="15.75" x14ac:dyDescent="0.3">
      <c r="A37" s="409" t="s">
        <v>432</v>
      </c>
      <c r="B37" s="212">
        <v>160000000</v>
      </c>
      <c r="C37" s="212">
        <v>0</v>
      </c>
      <c r="D37" s="212">
        <f t="shared" si="0"/>
        <v>-160000000</v>
      </c>
      <c r="E37" s="385">
        <f>+C37/B37</f>
        <v>0</v>
      </c>
    </row>
    <row r="38" spans="1:5" ht="16.5" thickBot="1" x14ac:dyDescent="0.35">
      <c r="A38" s="409"/>
      <c r="B38" s="212"/>
      <c r="C38" s="212"/>
      <c r="D38" s="212"/>
      <c r="E38" s="385"/>
    </row>
    <row r="39" spans="1:5" ht="16.5" thickBot="1" x14ac:dyDescent="0.35">
      <c r="A39" s="399" t="s">
        <v>101</v>
      </c>
      <c r="B39" s="387">
        <f>+B25+B11</f>
        <v>10788154855.987251</v>
      </c>
      <c r="C39" s="387">
        <f>+C25+C11</f>
        <v>9409144101</v>
      </c>
      <c r="D39" s="387">
        <f t="shared" si="0"/>
        <v>-1379010754.9872513</v>
      </c>
      <c r="E39" s="388">
        <f t="shared" si="1"/>
        <v>0.87217362251507513</v>
      </c>
    </row>
    <row r="40" spans="1:5" ht="15.75" thickTop="1" x14ac:dyDescent="0.3">
      <c r="A40"/>
    </row>
    <row r="41" spans="1:5" ht="15.75" hidden="1" outlineLevel="1" x14ac:dyDescent="0.3">
      <c r="A41" s="403" t="s">
        <v>175</v>
      </c>
      <c r="B41" s="3">
        <f>+B14+B18+B22+B28+B33+B35+B36</f>
        <v>5891014025.4623098</v>
      </c>
      <c r="C41" s="3">
        <f>+C14+C18+C22+C28+C33+C35+C36</f>
        <v>5177240302.625</v>
      </c>
      <c r="D41" s="3"/>
    </row>
    <row r="42" spans="1:5" ht="15.75" hidden="1" outlineLevel="1" x14ac:dyDescent="0.3">
      <c r="A42" s="403" t="s">
        <v>418</v>
      </c>
      <c r="B42" s="3">
        <f>+'Anexo 2 '!J204-'Anexo 2 '!G204-'Anexo 2 '!I196</f>
        <v>5891014025.1755352</v>
      </c>
      <c r="C42" s="3">
        <f>+'Anexo 2 '!K204-'Anexo 2 '!K112-'Anexo 2 '!K196-300862808-212782610</f>
        <v>5177240302.0925407</v>
      </c>
      <c r="D42" s="3"/>
    </row>
    <row r="43" spans="1:5" ht="15.75" hidden="1" outlineLevel="1" x14ac:dyDescent="0.3">
      <c r="A43" s="403" t="s">
        <v>386</v>
      </c>
      <c r="B43" s="3">
        <f>+B41-B42</f>
        <v>0.28677463531494141</v>
      </c>
      <c r="C43" s="3">
        <f>+C41-C42</f>
        <v>0.53245925903320313</v>
      </c>
      <c r="D43" s="3"/>
    </row>
    <row r="44" spans="1:5" hidden="1" outlineLevel="1" x14ac:dyDescent="0.3">
      <c r="A44"/>
    </row>
    <row r="45" spans="1:5" ht="15.75" hidden="1" outlineLevel="1" x14ac:dyDescent="0.3">
      <c r="A45" s="403" t="s">
        <v>176</v>
      </c>
      <c r="B45" s="6">
        <f>+B15+B19+B23+B29+VTAS2005+B34+B37</f>
        <v>4897140830.5249405</v>
      </c>
      <c r="C45" s="6">
        <f>+C15+C19+C23+C29+C32+C37+C34</f>
        <v>4231903798.375</v>
      </c>
      <c r="D45" s="6"/>
    </row>
    <row r="46" spans="1:5" ht="15.75" hidden="1" outlineLevel="1" x14ac:dyDescent="0.3">
      <c r="A46" s="403" t="s">
        <v>419</v>
      </c>
      <c r="B46" s="3">
        <f>+'Anexo 2 '!G204+'Anexo 2 '!I196</f>
        <v>4897140830.5249405</v>
      </c>
      <c r="C46" s="3">
        <f>+'Anexo 2 '!K112+'Anexo 2 '!K196+300862808+212782610</f>
        <v>4231903798.5</v>
      </c>
      <c r="D46" s="3"/>
    </row>
    <row r="47" spans="1:5" ht="15.75" hidden="1" outlineLevel="1" x14ac:dyDescent="0.3">
      <c r="A47" s="403" t="s">
        <v>386</v>
      </c>
      <c r="B47" s="3">
        <f>+B45-B46</f>
        <v>0</v>
      </c>
      <c r="C47" s="3">
        <f>+C45-C46</f>
        <v>-0.125</v>
      </c>
      <c r="D47" s="3"/>
    </row>
    <row r="48" spans="1:5" collapsed="1"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sheetData>
  <customSheetViews>
    <customSheetView guid="{4099E833-BB74-4680-85C9-A6CF399D1CE2}" showPageBreaks="1" printArea="1" showRuler="0" topLeftCell="A14">
      <selection activeCell="D23" sqref="D23"/>
      <pageMargins left="0.75" right="0.75" top="0.52" bottom="1" header="0.51181102362204722" footer="0.51181102362204722"/>
      <printOptions horizontalCentered="1"/>
      <pageSetup orientation="portrait" horizontalDpi="120" verticalDpi="144" r:id="rId1"/>
      <headerFooter alignWithMargins="0"/>
    </customSheetView>
  </customSheetViews>
  <mergeCells count="8">
    <mergeCell ref="A8:A10"/>
    <mergeCell ref="A2:E2"/>
    <mergeCell ref="A3:E3"/>
    <mergeCell ref="A4:E4"/>
    <mergeCell ref="A6:E6"/>
    <mergeCell ref="C8:C10"/>
    <mergeCell ref="D8:D10"/>
    <mergeCell ref="E8:E10"/>
  </mergeCells>
  <phoneticPr fontId="0" type="noConversion"/>
  <printOptions horizontalCentered="1"/>
  <pageMargins left="0.39370078740157483" right="0.39370078740157483" top="0.59055118110236227" bottom="0.59055118110236227" header="0.51181102362204722" footer="0.51181102362204722"/>
  <pageSetup scale="87" orientation="portrait"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AN23"/>
  <sheetViews>
    <sheetView topLeftCell="A10" zoomScaleNormal="100" workbookViewId="0">
      <selection activeCell="C19" sqref="C19"/>
    </sheetView>
  </sheetViews>
  <sheetFormatPr baseColWidth="10" defaultRowHeight="12.75" x14ac:dyDescent="0.2"/>
  <cols>
    <col min="1" max="1" width="35.42578125" customWidth="1"/>
    <col min="2" max="2" width="17.85546875" customWidth="1"/>
    <col min="3" max="3" width="29.140625" customWidth="1"/>
    <col min="4" max="4" width="12.28515625" bestFit="1" customWidth="1"/>
  </cols>
  <sheetData>
    <row r="1" spans="1:3" x14ac:dyDescent="0.2">
      <c r="A1" s="11"/>
      <c r="B1" s="11"/>
      <c r="C1" s="11"/>
    </row>
    <row r="2" spans="1:3" ht="15" x14ac:dyDescent="0.25">
      <c r="A2" s="431" t="s">
        <v>40</v>
      </c>
      <c r="B2" s="431"/>
      <c r="C2" s="431"/>
    </row>
    <row r="3" spans="1:3" ht="15" x14ac:dyDescent="0.25">
      <c r="A3" s="431" t="s">
        <v>39</v>
      </c>
      <c r="B3" s="431"/>
      <c r="C3" s="431"/>
    </row>
    <row r="4" spans="1:3" ht="15" x14ac:dyDescent="0.25">
      <c r="A4" s="431" t="s">
        <v>342</v>
      </c>
      <c r="B4" s="431"/>
      <c r="C4" s="431"/>
    </row>
    <row r="5" spans="1:3" x14ac:dyDescent="0.2">
      <c r="A5" s="11"/>
      <c r="B5" s="11"/>
      <c r="C5" s="11"/>
    </row>
    <row r="6" spans="1:3" ht="38.25" customHeight="1" x14ac:dyDescent="0.25">
      <c r="A6" s="432" t="s">
        <v>168</v>
      </c>
      <c r="B6" s="433"/>
      <c r="C6" s="34">
        <v>2016</v>
      </c>
    </row>
    <row r="7" spans="1:3" s="113" customFormat="1" ht="38.25" customHeight="1" x14ac:dyDescent="0.2">
      <c r="A7" s="429" t="s">
        <v>353</v>
      </c>
      <c r="B7" s="430"/>
      <c r="C7" s="407">
        <f>21780684/4</f>
        <v>5445171</v>
      </c>
    </row>
    <row r="8" spans="1:3" s="113" customFormat="1" ht="36" customHeight="1" x14ac:dyDescent="0.2">
      <c r="A8" s="429" t="s">
        <v>229</v>
      </c>
      <c r="B8" s="430"/>
      <c r="C8" s="407">
        <v>1000000</v>
      </c>
    </row>
    <row r="9" spans="1:3" s="113" customFormat="1" ht="36" customHeight="1" x14ac:dyDescent="0.2">
      <c r="A9" s="429" t="s">
        <v>406</v>
      </c>
      <c r="B9" s="430"/>
      <c r="C9" s="407">
        <f>+[16]Hoja1!$K$19</f>
        <v>39000000</v>
      </c>
    </row>
    <row r="10" spans="1:3" s="113" customFormat="1" ht="36" customHeight="1" x14ac:dyDescent="0.2">
      <c r="A10" s="429" t="s">
        <v>221</v>
      </c>
      <c r="B10" s="430"/>
      <c r="C10" s="407">
        <f>+[16]Hoja1!$K$16</f>
        <v>25000000</v>
      </c>
    </row>
    <row r="11" spans="1:3" s="113" customFormat="1" ht="33.75" customHeight="1" x14ac:dyDescent="0.2">
      <c r="A11" s="429" t="s">
        <v>69</v>
      </c>
      <c r="B11" s="430"/>
      <c r="C11" s="407">
        <v>2000000</v>
      </c>
    </row>
    <row r="12" spans="1:3" ht="49.5" customHeight="1" x14ac:dyDescent="0.2">
      <c r="A12" s="435" t="s">
        <v>185</v>
      </c>
      <c r="B12" s="436"/>
      <c r="C12" s="12">
        <f>SUM(C7:C11)</f>
        <v>72445171</v>
      </c>
    </row>
    <row r="13" spans="1:3" s="49" customFormat="1" ht="15.75" customHeight="1" x14ac:dyDescent="0.25">
      <c r="A13" s="48"/>
      <c r="B13" s="48"/>
      <c r="C13" s="48"/>
    </row>
    <row r="14" spans="1:3" ht="45" customHeight="1" x14ac:dyDescent="0.25">
      <c r="A14" s="428" t="s">
        <v>184</v>
      </c>
      <c r="B14" s="428"/>
      <c r="C14" s="34">
        <v>2016</v>
      </c>
    </row>
    <row r="15" spans="1:3" ht="26.25" customHeight="1" x14ac:dyDescent="0.2">
      <c r="A15" s="425" t="s">
        <v>295</v>
      </c>
      <c r="B15" s="426"/>
      <c r="C15" s="408">
        <f>+[16]Hoja1!$K$20+[16]Hoja1!$K$21+[16]Hoja1!$K$22</f>
        <v>5300000</v>
      </c>
    </row>
    <row r="16" spans="1:3" ht="26.25" customHeight="1" x14ac:dyDescent="0.2">
      <c r="A16" s="425" t="s">
        <v>296</v>
      </c>
      <c r="B16" s="426"/>
      <c r="C16" s="408">
        <f>+[16]Hoja1!$K$24</f>
        <v>1500000</v>
      </c>
    </row>
    <row r="17" spans="1:40" ht="26.25" customHeight="1" x14ac:dyDescent="0.2">
      <c r="A17" s="425" t="s">
        <v>294</v>
      </c>
      <c r="B17" s="426"/>
      <c r="C17" s="408">
        <f>+[20]Ingresos!$C$4</f>
        <v>160000000</v>
      </c>
      <c r="D17" s="2"/>
      <c r="E17" s="2"/>
      <c r="F17" s="2"/>
      <c r="G17" s="2"/>
      <c r="H17" s="2"/>
    </row>
    <row r="18" spans="1:40" ht="26.25" customHeight="1" x14ac:dyDescent="0.2">
      <c r="A18" s="425" t="s">
        <v>299</v>
      </c>
      <c r="B18" s="426"/>
      <c r="C18" s="408"/>
      <c r="D18" s="2"/>
      <c r="E18" s="2"/>
      <c r="F18" s="2"/>
      <c r="G18" s="2"/>
      <c r="H18" s="2"/>
    </row>
    <row r="19" spans="1:40" ht="26.25" customHeight="1" x14ac:dyDescent="0.2">
      <c r="A19" s="427" t="s">
        <v>426</v>
      </c>
      <c r="B19" s="427"/>
      <c r="C19" s="119">
        <f>+[16]Hoja1!$K$13</f>
        <v>105000000</v>
      </c>
      <c r="D19" s="2"/>
      <c r="E19" s="2"/>
      <c r="F19" s="2"/>
      <c r="G19" s="2"/>
      <c r="H19" s="2"/>
    </row>
    <row r="20" spans="1:40" ht="34.5" customHeight="1" x14ac:dyDescent="0.2">
      <c r="A20" s="434" t="s">
        <v>186</v>
      </c>
      <c r="B20" s="434"/>
      <c r="C20" s="12">
        <f>SUM(C15:C19)</f>
        <v>271800000</v>
      </c>
      <c r="D20" s="2"/>
      <c r="E20" s="2"/>
      <c r="F20" s="2"/>
      <c r="G20" s="2"/>
      <c r="H20" s="2"/>
    </row>
    <row r="21" spans="1:40" s="49" customFormat="1" x14ac:dyDescent="0.2">
      <c r="A21" s="424"/>
      <c r="B21" s="424"/>
      <c r="C21" s="424"/>
      <c r="D21" s="24"/>
      <c r="E21" s="24"/>
      <c r="F21" s="24"/>
      <c r="G21" s="24"/>
      <c r="H21" s="24"/>
    </row>
    <row r="22" spans="1:40" s="49" customFormat="1" x14ac:dyDescent="0.2">
      <c r="A22" s="424"/>
      <c r="B22" s="424"/>
      <c r="C22" s="424"/>
      <c r="D22" s="24"/>
      <c r="E22" s="24"/>
      <c r="F22" s="24"/>
      <c r="G22" s="24"/>
      <c r="H22" s="24"/>
    </row>
    <row r="23" spans="1:40" ht="15" x14ac:dyDescent="0.25">
      <c r="A23" s="48"/>
      <c r="B23" s="48"/>
      <c r="C23" s="48"/>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row>
  </sheetData>
  <mergeCells count="18">
    <mergeCell ref="A9:B9"/>
    <mergeCell ref="A20:B20"/>
    <mergeCell ref="A16:B16"/>
    <mergeCell ref="A10:B10"/>
    <mergeCell ref="A17:B17"/>
    <mergeCell ref="A12:B12"/>
    <mergeCell ref="A2:C2"/>
    <mergeCell ref="A3:C3"/>
    <mergeCell ref="A4:C4"/>
    <mergeCell ref="A8:B8"/>
    <mergeCell ref="A6:B6"/>
    <mergeCell ref="A7:B7"/>
    <mergeCell ref="A21:C22"/>
    <mergeCell ref="A15:B15"/>
    <mergeCell ref="A18:B18"/>
    <mergeCell ref="A19:B19"/>
    <mergeCell ref="A14:B14"/>
    <mergeCell ref="A11:B11"/>
  </mergeCells>
  <phoneticPr fontId="10" type="noConversion"/>
  <printOptions horizontalCentered="1"/>
  <pageMargins left="0" right="0" top="0.59055118110236227" bottom="0.98425196850393704" header="0" footer="0"/>
  <pageSetup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83"/>
  <sheetViews>
    <sheetView view="pageBreakPreview" zoomScaleNormal="90" zoomScaleSheetLayoutView="100" workbookViewId="0">
      <pane xSplit="1" ySplit="7" topLeftCell="G34" activePane="bottomRight" state="frozen"/>
      <selection pane="topRight" activeCell="B1" sqref="B1"/>
      <selection pane="bottomLeft" activeCell="A8" sqref="A8"/>
      <selection pane="bottomRight" activeCell="K204" sqref="K204"/>
    </sheetView>
  </sheetViews>
  <sheetFormatPr baseColWidth="10" defaultRowHeight="12.75" outlineLevelRow="2" x14ac:dyDescent="0.2"/>
  <cols>
    <col min="1" max="1" width="57.7109375" style="2" customWidth="1"/>
    <col min="2" max="2" width="14.5703125" style="2" customWidth="1"/>
    <col min="3" max="3" width="14.7109375" style="2" customWidth="1"/>
    <col min="4" max="4" width="19.85546875" style="2" customWidth="1"/>
    <col min="5" max="5" width="13.42578125" style="2" customWidth="1"/>
    <col min="6" max="6" width="15.42578125" style="2" customWidth="1"/>
    <col min="7" max="7" width="17.5703125" style="2" customWidth="1"/>
    <col min="8" max="8" width="16.140625" style="2" customWidth="1"/>
    <col min="9" max="9" width="21.28515625" style="2" customWidth="1"/>
    <col min="10" max="12" width="19.7109375" style="2" customWidth="1"/>
    <col min="13" max="13" width="11.42578125" style="2" customWidth="1"/>
    <col min="14" max="14" width="17.5703125" style="2" bestFit="1" customWidth="1"/>
    <col min="15" max="17" width="14.5703125" style="2" customWidth="1"/>
    <col min="18" max="16384" width="11.42578125" style="2"/>
  </cols>
  <sheetData>
    <row r="1" spans="1:16" ht="15" x14ac:dyDescent="0.25">
      <c r="A1" s="431" t="s">
        <v>22</v>
      </c>
      <c r="B1" s="431"/>
      <c r="C1" s="431"/>
      <c r="D1" s="431"/>
      <c r="E1" s="431"/>
      <c r="F1" s="431"/>
      <c r="G1" s="431"/>
      <c r="H1" s="431"/>
      <c r="I1" s="431"/>
      <c r="J1" s="431"/>
      <c r="K1" s="431"/>
      <c r="L1" s="431"/>
      <c r="M1" s="431"/>
    </row>
    <row r="2" spans="1:16" ht="15" x14ac:dyDescent="0.25">
      <c r="A2" s="431" t="s">
        <v>39</v>
      </c>
      <c r="B2" s="431"/>
      <c r="C2" s="431"/>
      <c r="D2" s="431"/>
      <c r="E2" s="431"/>
      <c r="F2" s="431"/>
      <c r="G2" s="431"/>
      <c r="H2" s="431"/>
      <c r="I2" s="431"/>
      <c r="J2" s="431"/>
      <c r="K2" s="431"/>
      <c r="L2" s="431"/>
      <c r="M2" s="431"/>
    </row>
    <row r="3" spans="1:16" ht="15" x14ac:dyDescent="0.25">
      <c r="A3" s="431" t="s">
        <v>341</v>
      </c>
      <c r="B3" s="431"/>
      <c r="C3" s="431"/>
      <c r="D3" s="431"/>
      <c r="E3" s="431"/>
      <c r="F3" s="431"/>
      <c r="G3" s="431"/>
      <c r="H3" s="431"/>
      <c r="I3" s="431"/>
      <c r="J3" s="431"/>
      <c r="K3" s="431"/>
      <c r="L3" s="431"/>
      <c r="M3" s="431"/>
    </row>
    <row r="4" spans="1:16" ht="15" x14ac:dyDescent="0.25">
      <c r="A4" s="413" t="s">
        <v>436</v>
      </c>
      <c r="B4" s="413"/>
      <c r="C4" s="413"/>
      <c r="D4" s="413"/>
      <c r="E4" s="413"/>
      <c r="F4" s="413"/>
      <c r="G4" s="413"/>
      <c r="H4" s="413"/>
      <c r="I4" s="413"/>
      <c r="J4" s="413"/>
      <c r="K4" s="413"/>
      <c r="L4" s="413"/>
      <c r="M4" s="413"/>
    </row>
    <row r="5" spans="1:16" ht="15" x14ac:dyDescent="0.25">
      <c r="A5" s="431" t="s">
        <v>181</v>
      </c>
      <c r="B5" s="431"/>
      <c r="C5" s="431"/>
      <c r="D5" s="431"/>
      <c r="E5" s="431"/>
      <c r="F5" s="431"/>
      <c r="G5" s="431"/>
      <c r="H5" s="431"/>
      <c r="I5" s="431"/>
      <c r="J5" s="431"/>
      <c r="K5" s="431"/>
      <c r="L5" s="431"/>
      <c r="M5" s="431"/>
    </row>
    <row r="6" spans="1:16" ht="15.75" thickBot="1" x14ac:dyDescent="0.3">
      <c r="A6" s="61"/>
      <c r="B6" s="105"/>
      <c r="C6" s="63"/>
      <c r="D6" s="63"/>
      <c r="E6" s="62"/>
      <c r="F6" s="62"/>
      <c r="G6" s="62"/>
      <c r="H6" s="112"/>
      <c r="I6" s="62"/>
    </row>
    <row r="7" spans="1:16" ht="73.5" customHeight="1" thickTop="1" x14ac:dyDescent="0.2">
      <c r="A7" s="64" t="s">
        <v>29</v>
      </c>
      <c r="B7" s="65" t="s">
        <v>115</v>
      </c>
      <c r="C7" s="65" t="s">
        <v>116</v>
      </c>
      <c r="D7" s="65" t="s">
        <v>204</v>
      </c>
      <c r="E7" s="65" t="s">
        <v>259</v>
      </c>
      <c r="F7" s="65" t="s">
        <v>117</v>
      </c>
      <c r="G7" s="65" t="s">
        <v>260</v>
      </c>
      <c r="H7" s="65" t="s">
        <v>118</v>
      </c>
      <c r="I7" s="65" t="s">
        <v>14</v>
      </c>
      <c r="J7" s="65" t="s">
        <v>28</v>
      </c>
      <c r="K7" s="65" t="s">
        <v>433</v>
      </c>
      <c r="L7" s="65" t="s">
        <v>429</v>
      </c>
      <c r="M7" s="66" t="s">
        <v>434</v>
      </c>
    </row>
    <row r="8" spans="1:16" ht="15" x14ac:dyDescent="0.25">
      <c r="A8" s="13" t="s">
        <v>119</v>
      </c>
      <c r="B8" s="15"/>
      <c r="C8" s="15"/>
      <c r="D8" s="15"/>
      <c r="E8" s="15"/>
      <c r="F8" s="15"/>
      <c r="G8" s="15"/>
      <c r="H8" s="15"/>
      <c r="I8" s="15"/>
      <c r="J8" s="15"/>
      <c r="K8" s="15"/>
      <c r="L8" s="15"/>
      <c r="M8" s="41"/>
    </row>
    <row r="9" spans="1:16" ht="15" x14ac:dyDescent="0.25">
      <c r="A9" s="28" t="s">
        <v>108</v>
      </c>
      <c r="B9" s="21">
        <f>SUM(B10:B19)</f>
        <v>304639858.69746625</v>
      </c>
      <c r="C9" s="21">
        <f t="shared" ref="C9:J9" si="0">SUM(C10:C19)</f>
        <v>91182885.817774922</v>
      </c>
      <c r="D9" s="21">
        <f t="shared" si="0"/>
        <v>78548358.754662499</v>
      </c>
      <c r="E9" s="21">
        <f t="shared" si="0"/>
        <v>10630253.432864521</v>
      </c>
      <c r="F9" s="21">
        <f t="shared" si="0"/>
        <v>80724040.98525539</v>
      </c>
      <c r="G9" s="21">
        <f>SUM(G10:G19)</f>
        <v>310528045.85786504</v>
      </c>
      <c r="H9" s="21">
        <f>SUM(H10:H19)</f>
        <v>876253443.54588842</v>
      </c>
      <c r="I9" s="21">
        <f>SUM(I10:I19)</f>
        <v>86760473.054660797</v>
      </c>
      <c r="J9" s="21">
        <f t="shared" si="0"/>
        <v>963013916.60054922</v>
      </c>
      <c r="K9" s="21">
        <f>SUM(K10:K19)</f>
        <v>943003371.59254158</v>
      </c>
      <c r="L9" s="21">
        <f>+K9-J9</f>
        <v>-20010545.008007646</v>
      </c>
      <c r="M9" s="160">
        <f>IFERROR(K9/J9,0)</f>
        <v>0.97922091813725276</v>
      </c>
      <c r="N9" s="67"/>
    </row>
    <row r="10" spans="1:16" ht="14.25" x14ac:dyDescent="0.2">
      <c r="A10" s="17" t="s">
        <v>121</v>
      </c>
      <c r="B10" s="18">
        <f>+'Nómina y honorarios 2016'!K21</f>
        <v>194274150.24360004</v>
      </c>
      <c r="C10" s="18">
        <f>+'Nómina y honorarios 2016'!K48</f>
        <v>64744060.387800008</v>
      </c>
      <c r="D10" s="18">
        <f>+'Nómina y honorarios 2016'!K57</f>
        <v>56432823.069000006</v>
      </c>
      <c r="E10" s="18">
        <f>+'Nómina y honorarios 2016'!K65</f>
        <v>6972700.2660000008</v>
      </c>
      <c r="F10" s="18">
        <f>+'Nómina y honorarios 2016'!K39</f>
        <v>57883792.134900004</v>
      </c>
      <c r="G10" s="18">
        <f>+'Nómina y honorarios 2016'!K69</f>
        <v>201078108.42090002</v>
      </c>
      <c r="H10" s="42">
        <f t="shared" ref="H10:H20" si="1">+B10+C10+D10+G10+E10+F10</f>
        <v>581385634.52220011</v>
      </c>
      <c r="I10" s="18">
        <f>+'Nómina y honorarios 2016'!K12</f>
        <v>38156455.140000001</v>
      </c>
      <c r="J10" s="18">
        <f t="shared" ref="J10:J19" si="2">+H10+I10</f>
        <v>619542089.66220009</v>
      </c>
      <c r="K10" s="18">
        <v>609781557</v>
      </c>
      <c r="L10" s="18">
        <f t="shared" ref="L10:L73" si="3">+K10-J10</f>
        <v>-9760532.6622000933</v>
      </c>
      <c r="M10" s="161">
        <f t="shared" ref="M10:M73" si="4">IFERROR(K10/J10,0)</f>
        <v>0.9842455697117819</v>
      </c>
      <c r="P10" s="68"/>
    </row>
    <row r="11" spans="1:16" ht="14.25" x14ac:dyDescent="0.2">
      <c r="A11" s="17" t="s">
        <v>1</v>
      </c>
      <c r="B11" s="18">
        <f>+'Nómina y honorarios 2016'!O21</f>
        <v>8094756.2601499995</v>
      </c>
      <c r="C11" s="18">
        <f>+'Nómina y honorarios 2016'!O48</f>
        <v>2697669.182825</v>
      </c>
      <c r="D11" s="18">
        <f>+'Nómina y honorarios 2016'!O57</f>
        <v>2351367.6278750002</v>
      </c>
      <c r="E11" s="18">
        <f>+'Nómina y honorarios 2016'!O65</f>
        <v>290529.17775000003</v>
      </c>
      <c r="F11" s="18">
        <f>+'Nómina y honorarios 2016'!O39</f>
        <v>2411824.6722875</v>
      </c>
      <c r="G11" s="18">
        <f>+'Nómina y honorarios 2016'!O69</f>
        <v>8378254.5175374988</v>
      </c>
      <c r="H11" s="42">
        <f t="shared" si="1"/>
        <v>24224401.438424997</v>
      </c>
      <c r="I11" s="18">
        <f>+'Nómina y honorarios 2016'!O12</f>
        <v>1245125.0475000001</v>
      </c>
      <c r="J11" s="18">
        <f t="shared" si="2"/>
        <v>25469526.485924996</v>
      </c>
      <c r="K11" s="18">
        <v>25181157.355500001</v>
      </c>
      <c r="L11" s="18">
        <f t="shared" si="3"/>
        <v>-288369.13042499498</v>
      </c>
      <c r="M11" s="161">
        <f t="shared" si="4"/>
        <v>0.98867787626187897</v>
      </c>
      <c r="N11" s="162"/>
    </row>
    <row r="12" spans="1:16" ht="14.25" x14ac:dyDescent="0.2">
      <c r="A12" s="17" t="s">
        <v>0</v>
      </c>
      <c r="B12" s="18">
        <f>+'[22]Nómina y honorarios 2016'!N21</f>
        <v>13810830.045299998</v>
      </c>
      <c r="C12" s="18">
        <f>+'[22]Nómina y honorarios 2016'!N48</f>
        <v>3016655.8906500004</v>
      </c>
      <c r="D12" s="18">
        <f>+'[22]Nómina y honorarios 2016'!N57</f>
        <v>2324052.7807499999</v>
      </c>
      <c r="E12" s="18">
        <f>+'[22]Nómina y honorarios 2016'!N65</f>
        <v>581058.35550000006</v>
      </c>
      <c r="F12" s="18">
        <f>+'[22]Nómina y honorarios 2016'!N39</f>
        <v>2444966.8695750004</v>
      </c>
      <c r="G12" s="18">
        <f>+'[22]Nómina y honorarios 2016'!N69</f>
        <v>14377826.560075</v>
      </c>
      <c r="H12" s="42">
        <f t="shared" si="1"/>
        <v>36555390.501849994</v>
      </c>
      <c r="I12" s="18">
        <v>2490250.0950000002</v>
      </c>
      <c r="J12" s="18">
        <f t="shared" si="2"/>
        <v>39045640.596849993</v>
      </c>
      <c r="K12" s="18">
        <v>38637255</v>
      </c>
      <c r="L12" s="18">
        <f t="shared" si="3"/>
        <v>-408385.59684999287</v>
      </c>
      <c r="M12" s="161">
        <f t="shared" si="4"/>
        <v>0.98954081452865339</v>
      </c>
      <c r="N12" s="162"/>
    </row>
    <row r="13" spans="1:16" ht="14.25" x14ac:dyDescent="0.2">
      <c r="A13" s="17" t="s">
        <v>23</v>
      </c>
      <c r="B13" s="406">
        <f>+[19]Agregado!$F$7</f>
        <v>15096210.300000001</v>
      </c>
      <c r="C13" s="163">
        <v>0</v>
      </c>
      <c r="D13" s="163">
        <v>0</v>
      </c>
      <c r="E13" s="18">
        <v>0</v>
      </c>
      <c r="F13" s="42">
        <v>0</v>
      </c>
      <c r="G13" s="42">
        <v>10350000</v>
      </c>
      <c r="H13" s="42">
        <f t="shared" si="1"/>
        <v>25446210.300000001</v>
      </c>
      <c r="I13" s="18">
        <f>+'Nómina y honorarios 2016'!I107</f>
        <v>31883811.449200004</v>
      </c>
      <c r="J13" s="18">
        <f>+H13+I13</f>
        <v>57330021.749200001</v>
      </c>
      <c r="K13" s="18">
        <v>53269616</v>
      </c>
      <c r="L13" s="18">
        <f t="shared" si="3"/>
        <v>-4060405.7492000014</v>
      </c>
      <c r="M13" s="161">
        <f t="shared" si="4"/>
        <v>0.92917487861834513</v>
      </c>
      <c r="N13" s="162"/>
    </row>
    <row r="14" spans="1:16" ht="14.25" x14ac:dyDescent="0.2">
      <c r="A14" s="17" t="s">
        <v>120</v>
      </c>
      <c r="B14" s="18">
        <f>+'Nómina y honorarios 2016'!K96</f>
        <v>854160.00000000012</v>
      </c>
      <c r="C14" s="18">
        <f>+'Nómina y honorarios 2016'!O96</f>
        <v>213540.00000000003</v>
      </c>
      <c r="D14" s="18">
        <f>+'Nómina y honorarios 2016'!Q96</f>
        <v>213540.00000000003</v>
      </c>
      <c r="E14" s="18">
        <v>0</v>
      </c>
      <c r="F14" s="18">
        <f>+'Nómina y honorarios 2016'!M96</f>
        <v>213540.00000000003</v>
      </c>
      <c r="G14" s="18">
        <f>+'Nómina y honorarios 2016'!S96</f>
        <v>640620.00000000012</v>
      </c>
      <c r="H14" s="42">
        <f t="shared" si="1"/>
        <v>2135400.0000000005</v>
      </c>
      <c r="I14" s="18">
        <v>0</v>
      </c>
      <c r="J14" s="18">
        <f t="shared" si="2"/>
        <v>2135400.0000000005</v>
      </c>
      <c r="K14" s="18">
        <v>2132879</v>
      </c>
      <c r="L14" s="18">
        <f t="shared" si="3"/>
        <v>-2521.0000000004657</v>
      </c>
      <c r="M14" s="161">
        <f t="shared" si="4"/>
        <v>0.99881942493209686</v>
      </c>
      <c r="N14" s="162"/>
    </row>
    <row r="15" spans="1:16" ht="14.25" x14ac:dyDescent="0.2">
      <c r="A15" s="17" t="s">
        <v>4</v>
      </c>
      <c r="B15" s="18">
        <f>+'Nómina y honorarios 2016'!L21</f>
        <v>13810830.045299998</v>
      </c>
      <c r="C15" s="18">
        <f>+'Nómina y honorarios 2016'!L48</f>
        <v>3016655.8906500004</v>
      </c>
      <c r="D15" s="18">
        <f>+'Nómina y honorarios 2016'!L57</f>
        <v>2324052.7807499999</v>
      </c>
      <c r="E15" s="18">
        <f>+'Nómina y honorarios 2016'!L65</f>
        <v>581058.35550000006</v>
      </c>
      <c r="F15" s="18">
        <f>+'Nómina y honorarios 2016'!L39</f>
        <v>2444966.8695750004</v>
      </c>
      <c r="G15" s="18">
        <f>+'Nómina y honorarios 2016'!L69</f>
        <v>14377826.560075</v>
      </c>
      <c r="H15" s="42">
        <f t="shared" si="1"/>
        <v>36555390.501849994</v>
      </c>
      <c r="I15" s="18">
        <f>+'Nómina y honorarios 2016'!L12</f>
        <v>2490250.0950000002</v>
      </c>
      <c r="J15" s="18">
        <f t="shared" si="2"/>
        <v>39045640.596849993</v>
      </c>
      <c r="K15" s="18">
        <v>38637255</v>
      </c>
      <c r="L15" s="18">
        <f t="shared" si="3"/>
        <v>-408385.59684999287</v>
      </c>
      <c r="M15" s="161">
        <f t="shared" si="4"/>
        <v>0.98954081452865339</v>
      </c>
      <c r="N15" s="162"/>
      <c r="O15" s="69"/>
      <c r="P15" s="69"/>
    </row>
    <row r="16" spans="1:16" ht="14.25" x14ac:dyDescent="0.2">
      <c r="A16" s="17" t="s">
        <v>5</v>
      </c>
      <c r="B16" s="18">
        <f>+'Nómina y honorarios 2016'!M21</f>
        <v>1657299.6054359998</v>
      </c>
      <c r="C16" s="18">
        <f>+'Nómina y honorarios 2016'!M48</f>
        <v>361998.706878</v>
      </c>
      <c r="D16" s="18">
        <f>+'Nómina y honorarios 2016'!M57</f>
        <v>278886.33369</v>
      </c>
      <c r="E16" s="18">
        <f>+'Nómina y honorarios 2016'!M65</f>
        <v>69727.002659999998</v>
      </c>
      <c r="F16" s="18">
        <f>+'Nómina y honorarios 2016'!M39</f>
        <v>293396.02434900001</v>
      </c>
      <c r="G16" s="18">
        <f>+'Nómina y honorarios 2016'!M69</f>
        <v>1725339.1872089996</v>
      </c>
      <c r="H16" s="42">
        <f t="shared" si="1"/>
        <v>4386646.8602219997</v>
      </c>
      <c r="I16" s="18">
        <f>+'Nómina y honorarios 2016'!M12</f>
        <v>298830.01139999996</v>
      </c>
      <c r="J16" s="18">
        <f t="shared" si="2"/>
        <v>4685476.8716219999</v>
      </c>
      <c r="K16" s="18">
        <v>4435602.0227999995</v>
      </c>
      <c r="L16" s="18">
        <f t="shared" si="3"/>
        <v>-249874.84882200044</v>
      </c>
      <c r="M16" s="161">
        <f t="shared" si="4"/>
        <v>0.94667034846860743</v>
      </c>
      <c r="N16" s="162"/>
      <c r="O16" s="69"/>
      <c r="P16" s="69"/>
    </row>
    <row r="17" spans="1:14" ht="14.25" x14ac:dyDescent="0.2">
      <c r="A17" s="17" t="s">
        <v>2</v>
      </c>
      <c r="B17" s="18">
        <f>+'Nómina y honorarios 2016'!S21</f>
        <v>39302886.837654546</v>
      </c>
      <c r="C17" s="18">
        <f>+'Nómina y honorarios 2016'!S48</f>
        <v>11761326.225103116</v>
      </c>
      <c r="D17" s="18">
        <f>+'Nómina y honorarios 2016'!S57</f>
        <v>10050535.411333499</v>
      </c>
      <c r="E17" s="18">
        <f>+'Nómina y honorarios 2016'!S65</f>
        <v>1465801.0499185203</v>
      </c>
      <c r="F17" s="18">
        <f>+'Nómina y honorarios 2016'!S39</f>
        <v>10319160.632978478</v>
      </c>
      <c r="G17" s="18">
        <f>+'Nómina y honorarios 2016'!S69</f>
        <v>41185777.667022094</v>
      </c>
      <c r="H17" s="42">
        <f t="shared" si="1"/>
        <v>114085487.82401025</v>
      </c>
      <c r="I17" s="18">
        <f>+'Nómina y honorarios 2016'!S12</f>
        <v>7326983.1071208008</v>
      </c>
      <c r="J17" s="18">
        <f t="shared" si="2"/>
        <v>121412470.93113105</v>
      </c>
      <c r="K17" s="18">
        <v>120730633.21424159</v>
      </c>
      <c r="L17" s="18">
        <f t="shared" si="3"/>
        <v>-681837.71688945591</v>
      </c>
      <c r="M17" s="161">
        <f t="shared" si="4"/>
        <v>0.99438412123844988</v>
      </c>
      <c r="N17" s="162"/>
    </row>
    <row r="18" spans="1:14" ht="14.25" x14ac:dyDescent="0.2">
      <c r="A18" s="17" t="s">
        <v>6</v>
      </c>
      <c r="B18" s="18">
        <f>+'Nómina y honorarios 2016'!U21</f>
        <v>7883882.3822336011</v>
      </c>
      <c r="C18" s="18">
        <f>+'Nómina y honorarios 2016'!U48</f>
        <v>2387102.0150528001</v>
      </c>
      <c r="D18" s="18">
        <f>+'Nómina y honorarios 2016'!U57</f>
        <v>2032489.222784</v>
      </c>
      <c r="E18" s="18">
        <f>+'Nómina y honorarios 2016'!U65</f>
        <v>297501.87801600003</v>
      </c>
      <c r="F18" s="18">
        <f>+'Nómina y honorarios 2016'!U39</f>
        <v>2094397.2362624002</v>
      </c>
      <c r="G18" s="18">
        <f>+'Nómina y honorarios 2016'!U69</f>
        <v>8184130.1977984011</v>
      </c>
      <c r="H18" s="42">
        <f t="shared" si="1"/>
        <v>22879502.932147197</v>
      </c>
      <c r="I18" s="18">
        <f>+'Nómina y honorarios 2016'!U12</f>
        <v>1275008.0486399999</v>
      </c>
      <c r="J18" s="18">
        <f t="shared" si="2"/>
        <v>24154510.980787199</v>
      </c>
      <c r="K18" s="18">
        <v>22315417</v>
      </c>
      <c r="L18" s="18">
        <f t="shared" si="3"/>
        <v>-1839093.980787199</v>
      </c>
      <c r="M18" s="161">
        <f t="shared" si="4"/>
        <v>0.92386126209509944</v>
      </c>
      <c r="N18" s="162"/>
    </row>
    <row r="19" spans="1:14" ht="14.25" x14ac:dyDescent="0.2">
      <c r="A19" s="17" t="s">
        <v>3</v>
      </c>
      <c r="B19" s="18">
        <f>+'Nómina y honorarios 2016'!X21</f>
        <v>9854852.9777920023</v>
      </c>
      <c r="C19" s="18">
        <f>+'Nómina y honorarios 2016'!X48</f>
        <v>2983877.5188159999</v>
      </c>
      <c r="D19" s="18">
        <f>+'Nómina y honorarios 2016'!X57</f>
        <v>2540611.5284800003</v>
      </c>
      <c r="E19" s="18">
        <f>+'Nómina y honorarios 2016'!X65</f>
        <v>371877.34752000007</v>
      </c>
      <c r="F19" s="18">
        <f>+'Nómina y honorarios 2016'!X39</f>
        <v>2617996.5453279996</v>
      </c>
      <c r="G19" s="18">
        <f>+'Nómina y honorarios 2016'!X69</f>
        <v>10230162.747248</v>
      </c>
      <c r="H19" s="42">
        <f t="shared" si="1"/>
        <v>28599378.665184002</v>
      </c>
      <c r="I19" s="18">
        <f>+'Nómina y honorarios 2016'!X12</f>
        <v>1593760.0608000001</v>
      </c>
      <c r="J19" s="18">
        <f t="shared" si="2"/>
        <v>30193138.725984003</v>
      </c>
      <c r="K19" s="18">
        <v>27882000</v>
      </c>
      <c r="L19" s="18">
        <f t="shared" si="3"/>
        <v>-2311138.7259840034</v>
      </c>
      <c r="M19" s="161">
        <f t="shared" si="4"/>
        <v>0.9234548369760891</v>
      </c>
      <c r="N19" s="162"/>
    </row>
    <row r="20" spans="1:14" ht="15" x14ac:dyDescent="0.25">
      <c r="A20" s="22" t="s">
        <v>110</v>
      </c>
      <c r="B20" s="16">
        <f t="shared" ref="B20:G20" si="5">SUM(B10:B19)</f>
        <v>304639858.69746625</v>
      </c>
      <c r="C20" s="16">
        <f t="shared" si="5"/>
        <v>91182885.817774922</v>
      </c>
      <c r="D20" s="16">
        <f t="shared" si="5"/>
        <v>78548358.754662499</v>
      </c>
      <c r="E20" s="16">
        <f t="shared" si="5"/>
        <v>10630253.432864521</v>
      </c>
      <c r="F20" s="16">
        <f t="shared" si="5"/>
        <v>80724040.98525539</v>
      </c>
      <c r="G20" s="16">
        <f t="shared" si="5"/>
        <v>310528045.85786504</v>
      </c>
      <c r="H20" s="16">
        <f t="shared" si="1"/>
        <v>876253443.54588866</v>
      </c>
      <c r="I20" s="16">
        <f>SUM(I10:I19)</f>
        <v>86760473.054660797</v>
      </c>
      <c r="J20" s="16">
        <f>SUM(J10:J19)</f>
        <v>963013916.60054922</v>
      </c>
      <c r="K20" s="16">
        <f>SUM(K10:K19)</f>
        <v>943003371.59254158</v>
      </c>
      <c r="L20" s="16">
        <f t="shared" si="3"/>
        <v>-20010545.008007646</v>
      </c>
      <c r="M20" s="160">
        <f t="shared" si="4"/>
        <v>0.97922091813725276</v>
      </c>
      <c r="N20" s="16"/>
    </row>
    <row r="21" spans="1:14" ht="15" x14ac:dyDescent="0.25">
      <c r="A21" s="13" t="s">
        <v>24</v>
      </c>
      <c r="B21" s="18"/>
      <c r="C21" s="18"/>
      <c r="D21" s="18"/>
      <c r="E21" s="18"/>
      <c r="F21" s="18"/>
      <c r="G21" s="18"/>
      <c r="H21" s="18"/>
      <c r="I21" s="16"/>
      <c r="J21" s="18"/>
      <c r="K21" s="18"/>
      <c r="L21" s="18"/>
      <c r="M21" s="160"/>
      <c r="N21" s="162"/>
    </row>
    <row r="22" spans="1:14" ht="14.25" x14ac:dyDescent="0.2">
      <c r="A22" s="19" t="s">
        <v>31</v>
      </c>
      <c r="B22" s="164">
        <f>+Funcionamiento!I10</f>
        <v>66081141</v>
      </c>
      <c r="C22" s="164">
        <f>+Funcionamiento!J10</f>
        <v>0</v>
      </c>
      <c r="D22" s="164">
        <v>0</v>
      </c>
      <c r="E22" s="164">
        <v>0</v>
      </c>
      <c r="F22" s="164">
        <f>+Funcionamiento!L10</f>
        <v>0</v>
      </c>
      <c r="G22" s="164">
        <v>7000000</v>
      </c>
      <c r="H22" s="164">
        <f t="shared" ref="H22:H36" si="6">+B22+C22+D22+G22+E22+F22</f>
        <v>73081141</v>
      </c>
      <c r="I22" s="18">
        <v>96163375.174400002</v>
      </c>
      <c r="J22" s="18">
        <f>+I22+H22</f>
        <v>169244516.1744</v>
      </c>
      <c r="K22" s="18">
        <v>161315052</v>
      </c>
      <c r="L22" s="18">
        <f t="shared" si="3"/>
        <v>-7929464.1744000018</v>
      </c>
      <c r="M22" s="161">
        <f t="shared" si="4"/>
        <v>0.95314788122157534</v>
      </c>
      <c r="N22" s="162"/>
    </row>
    <row r="23" spans="1:14" ht="14.25" x14ac:dyDescent="0.2">
      <c r="A23" s="19" t="s">
        <v>103</v>
      </c>
      <c r="B23" s="18">
        <f>+Funcionamiento!I24</f>
        <v>3000000</v>
      </c>
      <c r="C23" s="164">
        <f>+Funcionamiento!J24</f>
        <v>0</v>
      </c>
      <c r="D23" s="164">
        <v>0</v>
      </c>
      <c r="E23" s="18">
        <f>+Funcionamiento!H24</f>
        <v>1400000</v>
      </c>
      <c r="F23" s="164">
        <f>+Funcionamiento!L24</f>
        <v>0</v>
      </c>
      <c r="G23" s="18">
        <f>+Funcionamiento!G24</f>
        <v>4800000</v>
      </c>
      <c r="H23" s="164">
        <f t="shared" si="6"/>
        <v>9200000</v>
      </c>
      <c r="I23" s="18">
        <f>+Funcionamiento!F24</f>
        <v>3023598.5429250002</v>
      </c>
      <c r="J23" s="18">
        <f t="shared" ref="J23:J36" si="7">+H23+I23</f>
        <v>12223598.542925</v>
      </c>
      <c r="K23" s="18">
        <v>6505950</v>
      </c>
      <c r="L23" s="18">
        <f t="shared" si="3"/>
        <v>-5717648.5429250002</v>
      </c>
      <c r="M23" s="161">
        <f t="shared" si="4"/>
        <v>0.53224506491712575</v>
      </c>
    </row>
    <row r="24" spans="1:14" ht="14.25" x14ac:dyDescent="0.2">
      <c r="A24" s="19" t="s">
        <v>33</v>
      </c>
      <c r="B24" s="164">
        <f>+Funcionamiento!I14</f>
        <v>0</v>
      </c>
      <c r="C24" s="164">
        <v>0</v>
      </c>
      <c r="D24" s="164">
        <v>0</v>
      </c>
      <c r="E24" s="164">
        <v>0</v>
      </c>
      <c r="F24" s="164"/>
      <c r="G24" s="164">
        <f>+Funcionamiento!G14</f>
        <v>3000000</v>
      </c>
      <c r="H24" s="164">
        <f t="shared" si="6"/>
        <v>3000000</v>
      </c>
      <c r="I24" s="18">
        <f>+Funcionamiento!F14</f>
        <v>5105769.1601999998</v>
      </c>
      <c r="J24" s="18">
        <f t="shared" si="7"/>
        <v>8105769.1601999998</v>
      </c>
      <c r="K24" s="18">
        <v>7984782</v>
      </c>
      <c r="L24" s="18">
        <f t="shared" si="3"/>
        <v>-120987.16019999981</v>
      </c>
      <c r="M24" s="161">
        <f t="shared" si="4"/>
        <v>0.98507394451916341</v>
      </c>
      <c r="N24" s="162"/>
    </row>
    <row r="25" spans="1:14" ht="14.25" x14ac:dyDescent="0.2">
      <c r="A25" s="19" t="s">
        <v>27</v>
      </c>
      <c r="B25" s="18">
        <f>+Funcionamiento!I26</f>
        <v>6436903</v>
      </c>
      <c r="C25" s="164">
        <f>+Funcionamiento!J26</f>
        <v>2822184.6787500004</v>
      </c>
      <c r="D25" s="164">
        <f>+Funcionamiento!K26</f>
        <v>1693372.2000000002</v>
      </c>
      <c r="E25" s="164">
        <f>+Funcionamiento!H26</f>
        <v>1000000</v>
      </c>
      <c r="F25" s="164">
        <f>+Funcionamiento!L26</f>
        <v>2668882.17735</v>
      </c>
      <c r="G25" s="164">
        <v>80000000</v>
      </c>
      <c r="H25" s="164">
        <f t="shared" si="6"/>
        <v>94621342.056099996</v>
      </c>
      <c r="I25" s="18">
        <v>8499687</v>
      </c>
      <c r="J25" s="18">
        <f t="shared" si="7"/>
        <v>103121029.0561</v>
      </c>
      <c r="K25" s="18">
        <v>100043452</v>
      </c>
      <c r="L25" s="18">
        <f t="shared" si="3"/>
        <v>-3077577.056099996</v>
      </c>
      <c r="M25" s="161">
        <f t="shared" si="4"/>
        <v>0.97015567935783753</v>
      </c>
    </row>
    <row r="26" spans="1:14" ht="14.25" x14ac:dyDescent="0.2">
      <c r="A26" s="19" t="s">
        <v>30</v>
      </c>
      <c r="B26" s="164">
        <f>+Funcionamiento!I28</f>
        <v>300000</v>
      </c>
      <c r="C26" s="164">
        <f>+Funcionamiento!J28</f>
        <v>677324.32290000003</v>
      </c>
      <c r="D26" s="164">
        <f>+Funcionamiento!K28</f>
        <v>500000</v>
      </c>
      <c r="E26" s="164">
        <v>0</v>
      </c>
      <c r="F26" s="164">
        <f>+Funcionamiento!L28</f>
        <v>643458.21352500003</v>
      </c>
      <c r="G26" s="164">
        <f>+Funcionamiento!G28-35000</f>
        <v>715000</v>
      </c>
      <c r="H26" s="164">
        <f t="shared" si="6"/>
        <v>2835782.5364250001</v>
      </c>
      <c r="I26" s="18">
        <f>+Funcionamiento!F28</f>
        <v>1210864.1560500001</v>
      </c>
      <c r="J26" s="18">
        <f t="shared" si="7"/>
        <v>4046646.6924750004</v>
      </c>
      <c r="K26" s="18">
        <v>2261097</v>
      </c>
      <c r="L26" s="18">
        <f t="shared" si="3"/>
        <v>-1785549.6924750004</v>
      </c>
      <c r="M26" s="161">
        <f t="shared" si="4"/>
        <v>0.55875819458235754</v>
      </c>
    </row>
    <row r="27" spans="1:14" ht="14.25" x14ac:dyDescent="0.2">
      <c r="A27" s="17" t="s">
        <v>106</v>
      </c>
      <c r="B27" s="164">
        <v>0</v>
      </c>
      <c r="C27" s="164">
        <v>0</v>
      </c>
      <c r="D27" s="164">
        <v>0</v>
      </c>
      <c r="E27" s="164"/>
      <c r="F27" s="164"/>
      <c r="G27" s="164"/>
      <c r="H27" s="164">
        <f t="shared" si="6"/>
        <v>0</v>
      </c>
      <c r="I27" s="18">
        <f>+Funcionamiento!F8</f>
        <v>7000000</v>
      </c>
      <c r="J27" s="18">
        <f t="shared" si="7"/>
        <v>7000000</v>
      </c>
      <c r="K27" s="18">
        <v>140487</v>
      </c>
      <c r="L27" s="18">
        <f t="shared" si="3"/>
        <v>-6859513</v>
      </c>
      <c r="M27" s="161">
        <f t="shared" si="4"/>
        <v>2.006957142857143E-2</v>
      </c>
      <c r="N27" s="162"/>
    </row>
    <row r="28" spans="1:14" ht="14.25" x14ac:dyDescent="0.2">
      <c r="A28" s="19" t="s">
        <v>25</v>
      </c>
      <c r="B28" s="164">
        <f>+Funcionamiento!I16</f>
        <v>2028628.9323</v>
      </c>
      <c r="C28" s="164">
        <f>+Funcionamiento!J16</f>
        <v>2028628.9323</v>
      </c>
      <c r="D28" s="164">
        <f>+Funcionamiento!K16</f>
        <v>2028628.9323</v>
      </c>
      <c r="E28" s="164">
        <f>+Funcionamiento!H16</f>
        <v>2028628.9323</v>
      </c>
      <c r="F28" s="164">
        <f>+Funcionamiento!L16</f>
        <v>2028628.9323</v>
      </c>
      <c r="G28" s="164">
        <f>+Funcionamiento!G16+35000</f>
        <v>2063628.9323</v>
      </c>
      <c r="H28" s="164">
        <f t="shared" si="6"/>
        <v>12206773.593799999</v>
      </c>
      <c r="I28" s="18">
        <v>79836136.413849995</v>
      </c>
      <c r="J28" s="18">
        <f t="shared" si="7"/>
        <v>92042910.007649988</v>
      </c>
      <c r="K28" s="18">
        <v>91467924</v>
      </c>
      <c r="L28" s="18">
        <f t="shared" si="3"/>
        <v>-574986.00764998794</v>
      </c>
      <c r="M28" s="161">
        <f t="shared" si="4"/>
        <v>0.99375306574289968</v>
      </c>
    </row>
    <row r="29" spans="1:14" ht="14.25" x14ac:dyDescent="0.2">
      <c r="A29" s="19" t="s">
        <v>35</v>
      </c>
      <c r="B29" s="164">
        <f>+Funcionamiento!I30</f>
        <v>1000000</v>
      </c>
      <c r="C29" s="164">
        <f>+Funcionamiento!J30</f>
        <v>133462.5</v>
      </c>
      <c r="D29" s="164">
        <f>+Funcionamiento!K30</f>
        <v>3750000</v>
      </c>
      <c r="E29" s="164">
        <f>+Funcionamiento!H30</f>
        <v>375000</v>
      </c>
      <c r="F29" s="164"/>
      <c r="G29" s="164">
        <f>+Funcionamiento!G30-2030000</f>
        <v>7579300</v>
      </c>
      <c r="H29" s="164">
        <f t="shared" si="6"/>
        <v>12837762.5</v>
      </c>
      <c r="I29" s="18">
        <f>+Funcionamiento!F30</f>
        <v>5872350</v>
      </c>
      <c r="J29" s="18">
        <f t="shared" si="7"/>
        <v>18710112.5</v>
      </c>
      <c r="K29" s="18">
        <v>5997829</v>
      </c>
      <c r="L29" s="18">
        <f t="shared" si="3"/>
        <v>-12712283.5</v>
      </c>
      <c r="M29" s="161">
        <f t="shared" si="4"/>
        <v>0.32056616442044378</v>
      </c>
    </row>
    <row r="30" spans="1:14" ht="14.25" x14ac:dyDescent="0.2">
      <c r="A30" s="19" t="s">
        <v>37</v>
      </c>
      <c r="B30" s="164">
        <v>0</v>
      </c>
      <c r="C30" s="164">
        <v>0</v>
      </c>
      <c r="D30" s="164">
        <v>0</v>
      </c>
      <c r="E30" s="164"/>
      <c r="F30" s="164"/>
      <c r="G30" s="164">
        <f>+Funcionamiento!G34+2030000</f>
        <v>17404880</v>
      </c>
      <c r="H30" s="164">
        <f t="shared" si="6"/>
        <v>17404880</v>
      </c>
      <c r="I30" s="18">
        <f>+Funcionamiento!F34</f>
        <v>23369460.721275002</v>
      </c>
      <c r="J30" s="18">
        <f t="shared" si="7"/>
        <v>40774340.721275002</v>
      </c>
      <c r="K30" s="18">
        <v>40558476</v>
      </c>
      <c r="L30" s="18">
        <f t="shared" si="3"/>
        <v>-215864.72127500176</v>
      </c>
      <c r="M30" s="161">
        <f t="shared" si="4"/>
        <v>0.99470586850807452</v>
      </c>
    </row>
    <row r="31" spans="1:14" ht="14.25" x14ac:dyDescent="0.2">
      <c r="A31" s="19" t="s">
        <v>125</v>
      </c>
      <c r="B31" s="18">
        <f>+Funcionamiento!I22</f>
        <v>4000000</v>
      </c>
      <c r="C31" s="18">
        <f>+Funcionamiento!J22</f>
        <v>4336568.9853750002</v>
      </c>
      <c r="D31" s="18">
        <f>+Funcionamiento!K22</f>
        <v>2060247.2662500001</v>
      </c>
      <c r="E31" s="18"/>
      <c r="F31" s="164">
        <v>9563981</v>
      </c>
      <c r="G31" s="18">
        <f>+Funcionamiento!G22</f>
        <v>92000000</v>
      </c>
      <c r="H31" s="164">
        <f t="shared" si="6"/>
        <v>111960797.251625</v>
      </c>
      <c r="I31" s="18">
        <f>+Funcionamiento!F22</f>
        <v>6673125.0000000009</v>
      </c>
      <c r="J31" s="18">
        <f t="shared" si="7"/>
        <v>118633922.251625</v>
      </c>
      <c r="K31" s="18">
        <v>110222304</v>
      </c>
      <c r="L31" s="18">
        <f t="shared" si="3"/>
        <v>-8411618.2516250014</v>
      </c>
      <c r="M31" s="161">
        <f t="shared" si="4"/>
        <v>0.92909601156249566</v>
      </c>
    </row>
    <row r="32" spans="1:14" ht="14.25" x14ac:dyDescent="0.2">
      <c r="A32" s="19" t="s">
        <v>32</v>
      </c>
      <c r="B32" s="164">
        <v>0</v>
      </c>
      <c r="C32" s="164">
        <v>0</v>
      </c>
      <c r="D32" s="164">
        <v>0</v>
      </c>
      <c r="E32" s="164"/>
      <c r="F32" s="164"/>
      <c r="G32" s="164"/>
      <c r="H32" s="164">
        <f t="shared" si="6"/>
        <v>0</v>
      </c>
      <c r="I32" s="18">
        <f>+Funcionamiento!F12</f>
        <v>1614207.5835000002</v>
      </c>
      <c r="J32" s="18">
        <f t="shared" si="7"/>
        <v>1614207.5835000002</v>
      </c>
      <c r="K32" s="18">
        <v>1590400</v>
      </c>
      <c r="L32" s="18">
        <f t="shared" si="3"/>
        <v>-23807.583500000183</v>
      </c>
      <c r="M32" s="161">
        <f t="shared" si="4"/>
        <v>0.98525122558997058</v>
      </c>
      <c r="N32" s="162"/>
    </row>
    <row r="33" spans="1:14" ht="14.25" x14ac:dyDescent="0.2">
      <c r="A33" s="19" t="s">
        <v>34</v>
      </c>
      <c r="B33" s="18">
        <f>+Funcionamiento!I18</f>
        <v>2600501.8647000003</v>
      </c>
      <c r="C33" s="18">
        <f>+Funcionamiento!J18</f>
        <v>1011306.2214</v>
      </c>
      <c r="D33" s="18">
        <f>+Funcionamiento!K18</f>
        <v>433417.06642500003</v>
      </c>
      <c r="E33" s="18"/>
      <c r="F33" s="18">
        <f>+Funcionamiento!L18</f>
        <v>2600501.8647000003</v>
      </c>
      <c r="G33" s="18">
        <f>+Funcionamiento!G18</f>
        <v>2338263</v>
      </c>
      <c r="H33" s="164">
        <f t="shared" si="6"/>
        <v>8983990.017225001</v>
      </c>
      <c r="I33" s="18">
        <f>+Funcionamiento!F18</f>
        <v>7368088.527675001</v>
      </c>
      <c r="J33" s="18">
        <f t="shared" si="7"/>
        <v>16352078.544900002</v>
      </c>
      <c r="K33" s="18">
        <v>12917314</v>
      </c>
      <c r="L33" s="18">
        <f t="shared" si="3"/>
        <v>-3434764.544900002</v>
      </c>
      <c r="M33" s="161">
        <f t="shared" si="4"/>
        <v>0.78994936114887615</v>
      </c>
    </row>
    <row r="34" spans="1:14" ht="14.25" x14ac:dyDescent="0.2">
      <c r="A34" s="19" t="s">
        <v>26</v>
      </c>
      <c r="B34" s="164">
        <f>+Funcionamiento!I20</f>
        <v>800775.00000000012</v>
      </c>
      <c r="C34" s="164">
        <v>0</v>
      </c>
      <c r="D34" s="164">
        <v>0</v>
      </c>
      <c r="E34" s="164"/>
      <c r="F34" s="164">
        <f>+Funcionamiento!L20</f>
        <v>3600000</v>
      </c>
      <c r="G34" s="164">
        <f>+Funcionamiento!G20</f>
        <v>2482317.8847750002</v>
      </c>
      <c r="H34" s="164">
        <f t="shared" si="6"/>
        <v>6883092.8847749997</v>
      </c>
      <c r="I34" s="18">
        <f>+Funcionamiento!F20</f>
        <v>13011842.889975002</v>
      </c>
      <c r="J34" s="18">
        <f>+H34+I34</f>
        <v>19894935.774750002</v>
      </c>
      <c r="K34" s="18">
        <v>19581948</v>
      </c>
      <c r="L34" s="18">
        <f t="shared" si="3"/>
        <v>-312987.77475000173</v>
      </c>
      <c r="M34" s="161">
        <f t="shared" si="4"/>
        <v>0.98426796757257018</v>
      </c>
    </row>
    <row r="35" spans="1:14" ht="14.25" x14ac:dyDescent="0.2">
      <c r="A35" s="19" t="s">
        <v>38</v>
      </c>
      <c r="B35" s="164">
        <v>0</v>
      </c>
      <c r="C35" s="164">
        <v>0</v>
      </c>
      <c r="D35" s="164">
        <v>0</v>
      </c>
      <c r="E35" s="164"/>
      <c r="F35" s="164"/>
      <c r="G35" s="164"/>
      <c r="H35" s="164">
        <f t="shared" si="6"/>
        <v>0</v>
      </c>
      <c r="I35" s="18">
        <f>+Funcionamiento!F36</f>
        <v>2220612.4334</v>
      </c>
      <c r="J35" s="18">
        <f t="shared" si="7"/>
        <v>2220612.4334</v>
      </c>
      <c r="K35" s="18">
        <v>1736520</v>
      </c>
      <c r="L35" s="18">
        <f t="shared" si="3"/>
        <v>-484092.43339999998</v>
      </c>
      <c r="M35" s="161">
        <f t="shared" si="4"/>
        <v>0.78200048503790387</v>
      </c>
    </row>
    <row r="36" spans="1:14" ht="14.25" x14ac:dyDescent="0.2">
      <c r="A36" s="19" t="s">
        <v>36</v>
      </c>
      <c r="B36" s="164">
        <v>0</v>
      </c>
      <c r="C36" s="164">
        <v>0</v>
      </c>
      <c r="D36" s="164">
        <v>0</v>
      </c>
      <c r="E36" s="164"/>
      <c r="F36" s="164"/>
      <c r="G36" s="164"/>
      <c r="H36" s="164">
        <f t="shared" si="6"/>
        <v>0</v>
      </c>
      <c r="I36" s="18">
        <f>+Funcionamiento!F32</f>
        <v>5602029.9809250012</v>
      </c>
      <c r="J36" s="18">
        <f t="shared" si="7"/>
        <v>5602029.9809250012</v>
      </c>
      <c r="K36" s="18">
        <v>5345326</v>
      </c>
      <c r="L36" s="18">
        <f t="shared" si="3"/>
        <v>-256703.9809250012</v>
      </c>
      <c r="M36" s="161">
        <f t="shared" si="4"/>
        <v>0.95417661422750644</v>
      </c>
    </row>
    <row r="37" spans="1:14" ht="15" x14ac:dyDescent="0.25">
      <c r="A37" s="22" t="s">
        <v>111</v>
      </c>
      <c r="B37" s="16">
        <f>SUM(B22:B36)</f>
        <v>86247949.797000006</v>
      </c>
      <c r="C37" s="16">
        <f t="shared" ref="C37:I37" si="8">SUM(C22:C36)</f>
        <v>11009475.640725002</v>
      </c>
      <c r="D37" s="16">
        <f t="shared" si="8"/>
        <v>10465665.464974999</v>
      </c>
      <c r="E37" s="16">
        <f>SUM(E22:E36)</f>
        <v>4803628.9322999995</v>
      </c>
      <c r="F37" s="16">
        <f t="shared" si="8"/>
        <v>21105452.187874999</v>
      </c>
      <c r="G37" s="16">
        <f>SUM(G22:G36)</f>
        <v>219383389.81707501</v>
      </c>
      <c r="H37" s="165">
        <f t="shared" si="8"/>
        <v>353015561.83995003</v>
      </c>
      <c r="I37" s="16">
        <f t="shared" si="8"/>
        <v>266571147.58417502</v>
      </c>
      <c r="J37" s="16">
        <f>SUM(J22:J36)</f>
        <v>619586709.42412496</v>
      </c>
      <c r="K37" s="16">
        <f>SUM(K22:K36)</f>
        <v>567668861</v>
      </c>
      <c r="L37" s="16">
        <f t="shared" si="3"/>
        <v>-51917848.424124956</v>
      </c>
      <c r="M37" s="160">
        <f t="shared" si="4"/>
        <v>0.91620567769702477</v>
      </c>
    </row>
    <row r="38" spans="1:14" ht="15" x14ac:dyDescent="0.25">
      <c r="A38" s="148" t="s">
        <v>112</v>
      </c>
      <c r="B38" s="149">
        <f t="shared" ref="B38:G38" si="9">+B37+B20</f>
        <v>390887808.49446625</v>
      </c>
      <c r="C38" s="149">
        <f t="shared" si="9"/>
        <v>102192361.45849992</v>
      </c>
      <c r="D38" s="149">
        <f t="shared" si="9"/>
        <v>89014024.219637498</v>
      </c>
      <c r="E38" s="149">
        <f t="shared" si="9"/>
        <v>15433882.36516452</v>
      </c>
      <c r="F38" s="149">
        <f t="shared" si="9"/>
        <v>101829493.17313039</v>
      </c>
      <c r="G38" s="149">
        <f t="shared" si="9"/>
        <v>529911435.67494005</v>
      </c>
      <c r="H38" s="166">
        <f>+B38+C38+D38+G38+E38+F38</f>
        <v>1229269005.3858385</v>
      </c>
      <c r="I38" s="149">
        <f>+I37+I20</f>
        <v>353331620.63883579</v>
      </c>
      <c r="J38" s="149">
        <f>+J37+J20</f>
        <v>1582600626.0246742</v>
      </c>
      <c r="K38" s="149">
        <f>+K37+K20</f>
        <v>1510672232.5925417</v>
      </c>
      <c r="L38" s="149">
        <f t="shared" si="3"/>
        <v>-71928393.432132483</v>
      </c>
      <c r="M38" s="167">
        <f t="shared" si="4"/>
        <v>0.95455050866951252</v>
      </c>
      <c r="N38" s="40"/>
    </row>
    <row r="39" spans="1:14" ht="15" x14ac:dyDescent="0.25">
      <c r="A39" s="146"/>
      <c r="B39" s="147"/>
      <c r="C39" s="147"/>
      <c r="D39" s="147"/>
      <c r="E39" s="147"/>
      <c r="F39" s="147"/>
      <c r="G39" s="147"/>
      <c r="H39" s="147"/>
      <c r="I39" s="147"/>
      <c r="J39" s="147"/>
      <c r="K39" s="147"/>
      <c r="L39" s="147"/>
      <c r="M39" s="168"/>
    </row>
    <row r="40" spans="1:14" ht="15" x14ac:dyDescent="0.25">
      <c r="A40" s="124" t="s">
        <v>15</v>
      </c>
      <c r="B40" s="125">
        <f>+B42</f>
        <v>857423451.07580018</v>
      </c>
      <c r="C40" s="125">
        <f>+C136</f>
        <v>401969282</v>
      </c>
      <c r="D40" s="125">
        <f>+D157</f>
        <v>467262236</v>
      </c>
      <c r="E40" s="125">
        <f>+E188</f>
        <v>92000000</v>
      </c>
      <c r="F40" s="125">
        <f>+F73</f>
        <v>2594712541</v>
      </c>
      <c r="G40" s="125">
        <f>+G112</f>
        <v>4112255000</v>
      </c>
      <c r="H40" s="125">
        <f>+B40+C40+D40+G40+E40+F40</f>
        <v>8525622510.0757999</v>
      </c>
      <c r="I40" s="125">
        <v>0</v>
      </c>
      <c r="J40" s="125">
        <f>+I40+H40</f>
        <v>8525622510.0757999</v>
      </c>
      <c r="K40" s="125">
        <f>+K42+K73+K112+K136+K157+K188</f>
        <v>7151428771</v>
      </c>
      <c r="L40" s="125">
        <f t="shared" si="3"/>
        <v>-1374193739.0757999</v>
      </c>
      <c r="M40" s="169">
        <f t="shared" si="4"/>
        <v>0.83881602341040284</v>
      </c>
    </row>
    <row r="41" spans="1:14" ht="15" x14ac:dyDescent="0.25">
      <c r="A41" s="124"/>
      <c r="B41" s="125"/>
      <c r="C41" s="125"/>
      <c r="D41" s="125"/>
      <c r="E41" s="125"/>
      <c r="F41" s="125"/>
      <c r="G41" s="125"/>
      <c r="H41" s="125"/>
      <c r="I41" s="125"/>
      <c r="J41" s="125"/>
      <c r="K41" s="125"/>
      <c r="L41" s="125"/>
      <c r="M41" s="169"/>
    </row>
    <row r="42" spans="1:14" ht="15" x14ac:dyDescent="0.25">
      <c r="A42" s="124" t="s">
        <v>314</v>
      </c>
      <c r="B42" s="125">
        <f>+B43+B46+B57+B61+B65+B69</f>
        <v>857423451.07580018</v>
      </c>
      <c r="C42" s="125"/>
      <c r="D42" s="125"/>
      <c r="E42" s="125"/>
      <c r="F42" s="125"/>
      <c r="G42" s="125"/>
      <c r="H42" s="125">
        <f>+H43+H46+H57+H61+H65+H69</f>
        <v>857423451.07580018</v>
      </c>
      <c r="I42" s="125"/>
      <c r="J42" s="125">
        <f>+J43+J46+J57+J61+J65+J69</f>
        <v>857423451.07580018</v>
      </c>
      <c r="K42" s="125">
        <f>+K43+K46+K57+K61+K65+K69</f>
        <v>587981212</v>
      </c>
      <c r="L42" s="125">
        <f t="shared" si="3"/>
        <v>-269442239.07580018</v>
      </c>
      <c r="M42" s="160">
        <f t="shared" si="4"/>
        <v>0.685753592652809</v>
      </c>
    </row>
    <row r="43" spans="1:14" s="86" customFormat="1" ht="15" x14ac:dyDescent="0.25">
      <c r="A43" s="20" t="s">
        <v>8</v>
      </c>
      <c r="B43" s="16">
        <f>+SUM(B44:B45)</f>
        <v>10595060.431200001</v>
      </c>
      <c r="C43" s="16"/>
      <c r="D43" s="16"/>
      <c r="E43" s="16"/>
      <c r="F43" s="16"/>
      <c r="G43" s="16"/>
      <c r="H43" s="16">
        <f>+SUM(H44:H45)</f>
        <v>10595060.431200001</v>
      </c>
      <c r="I43" s="16"/>
      <c r="J43" s="16">
        <f>+SUM(J44:J45)</f>
        <v>10595060.431200001</v>
      </c>
      <c r="K43" s="16">
        <f>+SUM(K44:K45)</f>
        <v>10595058</v>
      </c>
      <c r="L43" s="16">
        <f t="shared" si="3"/>
        <v>-2.4312000013887882</v>
      </c>
      <c r="M43" s="160">
        <f t="shared" si="4"/>
        <v>0.99999977053457911</v>
      </c>
    </row>
    <row r="44" spans="1:14" s="86" customFormat="1" ht="15" hidden="1" outlineLevel="1" x14ac:dyDescent="0.25">
      <c r="A44" s="115" t="s">
        <v>371</v>
      </c>
      <c r="B44" s="18">
        <f>+[20]Agregado!$F$24</f>
        <v>10595060.431200001</v>
      </c>
      <c r="C44" s="16"/>
      <c r="D44" s="16"/>
      <c r="E44" s="16"/>
      <c r="F44" s="16"/>
      <c r="G44" s="16"/>
      <c r="H44" s="18">
        <f>+B44+C44+D44+G44+E44+F44</f>
        <v>10595060.431200001</v>
      </c>
      <c r="I44" s="16"/>
      <c r="J44" s="42">
        <f>+H44+I44</f>
        <v>10595060.431200001</v>
      </c>
      <c r="K44" s="42">
        <v>10595058</v>
      </c>
      <c r="L44" s="42">
        <f t="shared" si="3"/>
        <v>-2.4312000013887882</v>
      </c>
      <c r="M44" s="161">
        <f t="shared" si="4"/>
        <v>0.99999977053457911</v>
      </c>
    </row>
    <row r="45" spans="1:14" s="86" customFormat="1" ht="15" hidden="1" outlineLevel="1" x14ac:dyDescent="0.25">
      <c r="A45" s="115" t="s">
        <v>315</v>
      </c>
      <c r="B45" s="18">
        <f>+[20]Agregado!$F$25</f>
        <v>0</v>
      </c>
      <c r="C45" s="16"/>
      <c r="D45" s="16"/>
      <c r="E45" s="16"/>
      <c r="F45" s="16"/>
      <c r="G45" s="16"/>
      <c r="H45" s="18">
        <f>+B45+C45+D45+G45+E45+F45</f>
        <v>0</v>
      </c>
      <c r="I45" s="16"/>
      <c r="J45" s="42">
        <f>+H45+I45</f>
        <v>0</v>
      </c>
      <c r="K45" s="42"/>
      <c r="L45" s="42">
        <f t="shared" si="3"/>
        <v>0</v>
      </c>
      <c r="M45" s="161">
        <f t="shared" si="4"/>
        <v>0</v>
      </c>
    </row>
    <row r="46" spans="1:14" s="86" customFormat="1" ht="15" collapsed="1" x14ac:dyDescent="0.25">
      <c r="A46" s="155" t="s">
        <v>140</v>
      </c>
      <c r="B46" s="21">
        <f>+B47+B48+B49+B56</f>
        <v>564480829.42860007</v>
      </c>
      <c r="C46" s="16"/>
      <c r="D46" s="16"/>
      <c r="E46" s="16"/>
      <c r="F46" s="16"/>
      <c r="G46" s="16"/>
      <c r="H46" s="21">
        <f>+H47+H48+H49+H56</f>
        <v>564480829.42860007</v>
      </c>
      <c r="I46" s="16"/>
      <c r="J46" s="21">
        <f>+J47+J49+J56+J48</f>
        <v>564480829.42860007</v>
      </c>
      <c r="K46" s="21">
        <f>+K47+K48+K49+K56</f>
        <v>309546404</v>
      </c>
      <c r="L46" s="21">
        <f t="shared" si="3"/>
        <v>-254934425.42860007</v>
      </c>
      <c r="M46" s="160">
        <f t="shared" si="4"/>
        <v>0.54837363443031473</v>
      </c>
    </row>
    <row r="47" spans="1:14" s="86" customFormat="1" ht="15" hidden="1" outlineLevel="1" x14ac:dyDescent="0.25">
      <c r="A47" s="115" t="s">
        <v>244</v>
      </c>
      <c r="B47" s="18">
        <f>+[20]Agregado!$F$28-3000000-700000</f>
        <v>91764730.300000012</v>
      </c>
      <c r="C47" s="16"/>
      <c r="D47" s="16"/>
      <c r="E47" s="16"/>
      <c r="F47" s="16"/>
      <c r="G47" s="16"/>
      <c r="H47" s="18">
        <f>+B47+C47+D47+G47+E47+F47</f>
        <v>91764730.300000012</v>
      </c>
      <c r="I47" s="16"/>
      <c r="J47" s="42">
        <f>+H47+I47</f>
        <v>91764730.300000012</v>
      </c>
      <c r="K47" s="42">
        <v>72587577</v>
      </c>
      <c r="L47" s="42">
        <f t="shared" si="3"/>
        <v>-19177153.300000012</v>
      </c>
      <c r="M47" s="161">
        <f t="shared" si="4"/>
        <v>0.79101825682584703</v>
      </c>
    </row>
    <row r="48" spans="1:14" s="86" customFormat="1" ht="15" hidden="1" outlineLevel="1" x14ac:dyDescent="0.25">
      <c r="A48" s="115" t="s">
        <v>372</v>
      </c>
      <c r="B48" s="18">
        <f>+[20]Agregado!$F$29+3000000+700000</f>
        <v>35150048.938600004</v>
      </c>
      <c r="C48" s="16"/>
      <c r="D48" s="16"/>
      <c r="E48" s="16"/>
      <c r="F48" s="16"/>
      <c r="G48" s="16"/>
      <c r="H48" s="18">
        <f>+B48+C48+D48+G48+E48+F48</f>
        <v>35150048.938600004</v>
      </c>
      <c r="I48" s="16"/>
      <c r="J48" s="42">
        <f>+H48+I48</f>
        <v>35150048.938600004</v>
      </c>
      <c r="K48" s="42">
        <v>33866521</v>
      </c>
      <c r="L48" s="42">
        <f t="shared" si="3"/>
        <v>-1283527.9386000037</v>
      </c>
      <c r="M48" s="161">
        <f t="shared" si="4"/>
        <v>0.96348432001212669</v>
      </c>
    </row>
    <row r="49" spans="1:13" s="86" customFormat="1" ht="15" hidden="1" outlineLevel="1" x14ac:dyDescent="0.25">
      <c r="A49" s="115" t="s">
        <v>245</v>
      </c>
      <c r="B49" s="21">
        <f>+B50+B53</f>
        <v>297570800.19</v>
      </c>
      <c r="C49" s="16"/>
      <c r="D49" s="16"/>
      <c r="E49" s="16"/>
      <c r="F49" s="16"/>
      <c r="G49" s="16"/>
      <c r="H49" s="21">
        <f>+B49+C49+D49+G49+E49+F49</f>
        <v>297570800.19</v>
      </c>
      <c r="I49" s="21"/>
      <c r="J49" s="21">
        <f>+H49+I49</f>
        <v>297570800.19</v>
      </c>
      <c r="K49" s="21">
        <f>+K50+K53</f>
        <v>75469219</v>
      </c>
      <c r="L49" s="21">
        <f t="shared" si="3"/>
        <v>-222101581.19</v>
      </c>
      <c r="M49" s="160">
        <f t="shared" si="4"/>
        <v>0.25361769014907593</v>
      </c>
    </row>
    <row r="50" spans="1:13" s="86" customFormat="1" ht="15" hidden="1" outlineLevel="2" x14ac:dyDescent="0.25">
      <c r="A50" s="115" t="s">
        <v>316</v>
      </c>
      <c r="B50" s="21">
        <f>+B51+B52</f>
        <v>167239800.19</v>
      </c>
      <c r="C50" s="16"/>
      <c r="D50" s="16"/>
      <c r="E50" s="16"/>
      <c r="F50" s="16"/>
      <c r="G50" s="16"/>
      <c r="H50" s="21">
        <f t="shared" ref="H50:H56" si="10">+B50+C50+D50+G50+E50+F50</f>
        <v>167239800.19</v>
      </c>
      <c r="I50" s="21"/>
      <c r="J50" s="21">
        <f t="shared" ref="J50:J55" si="11">+H50+I50</f>
        <v>167239800.19</v>
      </c>
      <c r="K50" s="21">
        <f>+K51+K52</f>
        <v>54322988</v>
      </c>
      <c r="L50" s="21">
        <f t="shared" si="3"/>
        <v>-112916812.19</v>
      </c>
      <c r="M50" s="160">
        <f t="shared" si="4"/>
        <v>0.32482093340391477</v>
      </c>
    </row>
    <row r="51" spans="1:13" s="86" customFormat="1" ht="15" hidden="1" outlineLevel="2" x14ac:dyDescent="0.25">
      <c r="A51" s="115" t="s">
        <v>317</v>
      </c>
      <c r="B51" s="18"/>
      <c r="C51" s="16"/>
      <c r="D51" s="16"/>
      <c r="E51" s="16"/>
      <c r="F51" s="16"/>
      <c r="G51" s="16"/>
      <c r="H51" s="18">
        <f t="shared" si="10"/>
        <v>0</v>
      </c>
      <c r="I51" s="16"/>
      <c r="J51" s="42">
        <f t="shared" si="11"/>
        <v>0</v>
      </c>
      <c r="K51" s="42"/>
      <c r="L51" s="42">
        <f t="shared" si="3"/>
        <v>0</v>
      </c>
      <c r="M51" s="161">
        <f t="shared" si="4"/>
        <v>0</v>
      </c>
    </row>
    <row r="52" spans="1:13" s="86" customFormat="1" ht="15" hidden="1" outlineLevel="2" x14ac:dyDescent="0.25">
      <c r="A52" s="115" t="s">
        <v>318</v>
      </c>
      <c r="B52" s="18">
        <f>+[20]Agregado!$F$33</f>
        <v>167239800.19</v>
      </c>
      <c r="C52" s="16"/>
      <c r="D52" s="16"/>
      <c r="E52" s="16"/>
      <c r="F52" s="16"/>
      <c r="G52" s="16"/>
      <c r="H52" s="18">
        <f t="shared" si="10"/>
        <v>167239800.19</v>
      </c>
      <c r="I52" s="16"/>
      <c r="J52" s="42">
        <f t="shared" si="11"/>
        <v>167239800.19</v>
      </c>
      <c r="K52" s="42">
        <v>54322988</v>
      </c>
      <c r="L52" s="42">
        <f t="shared" si="3"/>
        <v>-112916812.19</v>
      </c>
      <c r="M52" s="161">
        <f t="shared" si="4"/>
        <v>0.32482093340391477</v>
      </c>
    </row>
    <row r="53" spans="1:13" s="86" customFormat="1" ht="15" hidden="1" outlineLevel="2" x14ac:dyDescent="0.25">
      <c r="A53" s="115" t="s">
        <v>319</v>
      </c>
      <c r="B53" s="21">
        <f>+B54+B55</f>
        <v>130331000</v>
      </c>
      <c r="C53" s="16"/>
      <c r="D53" s="16"/>
      <c r="E53" s="16"/>
      <c r="F53" s="16"/>
      <c r="G53" s="16"/>
      <c r="H53" s="21">
        <f>+H54+H55</f>
        <v>130331000</v>
      </c>
      <c r="I53" s="21"/>
      <c r="J53" s="21">
        <f>+J54+J55</f>
        <v>130331000</v>
      </c>
      <c r="K53" s="21">
        <f>+K54+K55</f>
        <v>21146231</v>
      </c>
      <c r="L53" s="21">
        <f t="shared" si="3"/>
        <v>-109184769</v>
      </c>
      <c r="M53" s="160">
        <f t="shared" si="4"/>
        <v>0.16225020141025542</v>
      </c>
    </row>
    <row r="54" spans="1:13" s="86" customFormat="1" ht="15" hidden="1" outlineLevel="2" x14ac:dyDescent="0.25">
      <c r="A54" s="115" t="s">
        <v>320</v>
      </c>
      <c r="B54" s="18">
        <f>+[20]Agregado!$F$35</f>
        <v>25000000</v>
      </c>
      <c r="C54" s="16"/>
      <c r="D54" s="16"/>
      <c r="E54" s="16"/>
      <c r="F54" s="16"/>
      <c r="G54" s="16"/>
      <c r="H54" s="18">
        <f t="shared" si="10"/>
        <v>25000000</v>
      </c>
      <c r="I54" s="16"/>
      <c r="J54" s="42">
        <f t="shared" si="11"/>
        <v>25000000</v>
      </c>
      <c r="K54" s="42"/>
      <c r="L54" s="42">
        <f t="shared" si="3"/>
        <v>-25000000</v>
      </c>
      <c r="M54" s="161">
        <f t="shared" si="4"/>
        <v>0</v>
      </c>
    </row>
    <row r="55" spans="1:13" s="86" customFormat="1" ht="15" hidden="1" outlineLevel="2" x14ac:dyDescent="0.25">
      <c r="A55" s="115" t="s">
        <v>321</v>
      </c>
      <c r="B55" s="18">
        <f>+[20]Agregado!$F$36</f>
        <v>105331000</v>
      </c>
      <c r="C55" s="16"/>
      <c r="D55" s="16"/>
      <c r="E55" s="16"/>
      <c r="F55" s="16"/>
      <c r="G55" s="16"/>
      <c r="H55" s="18">
        <f t="shared" si="10"/>
        <v>105331000</v>
      </c>
      <c r="I55" s="16"/>
      <c r="J55" s="42">
        <f t="shared" si="11"/>
        <v>105331000</v>
      </c>
      <c r="K55" s="42">
        <v>21146231</v>
      </c>
      <c r="L55" s="42">
        <f t="shared" si="3"/>
        <v>-84184769</v>
      </c>
      <c r="M55" s="161">
        <f t="shared" si="4"/>
        <v>0.20075980480580266</v>
      </c>
    </row>
    <row r="56" spans="1:13" s="86" customFormat="1" ht="15" hidden="1" outlineLevel="1" x14ac:dyDescent="0.25">
      <c r="A56" s="115" t="s">
        <v>246</v>
      </c>
      <c r="B56" s="21">
        <v>139995250</v>
      </c>
      <c r="C56" s="16"/>
      <c r="D56" s="16"/>
      <c r="E56" s="16"/>
      <c r="F56" s="16"/>
      <c r="G56" s="16"/>
      <c r="H56" s="18">
        <f t="shared" si="10"/>
        <v>139995250</v>
      </c>
      <c r="I56" s="16"/>
      <c r="J56" s="42">
        <f>+H56+I56</f>
        <v>139995250</v>
      </c>
      <c r="K56" s="42">
        <v>127623087</v>
      </c>
      <c r="L56" s="42">
        <f t="shared" si="3"/>
        <v>-12372163</v>
      </c>
      <c r="M56" s="161">
        <f t="shared" si="4"/>
        <v>0.91162440868529471</v>
      </c>
    </row>
    <row r="57" spans="1:13" s="86" customFormat="1" ht="15" collapsed="1" x14ac:dyDescent="0.25">
      <c r="A57" s="155" t="s">
        <v>72</v>
      </c>
      <c r="B57" s="21">
        <f>SUM(B58:B60)</f>
        <v>58424337.605400003</v>
      </c>
      <c r="C57" s="16"/>
      <c r="D57" s="16"/>
      <c r="E57" s="16"/>
      <c r="F57" s="16"/>
      <c r="G57" s="16"/>
      <c r="H57" s="21">
        <f>SUM(H58:H60)</f>
        <v>58424337.605400003</v>
      </c>
      <c r="I57" s="16"/>
      <c r="J57" s="21">
        <f>SUM(J58:J60)</f>
        <v>58424337.605400003</v>
      </c>
      <c r="K57" s="21">
        <f>SUM(K58:K60)</f>
        <v>57665732</v>
      </c>
      <c r="L57" s="21">
        <f t="shared" si="3"/>
        <v>-758605.60540000349</v>
      </c>
      <c r="M57" s="160">
        <f t="shared" si="4"/>
        <v>0.98701558911076315</v>
      </c>
    </row>
    <row r="58" spans="1:13" s="86" customFormat="1" ht="15" hidden="1" outlineLevel="1" x14ac:dyDescent="0.25">
      <c r="A58" s="115" t="s">
        <v>247</v>
      </c>
      <c r="B58" s="18">
        <f>+[20]Agregado!$F$40</f>
        <v>25141718.584500004</v>
      </c>
      <c r="C58" s="16"/>
      <c r="D58" s="16"/>
      <c r="E58" s="16"/>
      <c r="F58" s="16"/>
      <c r="G58" s="16"/>
      <c r="H58" s="18">
        <f>+B58+C58+D58+G58+E58+F58</f>
        <v>25141718.584500004</v>
      </c>
      <c r="I58" s="16"/>
      <c r="J58" s="42">
        <f>+H58+I58</f>
        <v>25141718.584500004</v>
      </c>
      <c r="K58" s="42">
        <v>24754033</v>
      </c>
      <c r="L58" s="42">
        <f t="shared" si="3"/>
        <v>-387685.58450000361</v>
      </c>
      <c r="M58" s="161">
        <f t="shared" si="4"/>
        <v>0.98457998870693697</v>
      </c>
    </row>
    <row r="59" spans="1:13" s="86" customFormat="1" ht="15" hidden="1" outlineLevel="1" x14ac:dyDescent="0.25">
      <c r="A59" s="115" t="s">
        <v>248</v>
      </c>
      <c r="B59" s="18">
        <f>+[20]Agregado!$F$41</f>
        <v>4092619.0208999999</v>
      </c>
      <c r="C59" s="16"/>
      <c r="D59" s="16"/>
      <c r="E59" s="16"/>
      <c r="F59" s="16"/>
      <c r="G59" s="16"/>
      <c r="H59" s="18">
        <f>+B59+C59+D59+G59+E59+F59</f>
        <v>4092619.0208999999</v>
      </c>
      <c r="I59" s="16"/>
      <c r="J59" s="42">
        <f>+H59+I59</f>
        <v>4092619.0208999999</v>
      </c>
      <c r="K59" s="42">
        <v>4092273</v>
      </c>
      <c r="L59" s="42">
        <f t="shared" si="3"/>
        <v>-346.02089999988675</v>
      </c>
      <c r="M59" s="161">
        <f t="shared" si="4"/>
        <v>0.99991545245276126</v>
      </c>
    </row>
    <row r="60" spans="1:13" s="86" customFormat="1" ht="15" hidden="1" outlineLevel="1" x14ac:dyDescent="0.25">
      <c r="A60" s="115" t="s">
        <v>249</v>
      </c>
      <c r="B60" s="18">
        <f>+[20]Agregado!$F$42</f>
        <v>29190000</v>
      </c>
      <c r="C60" s="16"/>
      <c r="D60" s="16"/>
      <c r="E60" s="16"/>
      <c r="F60" s="16"/>
      <c r="G60" s="16"/>
      <c r="H60" s="18">
        <f>+B60+C60+D60+G60+E60+F60</f>
        <v>29190000</v>
      </c>
      <c r="I60" s="16"/>
      <c r="J60" s="42">
        <f>+H60+I60</f>
        <v>29190000</v>
      </c>
      <c r="K60" s="42">
        <v>28819426</v>
      </c>
      <c r="L60" s="42">
        <f t="shared" si="3"/>
        <v>-370574</v>
      </c>
      <c r="M60" s="161">
        <f t="shared" si="4"/>
        <v>0.98730476190476191</v>
      </c>
    </row>
    <row r="61" spans="1:13" s="86" customFormat="1" ht="15" collapsed="1" x14ac:dyDescent="0.25">
      <c r="A61" s="155" t="s">
        <v>250</v>
      </c>
      <c r="B61" s="21">
        <f>SUM(B62:B64)</f>
        <v>77962763.810600013</v>
      </c>
      <c r="C61" s="16"/>
      <c r="D61" s="16"/>
      <c r="E61" s="16"/>
      <c r="F61" s="16"/>
      <c r="G61" s="16"/>
      <c r="H61" s="21">
        <f>SUM(H62:H64)</f>
        <v>77962763.810600013</v>
      </c>
      <c r="I61" s="16"/>
      <c r="J61" s="21">
        <f>SUM(J62:J64)</f>
        <v>77962763.810600013</v>
      </c>
      <c r="K61" s="21">
        <f>SUM(K62:K64)</f>
        <v>75765942</v>
      </c>
      <c r="L61" s="21">
        <f t="shared" si="3"/>
        <v>-2196821.8106000125</v>
      </c>
      <c r="M61" s="160">
        <f t="shared" si="4"/>
        <v>0.9718221660799905</v>
      </c>
    </row>
    <row r="62" spans="1:13" s="86" customFormat="1" ht="15" hidden="1" outlineLevel="1" x14ac:dyDescent="0.25">
      <c r="A62" s="115" t="s">
        <v>251</v>
      </c>
      <c r="B62" s="18">
        <f>+[20]Agregado!$F$45</f>
        <v>32426450</v>
      </c>
      <c r="C62" s="16"/>
      <c r="D62" s="16"/>
      <c r="E62" s="16"/>
      <c r="F62" s="16"/>
      <c r="G62" s="16"/>
      <c r="H62" s="18">
        <f>+B62+C62+D62+G62+E62+F62</f>
        <v>32426450</v>
      </c>
      <c r="I62" s="16"/>
      <c r="J62" s="42">
        <f>+H62+I62</f>
        <v>32426450</v>
      </c>
      <c r="K62" s="42">
        <v>32408670</v>
      </c>
      <c r="L62" s="42">
        <f t="shared" si="3"/>
        <v>-17780</v>
      </c>
      <c r="M62" s="161">
        <f t="shared" si="4"/>
        <v>0.99945168219154423</v>
      </c>
    </row>
    <row r="63" spans="1:13" s="86" customFormat="1" ht="15" hidden="1" outlineLevel="1" x14ac:dyDescent="0.25">
      <c r="A63" s="115" t="s">
        <v>252</v>
      </c>
      <c r="B63" s="18">
        <f>+[20]Agregado!$F$46</f>
        <v>45536313.810600005</v>
      </c>
      <c r="C63" s="16"/>
      <c r="D63" s="16"/>
      <c r="E63" s="16"/>
      <c r="F63" s="16"/>
      <c r="G63" s="16"/>
      <c r="H63" s="18">
        <f>+B63+C63+D63+G63+E63+F63</f>
        <v>45536313.810600005</v>
      </c>
      <c r="I63" s="16"/>
      <c r="J63" s="42">
        <f>+H63+I63</f>
        <v>45536313.810600005</v>
      </c>
      <c r="K63" s="42">
        <v>43357271.999999993</v>
      </c>
      <c r="L63" s="42">
        <f t="shared" si="3"/>
        <v>-2179041.8106000125</v>
      </c>
      <c r="M63" s="161">
        <f t="shared" si="4"/>
        <v>0.95214716281903411</v>
      </c>
    </row>
    <row r="64" spans="1:13" s="86" customFormat="1" ht="15" hidden="1" outlineLevel="1" x14ac:dyDescent="0.25">
      <c r="A64" s="115" t="s">
        <v>297</v>
      </c>
      <c r="B64" s="18"/>
      <c r="C64" s="16"/>
      <c r="D64" s="16"/>
      <c r="E64" s="16"/>
      <c r="F64" s="16"/>
      <c r="G64" s="16"/>
      <c r="H64" s="18">
        <f>+B64+C64+D64+G64+E64+F64</f>
        <v>0</v>
      </c>
      <c r="I64" s="16"/>
      <c r="J64" s="42">
        <f>+H64+I64</f>
        <v>0</v>
      </c>
      <c r="K64" s="42"/>
      <c r="L64" s="42">
        <f t="shared" si="3"/>
        <v>0</v>
      </c>
      <c r="M64" s="161">
        <f t="shared" si="4"/>
        <v>0</v>
      </c>
    </row>
    <row r="65" spans="1:13" s="86" customFormat="1" ht="15" collapsed="1" x14ac:dyDescent="0.25">
      <c r="A65" s="155" t="s">
        <v>322</v>
      </c>
      <c r="B65" s="21">
        <f>SUM(B66:B68)</f>
        <v>52287435</v>
      </c>
      <c r="C65" s="16"/>
      <c r="D65" s="16"/>
      <c r="E65" s="16"/>
      <c r="F65" s="16"/>
      <c r="G65" s="16"/>
      <c r="H65" s="21">
        <f>SUM(H66:H68)</f>
        <v>52287435</v>
      </c>
      <c r="I65" s="16"/>
      <c r="J65" s="21">
        <f>SUM(J66:J68)</f>
        <v>52287435</v>
      </c>
      <c r="K65" s="21">
        <f>SUM(K66:K68)</f>
        <v>47295990</v>
      </c>
      <c r="L65" s="21">
        <f t="shared" si="3"/>
        <v>-4991445</v>
      </c>
      <c r="M65" s="160">
        <f t="shared" si="4"/>
        <v>0.90453834654539855</v>
      </c>
    </row>
    <row r="66" spans="1:13" s="86" customFormat="1" ht="15" hidden="1" outlineLevel="1" x14ac:dyDescent="0.25">
      <c r="A66" s="115" t="s">
        <v>253</v>
      </c>
      <c r="B66" s="18">
        <f>+[20]Agregado!$F$50</f>
        <v>6993435</v>
      </c>
      <c r="C66" s="16"/>
      <c r="D66" s="16"/>
      <c r="E66" s="16"/>
      <c r="F66" s="16"/>
      <c r="G66" s="16"/>
      <c r="H66" s="18">
        <f>+B66+C66+D66+G66+E66+F66</f>
        <v>6993435</v>
      </c>
      <c r="I66" s="16"/>
      <c r="J66" s="42">
        <f>+H66+I66</f>
        <v>6993435</v>
      </c>
      <c r="K66" s="42">
        <v>6945844</v>
      </c>
      <c r="L66" s="42">
        <f t="shared" si="3"/>
        <v>-47591</v>
      </c>
      <c r="M66" s="161">
        <f t="shared" si="4"/>
        <v>0.99319490350593087</v>
      </c>
    </row>
    <row r="67" spans="1:13" s="86" customFormat="1" ht="15" hidden="1" outlineLevel="1" x14ac:dyDescent="0.25">
      <c r="A67" s="115" t="s">
        <v>232</v>
      </c>
      <c r="B67" s="18">
        <f>+[20]Agregado!$F$51</f>
        <v>37000000</v>
      </c>
      <c r="C67" s="16"/>
      <c r="D67" s="16"/>
      <c r="E67" s="16"/>
      <c r="F67" s="16"/>
      <c r="G67" s="16"/>
      <c r="H67" s="18">
        <f>+B67+C67+D67+G67+E67+F67</f>
        <v>37000000</v>
      </c>
      <c r="I67" s="16"/>
      <c r="J67" s="42">
        <f>+H67+I67</f>
        <v>37000000</v>
      </c>
      <c r="K67" s="42">
        <v>32637186</v>
      </c>
      <c r="L67" s="42">
        <f t="shared" si="3"/>
        <v>-4362814</v>
      </c>
      <c r="M67" s="161">
        <f t="shared" si="4"/>
        <v>0.88208610810810806</v>
      </c>
    </row>
    <row r="68" spans="1:13" s="86" customFormat="1" ht="15" hidden="1" outlineLevel="1" x14ac:dyDescent="0.25">
      <c r="A68" s="115" t="s">
        <v>298</v>
      </c>
      <c r="B68" s="18">
        <f>+[20]Agregado!$F$52</f>
        <v>8294000</v>
      </c>
      <c r="C68" s="16"/>
      <c r="D68" s="16"/>
      <c r="E68" s="16"/>
      <c r="F68" s="16"/>
      <c r="G68" s="16"/>
      <c r="H68" s="18">
        <f>+B68+C68+D68+G68+E68+F68</f>
        <v>8294000</v>
      </c>
      <c r="I68" s="16"/>
      <c r="J68" s="42">
        <f>+H68+I68</f>
        <v>8294000</v>
      </c>
      <c r="K68" s="42">
        <v>7712960</v>
      </c>
      <c r="L68" s="42">
        <f t="shared" si="3"/>
        <v>-581040</v>
      </c>
      <c r="M68" s="161">
        <f t="shared" si="4"/>
        <v>0.92994453822040024</v>
      </c>
    </row>
    <row r="69" spans="1:13" s="86" customFormat="1" ht="15" collapsed="1" x14ac:dyDescent="0.25">
      <c r="A69" s="155" t="s">
        <v>280</v>
      </c>
      <c r="B69" s="21">
        <f>SUM(B70:B71)</f>
        <v>93673024.800000012</v>
      </c>
      <c r="C69" s="16"/>
      <c r="D69" s="16"/>
      <c r="E69" s="16"/>
      <c r="F69" s="16"/>
      <c r="G69" s="16"/>
      <c r="H69" s="21">
        <f>SUM(H70:H71)</f>
        <v>93673024.800000012</v>
      </c>
      <c r="I69" s="16"/>
      <c r="J69" s="21">
        <f>SUM(J70:J71)</f>
        <v>93673024.800000012</v>
      </c>
      <c r="K69" s="21">
        <f>SUM(K70:K71)</f>
        <v>87112086</v>
      </c>
      <c r="L69" s="21">
        <f t="shared" si="3"/>
        <v>-6560938.8000000119</v>
      </c>
      <c r="M69" s="160">
        <f t="shared" si="4"/>
        <v>0.92995914443877326</v>
      </c>
    </row>
    <row r="70" spans="1:13" s="86" customFormat="1" ht="15" hidden="1" outlineLevel="1" x14ac:dyDescent="0.25">
      <c r="A70" s="115" t="s">
        <v>281</v>
      </c>
      <c r="B70" s="18">
        <f>+[20]Agregado!$F$55+4000000</f>
        <v>87086074.800000012</v>
      </c>
      <c r="C70" s="16"/>
      <c r="D70" s="16"/>
      <c r="E70" s="16"/>
      <c r="F70" s="16"/>
      <c r="G70" s="16"/>
      <c r="H70" s="18">
        <f>+B70+C70+D70+G70+E70+F70</f>
        <v>87086074.800000012</v>
      </c>
      <c r="I70" s="16"/>
      <c r="J70" s="42">
        <f>+H70+I70</f>
        <v>87086074.800000012</v>
      </c>
      <c r="K70" s="42">
        <v>86453222</v>
      </c>
      <c r="L70" s="42">
        <f t="shared" si="3"/>
        <v>-632852.80000001192</v>
      </c>
      <c r="M70" s="161">
        <f t="shared" si="4"/>
        <v>0.99273301958489446</v>
      </c>
    </row>
    <row r="71" spans="1:13" s="86" customFormat="1" ht="15" hidden="1" outlineLevel="1" x14ac:dyDescent="0.25">
      <c r="A71" s="115" t="s">
        <v>282</v>
      </c>
      <c r="B71" s="18">
        <f>+[20]Agregado!$F$56-4000000</f>
        <v>6586950</v>
      </c>
      <c r="C71" s="16"/>
      <c r="D71" s="16"/>
      <c r="E71" s="16"/>
      <c r="F71" s="16"/>
      <c r="G71" s="16"/>
      <c r="H71" s="18">
        <f>+B71+C71+D71+G71+E71+F71</f>
        <v>6586950</v>
      </c>
      <c r="I71" s="16"/>
      <c r="J71" s="42">
        <f>+H71+I71</f>
        <v>6586950</v>
      </c>
      <c r="K71" s="42">
        <v>658864</v>
      </c>
      <c r="L71" s="42">
        <f t="shared" si="3"/>
        <v>-5928086</v>
      </c>
      <c r="M71" s="161">
        <f t="shared" si="4"/>
        <v>0.10002565679107933</v>
      </c>
    </row>
    <row r="72" spans="1:13" s="86" customFormat="1" ht="15" collapsed="1" x14ac:dyDescent="0.25">
      <c r="A72" s="115"/>
      <c r="B72" s="18"/>
      <c r="C72" s="16"/>
      <c r="D72" s="16"/>
      <c r="E72" s="16"/>
      <c r="F72" s="16"/>
      <c r="G72" s="16"/>
      <c r="H72" s="18"/>
      <c r="I72" s="16"/>
      <c r="J72" s="42"/>
      <c r="K72" s="42"/>
      <c r="L72" s="42"/>
      <c r="M72" s="161"/>
    </row>
    <row r="73" spans="1:13" s="86" customFormat="1" ht="15" x14ac:dyDescent="0.25">
      <c r="A73" s="155" t="s">
        <v>323</v>
      </c>
      <c r="B73" s="18"/>
      <c r="C73" s="16"/>
      <c r="D73" s="16"/>
      <c r="E73" s="16"/>
      <c r="F73" s="16">
        <f>+F74+F82+F85+F91+F100+F105</f>
        <v>2594712541</v>
      </c>
      <c r="G73" s="16"/>
      <c r="H73" s="16">
        <f>+H74+H91+H85+H82+H100+H105</f>
        <v>2594712541</v>
      </c>
      <c r="I73" s="16"/>
      <c r="J73" s="21">
        <f>+H73+I73</f>
        <v>2594712541</v>
      </c>
      <c r="K73" s="16">
        <f>+K74+K82+K85+K91+K100+K105</f>
        <v>2334293267</v>
      </c>
      <c r="L73" s="21">
        <f t="shared" si="3"/>
        <v>-260419274</v>
      </c>
      <c r="M73" s="160">
        <f t="shared" si="4"/>
        <v>0.89963463393920517</v>
      </c>
    </row>
    <row r="74" spans="1:13" s="86" customFormat="1" ht="15" x14ac:dyDescent="0.25">
      <c r="A74" s="155" t="s">
        <v>203</v>
      </c>
      <c r="B74" s="18"/>
      <c r="C74" s="16"/>
      <c r="D74" s="16"/>
      <c r="E74" s="16"/>
      <c r="F74" s="16">
        <f>SUM(F75:F81)</f>
        <v>260945452</v>
      </c>
      <c r="G74" s="16"/>
      <c r="H74" s="16">
        <f>SUM(H75:H81)</f>
        <v>260945452</v>
      </c>
      <c r="I74" s="16"/>
      <c r="J74" s="16">
        <f>SUM(J75:J81)</f>
        <v>260945452</v>
      </c>
      <c r="K74" s="16">
        <f>SUM(K75:K81)</f>
        <v>127199612</v>
      </c>
      <c r="L74" s="16">
        <f t="shared" ref="L74:L137" si="12">+K74-J74</f>
        <v>-133745840</v>
      </c>
      <c r="M74" s="160">
        <f t="shared" ref="M74:M137" si="13">IFERROR(K74/J74,0)</f>
        <v>0.48745671183416522</v>
      </c>
    </row>
    <row r="75" spans="1:13" s="86" customFormat="1" ht="15" hidden="1" outlineLevel="1" x14ac:dyDescent="0.25">
      <c r="A75" s="115" t="s">
        <v>283</v>
      </c>
      <c r="B75" s="18"/>
      <c r="C75" s="16"/>
      <c r="D75" s="16"/>
      <c r="E75" s="16"/>
      <c r="F75" s="42">
        <f>+'[17]Solicitud presupuestal 2016'!$H$20</f>
        <v>46088776</v>
      </c>
      <c r="G75" s="16"/>
      <c r="H75" s="18">
        <f t="shared" ref="H75:H80" si="14">+B75+C75+D75+G75+E75+F75</f>
        <v>46088776</v>
      </c>
      <c r="I75" s="16"/>
      <c r="J75" s="42">
        <f t="shared" ref="J75:J80" si="15">+H75+I75</f>
        <v>46088776</v>
      </c>
      <c r="K75" s="42">
        <v>46022340</v>
      </c>
      <c r="L75" s="42">
        <f t="shared" si="12"/>
        <v>-66436</v>
      </c>
      <c r="M75" s="161">
        <f t="shared" si="13"/>
        <v>0.99855852105944409</v>
      </c>
    </row>
    <row r="76" spans="1:13" s="86" customFormat="1" ht="15" hidden="1" outlineLevel="1" x14ac:dyDescent="0.25">
      <c r="A76" s="115" t="s">
        <v>284</v>
      </c>
      <c r="B76" s="18"/>
      <c r="C76" s="16"/>
      <c r="D76" s="16"/>
      <c r="E76" s="16"/>
      <c r="F76" s="42"/>
      <c r="G76" s="16"/>
      <c r="H76" s="18">
        <f t="shared" si="14"/>
        <v>0</v>
      </c>
      <c r="I76" s="16"/>
      <c r="J76" s="42">
        <f t="shared" si="15"/>
        <v>0</v>
      </c>
      <c r="K76" s="42"/>
      <c r="L76" s="42">
        <f t="shared" si="12"/>
        <v>0</v>
      </c>
      <c r="M76" s="161">
        <f t="shared" si="13"/>
        <v>0</v>
      </c>
    </row>
    <row r="77" spans="1:13" s="86" customFormat="1" ht="15" hidden="1" outlineLevel="1" x14ac:dyDescent="0.25">
      <c r="A77" s="115" t="s">
        <v>285</v>
      </c>
      <c r="B77" s="18"/>
      <c r="C77" s="16"/>
      <c r="D77" s="16"/>
      <c r="E77" s="16"/>
      <c r="F77" s="42"/>
      <c r="G77" s="16"/>
      <c r="H77" s="18">
        <f t="shared" si="14"/>
        <v>0</v>
      </c>
      <c r="I77" s="16"/>
      <c r="J77" s="42">
        <f t="shared" si="15"/>
        <v>0</v>
      </c>
      <c r="K77" s="42"/>
      <c r="L77" s="42">
        <f t="shared" si="12"/>
        <v>0</v>
      </c>
      <c r="M77" s="161">
        <f t="shared" si="13"/>
        <v>0</v>
      </c>
    </row>
    <row r="78" spans="1:13" s="86" customFormat="1" ht="15" hidden="1" outlineLevel="1" x14ac:dyDescent="0.25">
      <c r="A78" s="115" t="s">
        <v>207</v>
      </c>
      <c r="B78" s="18"/>
      <c r="C78" s="16"/>
      <c r="D78" s="16"/>
      <c r="E78" s="16"/>
      <c r="F78" s="42">
        <f>+'[17]Solicitud presupuestal 2016'!$H$23</f>
        <v>7382229</v>
      </c>
      <c r="G78" s="16"/>
      <c r="H78" s="18">
        <f t="shared" si="14"/>
        <v>7382229</v>
      </c>
      <c r="I78" s="16"/>
      <c r="J78" s="42">
        <f t="shared" si="15"/>
        <v>7382229</v>
      </c>
      <c r="K78" s="42">
        <v>4921488</v>
      </c>
      <c r="L78" s="42">
        <f t="shared" si="12"/>
        <v>-2460741</v>
      </c>
      <c r="M78" s="161">
        <f t="shared" si="13"/>
        <v>0.6666669375875498</v>
      </c>
    </row>
    <row r="79" spans="1:13" s="86" customFormat="1" ht="15" hidden="1" outlineLevel="1" x14ac:dyDescent="0.25">
      <c r="A79" s="115" t="s">
        <v>286</v>
      </c>
      <c r="B79" s="18"/>
      <c r="C79" s="16"/>
      <c r="D79" s="16"/>
      <c r="E79" s="16"/>
      <c r="F79" s="42">
        <v>80474447</v>
      </c>
      <c r="G79" s="16"/>
      <c r="H79" s="18">
        <f t="shared" si="14"/>
        <v>80474447</v>
      </c>
      <c r="I79" s="16"/>
      <c r="J79" s="42">
        <f t="shared" si="15"/>
        <v>80474447</v>
      </c>
      <c r="K79" s="42">
        <v>605384</v>
      </c>
      <c r="L79" s="42">
        <f t="shared" si="12"/>
        <v>-79869063</v>
      </c>
      <c r="M79" s="161">
        <f t="shared" si="13"/>
        <v>7.522686052132797E-3</v>
      </c>
    </row>
    <row r="80" spans="1:13" s="86" customFormat="1" ht="15" hidden="1" outlineLevel="1" x14ac:dyDescent="0.25">
      <c r="A80" s="115" t="s">
        <v>356</v>
      </c>
      <c r="B80" s="18"/>
      <c r="C80" s="16"/>
      <c r="D80" s="16"/>
      <c r="E80" s="16"/>
      <c r="F80" s="42">
        <f>+'[17]Solicitud presupuestal 2016'!$H$25</f>
        <v>27000000</v>
      </c>
      <c r="G80" s="16"/>
      <c r="H80" s="18">
        <f t="shared" si="14"/>
        <v>27000000</v>
      </c>
      <c r="I80" s="16"/>
      <c r="J80" s="42">
        <f t="shared" si="15"/>
        <v>27000000</v>
      </c>
      <c r="K80" s="42">
        <v>27000000</v>
      </c>
      <c r="L80" s="42">
        <f t="shared" si="12"/>
        <v>0</v>
      </c>
      <c r="M80" s="161">
        <f t="shared" si="13"/>
        <v>1</v>
      </c>
    </row>
    <row r="81" spans="1:13" s="86" customFormat="1" ht="15" hidden="1" outlineLevel="1" x14ac:dyDescent="0.25">
      <c r="A81" s="115" t="s">
        <v>425</v>
      </c>
      <c r="B81" s="18"/>
      <c r="C81" s="16"/>
      <c r="D81" s="16"/>
      <c r="E81" s="16"/>
      <c r="F81" s="42">
        <v>100000000</v>
      </c>
      <c r="G81" s="16"/>
      <c r="H81" s="18">
        <f>+B81+C81+D81+G81+E81+F81</f>
        <v>100000000</v>
      </c>
      <c r="I81" s="16"/>
      <c r="J81" s="42">
        <f>+H81+I81</f>
        <v>100000000</v>
      </c>
      <c r="K81" s="42">
        <v>48650400</v>
      </c>
      <c r="L81" s="42">
        <f t="shared" si="12"/>
        <v>-51349600</v>
      </c>
      <c r="M81" s="161">
        <f t="shared" si="13"/>
        <v>0.48650399999999999</v>
      </c>
    </row>
    <row r="82" spans="1:13" s="86" customFormat="1" ht="15" collapsed="1" x14ac:dyDescent="0.25">
      <c r="A82" s="155" t="s">
        <v>291</v>
      </c>
      <c r="B82" s="18"/>
      <c r="C82" s="16"/>
      <c r="D82" s="16"/>
      <c r="E82" s="16"/>
      <c r="F82" s="16">
        <f>SUM(F83:F84)</f>
        <v>49401818</v>
      </c>
      <c r="G82" s="16"/>
      <c r="H82" s="16">
        <f>SUM(H83:H84)</f>
        <v>49401818</v>
      </c>
      <c r="I82" s="16"/>
      <c r="J82" s="16">
        <f>SUM(J83:J84)</f>
        <v>49401818</v>
      </c>
      <c r="K82" s="16">
        <f>SUM(K83:K84)</f>
        <v>47023500</v>
      </c>
      <c r="L82" s="16">
        <f t="shared" si="12"/>
        <v>-2378318</v>
      </c>
      <c r="M82" s="160">
        <f t="shared" si="13"/>
        <v>0.95185768264641601</v>
      </c>
    </row>
    <row r="83" spans="1:13" s="86" customFormat="1" ht="15" hidden="1" outlineLevel="1" x14ac:dyDescent="0.25">
      <c r="A83" s="115" t="s">
        <v>292</v>
      </c>
      <c r="B83" s="18"/>
      <c r="C83" s="16"/>
      <c r="D83" s="16"/>
      <c r="E83" s="16"/>
      <c r="F83" s="42">
        <f>+'[17]Solicitud presupuestal 2016'!$H$28</f>
        <v>49401818</v>
      </c>
      <c r="G83" s="16"/>
      <c r="H83" s="18">
        <f>+B83+C83+D83+G83+E83+F83</f>
        <v>49401818</v>
      </c>
      <c r="I83" s="16"/>
      <c r="J83" s="42">
        <f>+H83+I83</f>
        <v>49401818</v>
      </c>
      <c r="K83" s="42">
        <v>47023500</v>
      </c>
      <c r="L83" s="42">
        <f t="shared" si="12"/>
        <v>-2378318</v>
      </c>
      <c r="M83" s="161">
        <f t="shared" si="13"/>
        <v>0.95185768264641601</v>
      </c>
    </row>
    <row r="84" spans="1:13" s="86" customFormat="1" ht="15" hidden="1" outlineLevel="1" x14ac:dyDescent="0.25">
      <c r="A84" s="115" t="s">
        <v>293</v>
      </c>
      <c r="B84" s="18"/>
      <c r="C84" s="16"/>
      <c r="D84" s="16"/>
      <c r="E84" s="16"/>
      <c r="F84" s="42"/>
      <c r="G84" s="16"/>
      <c r="H84" s="18">
        <f>+B84+C84+D84+G84+E84+F84</f>
        <v>0</v>
      </c>
      <c r="I84" s="16"/>
      <c r="J84" s="42">
        <f>+H84+I84</f>
        <v>0</v>
      </c>
      <c r="K84" s="42"/>
      <c r="L84" s="42">
        <f t="shared" si="12"/>
        <v>0</v>
      </c>
      <c r="M84" s="161">
        <f t="shared" si="13"/>
        <v>0</v>
      </c>
    </row>
    <row r="85" spans="1:13" s="86" customFormat="1" ht="15" collapsed="1" x14ac:dyDescent="0.25">
      <c r="A85" s="155" t="s">
        <v>177</v>
      </c>
      <c r="B85" s="18"/>
      <c r="C85" s="16"/>
      <c r="D85" s="16"/>
      <c r="E85" s="16"/>
      <c r="F85" s="16">
        <f>+SUM(F86:F90)</f>
        <v>1943910736</v>
      </c>
      <c r="G85" s="16"/>
      <c r="H85" s="16">
        <f>SUM(H86:H90)</f>
        <v>1943910736</v>
      </c>
      <c r="I85" s="16"/>
      <c r="J85" s="16">
        <f>SUM(J86:J90)</f>
        <v>1943910736</v>
      </c>
      <c r="K85" s="16">
        <f>SUM(K86:K90)</f>
        <v>1863179496</v>
      </c>
      <c r="L85" s="16">
        <f t="shared" si="12"/>
        <v>-80731240</v>
      </c>
      <c r="M85" s="160">
        <f t="shared" si="13"/>
        <v>0.95846967738543321</v>
      </c>
    </row>
    <row r="86" spans="1:13" s="86" customFormat="1" ht="15" hidden="1" outlineLevel="1" x14ac:dyDescent="0.25">
      <c r="A86" s="115" t="s">
        <v>209</v>
      </c>
      <c r="B86" s="18"/>
      <c r="C86" s="16"/>
      <c r="D86" s="16"/>
      <c r="E86" s="16"/>
      <c r="F86" s="42">
        <v>1891622677</v>
      </c>
      <c r="G86" s="16"/>
      <c r="H86" s="18">
        <f>+B86+C86+D86+G86+E86+F86</f>
        <v>1891622677</v>
      </c>
      <c r="I86" s="16"/>
      <c r="J86" s="42">
        <f>+H86+I86</f>
        <v>1891622677</v>
      </c>
      <c r="K86" s="42">
        <v>1823087287</v>
      </c>
      <c r="L86" s="42">
        <f t="shared" si="12"/>
        <v>-68535390</v>
      </c>
      <c r="M86" s="161">
        <f t="shared" si="13"/>
        <v>0.96376899535340044</v>
      </c>
    </row>
    <row r="87" spans="1:13" s="86" customFormat="1" ht="15" hidden="1" outlineLevel="1" x14ac:dyDescent="0.25">
      <c r="A87" s="115" t="s">
        <v>357</v>
      </c>
      <c r="B87" s="18"/>
      <c r="C87" s="16"/>
      <c r="D87" s="16"/>
      <c r="E87" s="16"/>
      <c r="F87" s="42">
        <f>+'[17]Solicitud presupuestal 2016'!$H$32</f>
        <v>30000000</v>
      </c>
      <c r="G87" s="16"/>
      <c r="H87" s="18">
        <f>+B87+C87+D87+G87+E87+F87</f>
        <v>30000000</v>
      </c>
      <c r="I87" s="16"/>
      <c r="J87" s="42">
        <f>+H87+I87</f>
        <v>30000000</v>
      </c>
      <c r="K87" s="42">
        <v>19500000</v>
      </c>
      <c r="L87" s="42">
        <f t="shared" si="12"/>
        <v>-10500000</v>
      </c>
      <c r="M87" s="161">
        <f t="shared" si="13"/>
        <v>0.65</v>
      </c>
    </row>
    <row r="88" spans="1:13" s="86" customFormat="1" ht="15" hidden="1" outlineLevel="1" x14ac:dyDescent="0.25">
      <c r="A88" s="115" t="s">
        <v>227</v>
      </c>
      <c r="B88" s="18"/>
      <c r="C88" s="16"/>
      <c r="D88" s="16"/>
      <c r="E88" s="16"/>
      <c r="F88" s="42">
        <f>+'[17]Solicitud presupuestal 2016'!$H$33</f>
        <v>14422158</v>
      </c>
      <c r="G88" s="16"/>
      <c r="H88" s="18">
        <f>+B88+C88+D88+G88+E88+F88</f>
        <v>14422158</v>
      </c>
      <c r="I88" s="16"/>
      <c r="J88" s="42">
        <f>+H88+I88</f>
        <v>14422158</v>
      </c>
      <c r="K88" s="42">
        <v>12726312</v>
      </c>
      <c r="L88" s="42">
        <f t="shared" si="12"/>
        <v>-1695846</v>
      </c>
      <c r="M88" s="161">
        <f t="shared" si="13"/>
        <v>0.88241385235136105</v>
      </c>
    </row>
    <row r="89" spans="1:13" s="86" customFormat="1" ht="15" hidden="1" outlineLevel="1" x14ac:dyDescent="0.25">
      <c r="A89" s="115" t="s">
        <v>210</v>
      </c>
      <c r="B89" s="18"/>
      <c r="C89" s="16"/>
      <c r="D89" s="16"/>
      <c r="E89" s="16"/>
      <c r="F89" s="42">
        <f>+'[17]Solicitud presupuestal 2016'!$H$34</f>
        <v>7865901</v>
      </c>
      <c r="G89" s="16"/>
      <c r="H89" s="18">
        <f>+B89+C89+D89+G89+E89+F89</f>
        <v>7865901</v>
      </c>
      <c r="I89" s="16"/>
      <c r="J89" s="42">
        <f>+H89+I89</f>
        <v>7865901</v>
      </c>
      <c r="K89" s="42">
        <v>7865897</v>
      </c>
      <c r="L89" s="42">
        <f t="shared" si="12"/>
        <v>-4</v>
      </c>
      <c r="M89" s="161">
        <f t="shared" si="13"/>
        <v>0.99999949147592881</v>
      </c>
    </row>
    <row r="90" spans="1:13" s="86" customFormat="1" ht="15" hidden="1" outlineLevel="1" x14ac:dyDescent="0.25">
      <c r="A90" s="115" t="s">
        <v>290</v>
      </c>
      <c r="B90" s="18"/>
      <c r="C90" s="16"/>
      <c r="D90" s="16"/>
      <c r="E90" s="16"/>
      <c r="F90" s="42"/>
      <c r="G90" s="16"/>
      <c r="H90" s="18">
        <f>+B90+C90+D90+G90+E90+F90</f>
        <v>0</v>
      </c>
      <c r="I90" s="16"/>
      <c r="J90" s="42">
        <f>+H90+I90</f>
        <v>0</v>
      </c>
      <c r="K90" s="42">
        <v>0</v>
      </c>
      <c r="L90" s="42">
        <f t="shared" si="12"/>
        <v>0</v>
      </c>
      <c r="M90" s="161">
        <f t="shared" si="13"/>
        <v>0</v>
      </c>
    </row>
    <row r="91" spans="1:13" s="86" customFormat="1" ht="15" collapsed="1" x14ac:dyDescent="0.25">
      <c r="A91" s="155" t="s">
        <v>358</v>
      </c>
      <c r="B91" s="18"/>
      <c r="C91" s="16"/>
      <c r="D91" s="16"/>
      <c r="E91" s="16"/>
      <c r="F91" s="16">
        <f>SUM(F92:F99)</f>
        <v>133816775</v>
      </c>
      <c r="G91" s="16"/>
      <c r="H91" s="16">
        <f>SUM(H92:H99)</f>
        <v>133816775</v>
      </c>
      <c r="I91" s="16"/>
      <c r="J91" s="16">
        <f>SUM(J92:J99)</f>
        <v>133816775</v>
      </c>
      <c r="K91" s="16">
        <f>SUM(K92:K99)</f>
        <v>121774572</v>
      </c>
      <c r="L91" s="16">
        <f t="shared" si="12"/>
        <v>-12042203</v>
      </c>
      <c r="M91" s="160">
        <f t="shared" si="13"/>
        <v>0.91000976521814991</v>
      </c>
    </row>
    <row r="92" spans="1:13" s="86" customFormat="1" ht="15" hidden="1" outlineLevel="1" x14ac:dyDescent="0.25">
      <c r="A92" s="115" t="s">
        <v>359</v>
      </c>
      <c r="B92" s="18"/>
      <c r="C92" s="16"/>
      <c r="D92" s="16"/>
      <c r="E92" s="16"/>
      <c r="F92" s="42">
        <f>+'[17]Solicitud presupuestal 2016'!$H$37</f>
        <v>30749760</v>
      </c>
      <c r="G92" s="16"/>
      <c r="H92" s="18">
        <f t="shared" ref="H92:H99" si="16">+B92+C92+D92+G92+E92+F92</f>
        <v>30749760</v>
      </c>
      <c r="I92" s="16"/>
      <c r="J92" s="42">
        <f t="shared" ref="J92:J99" si="17">+H92+I92</f>
        <v>30749760</v>
      </c>
      <c r="K92" s="42">
        <v>30749760</v>
      </c>
      <c r="L92" s="42">
        <f t="shared" si="12"/>
        <v>0</v>
      </c>
      <c r="M92" s="161">
        <f t="shared" si="13"/>
        <v>1</v>
      </c>
    </row>
    <row r="93" spans="1:13" s="86" customFormat="1" ht="15" hidden="1" outlineLevel="1" x14ac:dyDescent="0.25">
      <c r="A93" s="115" t="s">
        <v>222</v>
      </c>
      <c r="B93" s="18"/>
      <c r="C93" s="16"/>
      <c r="D93" s="16"/>
      <c r="E93" s="16"/>
      <c r="F93" s="42">
        <f>+'[17]Solicitud presupuestal 2016'!$H$38</f>
        <v>8000000</v>
      </c>
      <c r="G93" s="16"/>
      <c r="H93" s="18">
        <f t="shared" si="16"/>
        <v>8000000</v>
      </c>
      <c r="I93" s="16"/>
      <c r="J93" s="42">
        <f t="shared" si="17"/>
        <v>8000000</v>
      </c>
      <c r="K93" s="42">
        <v>6609433</v>
      </c>
      <c r="L93" s="42">
        <f t="shared" si="12"/>
        <v>-1390567</v>
      </c>
      <c r="M93" s="161">
        <f t="shared" si="13"/>
        <v>0.82617912500000001</v>
      </c>
    </row>
    <row r="94" spans="1:13" s="86" customFormat="1" ht="15" hidden="1" outlineLevel="1" x14ac:dyDescent="0.25">
      <c r="A94" s="115" t="s">
        <v>360</v>
      </c>
      <c r="B94" s="18"/>
      <c r="C94" s="16"/>
      <c r="D94" s="16"/>
      <c r="E94" s="16"/>
      <c r="F94" s="42">
        <f>+'[17]Solicitud presupuestal 2016'!$H$39</f>
        <v>20499840</v>
      </c>
      <c r="G94" s="16"/>
      <c r="H94" s="18">
        <f t="shared" si="16"/>
        <v>20499840</v>
      </c>
      <c r="I94" s="16"/>
      <c r="J94" s="42">
        <f t="shared" si="17"/>
        <v>20499840</v>
      </c>
      <c r="K94" s="42">
        <v>19360960</v>
      </c>
      <c r="L94" s="42">
        <f t="shared" si="12"/>
        <v>-1138880</v>
      </c>
      <c r="M94" s="161">
        <f t="shared" si="13"/>
        <v>0.94444444444444442</v>
      </c>
    </row>
    <row r="95" spans="1:13" s="86" customFormat="1" ht="15" hidden="1" outlineLevel="1" x14ac:dyDescent="0.25">
      <c r="A95" s="115" t="s">
        <v>287</v>
      </c>
      <c r="B95" s="18"/>
      <c r="C95" s="16"/>
      <c r="D95" s="16"/>
      <c r="E95" s="16"/>
      <c r="F95" s="42">
        <f>+'[17]Solicitud presupuestal 2016'!$H$40</f>
        <v>9600000</v>
      </c>
      <c r="G95" s="16"/>
      <c r="H95" s="18">
        <f t="shared" si="16"/>
        <v>9600000</v>
      </c>
      <c r="I95" s="16"/>
      <c r="J95" s="42">
        <f t="shared" si="17"/>
        <v>9600000</v>
      </c>
      <c r="K95" s="42">
        <v>8366708</v>
      </c>
      <c r="L95" s="42">
        <f t="shared" si="12"/>
        <v>-1233292</v>
      </c>
      <c r="M95" s="161">
        <f t="shared" si="13"/>
        <v>0.87153208333333332</v>
      </c>
    </row>
    <row r="96" spans="1:13" s="86" customFormat="1" ht="15" hidden="1" outlineLevel="1" x14ac:dyDescent="0.25">
      <c r="A96" s="115" t="s">
        <v>208</v>
      </c>
      <c r="B96" s="18"/>
      <c r="C96" s="16"/>
      <c r="D96" s="16"/>
      <c r="E96" s="16"/>
      <c r="F96" s="42"/>
      <c r="G96" s="16"/>
      <c r="H96" s="18">
        <f t="shared" si="16"/>
        <v>0</v>
      </c>
      <c r="I96" s="16"/>
      <c r="J96" s="42">
        <f t="shared" si="17"/>
        <v>0</v>
      </c>
      <c r="K96" s="42">
        <v>0</v>
      </c>
      <c r="L96" s="42">
        <f t="shared" si="12"/>
        <v>0</v>
      </c>
      <c r="M96" s="161">
        <f t="shared" si="13"/>
        <v>0</v>
      </c>
    </row>
    <row r="97" spans="1:13" s="86" customFormat="1" ht="15" hidden="1" outlineLevel="1" x14ac:dyDescent="0.25">
      <c r="A97" s="115" t="s">
        <v>288</v>
      </c>
      <c r="B97" s="18"/>
      <c r="C97" s="16"/>
      <c r="D97" s="16"/>
      <c r="E97" s="16"/>
      <c r="F97" s="42">
        <f>+'[17]Solicitud presupuestal 2016'!$H$42</f>
        <v>34967175</v>
      </c>
      <c r="G97" s="16"/>
      <c r="H97" s="18">
        <f t="shared" si="16"/>
        <v>34967175</v>
      </c>
      <c r="I97" s="16"/>
      <c r="J97" s="42">
        <f t="shared" si="17"/>
        <v>34967175</v>
      </c>
      <c r="K97" s="42">
        <v>34967175</v>
      </c>
      <c r="L97" s="42">
        <f t="shared" si="12"/>
        <v>0</v>
      </c>
      <c r="M97" s="161">
        <f t="shared" si="13"/>
        <v>1</v>
      </c>
    </row>
    <row r="98" spans="1:13" s="86" customFormat="1" ht="15" hidden="1" outlineLevel="1" x14ac:dyDescent="0.25">
      <c r="A98" s="115" t="s">
        <v>223</v>
      </c>
      <c r="B98" s="18"/>
      <c r="C98" s="16"/>
      <c r="D98" s="16"/>
      <c r="E98" s="16"/>
      <c r="F98" s="42"/>
      <c r="G98" s="16"/>
      <c r="H98" s="18">
        <f t="shared" si="16"/>
        <v>0</v>
      </c>
      <c r="I98" s="16"/>
      <c r="J98" s="42">
        <f t="shared" si="17"/>
        <v>0</v>
      </c>
      <c r="K98" s="42">
        <v>0</v>
      </c>
      <c r="L98" s="42">
        <f t="shared" si="12"/>
        <v>0</v>
      </c>
      <c r="M98" s="161">
        <f t="shared" si="13"/>
        <v>0</v>
      </c>
    </row>
    <row r="99" spans="1:13" s="86" customFormat="1" ht="15" hidden="1" outlineLevel="1" x14ac:dyDescent="0.25">
      <c r="A99" s="115" t="s">
        <v>289</v>
      </c>
      <c r="B99" s="18"/>
      <c r="C99" s="16"/>
      <c r="D99" s="16"/>
      <c r="E99" s="16"/>
      <c r="F99" s="42">
        <f>+'[17]Solicitud presupuestal 2016'!$H$44</f>
        <v>30000000</v>
      </c>
      <c r="G99" s="16"/>
      <c r="H99" s="18">
        <f t="shared" si="16"/>
        <v>30000000</v>
      </c>
      <c r="I99" s="16"/>
      <c r="J99" s="42">
        <f t="shared" si="17"/>
        <v>30000000</v>
      </c>
      <c r="K99" s="42">
        <v>21720536</v>
      </c>
      <c r="L99" s="42">
        <f t="shared" si="12"/>
        <v>-8279464</v>
      </c>
      <c r="M99" s="161">
        <f t="shared" si="13"/>
        <v>0.72401786666666668</v>
      </c>
    </row>
    <row r="100" spans="1:13" s="86" customFormat="1" ht="15" collapsed="1" x14ac:dyDescent="0.25">
      <c r="A100" s="155" t="s">
        <v>361</v>
      </c>
      <c r="B100" s="18"/>
      <c r="C100" s="16"/>
      <c r="D100" s="16"/>
      <c r="E100" s="16"/>
      <c r="F100" s="16">
        <f>SUM(F101:F104)</f>
        <v>97813722</v>
      </c>
      <c r="G100" s="16"/>
      <c r="H100" s="16">
        <f>SUM(H101:H104)</f>
        <v>97813722</v>
      </c>
      <c r="I100" s="16"/>
      <c r="J100" s="16">
        <f>SUM(J101:J104)</f>
        <v>97813722</v>
      </c>
      <c r="K100" s="16">
        <f>SUM(K101:K104)</f>
        <v>86358904</v>
      </c>
      <c r="L100" s="16">
        <f t="shared" si="12"/>
        <v>-11454818</v>
      </c>
      <c r="M100" s="160">
        <f t="shared" si="13"/>
        <v>0.88289150268711791</v>
      </c>
    </row>
    <row r="101" spans="1:13" s="86" customFormat="1" ht="15" hidden="1" outlineLevel="1" x14ac:dyDescent="0.25">
      <c r="A101" s="115" t="s">
        <v>362</v>
      </c>
      <c r="B101" s="18"/>
      <c r="C101" s="16"/>
      <c r="D101" s="16"/>
      <c r="E101" s="16"/>
      <c r="F101" s="42">
        <f>+'[17]Solicitud presupuestal 2016'!$H$46</f>
        <v>16933722</v>
      </c>
      <c r="G101" s="16"/>
      <c r="H101" s="18">
        <f>+B101+C101+D101+G101+E101+F101</f>
        <v>16933722</v>
      </c>
      <c r="I101" s="16"/>
      <c r="J101" s="42">
        <f>+H101+I101</f>
        <v>16933722</v>
      </c>
      <c r="K101" s="42">
        <v>13196772</v>
      </c>
      <c r="L101" s="42">
        <f t="shared" si="12"/>
        <v>-3736950</v>
      </c>
      <c r="M101" s="161">
        <f t="shared" si="13"/>
        <v>0.77931904161412358</v>
      </c>
    </row>
    <row r="102" spans="1:13" s="86" customFormat="1" ht="15" hidden="1" outlineLevel="1" x14ac:dyDescent="0.25">
      <c r="A102" s="115" t="s">
        <v>363</v>
      </c>
      <c r="B102" s="18"/>
      <c r="C102" s="16"/>
      <c r="D102" s="16"/>
      <c r="E102" s="16"/>
      <c r="F102" s="42">
        <v>20880000</v>
      </c>
      <c r="G102" s="16"/>
      <c r="H102" s="18">
        <f>+B102+C102+D102+G102+E102+F102</f>
        <v>20880000</v>
      </c>
      <c r="I102" s="16"/>
      <c r="J102" s="42">
        <f>+H102+I102</f>
        <v>20880000</v>
      </c>
      <c r="K102" s="42">
        <v>20880000</v>
      </c>
      <c r="L102" s="42">
        <f t="shared" si="12"/>
        <v>0</v>
      </c>
      <c r="M102" s="161">
        <f t="shared" si="13"/>
        <v>1</v>
      </c>
    </row>
    <row r="103" spans="1:13" s="86" customFormat="1" ht="15" hidden="1" outlineLevel="1" x14ac:dyDescent="0.25">
      <c r="A103" s="115" t="s">
        <v>364</v>
      </c>
      <c r="B103" s="18"/>
      <c r="C103" s="16"/>
      <c r="D103" s="16"/>
      <c r="E103" s="16"/>
      <c r="F103" s="42">
        <f>+'[17]Solicitud presupuestal 2016'!$H$48</f>
        <v>60000000</v>
      </c>
      <c r="G103" s="16"/>
      <c r="H103" s="18">
        <f t="shared" ref="H103:H110" si="18">+B103+C103+D103+G103+E103+F103</f>
        <v>60000000</v>
      </c>
      <c r="I103" s="16"/>
      <c r="J103" s="42">
        <f t="shared" ref="J103:J110" si="19">+H103+I103</f>
        <v>60000000</v>
      </c>
      <c r="K103" s="42">
        <v>52282132</v>
      </c>
      <c r="L103" s="42">
        <f t="shared" si="12"/>
        <v>-7717868</v>
      </c>
      <c r="M103" s="161">
        <f t="shared" si="13"/>
        <v>0.87136886666666669</v>
      </c>
    </row>
    <row r="104" spans="1:13" s="86" customFormat="1" ht="15" hidden="1" outlineLevel="1" x14ac:dyDescent="0.25">
      <c r="A104" s="115" t="s">
        <v>365</v>
      </c>
      <c r="B104" s="18"/>
      <c r="C104" s="16"/>
      <c r="D104" s="16"/>
      <c r="E104" s="16"/>
      <c r="F104" s="42"/>
      <c r="G104" s="16"/>
      <c r="H104" s="18">
        <f t="shared" si="18"/>
        <v>0</v>
      </c>
      <c r="I104" s="16"/>
      <c r="J104" s="42">
        <f t="shared" si="19"/>
        <v>0</v>
      </c>
      <c r="K104" s="42">
        <v>0</v>
      </c>
      <c r="L104" s="42">
        <f t="shared" si="12"/>
        <v>0</v>
      </c>
      <c r="M104" s="161">
        <f t="shared" si="13"/>
        <v>0</v>
      </c>
    </row>
    <row r="105" spans="1:13" s="86" customFormat="1" ht="15" collapsed="1" x14ac:dyDescent="0.25">
      <c r="A105" s="155" t="s">
        <v>366</v>
      </c>
      <c r="B105" s="21"/>
      <c r="C105" s="21"/>
      <c r="D105" s="21"/>
      <c r="E105" s="21"/>
      <c r="F105" s="21">
        <f>SUM(F106:F110)</f>
        <v>108824038</v>
      </c>
      <c r="G105" s="21"/>
      <c r="H105" s="21">
        <f>+B105+C105+D105+G105+E105+F105</f>
        <v>108824038</v>
      </c>
      <c r="I105" s="21"/>
      <c r="J105" s="21">
        <f t="shared" si="19"/>
        <v>108824038</v>
      </c>
      <c r="K105" s="21">
        <f>SUM(K106:K110)</f>
        <v>88757183</v>
      </c>
      <c r="L105" s="21">
        <f t="shared" si="12"/>
        <v>-20066855</v>
      </c>
      <c r="M105" s="160">
        <f t="shared" si="13"/>
        <v>0.81560273475608391</v>
      </c>
    </row>
    <row r="106" spans="1:13" s="86" customFormat="1" ht="15" hidden="1" outlineLevel="1" x14ac:dyDescent="0.25">
      <c r="A106" s="115" t="s">
        <v>367</v>
      </c>
      <c r="B106" s="18"/>
      <c r="C106" s="16"/>
      <c r="D106" s="16"/>
      <c r="E106" s="16"/>
      <c r="F106" s="42">
        <f>+'[17]Solicitud presupuestal 2016'!$H$51</f>
        <v>16933722</v>
      </c>
      <c r="G106" s="16"/>
      <c r="H106" s="18">
        <f t="shared" si="18"/>
        <v>16933722</v>
      </c>
      <c r="I106" s="16"/>
      <c r="J106" s="42">
        <f t="shared" si="19"/>
        <v>16933722</v>
      </c>
      <c r="K106" s="42">
        <v>16184189</v>
      </c>
      <c r="L106" s="42">
        <f t="shared" si="12"/>
        <v>-749533</v>
      </c>
      <c r="M106" s="161">
        <f t="shared" si="13"/>
        <v>0.95573725610943649</v>
      </c>
    </row>
    <row r="107" spans="1:13" s="86" customFormat="1" ht="15" hidden="1" outlineLevel="1" x14ac:dyDescent="0.25">
      <c r="A107" s="115" t="s">
        <v>368</v>
      </c>
      <c r="B107" s="18"/>
      <c r="C107" s="16"/>
      <c r="D107" s="16"/>
      <c r="E107" s="16"/>
      <c r="F107" s="42">
        <f>+'[17]Solicitud presupuestal 2016'!$H$52</f>
        <v>20000000</v>
      </c>
      <c r="G107" s="16"/>
      <c r="H107" s="18">
        <f t="shared" si="18"/>
        <v>20000000</v>
      </c>
      <c r="I107" s="16"/>
      <c r="J107" s="42">
        <f t="shared" si="19"/>
        <v>20000000</v>
      </c>
      <c r="K107" s="42">
        <v>14971625</v>
      </c>
      <c r="L107" s="42">
        <f t="shared" si="12"/>
        <v>-5028375</v>
      </c>
      <c r="M107" s="161">
        <f t="shared" si="13"/>
        <v>0.74858124999999998</v>
      </c>
    </row>
    <row r="108" spans="1:13" s="86" customFormat="1" ht="15" hidden="1" outlineLevel="1" x14ac:dyDescent="0.25">
      <c r="A108" s="115" t="s">
        <v>369</v>
      </c>
      <c r="B108" s="18"/>
      <c r="C108" s="16"/>
      <c r="D108" s="16"/>
      <c r="E108" s="16"/>
      <c r="F108" s="42">
        <f>+'[17]Solicitud presupuestal 2016'!$H$53</f>
        <v>14400000</v>
      </c>
      <c r="G108" s="16"/>
      <c r="H108" s="18">
        <f t="shared" si="18"/>
        <v>14400000</v>
      </c>
      <c r="I108" s="16"/>
      <c r="J108" s="42">
        <f t="shared" si="19"/>
        <v>14400000</v>
      </c>
      <c r="K108" s="42">
        <v>11994658</v>
      </c>
      <c r="L108" s="42">
        <f t="shared" si="12"/>
        <v>-2405342</v>
      </c>
      <c r="M108" s="161">
        <f t="shared" si="13"/>
        <v>0.8329623611111111</v>
      </c>
    </row>
    <row r="109" spans="1:13" s="86" customFormat="1" ht="15" hidden="1" outlineLevel="1" x14ac:dyDescent="0.25">
      <c r="A109" s="115" t="s">
        <v>370</v>
      </c>
      <c r="B109" s="18"/>
      <c r="C109" s="16"/>
      <c r="D109" s="16"/>
      <c r="E109" s="16"/>
      <c r="F109" s="42">
        <f>+'[17]Solicitud presupuestal 2016'!$H$54</f>
        <v>17900000</v>
      </c>
      <c r="G109" s="16"/>
      <c r="H109" s="18">
        <f t="shared" si="18"/>
        <v>17900000</v>
      </c>
      <c r="I109" s="16"/>
      <c r="J109" s="42">
        <f t="shared" si="19"/>
        <v>17900000</v>
      </c>
      <c r="K109" s="42">
        <v>10415319</v>
      </c>
      <c r="L109" s="42">
        <f t="shared" si="12"/>
        <v>-7484681</v>
      </c>
      <c r="M109" s="161">
        <f t="shared" si="13"/>
        <v>0.5818613966480447</v>
      </c>
    </row>
    <row r="110" spans="1:13" s="86" customFormat="1" ht="15" hidden="1" outlineLevel="1" x14ac:dyDescent="0.25">
      <c r="A110" s="115" t="s">
        <v>226</v>
      </c>
      <c r="B110" s="18"/>
      <c r="C110" s="16"/>
      <c r="D110" s="16"/>
      <c r="E110" s="16"/>
      <c r="F110" s="42">
        <f>+'[17]Solicitud presupuestal 2016'!$H$55</f>
        <v>39590316</v>
      </c>
      <c r="G110" s="16"/>
      <c r="H110" s="18">
        <f t="shared" si="18"/>
        <v>39590316</v>
      </c>
      <c r="I110" s="16"/>
      <c r="J110" s="42">
        <f t="shared" si="19"/>
        <v>39590316</v>
      </c>
      <c r="K110" s="42">
        <v>35191392</v>
      </c>
      <c r="L110" s="42">
        <f t="shared" si="12"/>
        <v>-4398924</v>
      </c>
      <c r="M110" s="161">
        <f t="shared" si="13"/>
        <v>0.88888888888888884</v>
      </c>
    </row>
    <row r="111" spans="1:13" s="86" customFormat="1" ht="15" collapsed="1" x14ac:dyDescent="0.25">
      <c r="A111" s="115"/>
      <c r="B111" s="18"/>
      <c r="C111" s="16"/>
      <c r="D111" s="16"/>
      <c r="E111" s="16"/>
      <c r="F111" s="42"/>
      <c r="G111" s="16"/>
      <c r="H111" s="18"/>
      <c r="I111" s="16"/>
      <c r="J111" s="42"/>
      <c r="K111" s="42"/>
      <c r="L111" s="42"/>
      <c r="M111" s="161"/>
    </row>
    <row r="112" spans="1:13" s="86" customFormat="1" ht="15" x14ac:dyDescent="0.25">
      <c r="A112" s="155" t="s">
        <v>324</v>
      </c>
      <c r="B112" s="16"/>
      <c r="C112" s="16"/>
      <c r="D112" s="16"/>
      <c r="E112" s="16"/>
      <c r="F112" s="16"/>
      <c r="G112" s="16">
        <f>+G113+G118+G121+G128+G131</f>
        <v>4112255000</v>
      </c>
      <c r="H112" s="16">
        <f>+H113+H118+H121+H128+H131</f>
        <v>4112255000</v>
      </c>
      <c r="I112" s="16"/>
      <c r="J112" s="16">
        <f>+J113+J118+J121+J128+J131</f>
        <v>4112255000</v>
      </c>
      <c r="K112" s="16">
        <f>+K113+K118+K121+K128+K131</f>
        <v>3438117221</v>
      </c>
      <c r="L112" s="16">
        <f t="shared" si="12"/>
        <v>-674137779</v>
      </c>
      <c r="M112" s="160">
        <f t="shared" si="13"/>
        <v>0.83606615372830717</v>
      </c>
    </row>
    <row r="113" spans="1:13" s="86" customFormat="1" ht="15" x14ac:dyDescent="0.25">
      <c r="A113" s="155" t="s">
        <v>70</v>
      </c>
      <c r="B113" s="16"/>
      <c r="C113" s="16"/>
      <c r="D113" s="16"/>
      <c r="E113" s="21"/>
      <c r="F113" s="16"/>
      <c r="G113" s="21">
        <f>SUM(G114:G117)</f>
        <v>1470500000</v>
      </c>
      <c r="H113" s="21">
        <f>SUM(H114:H117)</f>
        <v>1470500000</v>
      </c>
      <c r="I113" s="16"/>
      <c r="J113" s="21">
        <f>SUM(J114:J117)</f>
        <v>1470500000</v>
      </c>
      <c r="K113" s="21">
        <f>SUM(K114:K117)</f>
        <v>1374321775</v>
      </c>
      <c r="L113" s="21">
        <f t="shared" si="12"/>
        <v>-96178225</v>
      </c>
      <c r="M113" s="160">
        <f t="shared" si="13"/>
        <v>0.93459488269296154</v>
      </c>
    </row>
    <row r="114" spans="1:13" s="86" customFormat="1" ht="15" hidden="1" outlineLevel="1" x14ac:dyDescent="0.25">
      <c r="A114" s="115" t="s">
        <v>211</v>
      </c>
      <c r="B114" s="16"/>
      <c r="C114" s="16"/>
      <c r="D114" s="16"/>
      <c r="E114" s="18"/>
      <c r="F114" s="16"/>
      <c r="G114" s="18">
        <f>+[18]Hoja1!$H$17</f>
        <v>630000000</v>
      </c>
      <c r="H114" s="18">
        <f>+B114+C114+D114+G114+E114+F114</f>
        <v>630000000</v>
      </c>
      <c r="I114" s="16"/>
      <c r="J114" s="42">
        <f>+H114+I114</f>
        <v>630000000</v>
      </c>
      <c r="K114" s="42">
        <v>583744000</v>
      </c>
      <c r="L114" s="42">
        <f t="shared" si="12"/>
        <v>-46256000</v>
      </c>
      <c r="M114" s="161">
        <f t="shared" si="13"/>
        <v>0.92657777777777772</v>
      </c>
    </row>
    <row r="115" spans="1:13" s="86" customFormat="1" ht="15" hidden="1" outlineLevel="1" x14ac:dyDescent="0.25">
      <c r="A115" s="115" t="s">
        <v>212</v>
      </c>
      <c r="B115" s="16"/>
      <c r="C115" s="16"/>
      <c r="D115" s="16"/>
      <c r="E115" s="18"/>
      <c r="F115" s="16"/>
      <c r="G115" s="18">
        <f>+[18]Hoja1!$H$18</f>
        <v>150000000</v>
      </c>
      <c r="H115" s="18">
        <f>+B115+C115+D115+G115+E115+F115</f>
        <v>150000000</v>
      </c>
      <c r="I115" s="16"/>
      <c r="J115" s="42">
        <f>+H115+I115</f>
        <v>150000000</v>
      </c>
      <c r="K115" s="42">
        <v>148044075</v>
      </c>
      <c r="L115" s="42">
        <f t="shared" si="12"/>
        <v>-1955925</v>
      </c>
      <c r="M115" s="161">
        <f t="shared" si="13"/>
        <v>0.98696050000000002</v>
      </c>
    </row>
    <row r="116" spans="1:13" s="86" customFormat="1" ht="15" hidden="1" outlineLevel="1" x14ac:dyDescent="0.25">
      <c r="A116" s="115" t="s">
        <v>254</v>
      </c>
      <c r="B116" s="16"/>
      <c r="C116" s="16"/>
      <c r="D116" s="16"/>
      <c r="E116" s="18"/>
      <c r="F116" s="16"/>
      <c r="G116" s="18">
        <v>37000000</v>
      </c>
      <c r="H116" s="18">
        <f>+B116+C116+D116+G116+E116+F116</f>
        <v>37000000</v>
      </c>
      <c r="I116" s="16"/>
      <c r="J116" s="42">
        <f>+H116+I116</f>
        <v>37000000</v>
      </c>
      <c r="K116" s="42">
        <v>23784813</v>
      </c>
      <c r="L116" s="42">
        <f t="shared" si="12"/>
        <v>-13215187</v>
      </c>
      <c r="M116" s="161">
        <f t="shared" si="13"/>
        <v>0.64283278378378383</v>
      </c>
    </row>
    <row r="117" spans="1:13" s="86" customFormat="1" ht="15" hidden="1" outlineLevel="1" x14ac:dyDescent="0.25">
      <c r="A117" s="115" t="s">
        <v>255</v>
      </c>
      <c r="B117" s="16"/>
      <c r="C117" s="16"/>
      <c r="D117" s="16"/>
      <c r="E117" s="18"/>
      <c r="F117" s="16"/>
      <c r="G117" s="18">
        <f>+[18]Hoja1!$H$20</f>
        <v>653500000</v>
      </c>
      <c r="H117" s="18">
        <f>+B117+C117+D117+G117+E117+F117</f>
        <v>653500000</v>
      </c>
      <c r="I117" s="16"/>
      <c r="J117" s="42">
        <f>+H117+I117</f>
        <v>653500000</v>
      </c>
      <c r="K117" s="42">
        <v>618748887</v>
      </c>
      <c r="L117" s="42">
        <f t="shared" si="12"/>
        <v>-34751113</v>
      </c>
      <c r="M117" s="161">
        <f t="shared" si="13"/>
        <v>0.94682308645753632</v>
      </c>
    </row>
    <row r="118" spans="1:13" s="86" customFormat="1" ht="15" collapsed="1" x14ac:dyDescent="0.25">
      <c r="A118" s="155" t="s">
        <v>9</v>
      </c>
      <c r="B118" s="16"/>
      <c r="C118" s="16"/>
      <c r="D118" s="16"/>
      <c r="E118" s="21"/>
      <c r="F118" s="16"/>
      <c r="G118" s="21">
        <f>SUM(G119:G120)</f>
        <v>180000000</v>
      </c>
      <c r="H118" s="21">
        <f>SUM(H119:H120)</f>
        <v>180000000</v>
      </c>
      <c r="I118" s="16"/>
      <c r="J118" s="21">
        <f>SUM(J119:J120)</f>
        <v>180000000</v>
      </c>
      <c r="K118" s="21">
        <f>SUM(K119:K120)</f>
        <v>105478337</v>
      </c>
      <c r="L118" s="21">
        <f t="shared" si="12"/>
        <v>-74521663</v>
      </c>
      <c r="M118" s="160">
        <f t="shared" si="13"/>
        <v>0.58599076111111115</v>
      </c>
    </row>
    <row r="119" spans="1:13" s="86" customFormat="1" ht="15" hidden="1" outlineLevel="1" x14ac:dyDescent="0.25">
      <c r="A119" s="115" t="s">
        <v>41</v>
      </c>
      <c r="B119" s="16"/>
      <c r="C119" s="16"/>
      <c r="D119" s="16"/>
      <c r="E119" s="18"/>
      <c r="F119" s="16"/>
      <c r="G119" s="18">
        <f>+[18]Hoja1!$H$22</f>
        <v>100000000</v>
      </c>
      <c r="H119" s="18">
        <f>+B119+C119+D119+G119+E119+F119</f>
        <v>100000000</v>
      </c>
      <c r="I119" s="16"/>
      <c r="J119" s="42">
        <f>+H119+I119</f>
        <v>100000000</v>
      </c>
      <c r="K119" s="42">
        <v>75612657</v>
      </c>
      <c r="L119" s="42">
        <f t="shared" si="12"/>
        <v>-24387343</v>
      </c>
      <c r="M119" s="161">
        <f t="shared" si="13"/>
        <v>0.75612657000000005</v>
      </c>
    </row>
    <row r="120" spans="1:13" s="86" customFormat="1" ht="15" hidden="1" outlineLevel="1" x14ac:dyDescent="0.25">
      <c r="A120" s="115" t="s">
        <v>213</v>
      </c>
      <c r="B120" s="16"/>
      <c r="C120" s="16"/>
      <c r="D120" s="16"/>
      <c r="E120" s="18"/>
      <c r="F120" s="16"/>
      <c r="G120" s="18">
        <f>+[18]Hoja1!$H$23</f>
        <v>80000000</v>
      </c>
      <c r="H120" s="18">
        <f>+B120+C120+D120+G120+E120+F120</f>
        <v>80000000</v>
      </c>
      <c r="I120" s="16"/>
      <c r="J120" s="42">
        <f>+H120+I120</f>
        <v>80000000</v>
      </c>
      <c r="K120" s="42">
        <v>29865680</v>
      </c>
      <c r="L120" s="42">
        <f t="shared" si="12"/>
        <v>-50134320</v>
      </c>
      <c r="M120" s="161">
        <f t="shared" si="13"/>
        <v>0.37332100000000001</v>
      </c>
    </row>
    <row r="121" spans="1:13" s="86" customFormat="1" ht="15" collapsed="1" x14ac:dyDescent="0.25">
      <c r="A121" s="155" t="s">
        <v>256</v>
      </c>
      <c r="B121" s="16"/>
      <c r="C121" s="16"/>
      <c r="D121" s="16"/>
      <c r="E121" s="21"/>
      <c r="F121" s="16"/>
      <c r="G121" s="21">
        <f>SUM(G122:G127)</f>
        <v>711755000</v>
      </c>
      <c r="H121" s="21">
        <f>SUM(H122:H127)</f>
        <v>711755000</v>
      </c>
      <c r="I121" s="16"/>
      <c r="J121" s="21">
        <f>SUM(J122:J127)</f>
        <v>711755000</v>
      </c>
      <c r="K121" s="21">
        <f>SUM(K122:K127)</f>
        <v>412632211</v>
      </c>
      <c r="L121" s="21">
        <f t="shared" si="12"/>
        <v>-299122789</v>
      </c>
      <c r="M121" s="160">
        <f t="shared" si="13"/>
        <v>0.57973911107052289</v>
      </c>
    </row>
    <row r="122" spans="1:13" s="86" customFormat="1" ht="15" hidden="1" outlineLevel="1" x14ac:dyDescent="0.25">
      <c r="A122" s="115" t="s">
        <v>202</v>
      </c>
      <c r="B122" s="16"/>
      <c r="C122" s="16"/>
      <c r="D122" s="16"/>
      <c r="E122" s="18"/>
      <c r="F122" s="16"/>
      <c r="G122" s="18">
        <f>+[18]Hoja1!$H$25</f>
        <v>80000000</v>
      </c>
      <c r="H122" s="18">
        <f t="shared" ref="H122:H127" si="20">+B122+C122+D122+G122+E122+F122</f>
        <v>80000000</v>
      </c>
      <c r="I122" s="16"/>
      <c r="J122" s="42">
        <f t="shared" ref="J122:J127" si="21">+H122+I122</f>
        <v>80000000</v>
      </c>
      <c r="K122" s="42">
        <v>80000000</v>
      </c>
      <c r="L122" s="42">
        <f t="shared" si="12"/>
        <v>0</v>
      </c>
      <c r="M122" s="161">
        <f t="shared" si="13"/>
        <v>1</v>
      </c>
    </row>
    <row r="123" spans="1:13" s="86" customFormat="1" ht="15" hidden="1" outlineLevel="1" x14ac:dyDescent="0.25">
      <c r="A123" s="115" t="s">
        <v>256</v>
      </c>
      <c r="B123" s="16"/>
      <c r="C123" s="16"/>
      <c r="D123" s="16"/>
      <c r="E123" s="18"/>
      <c r="F123" s="16"/>
      <c r="G123" s="18">
        <f>+[18]Hoja1!$H$26</f>
        <v>430000000</v>
      </c>
      <c r="H123" s="18">
        <f t="shared" si="20"/>
        <v>430000000</v>
      </c>
      <c r="I123" s="16"/>
      <c r="J123" s="42">
        <f t="shared" si="21"/>
        <v>430000000</v>
      </c>
      <c r="K123" s="42">
        <v>236522031</v>
      </c>
      <c r="L123" s="42">
        <f t="shared" si="12"/>
        <v>-193477969</v>
      </c>
      <c r="M123" s="161">
        <f t="shared" si="13"/>
        <v>0.55005123488372099</v>
      </c>
    </row>
    <row r="124" spans="1:13" s="86" customFormat="1" ht="15" hidden="1" outlineLevel="1" x14ac:dyDescent="0.25">
      <c r="A124" s="115" t="s">
        <v>427</v>
      </c>
      <c r="B124" s="16"/>
      <c r="C124" s="16"/>
      <c r="D124" s="16"/>
      <c r="E124" s="18"/>
      <c r="F124" s="16"/>
      <c r="G124" s="18">
        <f>+[18]Hoja1!$H$27</f>
        <v>15000000</v>
      </c>
      <c r="H124" s="18">
        <f t="shared" si="20"/>
        <v>15000000</v>
      </c>
      <c r="I124" s="16"/>
      <c r="J124" s="42">
        <f t="shared" si="21"/>
        <v>15000000</v>
      </c>
      <c r="K124" s="42">
        <v>15207756</v>
      </c>
      <c r="L124" s="42">
        <f t="shared" si="12"/>
        <v>207756</v>
      </c>
      <c r="M124" s="161">
        <f t="shared" si="13"/>
        <v>1.0138503999999999</v>
      </c>
    </row>
    <row r="125" spans="1:13" s="86" customFormat="1" ht="15" hidden="1" outlineLevel="1" x14ac:dyDescent="0.25">
      <c r="A125" s="115" t="s">
        <v>257</v>
      </c>
      <c r="B125" s="16"/>
      <c r="C125" s="16"/>
      <c r="D125" s="16"/>
      <c r="E125" s="18"/>
      <c r="F125" s="16"/>
      <c r="G125" s="18">
        <f>+[18]Hoja1!$H$28</f>
        <v>35000000</v>
      </c>
      <c r="H125" s="18">
        <f t="shared" si="20"/>
        <v>35000000</v>
      </c>
      <c r="I125" s="16"/>
      <c r="J125" s="42">
        <f t="shared" si="21"/>
        <v>35000000</v>
      </c>
      <c r="K125" s="42">
        <v>30031678</v>
      </c>
      <c r="L125" s="42">
        <f t="shared" si="12"/>
        <v>-4968322</v>
      </c>
      <c r="M125" s="161">
        <f t="shared" si="13"/>
        <v>0.85804794285714281</v>
      </c>
    </row>
    <row r="126" spans="1:13" s="86" customFormat="1" ht="15" hidden="1" outlineLevel="1" x14ac:dyDescent="0.25">
      <c r="A126" s="115" t="s">
        <v>420</v>
      </c>
      <c r="B126" s="16"/>
      <c r="C126" s="16"/>
      <c r="D126" s="16"/>
      <c r="E126" s="18"/>
      <c r="F126" s="16"/>
      <c r="G126" s="18">
        <v>150000000</v>
      </c>
      <c r="H126" s="18">
        <f t="shared" si="20"/>
        <v>150000000</v>
      </c>
      <c r="I126" s="16"/>
      <c r="J126" s="42">
        <f t="shared" si="21"/>
        <v>150000000</v>
      </c>
      <c r="K126" s="42">
        <v>49455280</v>
      </c>
      <c r="L126" s="42">
        <f t="shared" si="12"/>
        <v>-100544720</v>
      </c>
      <c r="M126" s="161">
        <f t="shared" si="13"/>
        <v>0.32970186666666668</v>
      </c>
    </row>
    <row r="127" spans="1:13" s="86" customFormat="1" ht="15" hidden="1" outlineLevel="1" x14ac:dyDescent="0.25">
      <c r="A127" s="115" t="s">
        <v>421</v>
      </c>
      <c r="B127" s="16"/>
      <c r="C127" s="16"/>
      <c r="D127" s="16"/>
      <c r="E127" s="18"/>
      <c r="F127" s="16"/>
      <c r="G127" s="18">
        <f>+[18]Hoja1!$H$30</f>
        <v>1755000</v>
      </c>
      <c r="H127" s="18">
        <f t="shared" si="20"/>
        <v>1755000</v>
      </c>
      <c r="I127" s="16"/>
      <c r="J127" s="42">
        <f t="shared" si="21"/>
        <v>1755000</v>
      </c>
      <c r="K127" s="42">
        <v>1415466</v>
      </c>
      <c r="L127" s="42">
        <f t="shared" si="12"/>
        <v>-339534</v>
      </c>
      <c r="M127" s="161">
        <f t="shared" si="13"/>
        <v>0.80653333333333332</v>
      </c>
    </row>
    <row r="128" spans="1:13" s="86" customFormat="1" ht="15" collapsed="1" x14ac:dyDescent="0.25">
      <c r="A128" s="155" t="s">
        <v>7</v>
      </c>
      <c r="B128" s="16"/>
      <c r="C128" s="16"/>
      <c r="D128" s="16"/>
      <c r="E128" s="21"/>
      <c r="F128" s="16"/>
      <c r="G128" s="21">
        <f>SUM(G129:G130)</f>
        <v>110000000</v>
      </c>
      <c r="H128" s="21">
        <f>SUM(H129:H130)</f>
        <v>110000000</v>
      </c>
      <c r="I128" s="16"/>
      <c r="J128" s="21">
        <f>SUM(J129:J130)</f>
        <v>110000000</v>
      </c>
      <c r="K128" s="21">
        <f>SUM(K129:K130)</f>
        <v>51144173</v>
      </c>
      <c r="L128" s="21">
        <f t="shared" si="12"/>
        <v>-58855827</v>
      </c>
      <c r="M128" s="160">
        <f t="shared" si="13"/>
        <v>0.4649470272727273</v>
      </c>
    </row>
    <row r="129" spans="1:13" s="86" customFormat="1" ht="15" hidden="1" outlineLevel="1" x14ac:dyDescent="0.25">
      <c r="A129" s="115" t="s">
        <v>71</v>
      </c>
      <c r="B129" s="16"/>
      <c r="C129" s="16"/>
      <c r="D129" s="16"/>
      <c r="E129" s="18"/>
      <c r="F129" s="16"/>
      <c r="G129" s="18">
        <f>+[18]Hoja1!$H$32</f>
        <v>40000000</v>
      </c>
      <c r="H129" s="18">
        <f>+B129+C129+D129+G129+E129+F129</f>
        <v>40000000</v>
      </c>
      <c r="I129" s="16"/>
      <c r="J129" s="42">
        <f>+H129+I129</f>
        <v>40000000</v>
      </c>
      <c r="K129" s="42">
        <v>34668437</v>
      </c>
      <c r="L129" s="42">
        <f t="shared" si="12"/>
        <v>-5331563</v>
      </c>
      <c r="M129" s="161">
        <f t="shared" si="13"/>
        <v>0.86671092500000002</v>
      </c>
    </row>
    <row r="130" spans="1:13" s="86" customFormat="1" ht="15" hidden="1" outlineLevel="1" x14ac:dyDescent="0.25">
      <c r="A130" s="115" t="s">
        <v>435</v>
      </c>
      <c r="B130" s="16"/>
      <c r="C130" s="16"/>
      <c r="D130" s="16"/>
      <c r="E130" s="18"/>
      <c r="F130" s="16"/>
      <c r="G130" s="18">
        <v>70000000</v>
      </c>
      <c r="H130" s="18">
        <f>+B130+C130+D130+G130+E130+F130</f>
        <v>70000000</v>
      </c>
      <c r="I130" s="16"/>
      <c r="J130" s="42">
        <f>+H130+I130</f>
        <v>70000000</v>
      </c>
      <c r="K130" s="42">
        <v>16475736</v>
      </c>
      <c r="L130" s="42">
        <f t="shared" si="12"/>
        <v>-53524264</v>
      </c>
      <c r="M130" s="161">
        <f t="shared" si="13"/>
        <v>0.23536765714285715</v>
      </c>
    </row>
    <row r="131" spans="1:13" s="86" customFormat="1" ht="15" collapsed="1" x14ac:dyDescent="0.25">
      <c r="A131" s="155" t="s">
        <v>139</v>
      </c>
      <c r="B131" s="16"/>
      <c r="C131" s="16"/>
      <c r="D131" s="16"/>
      <c r="E131" s="16"/>
      <c r="F131" s="16"/>
      <c r="G131" s="16">
        <f>SUM(G132:G134)</f>
        <v>1640000000</v>
      </c>
      <c r="H131" s="16">
        <f>SUM(H132:H134)</f>
        <v>1640000000</v>
      </c>
      <c r="I131" s="16"/>
      <c r="J131" s="16">
        <f>SUM(J132:J134)</f>
        <v>1640000000</v>
      </c>
      <c r="K131" s="16">
        <f>SUM(K132:K134)</f>
        <v>1494540725</v>
      </c>
      <c r="L131" s="16">
        <f t="shared" si="12"/>
        <v>-145459275</v>
      </c>
      <c r="M131" s="160">
        <f t="shared" si="13"/>
        <v>0.9113053201219512</v>
      </c>
    </row>
    <row r="132" spans="1:13" s="86" customFormat="1" ht="15" hidden="1" outlineLevel="1" x14ac:dyDescent="0.25">
      <c r="A132" s="115" t="s">
        <v>174</v>
      </c>
      <c r="B132" s="16"/>
      <c r="C132" s="16"/>
      <c r="D132" s="16"/>
      <c r="E132" s="42"/>
      <c r="F132" s="16"/>
      <c r="G132" s="42">
        <f>+[18]Hoja1!$H$35</f>
        <v>1600000000</v>
      </c>
      <c r="H132" s="18">
        <f>+B132+C132+D132+G132+E132+F132</f>
        <v>1600000000</v>
      </c>
      <c r="I132" s="16"/>
      <c r="J132" s="42">
        <f>+H132+I132</f>
        <v>1600000000</v>
      </c>
      <c r="K132" s="42">
        <v>1464546810</v>
      </c>
      <c r="L132" s="42">
        <f t="shared" si="12"/>
        <v>-135453190</v>
      </c>
      <c r="M132" s="161">
        <f t="shared" si="13"/>
        <v>0.91534175625000003</v>
      </c>
    </row>
    <row r="133" spans="1:13" s="86" customFormat="1" ht="15" hidden="1" outlineLevel="1" x14ac:dyDescent="0.25">
      <c r="A133" s="115" t="s">
        <v>258</v>
      </c>
      <c r="B133" s="16"/>
      <c r="C133" s="16"/>
      <c r="D133" s="16"/>
      <c r="E133" s="42"/>
      <c r="F133" s="16"/>
      <c r="G133" s="42">
        <f>+[18]Hoja1!$H$36</f>
        <v>23000000</v>
      </c>
      <c r="H133" s="18">
        <f>+B133+C133+D133+G133+E133+F133</f>
        <v>23000000</v>
      </c>
      <c r="I133" s="16"/>
      <c r="J133" s="42">
        <f>+H133+I133</f>
        <v>23000000</v>
      </c>
      <c r="K133" s="42">
        <v>16479128</v>
      </c>
      <c r="L133" s="42">
        <f t="shared" si="12"/>
        <v>-6520872</v>
      </c>
      <c r="M133" s="161">
        <f t="shared" si="13"/>
        <v>0.71648382608695649</v>
      </c>
    </row>
    <row r="134" spans="1:13" s="86" customFormat="1" ht="15" hidden="1" outlineLevel="1" x14ac:dyDescent="0.25">
      <c r="A134" s="115" t="s">
        <v>144</v>
      </c>
      <c r="B134" s="16"/>
      <c r="C134" s="16"/>
      <c r="D134" s="16"/>
      <c r="E134" s="42"/>
      <c r="F134" s="16"/>
      <c r="G134" s="42">
        <f>+[18]Hoja1!$H$37</f>
        <v>17000000</v>
      </c>
      <c r="H134" s="18">
        <f>+B134+C134+D134+G134+E134+F134</f>
        <v>17000000</v>
      </c>
      <c r="I134" s="16"/>
      <c r="J134" s="42">
        <f>+H134+I134</f>
        <v>17000000</v>
      </c>
      <c r="K134" s="42">
        <v>13514787</v>
      </c>
      <c r="L134" s="42">
        <f t="shared" si="12"/>
        <v>-3485213</v>
      </c>
      <c r="M134" s="161">
        <f t="shared" si="13"/>
        <v>0.79498747058823527</v>
      </c>
    </row>
    <row r="135" spans="1:13" s="86" customFormat="1" ht="15" collapsed="1" x14ac:dyDescent="0.25">
      <c r="A135" s="115"/>
      <c r="B135" s="16"/>
      <c r="C135" s="16"/>
      <c r="D135" s="16"/>
      <c r="E135" s="42"/>
      <c r="F135" s="16"/>
      <c r="G135" s="42"/>
      <c r="H135" s="18"/>
      <c r="I135" s="16"/>
      <c r="J135" s="42"/>
      <c r="K135" s="42"/>
      <c r="L135" s="42"/>
      <c r="M135" s="161"/>
    </row>
    <row r="136" spans="1:13" s="172" customFormat="1" ht="15" x14ac:dyDescent="0.25">
      <c r="A136" s="155" t="s">
        <v>325</v>
      </c>
      <c r="B136" s="170"/>
      <c r="C136" s="21">
        <f>+C137+C144+C151</f>
        <v>401969282</v>
      </c>
      <c r="D136" s="170"/>
      <c r="E136" s="171"/>
      <c r="F136" s="170"/>
      <c r="G136" s="171"/>
      <c r="H136" s="21">
        <f>+H137+H144+H151</f>
        <v>401969282</v>
      </c>
      <c r="I136" s="170"/>
      <c r="J136" s="21">
        <f>+H136+I136</f>
        <v>401969282</v>
      </c>
      <c r="K136" s="21">
        <f>+K137+K144+K151</f>
        <v>320591667</v>
      </c>
      <c r="L136" s="21">
        <f t="shared" si="12"/>
        <v>-81377615</v>
      </c>
      <c r="M136" s="160">
        <f t="shared" si="13"/>
        <v>0.7975526522944606</v>
      </c>
    </row>
    <row r="137" spans="1:13" s="86" customFormat="1" ht="15" x14ac:dyDescent="0.25">
      <c r="A137" s="155" t="s">
        <v>266</v>
      </c>
      <c r="B137" s="170"/>
      <c r="C137" s="16">
        <f>SUM(C138:C143)</f>
        <v>86296420</v>
      </c>
      <c r="D137" s="16"/>
      <c r="E137" s="16"/>
      <c r="F137" s="16"/>
      <c r="G137" s="16"/>
      <c r="H137" s="21">
        <f>+B137+C137+D137+G137+E137+F137</f>
        <v>86296420</v>
      </c>
      <c r="I137" s="21"/>
      <c r="J137" s="16">
        <f>SUM(J138:J143)</f>
        <v>86296420</v>
      </c>
      <c r="K137" s="16">
        <f>SUM(K138:K143)</f>
        <v>71211681</v>
      </c>
      <c r="L137" s="16">
        <f t="shared" si="12"/>
        <v>-15084739</v>
      </c>
      <c r="M137" s="160">
        <f t="shared" si="13"/>
        <v>0.82519855400722297</v>
      </c>
    </row>
    <row r="138" spans="1:13" s="86" customFormat="1" ht="15" hidden="1" outlineLevel="1" x14ac:dyDescent="0.25">
      <c r="A138" s="115" t="s">
        <v>326</v>
      </c>
      <c r="B138" s="170"/>
      <c r="C138" s="42"/>
      <c r="D138" s="16"/>
      <c r="E138" s="16"/>
      <c r="F138" s="16"/>
      <c r="G138" s="16"/>
      <c r="H138" s="42">
        <f>+B138+C138+D138+G138+E138+F138</f>
        <v>0</v>
      </c>
      <c r="I138" s="21"/>
      <c r="J138" s="42">
        <f t="shared" ref="J138:J155" si="22">+H138+I138</f>
        <v>0</v>
      </c>
      <c r="K138" s="42">
        <v>0</v>
      </c>
      <c r="L138" s="42">
        <f t="shared" ref="L138:L201" si="23">+K138-J138</f>
        <v>0</v>
      </c>
      <c r="M138" s="161">
        <f t="shared" ref="M138:M201" si="24">IFERROR(K138/J138,0)</f>
        <v>0</v>
      </c>
    </row>
    <row r="139" spans="1:13" s="86" customFormat="1" ht="15" hidden="1" outlineLevel="1" x14ac:dyDescent="0.25">
      <c r="A139" s="115" t="s">
        <v>327</v>
      </c>
      <c r="B139" s="170"/>
      <c r="C139" s="42">
        <f>+[21]Presupuesto!$H$14</f>
        <v>69296420</v>
      </c>
      <c r="D139" s="16"/>
      <c r="E139" s="16"/>
      <c r="F139" s="16"/>
      <c r="G139" s="16"/>
      <c r="H139" s="42">
        <f t="shared" ref="H139:H155" si="25">+B139+C139+D139+G139+E139+F139</f>
        <v>69296420</v>
      </c>
      <c r="I139" s="21"/>
      <c r="J139" s="42">
        <f t="shared" si="22"/>
        <v>69296420</v>
      </c>
      <c r="K139" s="42">
        <v>64967296</v>
      </c>
      <c r="L139" s="42">
        <f t="shared" si="23"/>
        <v>-4329124</v>
      </c>
      <c r="M139" s="161">
        <f t="shared" si="24"/>
        <v>0.93752745091304857</v>
      </c>
    </row>
    <row r="140" spans="1:13" s="86" customFormat="1" ht="15" hidden="1" outlineLevel="1" x14ac:dyDescent="0.25">
      <c r="A140" s="115" t="s">
        <v>328</v>
      </c>
      <c r="B140" s="170"/>
      <c r="C140" s="42">
        <f>+[21]Presupuesto!$H$15</f>
        <v>8000000</v>
      </c>
      <c r="D140" s="16"/>
      <c r="E140" s="16"/>
      <c r="F140" s="16"/>
      <c r="G140" s="16"/>
      <c r="H140" s="42">
        <f t="shared" si="25"/>
        <v>8000000</v>
      </c>
      <c r="I140" s="21"/>
      <c r="J140" s="42">
        <f t="shared" si="22"/>
        <v>8000000</v>
      </c>
      <c r="K140" s="42">
        <v>0</v>
      </c>
      <c r="L140" s="42">
        <f t="shared" si="23"/>
        <v>-8000000</v>
      </c>
      <c r="M140" s="161">
        <f t="shared" si="24"/>
        <v>0</v>
      </c>
    </row>
    <row r="141" spans="1:13" s="86" customFormat="1" ht="15" hidden="1" outlineLevel="1" x14ac:dyDescent="0.25">
      <c r="A141" s="115" t="s">
        <v>329</v>
      </c>
      <c r="B141" s="170"/>
      <c r="C141" s="42">
        <f>+[21]Presupuesto!$H$16</f>
        <v>9000000</v>
      </c>
      <c r="D141" s="16"/>
      <c r="E141" s="16"/>
      <c r="F141" s="16"/>
      <c r="G141" s="16"/>
      <c r="H141" s="42">
        <f t="shared" si="25"/>
        <v>9000000</v>
      </c>
      <c r="I141" s="21"/>
      <c r="J141" s="42">
        <f t="shared" si="22"/>
        <v>9000000</v>
      </c>
      <c r="K141" s="42">
        <v>6244385</v>
      </c>
      <c r="L141" s="42">
        <f t="shared" si="23"/>
        <v>-2755615</v>
      </c>
      <c r="M141" s="161">
        <f t="shared" si="24"/>
        <v>0.69382055555555555</v>
      </c>
    </row>
    <row r="142" spans="1:13" s="86" customFormat="1" ht="15" hidden="1" outlineLevel="1" x14ac:dyDescent="0.25">
      <c r="A142" s="115" t="s">
        <v>330</v>
      </c>
      <c r="B142" s="170"/>
      <c r="C142" s="42"/>
      <c r="D142" s="16"/>
      <c r="E142" s="16"/>
      <c r="F142" s="16"/>
      <c r="G142" s="16"/>
      <c r="H142" s="42">
        <f t="shared" si="25"/>
        <v>0</v>
      </c>
      <c r="I142" s="21"/>
      <c r="J142" s="42">
        <f t="shared" si="22"/>
        <v>0</v>
      </c>
      <c r="K142" s="42">
        <v>0</v>
      </c>
      <c r="L142" s="42">
        <f t="shared" si="23"/>
        <v>0</v>
      </c>
      <c r="M142" s="161">
        <f t="shared" si="24"/>
        <v>0</v>
      </c>
    </row>
    <row r="143" spans="1:13" s="86" customFormat="1" ht="15" hidden="1" outlineLevel="1" x14ac:dyDescent="0.25">
      <c r="A143" s="115" t="s">
        <v>331</v>
      </c>
      <c r="B143" s="170"/>
      <c r="C143" s="42"/>
      <c r="D143" s="16"/>
      <c r="E143" s="16"/>
      <c r="F143" s="16"/>
      <c r="G143" s="16"/>
      <c r="H143" s="42">
        <f t="shared" si="25"/>
        <v>0</v>
      </c>
      <c r="I143" s="21"/>
      <c r="J143" s="42">
        <f t="shared" si="22"/>
        <v>0</v>
      </c>
      <c r="K143" s="42">
        <v>0</v>
      </c>
      <c r="L143" s="42">
        <f t="shared" si="23"/>
        <v>0</v>
      </c>
      <c r="M143" s="161">
        <f t="shared" si="24"/>
        <v>0</v>
      </c>
    </row>
    <row r="144" spans="1:13" s="86" customFormat="1" ht="15" collapsed="1" x14ac:dyDescent="0.25">
      <c r="A144" s="155" t="s">
        <v>267</v>
      </c>
      <c r="B144" s="170"/>
      <c r="C144" s="16">
        <f>SUM(C145:C150)</f>
        <v>271276090</v>
      </c>
      <c r="D144" s="16"/>
      <c r="E144" s="16"/>
      <c r="F144" s="16"/>
      <c r="G144" s="16"/>
      <c r="H144" s="21">
        <f>+B144+C144+D144+G144+E144+F144</f>
        <v>271276090</v>
      </c>
      <c r="I144" s="21"/>
      <c r="J144" s="16">
        <f>SUM(J145:J150)</f>
        <v>271276090</v>
      </c>
      <c r="K144" s="16">
        <f>SUM(K145:K150)</f>
        <v>205846463.00000003</v>
      </c>
      <c r="L144" s="16">
        <f t="shared" si="23"/>
        <v>-65429626.99999997</v>
      </c>
      <c r="M144" s="160">
        <f t="shared" si="24"/>
        <v>0.75880798414633599</v>
      </c>
    </row>
    <row r="145" spans="1:13" s="86" customFormat="1" ht="15" hidden="1" outlineLevel="1" x14ac:dyDescent="0.25">
      <c r="A145" s="115" t="s">
        <v>326</v>
      </c>
      <c r="B145" s="170"/>
      <c r="C145" s="42">
        <f>+[21]Presupuesto!$H$20</f>
        <v>5750000</v>
      </c>
      <c r="D145" s="16"/>
      <c r="E145" s="16"/>
      <c r="F145" s="16"/>
      <c r="G145" s="16"/>
      <c r="H145" s="42">
        <f t="shared" si="25"/>
        <v>5750000</v>
      </c>
      <c r="I145" s="21"/>
      <c r="J145" s="42">
        <f t="shared" si="22"/>
        <v>5750000</v>
      </c>
      <c r="K145" s="42">
        <v>0</v>
      </c>
      <c r="L145" s="42">
        <f t="shared" si="23"/>
        <v>-5750000</v>
      </c>
      <c r="M145" s="161">
        <f t="shared" si="24"/>
        <v>0</v>
      </c>
    </row>
    <row r="146" spans="1:13" s="86" customFormat="1" ht="15" hidden="1" outlineLevel="1" x14ac:dyDescent="0.25">
      <c r="A146" s="115" t="s">
        <v>332</v>
      </c>
      <c r="B146" s="170"/>
      <c r="C146" s="42">
        <f>+[21]Presupuesto!$H$21</f>
        <v>6000000</v>
      </c>
      <c r="D146" s="16"/>
      <c r="E146" s="16"/>
      <c r="F146" s="16"/>
      <c r="G146" s="16"/>
      <c r="H146" s="42">
        <f t="shared" si="25"/>
        <v>6000000</v>
      </c>
      <c r="I146" s="21"/>
      <c r="J146" s="42">
        <f t="shared" si="22"/>
        <v>6000000</v>
      </c>
      <c r="K146" s="42">
        <v>6000000</v>
      </c>
      <c r="L146" s="42">
        <f t="shared" si="23"/>
        <v>0</v>
      </c>
      <c r="M146" s="161">
        <f t="shared" si="24"/>
        <v>1</v>
      </c>
    </row>
    <row r="147" spans="1:13" s="86" customFormat="1" ht="15" hidden="1" outlineLevel="1" x14ac:dyDescent="0.25">
      <c r="A147" s="115" t="s">
        <v>333</v>
      </c>
      <c r="B147" s="170"/>
      <c r="C147" s="42">
        <f>+[21]Presupuesto!$H$22</f>
        <v>173226090.00000003</v>
      </c>
      <c r="D147" s="16"/>
      <c r="E147" s="16"/>
      <c r="F147" s="16"/>
      <c r="G147" s="16"/>
      <c r="H147" s="42">
        <f t="shared" si="25"/>
        <v>173226090.00000003</v>
      </c>
      <c r="I147" s="21"/>
      <c r="J147" s="42">
        <f t="shared" si="22"/>
        <v>173226090.00000003</v>
      </c>
      <c r="K147" s="42">
        <v>149523518.00000003</v>
      </c>
      <c r="L147" s="42">
        <f t="shared" si="23"/>
        <v>-23702572</v>
      </c>
      <c r="M147" s="161">
        <f t="shared" si="24"/>
        <v>0.86316973384321038</v>
      </c>
    </row>
    <row r="148" spans="1:13" s="86" customFormat="1" ht="15" hidden="1" outlineLevel="1" x14ac:dyDescent="0.25">
      <c r="A148" s="115" t="s">
        <v>334</v>
      </c>
      <c r="B148" s="170"/>
      <c r="C148" s="42">
        <f>+[21]Presupuesto!$H$23</f>
        <v>27500000</v>
      </c>
      <c r="D148" s="16"/>
      <c r="E148" s="16"/>
      <c r="F148" s="16"/>
      <c r="G148" s="16"/>
      <c r="H148" s="42">
        <f t="shared" si="25"/>
        <v>27500000</v>
      </c>
      <c r="I148" s="21"/>
      <c r="J148" s="42">
        <f t="shared" si="22"/>
        <v>27500000</v>
      </c>
      <c r="K148" s="42">
        <v>3181834</v>
      </c>
      <c r="L148" s="42">
        <f t="shared" si="23"/>
        <v>-24318166</v>
      </c>
      <c r="M148" s="161">
        <f t="shared" si="24"/>
        <v>0.11570305454545454</v>
      </c>
    </row>
    <row r="149" spans="1:13" s="86" customFormat="1" ht="15" hidden="1" outlineLevel="1" x14ac:dyDescent="0.25">
      <c r="A149" s="115" t="s">
        <v>335</v>
      </c>
      <c r="B149" s="170"/>
      <c r="C149" s="42">
        <f>+[21]Presupuesto!$H$24</f>
        <v>53800000</v>
      </c>
      <c r="D149" s="16"/>
      <c r="E149" s="16"/>
      <c r="F149" s="16"/>
      <c r="G149" s="16"/>
      <c r="H149" s="42">
        <f t="shared" si="25"/>
        <v>53800000</v>
      </c>
      <c r="I149" s="21"/>
      <c r="J149" s="42">
        <f t="shared" si="22"/>
        <v>53800000</v>
      </c>
      <c r="K149" s="42">
        <v>43843467</v>
      </c>
      <c r="L149" s="42">
        <f t="shared" si="23"/>
        <v>-9956533</v>
      </c>
      <c r="M149" s="161">
        <f t="shared" si="24"/>
        <v>0.81493433085501854</v>
      </c>
    </row>
    <row r="150" spans="1:13" s="86" customFormat="1" ht="15" hidden="1" outlineLevel="1" x14ac:dyDescent="0.25">
      <c r="A150" s="115" t="s">
        <v>354</v>
      </c>
      <c r="B150" s="170"/>
      <c r="C150" s="42">
        <f>+[21]Presupuesto!$H$25</f>
        <v>5000000</v>
      </c>
      <c r="D150" s="16"/>
      <c r="E150" s="16"/>
      <c r="F150" s="16"/>
      <c r="G150" s="16"/>
      <c r="H150" s="42">
        <f t="shared" si="25"/>
        <v>5000000</v>
      </c>
      <c r="I150" s="21"/>
      <c r="J150" s="42">
        <f t="shared" si="22"/>
        <v>5000000</v>
      </c>
      <c r="K150" s="42">
        <v>3297644</v>
      </c>
      <c r="L150" s="42">
        <f t="shared" si="23"/>
        <v>-1702356</v>
      </c>
      <c r="M150" s="161">
        <f t="shared" si="24"/>
        <v>0.65952880000000003</v>
      </c>
    </row>
    <row r="151" spans="1:13" s="86" customFormat="1" ht="15" collapsed="1" x14ac:dyDescent="0.25">
      <c r="A151" s="155" t="s">
        <v>268</v>
      </c>
      <c r="B151" s="170"/>
      <c r="C151" s="16">
        <f>SUM(C152:C155)</f>
        <v>44396772</v>
      </c>
      <c r="D151" s="16"/>
      <c r="E151" s="16"/>
      <c r="F151" s="16"/>
      <c r="G151" s="16"/>
      <c r="H151" s="21">
        <f>+B151+C151+D151+G151+E151+F151</f>
        <v>44396772</v>
      </c>
      <c r="I151" s="21"/>
      <c r="J151" s="16">
        <f>SUM(J152:J155)</f>
        <v>44396772</v>
      </c>
      <c r="K151" s="16">
        <f>SUM(K152:K155)</f>
        <v>43533523</v>
      </c>
      <c r="L151" s="16">
        <f t="shared" si="23"/>
        <v>-863249</v>
      </c>
      <c r="M151" s="160">
        <f t="shared" si="24"/>
        <v>0.98055604132660812</v>
      </c>
    </row>
    <row r="152" spans="1:13" s="86" customFormat="1" ht="15" hidden="1" outlineLevel="1" x14ac:dyDescent="0.25">
      <c r="A152" s="115" t="s">
        <v>336</v>
      </c>
      <c r="B152" s="170"/>
      <c r="C152" s="42">
        <f>+[21]Presupuesto!$H$27</f>
        <v>13196772</v>
      </c>
      <c r="D152" s="16"/>
      <c r="E152" s="16"/>
      <c r="F152" s="16"/>
      <c r="G152" s="16"/>
      <c r="H152" s="42">
        <f t="shared" si="25"/>
        <v>13196772</v>
      </c>
      <c r="I152" s="21"/>
      <c r="J152" s="42">
        <f t="shared" si="22"/>
        <v>13196772</v>
      </c>
      <c r="K152" s="42">
        <v>13196772</v>
      </c>
      <c r="L152" s="42">
        <f t="shared" si="23"/>
        <v>0</v>
      </c>
      <c r="M152" s="161">
        <f t="shared" si="24"/>
        <v>1</v>
      </c>
    </row>
    <row r="153" spans="1:13" s="86" customFormat="1" ht="15" hidden="1" outlineLevel="1" x14ac:dyDescent="0.25">
      <c r="A153" s="115" t="s">
        <v>355</v>
      </c>
      <c r="B153" s="170"/>
      <c r="C153" s="42">
        <f>+[21]Presupuesto!$H$28</f>
        <v>7000000</v>
      </c>
      <c r="D153" s="16"/>
      <c r="E153" s="16"/>
      <c r="F153" s="16"/>
      <c r="G153" s="16"/>
      <c r="H153" s="42">
        <f t="shared" si="25"/>
        <v>7000000</v>
      </c>
      <c r="I153" s="21"/>
      <c r="J153" s="42">
        <f t="shared" si="22"/>
        <v>7000000</v>
      </c>
      <c r="K153" s="42">
        <v>7000000</v>
      </c>
      <c r="L153" s="42">
        <f t="shared" si="23"/>
        <v>0</v>
      </c>
      <c r="M153" s="161">
        <f t="shared" si="24"/>
        <v>1</v>
      </c>
    </row>
    <row r="154" spans="1:13" s="86" customFormat="1" ht="15" hidden="1" outlineLevel="1" x14ac:dyDescent="0.25">
      <c r="A154" s="115" t="s">
        <v>337</v>
      </c>
      <c r="B154" s="170"/>
      <c r="C154" s="42">
        <f>+[21]Presupuesto!$H$29</f>
        <v>12600000</v>
      </c>
      <c r="D154" s="16"/>
      <c r="E154" s="16"/>
      <c r="F154" s="16"/>
      <c r="G154" s="16"/>
      <c r="H154" s="42">
        <f t="shared" si="25"/>
        <v>12600000</v>
      </c>
      <c r="I154" s="21"/>
      <c r="J154" s="42">
        <f t="shared" si="22"/>
        <v>12600000</v>
      </c>
      <c r="K154" s="42">
        <v>11967024</v>
      </c>
      <c r="L154" s="42">
        <f t="shared" si="23"/>
        <v>-632976</v>
      </c>
      <c r="M154" s="161">
        <f t="shared" si="24"/>
        <v>0.94976380952380957</v>
      </c>
    </row>
    <row r="155" spans="1:13" s="86" customFormat="1" ht="15" hidden="1" outlineLevel="1" x14ac:dyDescent="0.25">
      <c r="A155" s="115" t="s">
        <v>338</v>
      </c>
      <c r="B155" s="170"/>
      <c r="C155" s="42">
        <f>+[21]Presupuesto!$H$30</f>
        <v>11600000</v>
      </c>
      <c r="D155" s="16"/>
      <c r="E155" s="16"/>
      <c r="F155" s="16"/>
      <c r="G155" s="16"/>
      <c r="H155" s="42">
        <f t="shared" si="25"/>
        <v>11600000</v>
      </c>
      <c r="I155" s="21"/>
      <c r="J155" s="42">
        <f t="shared" si="22"/>
        <v>11600000</v>
      </c>
      <c r="K155" s="42">
        <v>11369727</v>
      </c>
      <c r="L155" s="42">
        <f t="shared" si="23"/>
        <v>-230273</v>
      </c>
      <c r="M155" s="161">
        <f t="shared" si="24"/>
        <v>0.98014887931034478</v>
      </c>
    </row>
    <row r="156" spans="1:13" s="86" customFormat="1" ht="15" collapsed="1" x14ac:dyDescent="0.25">
      <c r="A156" s="115"/>
      <c r="B156" s="170"/>
      <c r="C156" s="16"/>
      <c r="D156" s="16"/>
      <c r="E156" s="16"/>
      <c r="F156" s="16"/>
      <c r="G156" s="16"/>
      <c r="H156" s="42"/>
      <c r="I156" s="16"/>
      <c r="J156" s="42"/>
      <c r="K156" s="42"/>
      <c r="L156" s="42"/>
      <c r="M156" s="161"/>
    </row>
    <row r="157" spans="1:13" s="86" customFormat="1" ht="15" x14ac:dyDescent="0.25">
      <c r="A157" s="155" t="s">
        <v>339</v>
      </c>
      <c r="B157" s="170"/>
      <c r="C157" s="16"/>
      <c r="D157" s="16">
        <f>+D158+D163+D174</f>
        <v>467262236</v>
      </c>
      <c r="E157" s="16"/>
      <c r="F157" s="16"/>
      <c r="G157" s="16"/>
      <c r="H157" s="16">
        <f>+H158+H163+H174</f>
        <v>467262236</v>
      </c>
      <c r="I157" s="16"/>
      <c r="J157" s="21">
        <f>+H157+I157</f>
        <v>467262236</v>
      </c>
      <c r="K157" s="21">
        <f>+K158+K163+K174</f>
        <v>381159077</v>
      </c>
      <c r="L157" s="16">
        <f>+L158+L163+L174</f>
        <v>-86103159</v>
      </c>
      <c r="M157" s="160">
        <f t="shared" si="24"/>
        <v>0.81572840181332351</v>
      </c>
    </row>
    <row r="158" spans="1:13" s="86" customFormat="1" ht="15" x14ac:dyDescent="0.25">
      <c r="A158" s="155" t="s">
        <v>269</v>
      </c>
      <c r="B158" s="16"/>
      <c r="C158" s="16"/>
      <c r="D158" s="16">
        <f>SUM(D159:D162)</f>
        <v>117988820</v>
      </c>
      <c r="E158" s="16"/>
      <c r="F158" s="16"/>
      <c r="G158" s="16"/>
      <c r="H158" s="16">
        <f>SUM(H159:H162)</f>
        <v>117988820</v>
      </c>
      <c r="I158" s="16"/>
      <c r="J158" s="16">
        <f>SUM(J159:J162)</f>
        <v>117988820</v>
      </c>
      <c r="K158" s="16">
        <f>SUM(K159:K162)</f>
        <v>67961976</v>
      </c>
      <c r="L158" s="16">
        <f t="shared" si="23"/>
        <v>-50026844</v>
      </c>
      <c r="M158" s="160">
        <f t="shared" si="24"/>
        <v>0.57600352304565805</v>
      </c>
    </row>
    <row r="159" spans="1:13" s="86" customFormat="1" ht="15" hidden="1" outlineLevel="1" x14ac:dyDescent="0.25">
      <c r="A159" s="115" t="s">
        <v>214</v>
      </c>
      <c r="B159" s="16"/>
      <c r="C159" s="16"/>
      <c r="D159" s="42">
        <f>+[16]Hoja1!$J$6</f>
        <v>115436820</v>
      </c>
      <c r="E159" s="16"/>
      <c r="F159" s="16"/>
      <c r="G159" s="16"/>
      <c r="H159" s="18">
        <f>+B159+C159+D159+G159+E159+F159</f>
        <v>115436820</v>
      </c>
      <c r="I159" s="16"/>
      <c r="J159" s="42">
        <f>+H159+I159</f>
        <v>115436820</v>
      </c>
      <c r="K159" s="42">
        <v>65409976</v>
      </c>
      <c r="L159" s="42">
        <f t="shared" si="23"/>
        <v>-50026844</v>
      </c>
      <c r="M159" s="161">
        <f t="shared" si="24"/>
        <v>0.56663009254759444</v>
      </c>
    </row>
    <row r="160" spans="1:13" s="86" customFormat="1" ht="15" hidden="1" outlineLevel="1" x14ac:dyDescent="0.25">
      <c r="A160" s="115" t="s">
        <v>422</v>
      </c>
      <c r="B160" s="16"/>
      <c r="C160" s="16"/>
      <c r="D160" s="42"/>
      <c r="E160" s="16"/>
      <c r="F160" s="16"/>
      <c r="G160" s="16"/>
      <c r="H160" s="18">
        <f>+B160+C160+D160+G160+E160+F160</f>
        <v>0</v>
      </c>
      <c r="I160" s="16"/>
      <c r="J160" s="42">
        <f>+H160+I160</f>
        <v>0</v>
      </c>
      <c r="K160" s="42"/>
      <c r="L160" s="42">
        <f t="shared" si="23"/>
        <v>0</v>
      </c>
      <c r="M160" s="161">
        <f t="shared" si="24"/>
        <v>0</v>
      </c>
    </row>
    <row r="161" spans="1:13" s="86" customFormat="1" ht="15" hidden="1" outlineLevel="1" x14ac:dyDescent="0.25">
      <c r="A161" s="115" t="s">
        <v>215</v>
      </c>
      <c r="B161" s="16"/>
      <c r="C161" s="16"/>
      <c r="D161" s="42">
        <f>+[16]Hoja1!$J$8</f>
        <v>2552000</v>
      </c>
      <c r="E161" s="16"/>
      <c r="F161" s="16"/>
      <c r="G161" s="16"/>
      <c r="H161" s="18">
        <f>+B161+C161+D161+G161+E161+F161</f>
        <v>2552000</v>
      </c>
      <c r="I161" s="16"/>
      <c r="J161" s="42">
        <f>+H161+I161</f>
        <v>2552000</v>
      </c>
      <c r="K161" s="42">
        <v>2552000</v>
      </c>
      <c r="L161" s="42">
        <f t="shared" si="23"/>
        <v>0</v>
      </c>
      <c r="M161" s="161">
        <f t="shared" si="24"/>
        <v>1</v>
      </c>
    </row>
    <row r="162" spans="1:13" s="86" customFormat="1" ht="15" hidden="1" outlineLevel="1" x14ac:dyDescent="0.25">
      <c r="A162" s="115" t="s">
        <v>216</v>
      </c>
      <c r="B162" s="16"/>
      <c r="C162" s="16"/>
      <c r="D162" s="42"/>
      <c r="E162" s="16"/>
      <c r="F162" s="16"/>
      <c r="G162" s="16"/>
      <c r="H162" s="18">
        <f>+B162+C162+D162+G162+E162+F162</f>
        <v>0</v>
      </c>
      <c r="I162" s="16"/>
      <c r="J162" s="42">
        <f>+H162+I162</f>
        <v>0</v>
      </c>
      <c r="K162" s="42"/>
      <c r="L162" s="42">
        <f t="shared" si="23"/>
        <v>0</v>
      </c>
      <c r="M162" s="161">
        <f t="shared" si="24"/>
        <v>0</v>
      </c>
    </row>
    <row r="163" spans="1:13" s="86" customFormat="1" ht="15" collapsed="1" x14ac:dyDescent="0.25">
      <c r="A163" s="155" t="s">
        <v>270</v>
      </c>
      <c r="B163" s="16"/>
      <c r="C163" s="16"/>
      <c r="D163" s="16">
        <f>+D164+D169</f>
        <v>259273416</v>
      </c>
      <c r="E163" s="16"/>
      <c r="F163" s="16"/>
      <c r="G163" s="16"/>
      <c r="H163" s="16">
        <f>+H164+H169</f>
        <v>259273416</v>
      </c>
      <c r="I163" s="16"/>
      <c r="J163" s="16">
        <f>+J164+J169</f>
        <v>259273416</v>
      </c>
      <c r="K163" s="16">
        <f>+K164+K169</f>
        <v>241329632</v>
      </c>
      <c r="L163" s="16">
        <f>+L164+L169</f>
        <v>-17943784</v>
      </c>
      <c r="M163" s="160">
        <v>0.95699999999999996</v>
      </c>
    </row>
    <row r="164" spans="1:13" s="86" customFormat="1" ht="15" hidden="1" outlineLevel="1" x14ac:dyDescent="0.25">
      <c r="A164" s="155" t="s">
        <v>302</v>
      </c>
      <c r="B164" s="16"/>
      <c r="C164" s="16"/>
      <c r="D164" s="16">
        <f>SUM(D165:D168)</f>
        <v>145676750</v>
      </c>
      <c r="E164" s="16"/>
      <c r="F164" s="16"/>
      <c r="G164" s="16"/>
      <c r="H164" s="16">
        <f>SUM(H165:H168)</f>
        <v>145676750</v>
      </c>
      <c r="I164" s="16"/>
      <c r="J164" s="16">
        <f>SUM(J165:J168)</f>
        <v>145676750</v>
      </c>
      <c r="K164" s="16">
        <f>SUM(K165:K168)</f>
        <v>134069371</v>
      </c>
      <c r="L164" s="16">
        <f>SUM(L165:L168)</f>
        <v>-11607379</v>
      </c>
      <c r="M164" s="160">
        <f t="shared" si="24"/>
        <v>0.9203209915103131</v>
      </c>
    </row>
    <row r="165" spans="1:13" s="86" customFormat="1" ht="15" hidden="1" outlineLevel="2" x14ac:dyDescent="0.25">
      <c r="A165" s="115" t="s">
        <v>224</v>
      </c>
      <c r="B165" s="16"/>
      <c r="C165" s="16"/>
      <c r="D165" s="42">
        <f>+[16]Hoja1!$J$12+[16]Hoja1!$J$13</f>
        <v>58276750</v>
      </c>
      <c r="E165" s="16"/>
      <c r="F165" s="16"/>
      <c r="G165" s="16"/>
      <c r="H165" s="18">
        <f>+B165+C165+D165+G165+E165+F165</f>
        <v>58276750</v>
      </c>
      <c r="I165" s="16"/>
      <c r="J165" s="42">
        <f>+H165+I165</f>
        <v>58276750</v>
      </c>
      <c r="K165" s="42">
        <v>57469500</v>
      </c>
      <c r="L165" s="42">
        <f t="shared" si="23"/>
        <v>-807250</v>
      </c>
      <c r="M165" s="161">
        <f t="shared" si="24"/>
        <v>0.98614799212378867</v>
      </c>
    </row>
    <row r="166" spans="1:13" s="86" customFormat="1" ht="15" hidden="1" outlineLevel="2" x14ac:dyDescent="0.25">
      <c r="A166" s="115" t="s">
        <v>217</v>
      </c>
      <c r="B166" s="16"/>
      <c r="C166" s="16"/>
      <c r="D166" s="42">
        <f>+[16]Hoja1!$J$14-2000000</f>
        <v>30400000</v>
      </c>
      <c r="E166" s="16"/>
      <c r="F166" s="16"/>
      <c r="G166" s="16"/>
      <c r="H166" s="18">
        <f>+B166+C166+D166+G166+E166+F166</f>
        <v>30400000</v>
      </c>
      <c r="I166" s="16"/>
      <c r="J166" s="42">
        <f>+H166+I166</f>
        <v>30400000</v>
      </c>
      <c r="K166" s="42">
        <v>24043825</v>
      </c>
      <c r="L166" s="42">
        <f t="shared" si="23"/>
        <v>-6356175</v>
      </c>
      <c r="M166" s="161">
        <f t="shared" si="24"/>
        <v>0.79091529605263156</v>
      </c>
    </row>
    <row r="167" spans="1:13" s="86" customFormat="1" ht="15" hidden="1" outlineLevel="2" x14ac:dyDescent="0.25">
      <c r="A167" s="115" t="s">
        <v>271</v>
      </c>
      <c r="B167" s="16"/>
      <c r="C167" s="16"/>
      <c r="D167" s="42">
        <f>+[16]Hoja1!$J$15+2000000</f>
        <v>35000000</v>
      </c>
      <c r="E167" s="16"/>
      <c r="F167" s="16"/>
      <c r="G167" s="16"/>
      <c r="H167" s="18">
        <f>+B167+C167+D167+G167+E167+F167</f>
        <v>35000000</v>
      </c>
      <c r="I167" s="16"/>
      <c r="J167" s="42">
        <f>+H167+I167</f>
        <v>35000000</v>
      </c>
      <c r="K167" s="42">
        <v>34895157</v>
      </c>
      <c r="L167" s="42">
        <f t="shared" si="23"/>
        <v>-104843</v>
      </c>
      <c r="M167" s="161">
        <f t="shared" si="24"/>
        <v>0.99700448571428568</v>
      </c>
    </row>
    <row r="168" spans="1:13" s="86" customFormat="1" ht="15" hidden="1" outlineLevel="2" x14ac:dyDescent="0.25">
      <c r="A168" s="115" t="s">
        <v>373</v>
      </c>
      <c r="B168" s="16"/>
      <c r="C168" s="16"/>
      <c r="D168" s="42">
        <f>+[16]Hoja1!$J$11</f>
        <v>22000000</v>
      </c>
      <c r="E168" s="16"/>
      <c r="F168" s="16"/>
      <c r="G168" s="16"/>
      <c r="H168" s="18">
        <f>+B168+C168+D168+G168+E168+F168</f>
        <v>22000000</v>
      </c>
      <c r="I168" s="16"/>
      <c r="J168" s="42">
        <f>+H168+I168</f>
        <v>22000000</v>
      </c>
      <c r="K168" s="42">
        <v>17660889</v>
      </c>
      <c r="L168" s="42">
        <f t="shared" si="23"/>
        <v>-4339111</v>
      </c>
      <c r="M168" s="161">
        <f t="shared" si="24"/>
        <v>0.80276768181818181</v>
      </c>
    </row>
    <row r="169" spans="1:13" s="86" customFormat="1" ht="15" hidden="1" outlineLevel="1" x14ac:dyDescent="0.25">
      <c r="A169" s="155" t="s">
        <v>303</v>
      </c>
      <c r="B169" s="16"/>
      <c r="C169" s="16"/>
      <c r="D169" s="16">
        <f>SUM(D170:D173)</f>
        <v>113596666</v>
      </c>
      <c r="E169" s="16"/>
      <c r="F169" s="16"/>
      <c r="G169" s="16"/>
      <c r="H169" s="16">
        <f>SUM(H170:H173)</f>
        <v>113596666</v>
      </c>
      <c r="I169" s="16"/>
      <c r="J169" s="16">
        <f>SUM(J170:J173)</f>
        <v>113596666</v>
      </c>
      <c r="K169" s="16">
        <f>SUM(K170:K173)</f>
        <v>107260261</v>
      </c>
      <c r="L169" s="16">
        <f>+K169-J169</f>
        <v>-6336405</v>
      </c>
      <c r="M169" s="160">
        <f t="shared" si="24"/>
        <v>0.94422014991179404</v>
      </c>
    </row>
    <row r="170" spans="1:13" s="86" customFormat="1" ht="15" hidden="1" outlineLevel="2" x14ac:dyDescent="0.25">
      <c r="A170" s="115" t="s">
        <v>218</v>
      </c>
      <c r="B170" s="16"/>
      <c r="C170" s="16"/>
      <c r="D170" s="42">
        <f>+[16]Hoja1!$J$16</f>
        <v>9000000</v>
      </c>
      <c r="E170" s="16"/>
      <c r="F170" s="16"/>
      <c r="G170" s="16"/>
      <c r="H170" s="18">
        <f>+B170+C170+D170+G170+E170+F170</f>
        <v>9000000</v>
      </c>
      <c r="I170" s="16"/>
      <c r="J170" s="42">
        <f>+H170+I170</f>
        <v>9000000</v>
      </c>
      <c r="K170" s="42">
        <v>4290132</v>
      </c>
      <c r="L170" s="42">
        <f t="shared" si="23"/>
        <v>-4709868</v>
      </c>
      <c r="M170" s="161">
        <f t="shared" si="24"/>
        <v>0.47668133333333335</v>
      </c>
    </row>
    <row r="171" spans="1:13" s="86" customFormat="1" ht="15" hidden="1" outlineLevel="2" x14ac:dyDescent="0.25">
      <c r="A171" s="115" t="s">
        <v>374</v>
      </c>
      <c r="B171" s="16"/>
      <c r="C171" s="16"/>
      <c r="D171" s="42">
        <f>+[16]Hoja1!$J$17+1400000</f>
        <v>14600000</v>
      </c>
      <c r="E171" s="16"/>
      <c r="F171" s="16"/>
      <c r="G171" s="16"/>
      <c r="H171" s="18">
        <f>+B171+C171+D171+G171+E171+F171</f>
        <v>14600000</v>
      </c>
      <c r="I171" s="16"/>
      <c r="J171" s="42">
        <f>+H171+I171</f>
        <v>14600000</v>
      </c>
      <c r="K171" s="42">
        <v>14387929</v>
      </c>
      <c r="L171" s="42">
        <f t="shared" si="23"/>
        <v>-212071</v>
      </c>
      <c r="M171" s="161">
        <f t="shared" si="24"/>
        <v>0.98547458904109586</v>
      </c>
    </row>
    <row r="172" spans="1:13" s="86" customFormat="1" ht="15" hidden="1" outlineLevel="2" x14ac:dyDescent="0.25">
      <c r="A172" s="115" t="s">
        <v>407</v>
      </c>
      <c r="B172" s="16"/>
      <c r="C172" s="16"/>
      <c r="D172" s="42">
        <f>+[16]Hoja1!$J$19</f>
        <v>66396666</v>
      </c>
      <c r="E172" s="16"/>
      <c r="F172" s="16"/>
      <c r="G172" s="16"/>
      <c r="H172" s="18">
        <f>+B172+C172+D172+G172+E172+F172</f>
        <v>66396666</v>
      </c>
      <c r="I172" s="16"/>
      <c r="J172" s="42">
        <f>+H172+I172</f>
        <v>66396666</v>
      </c>
      <c r="K172" s="42">
        <v>65747229</v>
      </c>
      <c r="L172" s="42">
        <f t="shared" si="23"/>
        <v>-649437</v>
      </c>
      <c r="M172" s="161">
        <f t="shared" si="24"/>
        <v>0.99021883116842047</v>
      </c>
    </row>
    <row r="173" spans="1:13" s="86" customFormat="1" ht="15" hidden="1" outlineLevel="2" x14ac:dyDescent="0.25">
      <c r="A173" s="115" t="s">
        <v>225</v>
      </c>
      <c r="B173" s="16"/>
      <c r="C173" s="16"/>
      <c r="D173" s="42">
        <f>+[16]Hoja1!$J$18-1400000</f>
        <v>23600000</v>
      </c>
      <c r="E173" s="16"/>
      <c r="F173" s="16"/>
      <c r="G173" s="16"/>
      <c r="H173" s="18">
        <f>+B173+C173+D173+G173+E173+F173</f>
        <v>23600000</v>
      </c>
      <c r="I173" s="16"/>
      <c r="J173" s="42">
        <f>+H173+I173</f>
        <v>23600000</v>
      </c>
      <c r="K173" s="42">
        <v>22834971</v>
      </c>
      <c r="L173" s="42">
        <f t="shared" si="23"/>
        <v>-765029</v>
      </c>
      <c r="M173" s="161">
        <f t="shared" si="24"/>
        <v>0.96758351694915257</v>
      </c>
    </row>
    <row r="174" spans="1:13" s="86" customFormat="1" ht="15" collapsed="1" x14ac:dyDescent="0.25">
      <c r="A174" s="155" t="s">
        <v>272</v>
      </c>
      <c r="B174" s="16"/>
      <c r="C174" s="16"/>
      <c r="D174" s="16">
        <f>+D175+D181+D185+D186</f>
        <v>90000000</v>
      </c>
      <c r="E174" s="16"/>
      <c r="F174" s="16"/>
      <c r="G174" s="16"/>
      <c r="H174" s="16">
        <f>+H175+H181+H185+H186</f>
        <v>90000000</v>
      </c>
      <c r="I174" s="16"/>
      <c r="J174" s="16">
        <f>+J175+J181+J185+J186</f>
        <v>90000000</v>
      </c>
      <c r="K174" s="16">
        <f>+K175+K181+K185+K186</f>
        <v>71867469</v>
      </c>
      <c r="L174" s="16">
        <f t="shared" si="23"/>
        <v>-18132531</v>
      </c>
      <c r="M174" s="160">
        <f t="shared" si="24"/>
        <v>0.79852743333333331</v>
      </c>
    </row>
    <row r="175" spans="1:13" s="86" customFormat="1" ht="15" hidden="1" outlineLevel="1" x14ac:dyDescent="0.25">
      <c r="A175" s="155" t="s">
        <v>273</v>
      </c>
      <c r="B175" s="16"/>
      <c r="C175" s="16"/>
      <c r="D175" s="16">
        <f>SUM(D176:D180)</f>
        <v>26000000</v>
      </c>
      <c r="E175" s="16"/>
      <c r="F175" s="16"/>
      <c r="G175" s="16"/>
      <c r="H175" s="16">
        <f>SUM(H176:H180)</f>
        <v>26000000</v>
      </c>
      <c r="I175" s="16"/>
      <c r="J175" s="16">
        <f>SUM(J176:J180)</f>
        <v>26000000</v>
      </c>
      <c r="K175" s="16">
        <f>SUM(K176:K180)</f>
        <v>23275795</v>
      </c>
      <c r="L175" s="16">
        <f t="shared" si="23"/>
        <v>-2724205</v>
      </c>
      <c r="M175" s="160">
        <f t="shared" si="24"/>
        <v>0.89522288461538457</v>
      </c>
    </row>
    <row r="176" spans="1:13" s="86" customFormat="1" ht="15" hidden="1" outlineLevel="2" x14ac:dyDescent="0.25">
      <c r="A176" s="115" t="s">
        <v>274</v>
      </c>
      <c r="B176" s="16"/>
      <c r="C176" s="16"/>
      <c r="D176" s="18">
        <f>+[16]Hoja1!$J$20</f>
        <v>3500000</v>
      </c>
      <c r="E176" s="16"/>
      <c r="F176" s="16"/>
      <c r="G176" s="16"/>
      <c r="H176" s="18">
        <f>+B176+C176+D176+G176+E176+F176</f>
        <v>3500000</v>
      </c>
      <c r="I176" s="16"/>
      <c r="J176" s="42">
        <f>+H176+I176</f>
        <v>3500000</v>
      </c>
      <c r="K176" s="42">
        <v>3345425</v>
      </c>
      <c r="L176" s="42">
        <f t="shared" si="23"/>
        <v>-154575</v>
      </c>
      <c r="M176" s="161">
        <f t="shared" si="24"/>
        <v>0.95583571428571423</v>
      </c>
    </row>
    <row r="177" spans="1:13" s="86" customFormat="1" ht="15" hidden="1" outlineLevel="2" x14ac:dyDescent="0.25">
      <c r="A177" s="115" t="s">
        <v>275</v>
      </c>
      <c r="B177" s="16"/>
      <c r="C177" s="16"/>
      <c r="D177" s="18">
        <f>+[16]Hoja1!$J$21</f>
        <v>3500000</v>
      </c>
      <c r="E177" s="16"/>
      <c r="F177" s="16"/>
      <c r="G177" s="16"/>
      <c r="H177" s="18">
        <f>+B177+C177+D177+G177+E177+F177</f>
        <v>3500000</v>
      </c>
      <c r="I177" s="16"/>
      <c r="J177" s="42">
        <f>+H177+I177</f>
        <v>3500000</v>
      </c>
      <c r="K177" s="42">
        <v>2809380</v>
      </c>
      <c r="L177" s="42">
        <f t="shared" si="23"/>
        <v>-690620</v>
      </c>
      <c r="M177" s="161">
        <f t="shared" si="24"/>
        <v>0.80267999999999995</v>
      </c>
    </row>
    <row r="178" spans="1:13" s="86" customFormat="1" ht="15" hidden="1" outlineLevel="2" x14ac:dyDescent="0.25">
      <c r="A178" s="115" t="s">
        <v>276</v>
      </c>
      <c r="B178" s="16"/>
      <c r="C178" s="16"/>
      <c r="D178" s="18">
        <f>+[16]Hoja1!$J$22</f>
        <v>5000000</v>
      </c>
      <c r="E178" s="16"/>
      <c r="F178" s="16"/>
      <c r="G178" s="16"/>
      <c r="H178" s="18">
        <f>+B178+C178+D178+G178+E178+F178</f>
        <v>5000000</v>
      </c>
      <c r="I178" s="16"/>
      <c r="J178" s="42">
        <f>+H178+I178</f>
        <v>5000000</v>
      </c>
      <c r="K178" s="42">
        <v>3122100</v>
      </c>
      <c r="L178" s="42">
        <f t="shared" si="23"/>
        <v>-1877900</v>
      </c>
      <c r="M178" s="161">
        <f t="shared" si="24"/>
        <v>0.62441999999999998</v>
      </c>
    </row>
    <row r="179" spans="1:13" s="86" customFormat="1" ht="15" hidden="1" outlineLevel="2" x14ac:dyDescent="0.25">
      <c r="A179" s="115" t="s">
        <v>375</v>
      </c>
      <c r="B179" s="16"/>
      <c r="C179" s="16"/>
      <c r="D179" s="18">
        <f>+[16]Hoja1!$J$23</f>
        <v>10000000</v>
      </c>
      <c r="E179" s="16"/>
      <c r="F179" s="16"/>
      <c r="G179" s="16"/>
      <c r="H179" s="18">
        <f>+B179+C179+D179+G179+E179+F179</f>
        <v>10000000</v>
      </c>
      <c r="I179" s="16"/>
      <c r="J179" s="42">
        <f>+H179+I179</f>
        <v>10000000</v>
      </c>
      <c r="K179" s="42">
        <v>9998890</v>
      </c>
      <c r="L179" s="42">
        <f t="shared" si="23"/>
        <v>-1110</v>
      </c>
      <c r="M179" s="161">
        <f t="shared" si="24"/>
        <v>0.99988900000000003</v>
      </c>
    </row>
    <row r="180" spans="1:13" s="86" customFormat="1" ht="15" hidden="1" outlineLevel="2" x14ac:dyDescent="0.25">
      <c r="A180" s="115" t="s">
        <v>376</v>
      </c>
      <c r="B180" s="16"/>
      <c r="C180" s="16"/>
      <c r="D180" s="18">
        <f>+[16]Hoja1!$J$24</f>
        <v>4000000</v>
      </c>
      <c r="E180" s="16"/>
      <c r="F180" s="16"/>
      <c r="G180" s="16"/>
      <c r="H180" s="18">
        <f>+B180+C180+D180+G180+E180+F180</f>
        <v>4000000</v>
      </c>
      <c r="I180" s="16"/>
      <c r="J180" s="42">
        <f>+H180+I180</f>
        <v>4000000</v>
      </c>
      <c r="K180" s="42">
        <v>4000000</v>
      </c>
      <c r="L180" s="42">
        <f t="shared" si="23"/>
        <v>0</v>
      </c>
      <c r="M180" s="161">
        <f t="shared" si="24"/>
        <v>1</v>
      </c>
    </row>
    <row r="181" spans="1:13" s="86" customFormat="1" ht="15" hidden="1" outlineLevel="1" x14ac:dyDescent="0.25">
      <c r="A181" s="155" t="s">
        <v>277</v>
      </c>
      <c r="B181" s="16"/>
      <c r="C181" s="16"/>
      <c r="D181" s="16">
        <f>SUM(D182:D184)</f>
        <v>54000000</v>
      </c>
      <c r="E181" s="16"/>
      <c r="F181" s="16"/>
      <c r="G181" s="16"/>
      <c r="H181" s="16">
        <f>SUM(H182:H184)</f>
        <v>54000000</v>
      </c>
      <c r="I181" s="16"/>
      <c r="J181" s="16">
        <f>SUM(J182:J184)</f>
        <v>54000000</v>
      </c>
      <c r="K181" s="16">
        <f>SUM(K182:K184)</f>
        <v>44132670</v>
      </c>
      <c r="L181" s="16">
        <f t="shared" si="23"/>
        <v>-9867330</v>
      </c>
      <c r="M181" s="160">
        <f t="shared" si="24"/>
        <v>0.81727166666666662</v>
      </c>
    </row>
    <row r="182" spans="1:13" s="86" customFormat="1" ht="15" hidden="1" outlineLevel="2" x14ac:dyDescent="0.25">
      <c r="A182" s="115" t="s">
        <v>377</v>
      </c>
      <c r="B182" s="16"/>
      <c r="C182" s="16"/>
      <c r="D182" s="18">
        <f>+[16]Hoja1!$J$25</f>
        <v>14000000</v>
      </c>
      <c r="E182" s="16"/>
      <c r="F182" s="16"/>
      <c r="G182" s="16"/>
      <c r="H182" s="18">
        <f>+B182+C182+D182+G182+E182+F182</f>
        <v>14000000</v>
      </c>
      <c r="I182" s="16"/>
      <c r="J182" s="42">
        <f>+H182+I182</f>
        <v>14000000</v>
      </c>
      <c r="K182" s="42">
        <v>13907750</v>
      </c>
      <c r="L182" s="42">
        <f t="shared" si="23"/>
        <v>-92250</v>
      </c>
      <c r="M182" s="161">
        <f t="shared" si="24"/>
        <v>0.99341071428571426</v>
      </c>
    </row>
    <row r="183" spans="1:13" s="86" customFormat="1" ht="15" hidden="1" outlineLevel="2" x14ac:dyDescent="0.25">
      <c r="A183" s="115" t="s">
        <v>378</v>
      </c>
      <c r="B183" s="16"/>
      <c r="C183" s="16"/>
      <c r="D183" s="18">
        <f>+[16]Hoja1!$J$26</f>
        <v>12000000</v>
      </c>
      <c r="E183" s="16"/>
      <c r="F183" s="16"/>
      <c r="G183" s="16"/>
      <c r="H183" s="18">
        <f>+B183+C183+D183+G183+E183+F183</f>
        <v>12000000</v>
      </c>
      <c r="I183" s="16"/>
      <c r="J183" s="42">
        <f>+H183+I183</f>
        <v>12000000</v>
      </c>
      <c r="K183" s="42">
        <v>6526920</v>
      </c>
      <c r="L183" s="42">
        <f t="shared" si="23"/>
        <v>-5473080</v>
      </c>
      <c r="M183" s="161">
        <f t="shared" si="24"/>
        <v>0.54391</v>
      </c>
    </row>
    <row r="184" spans="1:13" s="86" customFormat="1" ht="15" hidden="1" outlineLevel="2" x14ac:dyDescent="0.25">
      <c r="A184" s="115" t="s">
        <v>278</v>
      </c>
      <c r="B184" s="16"/>
      <c r="C184" s="16"/>
      <c r="D184" s="18">
        <f>+[16]Hoja1!$J$27</f>
        <v>28000000</v>
      </c>
      <c r="E184" s="16"/>
      <c r="F184" s="16"/>
      <c r="G184" s="16"/>
      <c r="H184" s="18">
        <f>+B184+C184+D184+G184+E184+F184</f>
        <v>28000000</v>
      </c>
      <c r="I184" s="16"/>
      <c r="J184" s="42">
        <f>+H184+I184</f>
        <v>28000000</v>
      </c>
      <c r="K184" s="42">
        <v>23698000</v>
      </c>
      <c r="L184" s="42">
        <f t="shared" si="23"/>
        <v>-4302000</v>
      </c>
      <c r="M184" s="161">
        <f t="shared" si="24"/>
        <v>0.84635714285714281</v>
      </c>
    </row>
    <row r="185" spans="1:13" s="86" customFormat="1" ht="15" hidden="1" outlineLevel="1" x14ac:dyDescent="0.25">
      <c r="A185" s="155" t="s">
        <v>279</v>
      </c>
      <c r="B185" s="16"/>
      <c r="C185" s="16"/>
      <c r="D185" s="16">
        <f>+[16]Hoja1!$J$28</f>
        <v>5000000</v>
      </c>
      <c r="E185" s="16"/>
      <c r="F185" s="16"/>
      <c r="G185" s="16"/>
      <c r="H185" s="21">
        <f>+B185+C185+D185+G185+E185+F185</f>
        <v>5000000</v>
      </c>
      <c r="I185" s="21"/>
      <c r="J185" s="21">
        <f>+H185+I185</f>
        <v>5000000</v>
      </c>
      <c r="K185" s="21">
        <v>4459004</v>
      </c>
      <c r="L185" s="21">
        <f t="shared" si="23"/>
        <v>-540996</v>
      </c>
      <c r="M185" s="160">
        <f t="shared" si="24"/>
        <v>0.89180079999999995</v>
      </c>
    </row>
    <row r="186" spans="1:13" s="86" customFormat="1" ht="15" hidden="1" outlineLevel="1" x14ac:dyDescent="0.25">
      <c r="A186" s="155" t="s">
        <v>379</v>
      </c>
      <c r="B186" s="16"/>
      <c r="C186" s="16"/>
      <c r="D186" s="16">
        <f>+[16]Hoja1!$J$29</f>
        <v>5000000</v>
      </c>
      <c r="E186" s="16"/>
      <c r="F186" s="16"/>
      <c r="G186" s="16"/>
      <c r="H186" s="21">
        <f>+B186+C186+D186+G186+E186+F186</f>
        <v>5000000</v>
      </c>
      <c r="I186" s="21"/>
      <c r="J186" s="21">
        <f>+H186+I186</f>
        <v>5000000</v>
      </c>
      <c r="K186" s="21"/>
      <c r="L186" s="21">
        <f t="shared" si="23"/>
        <v>-5000000</v>
      </c>
      <c r="M186" s="160">
        <f t="shared" si="24"/>
        <v>0</v>
      </c>
    </row>
    <row r="187" spans="1:13" s="86" customFormat="1" ht="15" collapsed="1" x14ac:dyDescent="0.25">
      <c r="A187" s="115"/>
      <c r="B187" s="16"/>
      <c r="C187" s="16"/>
      <c r="D187" s="16"/>
      <c r="E187" s="16"/>
      <c r="F187" s="16"/>
      <c r="G187" s="16"/>
      <c r="H187" s="18"/>
      <c r="I187" s="16"/>
      <c r="J187" s="42"/>
      <c r="K187" s="42"/>
      <c r="L187" s="42"/>
      <c r="M187" s="161"/>
    </row>
    <row r="188" spans="1:13" s="86" customFormat="1" ht="15" x14ac:dyDescent="0.25">
      <c r="A188" s="155" t="s">
        <v>340</v>
      </c>
      <c r="B188" s="16"/>
      <c r="C188" s="16"/>
      <c r="D188" s="16"/>
      <c r="E188" s="21">
        <f>+E189</f>
        <v>92000000</v>
      </c>
      <c r="F188" s="21"/>
      <c r="G188" s="21"/>
      <c r="H188" s="21">
        <f>+H189</f>
        <v>92000000</v>
      </c>
      <c r="I188" s="21"/>
      <c r="J188" s="21">
        <f>+H188+I188</f>
        <v>92000000</v>
      </c>
      <c r="K188" s="21">
        <f>+K189</f>
        <v>89286327</v>
      </c>
      <c r="L188" s="21">
        <f t="shared" si="23"/>
        <v>-2713673</v>
      </c>
      <c r="M188" s="160">
        <f t="shared" si="24"/>
        <v>0.97050355434782609</v>
      </c>
    </row>
    <row r="189" spans="1:13" s="86" customFormat="1" ht="15" x14ac:dyDescent="0.25">
      <c r="A189" s="155" t="s">
        <v>262</v>
      </c>
      <c r="B189" s="16"/>
      <c r="C189" s="16"/>
      <c r="D189" s="16"/>
      <c r="E189" s="16">
        <f>SUM(E190:E192)</f>
        <v>92000000</v>
      </c>
      <c r="F189" s="16"/>
      <c r="G189" s="16"/>
      <c r="H189" s="16">
        <f>SUM(H190:H192)</f>
        <v>92000000</v>
      </c>
      <c r="I189" s="16"/>
      <c r="J189" s="16">
        <f>SUM(J190:J192)</f>
        <v>92000000</v>
      </c>
      <c r="K189" s="16">
        <f>SUM(K190:K192)</f>
        <v>89286327</v>
      </c>
      <c r="L189" s="16">
        <f t="shared" si="23"/>
        <v>-2713673</v>
      </c>
      <c r="M189" s="160">
        <f t="shared" si="24"/>
        <v>0.97050355434782609</v>
      </c>
    </row>
    <row r="190" spans="1:13" s="86" customFormat="1" ht="15" hidden="1" outlineLevel="1" x14ac:dyDescent="0.25">
      <c r="A190" s="115" t="s">
        <v>263</v>
      </c>
      <c r="B190" s="16"/>
      <c r="C190" s="16"/>
      <c r="D190" s="16"/>
      <c r="E190" s="42">
        <f>+[15]Hoja1!$H$11</f>
        <v>10000000</v>
      </c>
      <c r="F190" s="16"/>
      <c r="G190" s="16"/>
      <c r="H190" s="18">
        <f>+B190+C190+D190+G190+E190+F190</f>
        <v>10000000</v>
      </c>
      <c r="I190" s="16"/>
      <c r="J190" s="42">
        <f>+H190+I190</f>
        <v>10000000</v>
      </c>
      <c r="K190" s="42">
        <v>10000000</v>
      </c>
      <c r="L190" s="42">
        <f t="shared" si="23"/>
        <v>0</v>
      </c>
      <c r="M190" s="161">
        <f t="shared" si="24"/>
        <v>1</v>
      </c>
    </row>
    <row r="191" spans="1:13" s="86" customFormat="1" ht="15" hidden="1" outlineLevel="1" x14ac:dyDescent="0.25">
      <c r="A191" s="115" t="s">
        <v>264</v>
      </c>
      <c r="B191" s="16"/>
      <c r="C191" s="16"/>
      <c r="D191" s="16"/>
      <c r="E191" s="42">
        <f>+[15]Hoja1!$H$12</f>
        <v>80000000</v>
      </c>
      <c r="F191" s="16"/>
      <c r="G191" s="16"/>
      <c r="H191" s="18">
        <f>+B191+C191+D191+G191+E191+F191</f>
        <v>80000000</v>
      </c>
      <c r="I191" s="16"/>
      <c r="J191" s="42">
        <f>+H191+I191</f>
        <v>80000000</v>
      </c>
      <c r="K191" s="42">
        <v>77504087</v>
      </c>
      <c r="L191" s="42">
        <f t="shared" si="23"/>
        <v>-2495913</v>
      </c>
      <c r="M191" s="161">
        <f t="shared" si="24"/>
        <v>0.96880108750000005</v>
      </c>
    </row>
    <row r="192" spans="1:13" s="86" customFormat="1" ht="15" hidden="1" outlineLevel="1" x14ac:dyDescent="0.25">
      <c r="A192" s="115" t="s">
        <v>265</v>
      </c>
      <c r="B192" s="16"/>
      <c r="C192" s="16"/>
      <c r="D192" s="16"/>
      <c r="E192" s="42">
        <f>+[15]Hoja1!$H$13</f>
        <v>2000000</v>
      </c>
      <c r="F192" s="16"/>
      <c r="G192" s="16"/>
      <c r="H192" s="18">
        <f>+B192+C192+D192+G192+E192+F192</f>
        <v>2000000</v>
      </c>
      <c r="I192" s="16"/>
      <c r="J192" s="42">
        <f>+H192+I192</f>
        <v>2000000</v>
      </c>
      <c r="K192" s="42">
        <v>1782240</v>
      </c>
      <c r="L192" s="42">
        <f t="shared" si="23"/>
        <v>-217760</v>
      </c>
      <c r="M192" s="161">
        <f t="shared" si="24"/>
        <v>0.89112000000000002</v>
      </c>
    </row>
    <row r="193" spans="1:19" s="86" customFormat="1" ht="15" collapsed="1" x14ac:dyDescent="0.25">
      <c r="A193" s="115"/>
      <c r="B193" s="18"/>
      <c r="C193" s="16"/>
      <c r="D193" s="16"/>
      <c r="E193" s="16"/>
      <c r="F193" s="16"/>
      <c r="G193" s="16"/>
      <c r="H193" s="18"/>
      <c r="I193" s="16"/>
      <c r="J193" s="42"/>
      <c r="K193" s="42"/>
      <c r="L193" s="42"/>
      <c r="M193" s="161"/>
    </row>
    <row r="194" spans="1:19" ht="15" x14ac:dyDescent="0.25">
      <c r="A194" s="20" t="s">
        <v>93</v>
      </c>
      <c r="B194" s="18"/>
      <c r="C194" s="18"/>
      <c r="D194" s="18"/>
      <c r="E194" s="18"/>
      <c r="F194" s="18"/>
      <c r="G194" s="18"/>
      <c r="H194" s="18"/>
      <c r="I194" s="16">
        <f>+I195+I196</f>
        <v>679931719.60000002</v>
      </c>
      <c r="J194" s="16">
        <f>+I194+H194</f>
        <v>679931719.60000002</v>
      </c>
      <c r="K194" s="16">
        <f>+K195+K196</f>
        <v>747043097</v>
      </c>
      <c r="L194" s="16">
        <f t="shared" si="23"/>
        <v>67111377.399999976</v>
      </c>
      <c r="M194" s="160">
        <f t="shared" si="24"/>
        <v>1.0987031130706495</v>
      </c>
    </row>
    <row r="195" spans="1:19" ht="14.25" hidden="1" outlineLevel="1" x14ac:dyDescent="0.2">
      <c r="A195" s="43" t="s">
        <v>219</v>
      </c>
      <c r="B195" s="18"/>
      <c r="C195" s="18"/>
      <c r="D195" s="18"/>
      <c r="E195" s="18"/>
      <c r="F195" s="18"/>
      <c r="G195" s="18"/>
      <c r="H195" s="18"/>
      <c r="I195" s="42">
        <f>+('Anexo 1 Minagricultura'!B14+'Anexo 1 Minagricultura'!B18)*0.1</f>
        <v>424957324.75</v>
      </c>
      <c r="J195" s="42">
        <f>+I195+H195</f>
        <v>424957324.75</v>
      </c>
      <c r="K195" s="42">
        <v>466901937.5</v>
      </c>
      <c r="L195" s="42">
        <f t="shared" si="23"/>
        <v>41944612.75</v>
      </c>
      <c r="M195" s="161">
        <f t="shared" si="24"/>
        <v>1.0987031174828574</v>
      </c>
    </row>
    <row r="196" spans="1:19" ht="14.25" hidden="1" outlineLevel="1" x14ac:dyDescent="0.2">
      <c r="A196" s="43" t="s">
        <v>220</v>
      </c>
      <c r="B196" s="18"/>
      <c r="C196" s="18"/>
      <c r="D196" s="18"/>
      <c r="E196" s="18"/>
      <c r="F196" s="18"/>
      <c r="G196" s="18"/>
      <c r="H196" s="18"/>
      <c r="I196" s="42">
        <f>+('Anexo 1 Minagricultura'!B15+'Anexo 1 Minagricultura'!B19)*0.1</f>
        <v>254974394.85000002</v>
      </c>
      <c r="J196" s="42">
        <f>+I196+H196</f>
        <v>254974394.85000002</v>
      </c>
      <c r="K196" s="42">
        <v>280141159.5</v>
      </c>
      <c r="L196" s="42">
        <f t="shared" si="23"/>
        <v>25166764.649999976</v>
      </c>
      <c r="M196" s="161">
        <f t="shared" si="24"/>
        <v>1.0987031057169698</v>
      </c>
    </row>
    <row r="197" spans="1:19" ht="15" collapsed="1" x14ac:dyDescent="0.25">
      <c r="A197" s="22"/>
      <c r="B197" s="18"/>
      <c r="C197" s="18"/>
      <c r="D197" s="18"/>
      <c r="E197" s="18"/>
      <c r="F197" s="18"/>
      <c r="G197" s="18"/>
      <c r="H197" s="18"/>
      <c r="I197" s="18"/>
      <c r="J197" s="18"/>
      <c r="K197" s="18"/>
      <c r="L197" s="18"/>
      <c r="M197" s="160"/>
    </row>
    <row r="198" spans="1:19" ht="15" x14ac:dyDescent="0.25">
      <c r="A198" s="114" t="s">
        <v>206</v>
      </c>
      <c r="B198" s="21"/>
      <c r="C198" s="21"/>
      <c r="D198" s="21"/>
      <c r="E198" s="21"/>
      <c r="F198" s="21"/>
      <c r="G198" s="348"/>
      <c r="H198" s="21">
        <f>+B198+C198+D198+G198+F198</f>
        <v>0</v>
      </c>
      <c r="I198" s="21"/>
      <c r="J198" s="173">
        <f>+I198+H198</f>
        <v>0</v>
      </c>
      <c r="K198" s="173">
        <f>+J198+I198</f>
        <v>0</v>
      </c>
      <c r="L198" s="173">
        <f t="shared" si="23"/>
        <v>0</v>
      </c>
      <c r="M198" s="160">
        <f t="shared" si="24"/>
        <v>0</v>
      </c>
    </row>
    <row r="199" spans="1:19" ht="15" x14ac:dyDescent="0.25">
      <c r="A199" s="22"/>
      <c r="B199" s="18"/>
      <c r="C199" s="18"/>
      <c r="D199" s="18"/>
      <c r="E199" s="18"/>
      <c r="F199" s="18"/>
      <c r="G199" s="18"/>
      <c r="H199" s="18"/>
      <c r="I199" s="18"/>
      <c r="J199" s="18"/>
      <c r="K199" s="18"/>
      <c r="L199" s="18"/>
      <c r="M199" s="160"/>
    </row>
    <row r="200" spans="1:19" ht="15" x14ac:dyDescent="0.25">
      <c r="A200" s="20" t="s">
        <v>107</v>
      </c>
      <c r="B200" s="18"/>
      <c r="C200" s="18"/>
      <c r="D200" s="18"/>
      <c r="E200" s="18"/>
      <c r="F200" s="18"/>
      <c r="G200" s="18"/>
      <c r="H200" s="16">
        <f>+B200+C200+G200+F200</f>
        <v>0</v>
      </c>
      <c r="I200" s="16">
        <f>+I201+I202</f>
        <v>0</v>
      </c>
      <c r="J200" s="16">
        <f t="shared" ref="J200:K202" si="26">+I200+H200</f>
        <v>0</v>
      </c>
      <c r="K200" s="16">
        <f t="shared" si="26"/>
        <v>0</v>
      </c>
      <c r="L200" s="16">
        <f t="shared" si="23"/>
        <v>0</v>
      </c>
      <c r="M200" s="160">
        <f t="shared" si="24"/>
        <v>0</v>
      </c>
    </row>
    <row r="201" spans="1:19" s="26" customFormat="1" ht="14.25" hidden="1" outlineLevel="1" x14ac:dyDescent="0.2">
      <c r="A201" s="19" t="s">
        <v>145</v>
      </c>
      <c r="B201" s="18"/>
      <c r="C201" s="18"/>
      <c r="D201" s="18"/>
      <c r="E201" s="18"/>
      <c r="F201" s="18"/>
      <c r="G201" s="18"/>
      <c r="H201" s="18">
        <f>+B201+C201+G201+F201</f>
        <v>0</v>
      </c>
      <c r="I201" s="18">
        <v>0</v>
      </c>
      <c r="J201" s="18">
        <f t="shared" si="26"/>
        <v>0</v>
      </c>
      <c r="K201" s="18">
        <f t="shared" si="26"/>
        <v>0</v>
      </c>
      <c r="L201" s="18">
        <f t="shared" si="23"/>
        <v>0</v>
      </c>
      <c r="M201" s="161">
        <f t="shared" si="24"/>
        <v>0</v>
      </c>
    </row>
    <row r="202" spans="1:19" s="26" customFormat="1" ht="14.25" hidden="1" outlineLevel="1" x14ac:dyDescent="0.2">
      <c r="A202" s="19" t="s">
        <v>146</v>
      </c>
      <c r="B202" s="18"/>
      <c r="C202" s="18"/>
      <c r="D202" s="18"/>
      <c r="E202" s="18"/>
      <c r="F202" s="18"/>
      <c r="G202" s="18"/>
      <c r="H202" s="18">
        <f>+B202+C202+G202+F202</f>
        <v>0</v>
      </c>
      <c r="I202" s="18">
        <v>0</v>
      </c>
      <c r="J202" s="18">
        <f t="shared" si="26"/>
        <v>0</v>
      </c>
      <c r="K202" s="18">
        <f t="shared" si="26"/>
        <v>0</v>
      </c>
      <c r="L202" s="18">
        <f>+K202-J202</f>
        <v>0</v>
      </c>
      <c r="M202" s="161">
        <f>IFERROR(K202/J202,0)</f>
        <v>0</v>
      </c>
    </row>
    <row r="203" spans="1:19" ht="15" collapsed="1" x14ac:dyDescent="0.25">
      <c r="A203" s="22"/>
      <c r="B203" s="18"/>
      <c r="C203" s="18"/>
      <c r="D203" s="18"/>
      <c r="E203" s="18"/>
      <c r="F203" s="18"/>
      <c r="G203" s="18"/>
      <c r="H203" s="18"/>
      <c r="I203" s="18"/>
      <c r="J203" s="18"/>
      <c r="K203" s="18"/>
      <c r="L203" s="18"/>
      <c r="M203" s="160"/>
    </row>
    <row r="204" spans="1:19" ht="15" x14ac:dyDescent="0.25">
      <c r="A204" s="22" t="s">
        <v>163</v>
      </c>
      <c r="B204" s="16">
        <f>+B40+B38</f>
        <v>1248311259.5702665</v>
      </c>
      <c r="C204" s="16">
        <f>+C38+C40</f>
        <v>504161643.45849991</v>
      </c>
      <c r="D204" s="16">
        <f>+D40+D38</f>
        <v>556276260.21963751</v>
      </c>
      <c r="E204" s="16">
        <f>+E40+E38</f>
        <v>107433882.36516452</v>
      </c>
      <c r="F204" s="16">
        <f>+F40+F38</f>
        <v>2696542034.1731305</v>
      </c>
      <c r="G204" s="16">
        <f>+G38+G40+G198</f>
        <v>4642166435.6749401</v>
      </c>
      <c r="H204" s="16">
        <f>+B204+C204+D204+G204+E204+F204</f>
        <v>9754891515.4616394</v>
      </c>
      <c r="I204" s="16">
        <f>+I200+I194+I40+I38</f>
        <v>1033263340.2388358</v>
      </c>
      <c r="J204" s="16">
        <f>+I204+H204</f>
        <v>10788154855.700476</v>
      </c>
      <c r="K204" s="16">
        <f>+K38+K40+K194+K198+K200</f>
        <v>9409144100.5925407</v>
      </c>
      <c r="L204" s="16">
        <f>+K204-J204</f>
        <v>-1379010755.107935</v>
      </c>
      <c r="M204" s="160">
        <f>IFERROR(K204/J204,0)</f>
        <v>0.87217362250049058</v>
      </c>
    </row>
    <row r="205" spans="1:19" ht="15.75" thickBot="1" x14ac:dyDescent="0.3">
      <c r="A205" s="72"/>
      <c r="B205" s="14"/>
      <c r="C205" s="73"/>
      <c r="D205" s="73"/>
      <c r="E205" s="89"/>
      <c r="F205" s="73"/>
      <c r="G205" s="89"/>
      <c r="H205" s="73"/>
      <c r="I205" s="73"/>
      <c r="J205" s="73"/>
      <c r="K205" s="73"/>
      <c r="L205" s="73"/>
      <c r="M205" s="74"/>
      <c r="N205" s="162"/>
      <c r="O205" s="162"/>
      <c r="P205" s="162"/>
      <c r="Q205" s="162"/>
      <c r="R205" s="162"/>
      <c r="S205" s="162"/>
    </row>
    <row r="206" spans="1:19" ht="13.5" thickTop="1" x14ac:dyDescent="0.2">
      <c r="A206" s="75"/>
      <c r="B206" s="71"/>
      <c r="C206" s="71"/>
      <c r="D206" s="71"/>
      <c r="E206" s="71"/>
      <c r="F206" s="71"/>
      <c r="G206" s="122"/>
      <c r="H206" s="4"/>
      <c r="I206" s="71"/>
      <c r="J206" s="71"/>
      <c r="K206" s="71"/>
      <c r="L206" s="71"/>
      <c r="M206" s="70"/>
    </row>
    <row r="207" spans="1:19" hidden="1" x14ac:dyDescent="0.2">
      <c r="A207" s="75"/>
      <c r="B207" s="71"/>
      <c r="C207" s="71"/>
      <c r="D207" s="71"/>
      <c r="E207" s="71"/>
      <c r="F207" s="71"/>
      <c r="G207" s="123"/>
      <c r="H207" s="71"/>
      <c r="I207" s="71"/>
      <c r="J207" s="174"/>
      <c r="K207" s="174"/>
      <c r="L207" s="174"/>
      <c r="M207" s="175"/>
    </row>
    <row r="208" spans="1:19" ht="15.75" hidden="1" x14ac:dyDescent="0.25">
      <c r="A208" s="75"/>
      <c r="C208" s="4"/>
      <c r="D208" s="4"/>
      <c r="E208" s="4"/>
      <c r="F208" s="4"/>
      <c r="G208" s="76"/>
      <c r="H208" s="77" t="s">
        <v>105</v>
      </c>
      <c r="I208" s="77" t="s">
        <v>113</v>
      </c>
      <c r="J208" s="78" t="s">
        <v>89</v>
      </c>
      <c r="K208" s="78" t="s">
        <v>89</v>
      </c>
      <c r="L208" s="78" t="s">
        <v>89</v>
      </c>
      <c r="M208" s="4"/>
    </row>
    <row r="209" spans="1:13" ht="15.75" hidden="1" x14ac:dyDescent="0.25">
      <c r="A209" s="79"/>
      <c r="B209" s="4"/>
      <c r="C209" s="4"/>
      <c r="D209" s="4"/>
      <c r="E209" s="4"/>
      <c r="F209" s="4"/>
      <c r="G209" s="76" t="s">
        <v>63</v>
      </c>
      <c r="H209" s="80">
        <f>+B204+C204+D204+F204+I38+I195+E204</f>
        <v>5891014025.1755352</v>
      </c>
      <c r="I209" s="176">
        <f>+'Anexo 1 Minagricultura'!B41</f>
        <v>5891014025.4623098</v>
      </c>
      <c r="J209" s="176">
        <f t="shared" ref="J209:L210" si="27">+I209-H209</f>
        <v>0.28677463531494141</v>
      </c>
      <c r="K209" s="176">
        <f t="shared" si="27"/>
        <v>-5891014025.1755352</v>
      </c>
      <c r="L209" s="176">
        <f t="shared" si="27"/>
        <v>-5891014025.4623098</v>
      </c>
      <c r="M209" s="4"/>
    </row>
    <row r="210" spans="1:13" ht="16.5" hidden="1" thickBot="1" x14ac:dyDescent="0.3">
      <c r="A210" s="75"/>
      <c r="B210" s="4"/>
      <c r="C210" s="71"/>
      <c r="D210" s="177"/>
      <c r="E210" s="4"/>
      <c r="F210" s="4"/>
      <c r="G210" s="76" t="s">
        <v>109</v>
      </c>
      <c r="H210" s="81">
        <f>+G204+I196</f>
        <v>4897140830.5249405</v>
      </c>
      <c r="I210" s="178">
        <f>+'Anexo 1 Minagricultura'!B45</f>
        <v>4897140830.5249405</v>
      </c>
      <c r="J210" s="178">
        <f t="shared" si="27"/>
        <v>0</v>
      </c>
      <c r="K210" s="178">
        <f t="shared" si="27"/>
        <v>-4897140830.5249405</v>
      </c>
      <c r="L210" s="178">
        <f t="shared" si="27"/>
        <v>-4897140830.5249405</v>
      </c>
      <c r="M210" s="4"/>
    </row>
    <row r="211" spans="1:13" ht="15.75" hidden="1" x14ac:dyDescent="0.25">
      <c r="A211" s="75"/>
      <c r="B211" s="71"/>
      <c r="C211" s="71"/>
      <c r="D211" s="177"/>
      <c r="E211" s="4"/>
      <c r="F211" s="4"/>
      <c r="G211" s="76"/>
      <c r="H211" s="120">
        <f>+H209+H210</f>
        <v>10788154855.700476</v>
      </c>
      <c r="I211" s="121">
        <f>+I210+I209</f>
        <v>10788154855.987251</v>
      </c>
      <c r="J211" s="121">
        <f>+J210+J209</f>
        <v>0.28677463531494141</v>
      </c>
      <c r="K211" s="121">
        <f>+K210+K209</f>
        <v>-10788154855.700476</v>
      </c>
      <c r="L211" s="121">
        <f>+L210+L209</f>
        <v>-10788154855.987251</v>
      </c>
      <c r="M211" s="4"/>
    </row>
    <row r="212" spans="1:13" ht="15.75" hidden="1" x14ac:dyDescent="0.25">
      <c r="A212" s="75"/>
      <c r="B212" s="4"/>
      <c r="C212" s="4"/>
      <c r="D212" s="4"/>
      <c r="E212" s="4"/>
      <c r="F212" s="4"/>
      <c r="G212" s="76"/>
      <c r="H212" s="80"/>
      <c r="I212" s="76"/>
      <c r="J212" s="179"/>
      <c r="K212" s="179"/>
      <c r="L212" s="179"/>
      <c r="M212" s="4"/>
    </row>
    <row r="213" spans="1:13" x14ac:dyDescent="0.2">
      <c r="A213" s="4"/>
      <c r="B213" s="4"/>
      <c r="C213" s="4"/>
      <c r="D213" s="4"/>
      <c r="E213" s="4"/>
      <c r="F213" s="4"/>
      <c r="G213" s="4"/>
      <c r="H213" s="4"/>
      <c r="I213" s="4"/>
      <c r="J213" s="174"/>
      <c r="K213" s="174"/>
      <c r="L213" s="174"/>
      <c r="M213" s="4"/>
    </row>
    <row r="214" spans="1:13" x14ac:dyDescent="0.2">
      <c r="A214" s="4"/>
      <c r="B214" s="4"/>
      <c r="C214" s="4"/>
      <c r="D214" s="4"/>
      <c r="E214" s="4"/>
      <c r="F214" s="4"/>
      <c r="G214" s="4"/>
      <c r="H214" s="71"/>
      <c r="I214" s="71"/>
      <c r="J214" s="4"/>
      <c r="K214" s="4"/>
      <c r="L214" s="4"/>
      <c r="M214" s="4"/>
    </row>
    <row r="215" spans="1:13" x14ac:dyDescent="0.2">
      <c r="A215" s="4"/>
      <c r="B215" s="4"/>
      <c r="C215" s="4"/>
      <c r="D215" s="4"/>
      <c r="E215" s="4"/>
      <c r="F215" s="4"/>
      <c r="G215" s="4"/>
      <c r="H215" s="4"/>
      <c r="I215" s="4"/>
      <c r="J215" s="4"/>
      <c r="K215" s="4"/>
      <c r="L215" s="4"/>
      <c r="M215" s="4"/>
    </row>
    <row r="216" spans="1:13" x14ac:dyDescent="0.2">
      <c r="A216" s="4"/>
      <c r="B216" s="4"/>
      <c r="C216" s="4"/>
      <c r="D216" s="4"/>
      <c r="E216" s="4"/>
      <c r="F216" s="4"/>
      <c r="G216" s="4"/>
      <c r="H216" s="4"/>
      <c r="I216" s="4"/>
      <c r="J216" s="4"/>
      <c r="K216" s="4"/>
      <c r="L216" s="4"/>
      <c r="M216" s="4"/>
    </row>
    <row r="217" spans="1:13" x14ac:dyDescent="0.2">
      <c r="A217" s="4"/>
      <c r="B217" s="4"/>
      <c r="C217" s="4"/>
      <c r="D217" s="4"/>
      <c r="E217" s="4"/>
      <c r="F217" s="4"/>
      <c r="G217" s="4"/>
      <c r="H217" s="4"/>
      <c r="I217" s="177"/>
      <c r="J217" s="4"/>
      <c r="K217" s="4"/>
      <c r="L217" s="4"/>
      <c r="M217" s="4"/>
    </row>
    <row r="218" spans="1:13" x14ac:dyDescent="0.2">
      <c r="A218" s="4"/>
      <c r="B218" s="4"/>
      <c r="C218" s="4"/>
      <c r="D218" s="4"/>
      <c r="E218" s="4"/>
      <c r="F218" s="4"/>
      <c r="G218" s="4"/>
      <c r="H218" s="4"/>
      <c r="I218" s="4"/>
      <c r="J218" s="4"/>
      <c r="K218" s="4"/>
      <c r="L218" s="4"/>
      <c r="M218" s="4"/>
    </row>
    <row r="219" spans="1:13" x14ac:dyDescent="0.2">
      <c r="A219" s="4"/>
      <c r="B219" s="4"/>
      <c r="C219" s="4"/>
      <c r="D219" s="4"/>
      <c r="E219" s="4"/>
      <c r="F219" s="4"/>
      <c r="G219" s="4"/>
      <c r="H219" s="4"/>
      <c r="I219" s="4"/>
      <c r="J219" s="4"/>
      <c r="K219" s="4"/>
      <c r="L219" s="4"/>
      <c r="M219" s="4"/>
    </row>
    <row r="220" spans="1:13" x14ac:dyDescent="0.2">
      <c r="A220" s="4"/>
      <c r="B220" s="4"/>
      <c r="C220" s="4"/>
      <c r="D220" s="4"/>
      <c r="E220" s="4"/>
      <c r="F220" s="4"/>
      <c r="G220" s="4"/>
      <c r="H220" s="4"/>
      <c r="I220" s="4"/>
      <c r="J220" s="4"/>
      <c r="K220" s="4"/>
      <c r="L220" s="4"/>
      <c r="M220" s="4"/>
    </row>
    <row r="221" spans="1:13" x14ac:dyDescent="0.2">
      <c r="A221" s="4"/>
      <c r="B221" s="4"/>
      <c r="C221" s="4"/>
      <c r="D221" s="4"/>
      <c r="E221" s="4"/>
      <c r="F221" s="4"/>
      <c r="G221" s="4"/>
      <c r="H221" s="4"/>
      <c r="I221" s="4"/>
      <c r="J221" s="4"/>
      <c r="K221" s="4"/>
      <c r="L221" s="4"/>
      <c r="M221" s="4"/>
    </row>
    <row r="222" spans="1:13" x14ac:dyDescent="0.2">
      <c r="A222" s="4"/>
      <c r="B222" s="4"/>
      <c r="C222" s="4"/>
      <c r="D222" s="4"/>
      <c r="E222" s="4"/>
      <c r="F222" s="4"/>
      <c r="G222" s="4"/>
      <c r="H222" s="4"/>
      <c r="I222" s="4"/>
      <c r="J222" s="4"/>
      <c r="K222" s="4"/>
      <c r="L222" s="4"/>
      <c r="M222" s="4"/>
    </row>
    <row r="223" spans="1:13" x14ac:dyDescent="0.2">
      <c r="A223" s="4"/>
      <c r="B223" s="4"/>
      <c r="C223" s="4"/>
      <c r="D223" s="4"/>
      <c r="E223" s="4"/>
      <c r="F223" s="4"/>
      <c r="G223" s="4"/>
      <c r="H223" s="4"/>
      <c r="I223" s="4"/>
      <c r="J223" s="4"/>
      <c r="K223" s="4"/>
      <c r="L223" s="4"/>
      <c r="M223" s="4"/>
    </row>
    <row r="224" spans="1:13" x14ac:dyDescent="0.2">
      <c r="A224" s="4"/>
      <c r="B224" s="4"/>
      <c r="C224" s="4"/>
      <c r="D224" s="4"/>
      <c r="E224" s="4"/>
      <c r="F224" s="4"/>
      <c r="G224" s="4"/>
      <c r="H224" s="4"/>
      <c r="I224" s="4"/>
      <c r="J224" s="4"/>
      <c r="K224" s="4"/>
      <c r="L224" s="4"/>
      <c r="M224" s="4"/>
    </row>
    <row r="225" spans="1:13" x14ac:dyDescent="0.2">
      <c r="A225" s="4"/>
      <c r="B225" s="4"/>
      <c r="C225" s="4"/>
      <c r="D225" s="4"/>
      <c r="E225" s="4"/>
      <c r="F225" s="4"/>
      <c r="G225" s="4"/>
      <c r="H225" s="4"/>
      <c r="I225" s="4"/>
      <c r="J225" s="4"/>
      <c r="K225" s="4"/>
      <c r="L225" s="4"/>
      <c r="M225" s="4"/>
    </row>
    <row r="226" spans="1:13" x14ac:dyDescent="0.2">
      <c r="A226" s="4"/>
      <c r="B226" s="4"/>
      <c r="C226" s="4"/>
      <c r="D226" s="4"/>
      <c r="E226" s="4"/>
      <c r="F226" s="4"/>
      <c r="G226" s="4"/>
      <c r="H226" s="4"/>
      <c r="I226" s="4"/>
      <c r="J226" s="4"/>
      <c r="K226" s="4"/>
      <c r="L226" s="4"/>
      <c r="M226" s="4"/>
    </row>
    <row r="227" spans="1:13" x14ac:dyDescent="0.2">
      <c r="A227" s="4"/>
      <c r="B227" s="4"/>
      <c r="C227" s="4"/>
      <c r="D227" s="4"/>
      <c r="E227" s="4"/>
      <c r="F227" s="4"/>
      <c r="G227" s="4"/>
      <c r="H227" s="4"/>
      <c r="I227" s="4"/>
      <c r="J227" s="4"/>
      <c r="K227" s="4"/>
      <c r="L227" s="4"/>
      <c r="M227" s="4"/>
    </row>
    <row r="228" spans="1:13" x14ac:dyDescent="0.2">
      <c r="A228" s="4"/>
      <c r="B228" s="4"/>
      <c r="C228" s="4"/>
      <c r="D228" s="4"/>
      <c r="E228" s="4"/>
      <c r="F228" s="4"/>
      <c r="G228" s="4"/>
      <c r="H228" s="4"/>
      <c r="I228" s="4"/>
      <c r="J228" s="4"/>
      <c r="K228" s="4"/>
      <c r="L228" s="4"/>
      <c r="M228" s="4"/>
    </row>
    <row r="229" spans="1:13" x14ac:dyDescent="0.2">
      <c r="A229" s="4"/>
      <c r="B229" s="4"/>
      <c r="C229" s="4"/>
      <c r="D229" s="4"/>
      <c r="E229" s="4"/>
      <c r="F229" s="4"/>
      <c r="G229" s="4"/>
      <c r="H229" s="4"/>
      <c r="I229" s="4"/>
      <c r="J229" s="4"/>
      <c r="K229" s="4"/>
      <c r="L229" s="4"/>
      <c r="M229" s="4"/>
    </row>
    <row r="230" spans="1:13" x14ac:dyDescent="0.2">
      <c r="A230" s="4"/>
      <c r="B230" s="4"/>
      <c r="C230" s="4"/>
      <c r="D230" s="4"/>
      <c r="E230" s="4"/>
      <c r="F230" s="4"/>
      <c r="G230" s="4"/>
      <c r="H230" s="4"/>
      <c r="I230" s="4"/>
      <c r="J230" s="4"/>
      <c r="K230" s="4"/>
      <c r="L230" s="4"/>
      <c r="M230" s="4"/>
    </row>
    <row r="231" spans="1:13" x14ac:dyDescent="0.2">
      <c r="A231" s="4"/>
      <c r="B231" s="4"/>
      <c r="C231" s="4"/>
      <c r="D231" s="4"/>
      <c r="E231" s="4"/>
      <c r="F231" s="4"/>
      <c r="G231" s="4"/>
      <c r="H231" s="4"/>
      <c r="I231" s="4"/>
      <c r="J231" s="4"/>
      <c r="K231" s="4"/>
      <c r="L231" s="4"/>
      <c r="M231" s="4"/>
    </row>
    <row r="232" spans="1:13" x14ac:dyDescent="0.2">
      <c r="A232" s="4"/>
      <c r="B232" s="4"/>
      <c r="C232" s="4"/>
      <c r="D232" s="4"/>
      <c r="E232" s="4"/>
      <c r="F232" s="4"/>
      <c r="G232" s="4"/>
      <c r="H232" s="4"/>
      <c r="I232" s="4"/>
      <c r="J232" s="4"/>
      <c r="K232" s="4"/>
      <c r="L232" s="4"/>
      <c r="M232" s="4"/>
    </row>
    <row r="233" spans="1:13" x14ac:dyDescent="0.2">
      <c r="A233" s="4"/>
      <c r="B233" s="4"/>
      <c r="C233" s="4"/>
      <c r="D233" s="4"/>
      <c r="E233" s="4"/>
      <c r="F233" s="4"/>
      <c r="G233" s="4"/>
      <c r="H233" s="4"/>
      <c r="I233" s="4"/>
      <c r="J233" s="4"/>
      <c r="K233" s="4"/>
      <c r="L233" s="4"/>
      <c r="M233" s="4"/>
    </row>
    <row r="234" spans="1:13" x14ac:dyDescent="0.2">
      <c r="A234" s="4"/>
      <c r="B234" s="4"/>
      <c r="C234" s="4"/>
      <c r="D234" s="4"/>
      <c r="E234" s="4"/>
      <c r="F234" s="4"/>
      <c r="G234" s="4"/>
      <c r="H234" s="4"/>
      <c r="I234" s="4"/>
      <c r="J234" s="4"/>
      <c r="K234" s="4"/>
      <c r="L234" s="4"/>
      <c r="M234" s="4"/>
    </row>
    <row r="235" spans="1:13" x14ac:dyDescent="0.2">
      <c r="A235" s="4"/>
      <c r="B235" s="4"/>
      <c r="C235" s="4"/>
      <c r="D235" s="4"/>
      <c r="E235" s="4"/>
      <c r="F235" s="4"/>
      <c r="G235" s="4"/>
      <c r="H235" s="4"/>
      <c r="I235" s="4"/>
      <c r="J235" s="4"/>
      <c r="K235" s="4"/>
      <c r="L235" s="4"/>
      <c r="M235" s="4"/>
    </row>
    <row r="236" spans="1:13" x14ac:dyDescent="0.2">
      <c r="A236" s="4"/>
      <c r="B236" s="4"/>
      <c r="C236" s="4"/>
      <c r="D236" s="4"/>
      <c r="E236" s="4"/>
      <c r="F236" s="4"/>
      <c r="G236" s="4"/>
      <c r="H236" s="4"/>
      <c r="I236" s="4"/>
      <c r="J236" s="4"/>
      <c r="K236" s="4"/>
      <c r="L236" s="4"/>
      <c r="M236" s="4"/>
    </row>
    <row r="237" spans="1:13" x14ac:dyDescent="0.2">
      <c r="A237" s="4"/>
      <c r="B237" s="4"/>
      <c r="C237" s="4"/>
      <c r="D237" s="4"/>
      <c r="E237" s="4"/>
      <c r="F237" s="4"/>
      <c r="G237" s="4"/>
      <c r="H237" s="4"/>
      <c r="I237" s="4"/>
      <c r="J237" s="4"/>
      <c r="K237" s="4"/>
      <c r="L237" s="4"/>
      <c r="M237" s="4"/>
    </row>
    <row r="238" spans="1:13" x14ac:dyDescent="0.2">
      <c r="A238" s="4"/>
      <c r="B238" s="4"/>
      <c r="C238" s="4"/>
      <c r="D238" s="4"/>
      <c r="E238" s="4"/>
      <c r="F238" s="4"/>
      <c r="G238" s="4"/>
      <c r="H238" s="4"/>
      <c r="I238" s="4"/>
      <c r="J238" s="4"/>
      <c r="K238" s="4"/>
      <c r="L238" s="4"/>
      <c r="M238" s="4"/>
    </row>
    <row r="239" spans="1:13" x14ac:dyDescent="0.2">
      <c r="A239" s="4"/>
      <c r="B239" s="4"/>
      <c r="C239" s="4"/>
      <c r="D239" s="4"/>
      <c r="E239" s="4"/>
      <c r="F239" s="4"/>
      <c r="G239" s="4"/>
      <c r="H239" s="4"/>
      <c r="I239" s="4"/>
      <c r="J239" s="4"/>
      <c r="K239" s="4"/>
      <c r="L239" s="4"/>
      <c r="M239" s="4"/>
    </row>
    <row r="240" spans="1:13" x14ac:dyDescent="0.2">
      <c r="A240" s="4"/>
      <c r="B240" s="4"/>
      <c r="C240" s="4"/>
      <c r="D240" s="4"/>
      <c r="E240" s="4"/>
      <c r="F240" s="4"/>
      <c r="G240" s="4"/>
      <c r="H240" s="4"/>
      <c r="I240" s="4"/>
      <c r="J240" s="4"/>
      <c r="K240" s="4"/>
      <c r="L240" s="4"/>
      <c r="M240" s="4"/>
    </row>
    <row r="241" spans="1:13" x14ac:dyDescent="0.2">
      <c r="A241" s="4"/>
      <c r="B241" s="4"/>
      <c r="C241" s="4"/>
      <c r="D241" s="4"/>
      <c r="E241" s="4"/>
      <c r="F241" s="4"/>
      <c r="G241" s="4"/>
      <c r="H241" s="4"/>
      <c r="I241" s="4"/>
      <c r="J241" s="4"/>
      <c r="K241" s="4"/>
      <c r="L241" s="4"/>
      <c r="M241" s="4"/>
    </row>
    <row r="242" spans="1:13" x14ac:dyDescent="0.2">
      <c r="A242" s="4"/>
      <c r="B242" s="4"/>
      <c r="C242" s="4"/>
      <c r="D242" s="4"/>
      <c r="E242" s="4"/>
      <c r="F242" s="4"/>
      <c r="G242" s="4"/>
      <c r="H242" s="4"/>
      <c r="I242" s="4"/>
      <c r="J242" s="4"/>
      <c r="K242" s="4"/>
      <c r="L242" s="4"/>
      <c r="M242" s="4"/>
    </row>
    <row r="243" spans="1:13" x14ac:dyDescent="0.2">
      <c r="A243" s="4"/>
      <c r="B243" s="4"/>
      <c r="C243" s="4"/>
      <c r="D243" s="4"/>
      <c r="E243" s="4"/>
      <c r="F243" s="4"/>
      <c r="G243" s="4"/>
      <c r="H243" s="4"/>
      <c r="I243" s="4"/>
      <c r="J243" s="4"/>
      <c r="K243" s="4"/>
      <c r="L243" s="4"/>
      <c r="M243" s="4"/>
    </row>
    <row r="244" spans="1:13" x14ac:dyDescent="0.2">
      <c r="A244" s="4"/>
      <c r="B244" s="4"/>
      <c r="C244" s="4"/>
      <c r="D244" s="4"/>
      <c r="E244" s="4"/>
      <c r="F244" s="4"/>
      <c r="G244" s="4"/>
      <c r="H244" s="4"/>
      <c r="I244" s="4"/>
      <c r="J244" s="4"/>
      <c r="K244" s="4"/>
      <c r="L244" s="4"/>
      <c r="M244" s="4"/>
    </row>
    <row r="245" spans="1:13" x14ac:dyDescent="0.2">
      <c r="A245" s="4"/>
      <c r="B245" s="4"/>
      <c r="C245" s="4"/>
      <c r="D245" s="4"/>
      <c r="E245" s="4"/>
      <c r="F245" s="4"/>
      <c r="G245" s="4"/>
      <c r="H245" s="4"/>
      <c r="I245" s="4"/>
      <c r="J245" s="4"/>
      <c r="K245" s="4"/>
      <c r="L245" s="4"/>
      <c r="M245" s="4"/>
    </row>
    <row r="246" spans="1:13" x14ac:dyDescent="0.2">
      <c r="A246" s="4"/>
      <c r="B246" s="4"/>
      <c r="C246" s="4"/>
      <c r="D246" s="4"/>
      <c r="E246" s="4"/>
      <c r="F246" s="4"/>
      <c r="G246" s="4"/>
      <c r="H246" s="4"/>
      <c r="I246" s="4"/>
      <c r="J246" s="4"/>
      <c r="K246" s="4"/>
      <c r="L246" s="4"/>
      <c r="M246" s="4"/>
    </row>
    <row r="247" spans="1:13" x14ac:dyDescent="0.2">
      <c r="A247" s="4"/>
      <c r="B247" s="4"/>
      <c r="C247" s="4"/>
      <c r="D247" s="4"/>
      <c r="E247" s="4"/>
      <c r="F247" s="4"/>
      <c r="G247" s="4"/>
      <c r="H247" s="4"/>
      <c r="I247" s="4"/>
      <c r="J247" s="4"/>
      <c r="K247" s="4"/>
      <c r="L247" s="4"/>
      <c r="M247" s="4"/>
    </row>
    <row r="248" spans="1:13" x14ac:dyDescent="0.2">
      <c r="A248" s="4"/>
      <c r="B248" s="4"/>
      <c r="C248" s="4"/>
      <c r="D248" s="4"/>
      <c r="E248" s="4"/>
      <c r="F248" s="4"/>
      <c r="G248" s="4"/>
      <c r="H248" s="4"/>
      <c r="I248" s="4"/>
      <c r="J248" s="4"/>
      <c r="K248" s="4"/>
      <c r="L248" s="4"/>
      <c r="M248" s="4"/>
    </row>
    <row r="249" spans="1:13" x14ac:dyDescent="0.2">
      <c r="A249" s="4"/>
      <c r="B249" s="4"/>
      <c r="C249" s="4"/>
      <c r="D249" s="4"/>
      <c r="E249" s="4"/>
      <c r="F249" s="4"/>
      <c r="G249" s="4"/>
      <c r="H249" s="4"/>
      <c r="I249" s="4"/>
      <c r="J249" s="4"/>
      <c r="K249" s="4"/>
      <c r="L249" s="4"/>
      <c r="M249" s="4"/>
    </row>
    <row r="250" spans="1:13" x14ac:dyDescent="0.2">
      <c r="A250" s="4"/>
      <c r="B250" s="4"/>
      <c r="C250" s="4"/>
      <c r="D250" s="4"/>
      <c r="E250" s="4"/>
      <c r="F250" s="4"/>
      <c r="G250" s="4"/>
      <c r="H250" s="4"/>
      <c r="I250" s="4"/>
      <c r="J250" s="4"/>
      <c r="K250" s="4"/>
      <c r="L250" s="4"/>
      <c r="M250" s="4"/>
    </row>
    <row r="251" spans="1:13" x14ac:dyDescent="0.2">
      <c r="A251" s="4"/>
      <c r="B251" s="4"/>
      <c r="C251" s="4"/>
      <c r="D251" s="4"/>
      <c r="E251" s="4"/>
      <c r="F251" s="4"/>
      <c r="G251" s="4"/>
      <c r="H251" s="4"/>
      <c r="I251" s="4"/>
      <c r="J251" s="4"/>
      <c r="K251" s="4"/>
      <c r="L251" s="4"/>
      <c r="M251" s="4"/>
    </row>
    <row r="252" spans="1:13" x14ac:dyDescent="0.2">
      <c r="A252" s="4"/>
      <c r="B252" s="4"/>
      <c r="C252" s="4"/>
      <c r="D252" s="4"/>
      <c r="E252" s="4"/>
      <c r="F252" s="4"/>
      <c r="G252" s="4"/>
      <c r="H252" s="4"/>
      <c r="I252" s="4"/>
      <c r="J252" s="4"/>
      <c r="K252" s="4"/>
      <c r="L252" s="4"/>
      <c r="M252" s="4"/>
    </row>
    <row r="253" spans="1:13" x14ac:dyDescent="0.2">
      <c r="A253" s="4"/>
      <c r="B253" s="4"/>
      <c r="C253" s="4"/>
      <c r="D253" s="4"/>
      <c r="E253" s="4"/>
      <c r="F253" s="4"/>
      <c r="G253" s="4"/>
      <c r="H253" s="4"/>
      <c r="I253" s="4"/>
      <c r="J253" s="4"/>
      <c r="K253" s="4"/>
      <c r="L253" s="4"/>
      <c r="M253" s="4"/>
    </row>
    <row r="254" spans="1:13" x14ac:dyDescent="0.2">
      <c r="A254" s="4"/>
      <c r="B254" s="4"/>
      <c r="C254" s="4"/>
      <c r="D254" s="4"/>
      <c r="E254" s="4"/>
      <c r="F254" s="4"/>
      <c r="G254" s="4"/>
      <c r="H254" s="4"/>
      <c r="I254" s="4"/>
      <c r="J254" s="4"/>
      <c r="K254" s="4"/>
      <c r="L254" s="4"/>
      <c r="M254" s="4"/>
    </row>
    <row r="255" spans="1:13" x14ac:dyDescent="0.2">
      <c r="A255" s="4"/>
      <c r="B255" s="4"/>
      <c r="C255" s="4"/>
      <c r="D255" s="4"/>
      <c r="E255" s="4"/>
      <c r="F255" s="4"/>
      <c r="G255" s="4"/>
      <c r="H255" s="4"/>
      <c r="I255" s="4"/>
      <c r="J255" s="4"/>
      <c r="K255" s="4"/>
      <c r="L255" s="4"/>
      <c r="M255" s="4"/>
    </row>
    <row r="256" spans="1:13" x14ac:dyDescent="0.2">
      <c r="A256" s="4"/>
      <c r="B256" s="4"/>
      <c r="C256" s="4"/>
      <c r="D256" s="4"/>
      <c r="E256" s="4"/>
      <c r="F256" s="4"/>
      <c r="G256" s="4"/>
      <c r="H256" s="4"/>
      <c r="I256" s="4"/>
      <c r="J256" s="4"/>
      <c r="K256" s="4"/>
      <c r="L256" s="4"/>
      <c r="M256" s="4"/>
    </row>
    <row r="257" spans="1:13" x14ac:dyDescent="0.2">
      <c r="A257" s="4"/>
      <c r="B257" s="4"/>
      <c r="C257" s="4"/>
      <c r="D257" s="4"/>
      <c r="E257" s="4"/>
      <c r="F257" s="4"/>
      <c r="G257" s="4"/>
      <c r="H257" s="4"/>
      <c r="I257" s="4"/>
      <c r="J257" s="4"/>
      <c r="K257" s="4"/>
      <c r="L257" s="4"/>
      <c r="M257" s="4"/>
    </row>
    <row r="258" spans="1:13" x14ac:dyDescent="0.2">
      <c r="A258" s="4"/>
      <c r="B258" s="4"/>
      <c r="C258" s="4"/>
      <c r="D258" s="4"/>
      <c r="E258" s="4"/>
      <c r="F258" s="4"/>
      <c r="G258" s="4"/>
      <c r="H258" s="4"/>
      <c r="I258" s="4"/>
      <c r="J258" s="4"/>
      <c r="K258" s="4"/>
      <c r="L258" s="4"/>
      <c r="M258" s="4"/>
    </row>
    <row r="259" spans="1:13" x14ac:dyDescent="0.2">
      <c r="A259" s="4"/>
      <c r="B259" s="4"/>
      <c r="C259" s="4"/>
      <c r="D259" s="4"/>
      <c r="E259" s="4"/>
      <c r="F259" s="4"/>
      <c r="G259" s="4"/>
      <c r="H259" s="4"/>
      <c r="I259" s="4"/>
      <c r="J259" s="4"/>
      <c r="K259" s="4"/>
      <c r="L259" s="4"/>
      <c r="M259" s="4"/>
    </row>
    <row r="260" spans="1:13" x14ac:dyDescent="0.2">
      <c r="A260" s="4"/>
      <c r="B260" s="4"/>
      <c r="C260" s="4"/>
      <c r="D260" s="4"/>
      <c r="E260" s="4"/>
      <c r="F260" s="4"/>
      <c r="G260" s="4"/>
      <c r="H260" s="4"/>
      <c r="I260" s="4"/>
      <c r="J260" s="4"/>
      <c r="K260" s="4"/>
      <c r="L260" s="4"/>
      <c r="M260" s="4"/>
    </row>
    <row r="261" spans="1:13" x14ac:dyDescent="0.2">
      <c r="A261" s="4"/>
      <c r="B261" s="4"/>
      <c r="C261" s="4"/>
      <c r="D261" s="4"/>
      <c r="E261" s="4"/>
      <c r="F261" s="4"/>
      <c r="G261" s="4"/>
      <c r="H261" s="4"/>
      <c r="I261" s="4"/>
      <c r="J261" s="4"/>
      <c r="K261" s="4"/>
      <c r="L261" s="4"/>
      <c r="M261" s="4"/>
    </row>
    <row r="262" spans="1:13" x14ac:dyDescent="0.2">
      <c r="A262" s="4"/>
      <c r="B262" s="4"/>
      <c r="C262" s="4"/>
      <c r="D262" s="4"/>
      <c r="E262" s="4"/>
      <c r="F262" s="4"/>
      <c r="G262" s="4"/>
      <c r="H262" s="4"/>
      <c r="I262" s="4"/>
      <c r="J262" s="4"/>
      <c r="K262" s="4"/>
      <c r="L262" s="4"/>
      <c r="M262" s="4"/>
    </row>
    <row r="263" spans="1:13" x14ac:dyDescent="0.2">
      <c r="A263" s="4"/>
      <c r="B263" s="4"/>
      <c r="C263" s="4"/>
      <c r="D263" s="4"/>
      <c r="E263" s="4"/>
      <c r="F263" s="4"/>
      <c r="G263" s="4"/>
      <c r="H263" s="4"/>
      <c r="I263" s="4"/>
      <c r="J263" s="4"/>
      <c r="K263" s="4"/>
      <c r="L263" s="4"/>
      <c r="M263" s="4"/>
    </row>
    <row r="264" spans="1:13" x14ac:dyDescent="0.2">
      <c r="A264" s="4"/>
      <c r="B264" s="4"/>
      <c r="C264" s="4"/>
      <c r="D264" s="4"/>
      <c r="E264" s="4"/>
      <c r="F264" s="4"/>
      <c r="G264" s="4"/>
      <c r="H264" s="4"/>
      <c r="I264" s="4"/>
      <c r="J264" s="4"/>
      <c r="K264" s="4"/>
      <c r="L264" s="4"/>
      <c r="M264" s="4"/>
    </row>
    <row r="265" spans="1:13" x14ac:dyDescent="0.2">
      <c r="A265" s="4"/>
      <c r="B265" s="4"/>
      <c r="C265" s="4"/>
      <c r="D265" s="4"/>
      <c r="E265" s="4"/>
      <c r="F265" s="4"/>
      <c r="G265" s="4"/>
      <c r="H265" s="4"/>
      <c r="I265" s="4"/>
      <c r="J265" s="4"/>
      <c r="K265" s="4"/>
      <c r="L265" s="4"/>
      <c r="M265" s="4"/>
    </row>
    <row r="266" spans="1:13" x14ac:dyDescent="0.2">
      <c r="A266" s="4"/>
      <c r="B266" s="4"/>
      <c r="C266" s="4"/>
      <c r="D266" s="4"/>
      <c r="E266" s="4"/>
      <c r="F266" s="4"/>
      <c r="G266" s="4"/>
      <c r="H266" s="4"/>
      <c r="I266" s="4"/>
      <c r="J266" s="4"/>
      <c r="K266" s="4"/>
      <c r="L266" s="4"/>
      <c r="M266" s="4"/>
    </row>
    <row r="267" spans="1:13" x14ac:dyDescent="0.2">
      <c r="A267" s="4"/>
      <c r="B267" s="4"/>
      <c r="C267" s="4"/>
      <c r="D267" s="4"/>
      <c r="E267" s="4"/>
      <c r="F267" s="4"/>
      <c r="G267" s="4"/>
      <c r="H267" s="4"/>
      <c r="I267" s="4"/>
      <c r="J267" s="4"/>
      <c r="K267" s="4"/>
      <c r="L267" s="4"/>
      <c r="M267" s="4"/>
    </row>
    <row r="268" spans="1:13" x14ac:dyDescent="0.2">
      <c r="A268" s="4"/>
      <c r="B268" s="4"/>
      <c r="C268" s="4"/>
      <c r="D268" s="4"/>
      <c r="E268" s="4"/>
      <c r="F268" s="4"/>
      <c r="G268" s="4"/>
      <c r="H268" s="4"/>
      <c r="I268" s="4"/>
      <c r="J268" s="4"/>
      <c r="K268" s="4"/>
      <c r="L268" s="4"/>
      <c r="M268" s="4"/>
    </row>
    <row r="269" spans="1:13" x14ac:dyDescent="0.2">
      <c r="A269" s="4"/>
      <c r="B269" s="4"/>
      <c r="C269" s="4"/>
      <c r="D269" s="4"/>
      <c r="E269" s="4"/>
      <c r="F269" s="4"/>
      <c r="G269" s="4"/>
      <c r="H269" s="4"/>
      <c r="I269" s="4"/>
      <c r="J269" s="4"/>
      <c r="K269" s="4"/>
      <c r="L269" s="4"/>
      <c r="M269" s="4"/>
    </row>
    <row r="270" spans="1:13" x14ac:dyDescent="0.2">
      <c r="A270" s="4"/>
      <c r="B270" s="4"/>
      <c r="C270" s="4"/>
      <c r="D270" s="4"/>
      <c r="E270" s="4"/>
      <c r="F270" s="4"/>
      <c r="G270" s="4"/>
      <c r="H270" s="4"/>
      <c r="I270" s="4"/>
      <c r="J270" s="4"/>
      <c r="K270" s="4"/>
      <c r="L270" s="4"/>
      <c r="M270" s="4"/>
    </row>
    <row r="271" spans="1:13" x14ac:dyDescent="0.2">
      <c r="A271" s="4"/>
      <c r="B271" s="4"/>
      <c r="C271" s="4"/>
      <c r="D271" s="4"/>
      <c r="E271" s="4"/>
      <c r="F271" s="4"/>
      <c r="G271" s="4"/>
      <c r="H271" s="4"/>
      <c r="I271" s="4"/>
      <c r="J271" s="4"/>
      <c r="K271" s="4"/>
      <c r="L271" s="4"/>
      <c r="M271" s="4"/>
    </row>
    <row r="272" spans="1:13" x14ac:dyDescent="0.2">
      <c r="A272" s="4"/>
      <c r="B272" s="4"/>
      <c r="C272" s="4"/>
      <c r="D272" s="4"/>
      <c r="E272" s="4"/>
      <c r="F272" s="4"/>
      <c r="G272" s="4"/>
      <c r="H272" s="4"/>
      <c r="I272" s="4"/>
      <c r="J272" s="4"/>
      <c r="K272" s="4"/>
      <c r="L272" s="4"/>
      <c r="M272" s="4"/>
    </row>
    <row r="273" spans="1:13" x14ac:dyDescent="0.2">
      <c r="A273" s="4"/>
      <c r="B273" s="4"/>
      <c r="C273" s="4"/>
      <c r="D273" s="4"/>
      <c r="E273" s="4"/>
      <c r="F273" s="4"/>
      <c r="G273" s="4"/>
      <c r="H273" s="4"/>
      <c r="I273" s="4"/>
      <c r="J273" s="4"/>
      <c r="K273" s="4"/>
      <c r="L273" s="4"/>
      <c r="M273" s="4"/>
    </row>
    <row r="274" spans="1:13" x14ac:dyDescent="0.2">
      <c r="A274" s="4"/>
      <c r="B274" s="4"/>
      <c r="C274" s="4"/>
      <c r="D274" s="4"/>
      <c r="E274" s="4"/>
      <c r="F274" s="4"/>
      <c r="G274" s="4"/>
      <c r="H274" s="4"/>
      <c r="I274" s="4"/>
      <c r="J274" s="4"/>
      <c r="K274" s="4"/>
      <c r="L274" s="4"/>
      <c r="M274" s="4"/>
    </row>
    <row r="275" spans="1:13" x14ac:dyDescent="0.2">
      <c r="A275" s="4"/>
      <c r="B275" s="4"/>
      <c r="C275" s="4"/>
      <c r="D275" s="4"/>
      <c r="E275" s="4"/>
      <c r="F275" s="4"/>
      <c r="G275" s="4"/>
      <c r="H275" s="4"/>
      <c r="I275" s="4"/>
      <c r="J275" s="4"/>
      <c r="K275" s="4"/>
      <c r="L275" s="4"/>
      <c r="M275" s="4"/>
    </row>
    <row r="276" spans="1:13" x14ac:dyDescent="0.2">
      <c r="A276" s="4"/>
      <c r="B276" s="4"/>
      <c r="C276" s="4"/>
      <c r="D276" s="4"/>
      <c r="E276" s="4"/>
      <c r="F276" s="4"/>
      <c r="G276" s="4"/>
      <c r="H276" s="4"/>
      <c r="I276" s="4"/>
      <c r="J276" s="4"/>
      <c r="K276" s="4"/>
      <c r="L276" s="4"/>
      <c r="M276" s="4"/>
    </row>
    <row r="277" spans="1:13" x14ac:dyDescent="0.2">
      <c r="A277" s="4"/>
      <c r="B277" s="4"/>
      <c r="C277" s="4"/>
      <c r="D277" s="4"/>
      <c r="E277" s="4"/>
      <c r="F277" s="4"/>
      <c r="G277" s="4"/>
      <c r="H277" s="4"/>
      <c r="I277" s="4"/>
      <c r="J277" s="4"/>
      <c r="K277" s="4"/>
      <c r="L277" s="4"/>
      <c r="M277" s="4"/>
    </row>
    <row r="278" spans="1:13" x14ac:dyDescent="0.2">
      <c r="A278" s="4"/>
      <c r="B278" s="4"/>
      <c r="C278" s="4"/>
      <c r="D278" s="4"/>
      <c r="E278" s="4"/>
      <c r="F278" s="4"/>
      <c r="G278" s="4"/>
      <c r="H278" s="4"/>
      <c r="I278" s="4"/>
      <c r="J278" s="4"/>
      <c r="K278" s="4"/>
      <c r="L278" s="4"/>
      <c r="M278" s="4"/>
    </row>
    <row r="279" spans="1:13" x14ac:dyDescent="0.2">
      <c r="A279" s="4"/>
      <c r="B279" s="4"/>
      <c r="C279" s="4"/>
      <c r="D279" s="4"/>
      <c r="E279" s="4"/>
      <c r="F279" s="4"/>
      <c r="G279" s="4"/>
      <c r="H279" s="4"/>
      <c r="I279" s="4"/>
      <c r="J279" s="4"/>
      <c r="K279" s="4"/>
      <c r="L279" s="4"/>
      <c r="M279" s="4"/>
    </row>
    <row r="280" spans="1:13" x14ac:dyDescent="0.2">
      <c r="A280" s="4"/>
      <c r="B280" s="4"/>
      <c r="C280" s="4"/>
      <c r="D280" s="4"/>
      <c r="E280" s="4"/>
      <c r="F280" s="4"/>
      <c r="G280" s="4"/>
      <c r="H280" s="4"/>
      <c r="I280" s="4"/>
      <c r="J280" s="4"/>
      <c r="K280" s="4"/>
      <c r="L280" s="4"/>
      <c r="M280" s="4"/>
    </row>
    <row r="281" spans="1:13" x14ac:dyDescent="0.2">
      <c r="A281" s="4"/>
      <c r="B281" s="4"/>
      <c r="C281" s="4"/>
      <c r="D281" s="4"/>
      <c r="E281" s="4"/>
      <c r="F281" s="4"/>
      <c r="G281" s="4"/>
      <c r="H281" s="4"/>
      <c r="I281" s="4"/>
      <c r="J281" s="4"/>
      <c r="K281" s="4"/>
      <c r="L281" s="4"/>
      <c r="M281" s="4"/>
    </row>
    <row r="282" spans="1:13" x14ac:dyDescent="0.2">
      <c r="A282" s="4"/>
      <c r="B282" s="4"/>
      <c r="C282" s="4"/>
      <c r="D282" s="4"/>
      <c r="E282" s="4"/>
      <c r="F282" s="4"/>
      <c r="G282" s="4"/>
      <c r="H282" s="4"/>
      <c r="I282" s="4"/>
      <c r="J282" s="4"/>
      <c r="K282" s="4"/>
      <c r="L282" s="4"/>
      <c r="M282" s="4"/>
    </row>
    <row r="283" spans="1:13" x14ac:dyDescent="0.2">
      <c r="A283" s="4"/>
      <c r="B283" s="4"/>
      <c r="C283" s="4"/>
      <c r="D283" s="4"/>
      <c r="E283" s="4"/>
      <c r="F283" s="4"/>
      <c r="G283" s="4"/>
      <c r="H283" s="4"/>
      <c r="I283" s="4"/>
      <c r="J283" s="4"/>
      <c r="K283" s="4"/>
      <c r="L283" s="4"/>
      <c r="M283" s="4"/>
    </row>
  </sheetData>
  <mergeCells count="5">
    <mergeCell ref="A1:M1"/>
    <mergeCell ref="A2:M2"/>
    <mergeCell ref="A3:M3"/>
    <mergeCell ref="A5:M5"/>
    <mergeCell ref="A4:M4"/>
  </mergeCells>
  <printOptions horizontalCentered="1"/>
  <pageMargins left="0.39370078740157483" right="0.39370078740157483" top="0.39370078740157483" bottom="0.39370078740157483" header="0" footer="0"/>
  <pageSetup scale="38" orientation="portrait" r:id="rId1"/>
  <headerFooter alignWithMargins="0"/>
  <ignoredErrors>
    <ignoredError sqref="H37:H38 H173:J195 H47:J52 H161:J162 I74 H57:J72 I56:J56 H203:J203 H201:H202 J201:J202 H197:J200 H196:I196 I46:J46 H82:J156 H75:J80 I73:J73 H204:I204 H158:J159 I157 H54:J55 I53 H165:J168 I163 I164 H170:J171 I169"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AC1876"/>
  <sheetViews>
    <sheetView view="pageBreakPreview" zoomScaleNormal="85" zoomScaleSheetLayoutView="100" workbookViewId="0">
      <pane xSplit="1" ySplit="7" topLeftCell="B8" activePane="bottomRight" state="frozen"/>
      <selection activeCell="B121" sqref="B121"/>
      <selection pane="topRight" activeCell="B121" sqref="B121"/>
      <selection pane="bottomLeft" activeCell="B121" sqref="B121"/>
      <selection pane="bottomRight" activeCell="C12" sqref="C12"/>
    </sheetView>
  </sheetViews>
  <sheetFormatPr baseColWidth="10" defaultRowHeight="12.75" outlineLevelCol="2" x14ac:dyDescent="0.2"/>
  <cols>
    <col min="1" max="1" width="39.5703125" bestFit="1" customWidth="1"/>
    <col min="2" max="2" width="20.5703125" customWidth="1" outlineLevel="2"/>
    <col min="3" max="3" width="27.7109375" customWidth="1" outlineLevel="2"/>
    <col min="4" max="4" width="19.140625" customWidth="1" outlineLevel="2"/>
    <col min="5" max="5" width="19.28515625" customWidth="1" outlineLevel="2"/>
    <col min="6" max="6" width="22.7109375" customWidth="1" outlineLevel="1"/>
    <col min="7" max="8" width="20.28515625" customWidth="1" outlineLevel="1"/>
    <col min="9" max="9" width="22.28515625" customWidth="1" outlineLevel="1"/>
    <col min="10" max="10" width="20.28515625" customWidth="1" outlineLevel="1"/>
    <col min="11" max="11" width="25.7109375" customWidth="1" outlineLevel="1"/>
    <col min="12" max="12" width="21.42578125" customWidth="1" outlineLevel="1"/>
    <col min="13" max="13" width="17.140625" customWidth="1"/>
    <col min="14" max="14" width="22.140625" hidden="1" customWidth="1" outlineLevel="1"/>
    <col min="15" max="15" width="22.5703125" hidden="1" customWidth="1" outlineLevel="1"/>
    <col min="16" max="17" width="19.28515625" hidden="1" customWidth="1" outlineLevel="1"/>
    <col min="18" max="21" width="19.140625" hidden="1" customWidth="1" outlineLevel="1"/>
    <col min="22" max="22" width="22.42578125" hidden="1" customWidth="1" outlineLevel="1"/>
    <col min="23" max="23" width="22.42578125" hidden="1" customWidth="1" collapsed="1"/>
    <col min="24" max="24" width="20.28515625" hidden="1" customWidth="1"/>
    <col min="25" max="25" width="10.28515625" hidden="1" customWidth="1"/>
    <col min="26" max="26" width="13.85546875" bestFit="1" customWidth="1"/>
  </cols>
  <sheetData>
    <row r="1" spans="1:29" x14ac:dyDescent="0.2">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row>
    <row r="2" spans="1:29" ht="15.75" x14ac:dyDescent="0.25">
      <c r="A2" s="447" t="s">
        <v>24</v>
      </c>
      <c r="B2" s="447"/>
      <c r="C2" s="447"/>
      <c r="D2" s="447"/>
      <c r="E2" s="447"/>
      <c r="F2" s="447"/>
      <c r="G2" s="447" t="s">
        <v>24</v>
      </c>
      <c r="H2" s="447"/>
      <c r="I2" s="447"/>
      <c r="J2" s="447"/>
      <c r="K2" s="447"/>
      <c r="L2" s="447"/>
      <c r="M2" s="447"/>
      <c r="N2" s="447"/>
      <c r="O2" s="447"/>
      <c r="P2" s="447"/>
      <c r="Q2" s="447"/>
      <c r="R2" s="447"/>
      <c r="S2" s="447"/>
      <c r="T2" s="447"/>
      <c r="U2" s="447"/>
      <c r="V2" s="447"/>
      <c r="W2" s="447"/>
      <c r="X2" s="447"/>
      <c r="Y2" s="447"/>
      <c r="Z2" s="47"/>
      <c r="AA2" s="47"/>
      <c r="AB2" s="47"/>
      <c r="AC2" s="47"/>
    </row>
    <row r="3" spans="1:29" x14ac:dyDescent="0.2">
      <c r="A3" s="47"/>
      <c r="B3" s="47"/>
      <c r="C3" s="47"/>
      <c r="D3" s="47"/>
      <c r="E3" s="82"/>
      <c r="F3" s="47"/>
      <c r="G3" s="47"/>
      <c r="H3" s="47"/>
      <c r="I3" s="82"/>
      <c r="J3" s="47"/>
      <c r="K3" s="47"/>
      <c r="L3" s="47"/>
      <c r="M3" s="47"/>
      <c r="N3" s="47"/>
      <c r="O3" s="47"/>
      <c r="P3" s="47"/>
      <c r="Q3" s="47"/>
      <c r="R3" s="47"/>
      <c r="S3" s="47"/>
      <c r="T3" s="47"/>
      <c r="U3" s="47"/>
      <c r="V3" s="47"/>
      <c r="W3" s="47"/>
      <c r="X3" s="47"/>
      <c r="Y3" s="47"/>
      <c r="Z3" s="47"/>
      <c r="AA3" s="47"/>
      <c r="AB3" s="47"/>
      <c r="AC3" s="47"/>
    </row>
    <row r="4" spans="1:29" ht="15.75" thickBot="1" x14ac:dyDescent="0.3">
      <c r="A4" s="51"/>
      <c r="B4" s="51"/>
      <c r="C4" s="54" t="s">
        <v>164</v>
      </c>
      <c r="D4" s="53">
        <v>1.0677000000000001</v>
      </c>
      <c r="E4" s="88"/>
      <c r="F4" s="88"/>
      <c r="G4" s="51"/>
      <c r="H4" s="51"/>
      <c r="I4" s="51"/>
      <c r="J4" s="51"/>
      <c r="K4" s="51"/>
      <c r="L4" s="51"/>
      <c r="M4" s="51"/>
      <c r="N4" s="51"/>
      <c r="O4" s="51"/>
      <c r="P4" s="51"/>
      <c r="Q4" s="51"/>
      <c r="R4" s="51"/>
      <c r="S4" s="51"/>
      <c r="T4" s="51"/>
      <c r="U4" s="51"/>
      <c r="V4" s="51"/>
      <c r="W4" s="51"/>
      <c r="X4" s="51"/>
      <c r="Y4" s="51"/>
      <c r="Z4" s="47"/>
      <c r="AA4" s="47"/>
      <c r="AB4" s="47"/>
      <c r="AC4" s="47"/>
    </row>
    <row r="5" spans="1:29" ht="15.75" thickBot="1" x14ac:dyDescent="0.3">
      <c r="A5" s="47"/>
      <c r="B5" s="449">
        <v>2015</v>
      </c>
      <c r="C5" s="450"/>
      <c r="D5" s="450"/>
      <c r="E5" s="451"/>
      <c r="F5" s="437" t="s">
        <v>112</v>
      </c>
      <c r="G5" s="437" t="s">
        <v>131</v>
      </c>
      <c r="H5" s="437" t="s">
        <v>261</v>
      </c>
      <c r="I5" s="437" t="s">
        <v>132</v>
      </c>
      <c r="J5" s="437" t="s">
        <v>133</v>
      </c>
      <c r="K5" s="437" t="s">
        <v>197</v>
      </c>
      <c r="L5" s="437" t="s">
        <v>134</v>
      </c>
      <c r="M5" s="442" t="s">
        <v>306</v>
      </c>
      <c r="N5" s="448"/>
      <c r="O5" s="448"/>
      <c r="P5" s="448"/>
      <c r="Q5" s="33"/>
      <c r="R5" s="33"/>
      <c r="S5" s="52"/>
      <c r="T5" s="52"/>
      <c r="U5" s="52"/>
      <c r="V5" s="52"/>
      <c r="W5" s="439" t="s">
        <v>305</v>
      </c>
      <c r="X5" s="440"/>
      <c r="Y5" s="441"/>
      <c r="Z5" s="47"/>
      <c r="AA5" s="47"/>
      <c r="AB5" s="47"/>
      <c r="AC5" s="47"/>
    </row>
    <row r="6" spans="1:29" ht="15.75" thickBot="1" x14ac:dyDescent="0.3">
      <c r="A6" s="35" t="s">
        <v>123</v>
      </c>
      <c r="B6" s="452"/>
      <c r="C6" s="453"/>
      <c r="D6" s="453"/>
      <c r="E6" s="453"/>
      <c r="F6" s="438"/>
      <c r="G6" s="438"/>
      <c r="H6" s="438" t="s">
        <v>261</v>
      </c>
      <c r="I6" s="438"/>
      <c r="J6" s="438"/>
      <c r="K6" s="438"/>
      <c r="L6" s="438"/>
      <c r="M6" s="443"/>
      <c r="N6" s="36">
        <v>2004</v>
      </c>
      <c r="O6" s="37">
        <v>2005</v>
      </c>
      <c r="P6" s="37">
        <v>2006</v>
      </c>
      <c r="Q6" s="37">
        <v>2007</v>
      </c>
      <c r="R6" s="37">
        <v>2008</v>
      </c>
      <c r="S6" s="37">
        <v>2009</v>
      </c>
      <c r="T6" s="37">
        <v>2010</v>
      </c>
      <c r="U6" s="37">
        <v>2011</v>
      </c>
      <c r="V6" s="37">
        <v>2012</v>
      </c>
      <c r="W6" s="37">
        <v>2015</v>
      </c>
      <c r="X6" s="37">
        <v>2016</v>
      </c>
      <c r="Y6" s="107" t="s">
        <v>409</v>
      </c>
      <c r="Z6" s="47"/>
      <c r="AA6" s="47"/>
      <c r="AB6" s="47"/>
      <c r="AC6" s="47"/>
    </row>
    <row r="7" spans="1:29" ht="31.5" customHeight="1" x14ac:dyDescent="0.25">
      <c r="A7" s="126"/>
      <c r="B7" s="106"/>
      <c r="C7" s="127"/>
      <c r="D7" s="106"/>
      <c r="E7" s="106"/>
      <c r="F7" s="128"/>
      <c r="G7" s="128"/>
      <c r="H7" s="128"/>
      <c r="I7" s="128"/>
      <c r="J7" s="129"/>
      <c r="K7" s="129"/>
      <c r="L7" s="129"/>
      <c r="M7" s="106"/>
      <c r="N7" s="106"/>
      <c r="O7" s="106"/>
      <c r="P7" s="106"/>
      <c r="Q7" s="106"/>
      <c r="R7" s="106"/>
      <c r="S7" s="106"/>
      <c r="T7" s="106"/>
      <c r="U7" s="106"/>
      <c r="V7" s="106"/>
      <c r="W7" s="106"/>
      <c r="X7" s="106"/>
      <c r="Y7" s="106"/>
      <c r="Z7" s="47"/>
      <c r="AA7" s="47"/>
      <c r="AB7" s="47"/>
      <c r="AC7" s="47"/>
    </row>
    <row r="8" spans="1:29" ht="31.5" customHeight="1" thickBot="1" x14ac:dyDescent="0.25">
      <c r="A8" s="158" t="s">
        <v>41</v>
      </c>
      <c r="B8" s="151">
        <v>7000000</v>
      </c>
      <c r="C8" s="151"/>
      <c r="D8" s="151"/>
      <c r="E8" s="152"/>
      <c r="F8" s="156">
        <f>SUM(B8:E8)</f>
        <v>7000000</v>
      </c>
      <c r="G8" s="404"/>
      <c r="H8" s="404"/>
      <c r="I8" s="404"/>
      <c r="J8" s="156"/>
      <c r="K8" s="404"/>
      <c r="L8" s="404"/>
      <c r="M8" s="133">
        <f>SUM(F8:L8)</f>
        <v>7000000</v>
      </c>
      <c r="N8" s="133"/>
      <c r="O8" s="133"/>
      <c r="P8" s="133"/>
      <c r="Q8" s="133"/>
      <c r="R8" s="133"/>
      <c r="S8" s="133"/>
      <c r="T8" s="133"/>
      <c r="U8" s="133"/>
      <c r="V8" s="133">
        <v>25000000</v>
      </c>
      <c r="W8" s="133">
        <v>25000000</v>
      </c>
      <c r="X8" s="133">
        <f>+M8</f>
        <v>7000000</v>
      </c>
      <c r="Y8" s="202">
        <f>+(X8-W8)/W8</f>
        <v>-0.72</v>
      </c>
      <c r="Z8" s="47"/>
      <c r="AA8" s="47"/>
      <c r="AB8" s="47"/>
      <c r="AC8" s="47"/>
    </row>
    <row r="9" spans="1:29" ht="31.5" customHeight="1" x14ac:dyDescent="0.25">
      <c r="A9" s="195"/>
      <c r="B9" s="196" t="s">
        <v>230</v>
      </c>
      <c r="C9" s="157" t="s">
        <v>187</v>
      </c>
      <c r="D9" s="157" t="s">
        <v>231</v>
      </c>
      <c r="E9" s="197" t="s">
        <v>385</v>
      </c>
      <c r="F9" s="198"/>
      <c r="G9" s="106"/>
      <c r="H9" s="106"/>
      <c r="I9" s="106"/>
      <c r="J9" s="106"/>
      <c r="K9" s="106"/>
      <c r="L9" s="106"/>
      <c r="M9" s="106"/>
      <c r="N9" s="106"/>
      <c r="O9" s="106"/>
      <c r="P9" s="106"/>
      <c r="Q9" s="106"/>
      <c r="R9" s="106"/>
      <c r="S9" s="106"/>
      <c r="T9" s="106"/>
      <c r="U9" s="106"/>
      <c r="V9" s="106"/>
      <c r="W9" s="106"/>
      <c r="X9" s="106"/>
      <c r="Y9" s="208"/>
      <c r="Z9" s="47"/>
      <c r="AA9" s="47"/>
      <c r="AB9" s="47"/>
      <c r="AC9" s="47"/>
    </row>
    <row r="10" spans="1:29" ht="15" thickBot="1" x14ac:dyDescent="0.25">
      <c r="A10" s="158" t="s">
        <v>102</v>
      </c>
      <c r="B10" s="199">
        <v>677000</v>
      </c>
      <c r="C10" s="151">
        <f>20000000*D4/4</f>
        <v>5338500.0000000009</v>
      </c>
      <c r="D10" s="151">
        <f>22158144*D4/2</f>
        <v>11829125.174400002</v>
      </c>
      <c r="E10" s="152">
        <f>(27083000+7560000)/4</f>
        <v>8660750</v>
      </c>
      <c r="F10" s="156">
        <f>SUM(B10:E10)</f>
        <v>26505375.174400002</v>
      </c>
      <c r="G10" s="404">
        <f>+[18]Hoja1!$H$5</f>
        <v>4400000</v>
      </c>
      <c r="H10" s="404"/>
      <c r="I10" s="404">
        <f>+[20]Agregado!$F$10</f>
        <v>66081141</v>
      </c>
      <c r="J10" s="404"/>
      <c r="K10" s="404"/>
      <c r="L10" s="404"/>
      <c r="M10" s="133">
        <f>SUM(F10:L10)</f>
        <v>96986516.174400002</v>
      </c>
      <c r="N10" s="133">
        <v>24861124</v>
      </c>
      <c r="O10" s="133">
        <v>31500000</v>
      </c>
      <c r="P10" s="133">
        <v>52500000</v>
      </c>
      <c r="Q10" s="133">
        <f>+[1]RES!$J$27</f>
        <v>49600000</v>
      </c>
      <c r="R10" s="133">
        <v>154623996</v>
      </c>
      <c r="S10" s="133">
        <v>48500000</v>
      </c>
      <c r="T10" s="133">
        <v>66564693.936000004</v>
      </c>
      <c r="U10" s="133">
        <v>94531061.416000009</v>
      </c>
      <c r="V10" s="133">
        <v>102590515</v>
      </c>
      <c r="W10" s="133">
        <v>146917143.914</v>
      </c>
      <c r="X10" s="133">
        <f>+M10</f>
        <v>96986516.174400002</v>
      </c>
      <c r="Y10" s="202">
        <f>+(X10-W10)/W10</f>
        <v>-0.3398556928715385</v>
      </c>
      <c r="Z10" s="82"/>
      <c r="AA10" s="47"/>
      <c r="AB10" s="47"/>
      <c r="AC10" s="47"/>
    </row>
    <row r="11" spans="1:29" ht="15" x14ac:dyDescent="0.25">
      <c r="A11" s="126"/>
      <c r="B11" s="106" t="s">
        <v>147</v>
      </c>
      <c r="C11" s="106" t="s">
        <v>47</v>
      </c>
      <c r="D11" s="106"/>
      <c r="E11" s="135"/>
      <c r="F11" s="136"/>
      <c r="G11" s="106"/>
      <c r="H11" s="106"/>
      <c r="I11" s="106"/>
      <c r="J11" s="106"/>
      <c r="K11" s="106"/>
      <c r="L11" s="106"/>
      <c r="M11" s="106"/>
      <c r="N11" s="106"/>
      <c r="O11" s="106"/>
      <c r="P11" s="106"/>
      <c r="Q11" s="106"/>
      <c r="R11" s="106"/>
      <c r="S11" s="106"/>
      <c r="T11" s="106"/>
      <c r="U11" s="106"/>
      <c r="V11" s="106"/>
      <c r="W11" s="106"/>
      <c r="X11" s="106"/>
      <c r="Y11" s="205"/>
      <c r="Z11" s="47"/>
      <c r="AA11" s="47"/>
      <c r="AB11" s="47"/>
      <c r="AC11" s="47"/>
    </row>
    <row r="12" spans="1:29" ht="15" thickBot="1" x14ac:dyDescent="0.25">
      <c r="A12" s="158" t="s">
        <v>32</v>
      </c>
      <c r="B12" s="152"/>
      <c r="C12" s="152">
        <f>6047420*D4/4</f>
        <v>1614207.5835000002</v>
      </c>
      <c r="D12" s="158"/>
      <c r="E12" s="200"/>
      <c r="F12" s="151">
        <f>SUM(B12:E12)</f>
        <v>1614207.5835000002</v>
      </c>
      <c r="G12" s="130"/>
      <c r="H12" s="130"/>
      <c r="I12" s="130"/>
      <c r="J12" s="130"/>
      <c r="K12" s="130"/>
      <c r="L12" s="130"/>
      <c r="M12" s="201">
        <f>SUM(F12:L12)</f>
        <v>1614207.5835000002</v>
      </c>
      <c r="N12" s="201">
        <v>4987947</v>
      </c>
      <c r="O12" s="201">
        <v>5196911</v>
      </c>
      <c r="P12" s="201">
        <v>4924000</v>
      </c>
      <c r="Q12" s="201">
        <v>5145200</v>
      </c>
      <c r="R12" s="201">
        <v>5306073.3698999994</v>
      </c>
      <c r="S12" s="201">
        <v>5226217</v>
      </c>
      <c r="T12" s="201">
        <v>6232322.6880000001</v>
      </c>
      <c r="U12" s="201">
        <v>6349081.8000000007</v>
      </c>
      <c r="V12" s="201">
        <v>6838558.7199999997</v>
      </c>
      <c r="W12" s="201">
        <v>8526172.8678000011</v>
      </c>
      <c r="X12" s="201">
        <f>+M12</f>
        <v>1614207.5835000002</v>
      </c>
      <c r="Y12" s="202">
        <f>+(X12-W12)/W12</f>
        <v>-0.81067618396570096</v>
      </c>
      <c r="Z12" s="82"/>
      <c r="AA12" s="47"/>
      <c r="AB12" s="47"/>
      <c r="AC12" s="47"/>
    </row>
    <row r="13" spans="1:29" ht="15" x14ac:dyDescent="0.25">
      <c r="A13" s="195"/>
      <c r="B13" s="203" t="s">
        <v>48</v>
      </c>
      <c r="C13" s="197" t="s">
        <v>49</v>
      </c>
      <c r="D13" s="159"/>
      <c r="E13" s="204"/>
      <c r="F13" s="198"/>
      <c r="G13" s="405"/>
      <c r="H13" s="405"/>
      <c r="I13" s="405"/>
      <c r="J13" s="405"/>
      <c r="K13" s="405"/>
      <c r="L13" s="405"/>
      <c r="M13" s="157"/>
      <c r="N13" s="157"/>
      <c r="O13" s="157"/>
      <c r="P13" s="157"/>
      <c r="Q13" s="157"/>
      <c r="R13" s="157"/>
      <c r="S13" s="157"/>
      <c r="T13" s="157"/>
      <c r="U13" s="157"/>
      <c r="V13" s="157"/>
      <c r="W13" s="157"/>
      <c r="X13" s="157"/>
      <c r="Y13" s="205"/>
      <c r="Z13" s="82"/>
      <c r="AA13" s="47"/>
      <c r="AB13" s="47"/>
      <c r="AC13" s="47"/>
    </row>
    <row r="14" spans="1:29" ht="15" thickBot="1" x14ac:dyDescent="0.25">
      <c r="A14" s="206" t="s">
        <v>33</v>
      </c>
      <c r="B14" s="152">
        <f>1162172*D4/4</f>
        <v>310212.7611</v>
      </c>
      <c r="C14" s="152">
        <f>(4491483*4)*D4/4</f>
        <v>4795556.3991</v>
      </c>
      <c r="D14" s="158"/>
      <c r="E14" s="200"/>
      <c r="F14" s="151">
        <f>SUM(B14:E14)</f>
        <v>5105769.1601999998</v>
      </c>
      <c r="G14" s="131">
        <f>+[18]Hoja1!$H$10</f>
        <v>3000000</v>
      </c>
      <c r="H14" s="131"/>
      <c r="I14" s="130"/>
      <c r="J14" s="130"/>
      <c r="K14" s="130"/>
      <c r="L14" s="130"/>
      <c r="M14" s="201">
        <f>SUM(F14:L14)</f>
        <v>8105769.1601999998</v>
      </c>
      <c r="N14" s="201">
        <v>13481656</v>
      </c>
      <c r="O14" s="201">
        <v>15000000</v>
      </c>
      <c r="P14" s="201">
        <v>17900000</v>
      </c>
      <c r="Q14" s="201">
        <v>17000000</v>
      </c>
      <c r="R14" s="201">
        <v>21000000</v>
      </c>
      <c r="S14" s="201">
        <v>21150500</v>
      </c>
      <c r="T14" s="201">
        <v>21596520</v>
      </c>
      <c r="U14" s="201">
        <v>21999700</v>
      </c>
      <c r="V14" s="201">
        <v>24265295</v>
      </c>
      <c r="W14" s="201">
        <v>31128104.064399999</v>
      </c>
      <c r="X14" s="201">
        <f>+M14</f>
        <v>8105769.1601999998</v>
      </c>
      <c r="Y14" s="202">
        <f>+(X14-W14)/W14</f>
        <v>-0.73959965106033387</v>
      </c>
      <c r="Z14" s="82"/>
      <c r="AA14" s="47"/>
      <c r="AB14" s="47"/>
      <c r="AC14" s="47"/>
    </row>
    <row r="15" spans="1:29" ht="15" x14ac:dyDescent="0.25">
      <c r="A15" s="195"/>
      <c r="B15" s="157" t="s">
        <v>228</v>
      </c>
      <c r="C15" s="157" t="s">
        <v>239</v>
      </c>
      <c r="D15" s="157" t="s">
        <v>408</v>
      </c>
      <c r="E15" s="207" t="s">
        <v>234</v>
      </c>
      <c r="F15" s="198"/>
      <c r="G15" s="106" t="s">
        <v>228</v>
      </c>
      <c r="H15" s="140" t="s">
        <v>228</v>
      </c>
      <c r="I15" s="106" t="s">
        <v>228</v>
      </c>
      <c r="J15" s="157" t="s">
        <v>228</v>
      </c>
      <c r="K15" s="106" t="s">
        <v>228</v>
      </c>
      <c r="L15" s="106" t="s">
        <v>228</v>
      </c>
      <c r="M15" s="157"/>
      <c r="N15" s="157"/>
      <c r="O15" s="157"/>
      <c r="P15" s="157"/>
      <c r="Q15" s="157"/>
      <c r="R15" s="157"/>
      <c r="S15" s="157"/>
      <c r="T15" s="157"/>
      <c r="U15" s="157"/>
      <c r="V15" s="157"/>
      <c r="W15" s="157"/>
      <c r="X15" s="157"/>
      <c r="Y15" s="208"/>
      <c r="Z15" s="82"/>
      <c r="AA15" s="47"/>
      <c r="AB15" s="47"/>
      <c r="AC15" s="47"/>
    </row>
    <row r="16" spans="1:29" ht="15" thickBot="1" x14ac:dyDescent="0.25">
      <c r="A16" s="206" t="s">
        <v>25</v>
      </c>
      <c r="B16" s="152">
        <f>+(633333*$D$4*12)/4</f>
        <v>2028628.9323</v>
      </c>
      <c r="C16" s="152">
        <f>(160601*D4)*4/4</f>
        <v>171473.68770000001</v>
      </c>
      <c r="D16" s="152">
        <f>4000000*D4/4</f>
        <v>1067700</v>
      </c>
      <c r="E16" s="209">
        <f>8335202*D4/4</f>
        <v>2224873.79385</v>
      </c>
      <c r="F16" s="151">
        <f>SUM(B16:E16)</f>
        <v>5492676.4138500001</v>
      </c>
      <c r="G16" s="132">
        <f t="shared" ref="G16:L16" si="0">+(633333*$D$4*12)/4</f>
        <v>2028628.9323</v>
      </c>
      <c r="H16" s="132">
        <f t="shared" si="0"/>
        <v>2028628.9323</v>
      </c>
      <c r="I16" s="132">
        <f t="shared" si="0"/>
        <v>2028628.9323</v>
      </c>
      <c r="J16" s="152">
        <f t="shared" si="0"/>
        <v>2028628.9323</v>
      </c>
      <c r="K16" s="132">
        <f t="shared" si="0"/>
        <v>2028628.9323</v>
      </c>
      <c r="L16" s="132">
        <f t="shared" si="0"/>
        <v>2028628.9323</v>
      </c>
      <c r="M16" s="201">
        <f>SUM(F16:L16)</f>
        <v>17664450.007649999</v>
      </c>
      <c r="N16" s="201">
        <v>14708029</v>
      </c>
      <c r="O16" s="201">
        <v>18319330</v>
      </c>
      <c r="P16" s="201">
        <v>21037738</v>
      </c>
      <c r="Q16" s="201">
        <v>24558771</v>
      </c>
      <c r="R16" s="201">
        <v>28309323.18928</v>
      </c>
      <c r="S16" s="201">
        <v>79142910</v>
      </c>
      <c r="T16" s="201">
        <v>51647654.3248</v>
      </c>
      <c r="U16" s="201">
        <v>47105066.252399996</v>
      </c>
      <c r="V16" s="201">
        <v>48852149</v>
      </c>
      <c r="W16" s="201">
        <v>66177608.021400005</v>
      </c>
      <c r="X16" s="201">
        <f>+M16</f>
        <v>17664450.007649999</v>
      </c>
      <c r="Y16" s="210">
        <f>+(X16-W16)/W16</f>
        <v>-0.73307512109023631</v>
      </c>
      <c r="Z16" s="82"/>
      <c r="AA16" s="47"/>
      <c r="AB16" s="47"/>
      <c r="AC16" s="47"/>
    </row>
    <row r="17" spans="1:29" ht="15" x14ac:dyDescent="0.25">
      <c r="A17" s="134"/>
      <c r="B17" s="106" t="s">
        <v>50</v>
      </c>
      <c r="C17" s="106" t="s">
        <v>51</v>
      </c>
      <c r="D17" s="106" t="s">
        <v>52</v>
      </c>
      <c r="E17" s="140" t="s">
        <v>53</v>
      </c>
      <c r="F17" s="136"/>
      <c r="G17" s="141"/>
      <c r="H17" s="141"/>
      <c r="I17" s="141"/>
      <c r="J17" s="141"/>
      <c r="K17" s="141"/>
      <c r="L17" s="141"/>
      <c r="M17" s="106"/>
      <c r="N17" s="106"/>
      <c r="O17" s="106"/>
      <c r="P17" s="106"/>
      <c r="Q17" s="106"/>
      <c r="R17" s="106"/>
      <c r="S17" s="142"/>
      <c r="T17" s="106"/>
      <c r="U17" s="106"/>
      <c r="V17" s="106"/>
      <c r="W17" s="106"/>
      <c r="X17" s="106"/>
      <c r="Y17" s="205"/>
      <c r="Z17" s="82"/>
      <c r="AA17" s="47"/>
      <c r="AB17" s="47"/>
      <c r="AC17" s="47"/>
    </row>
    <row r="18" spans="1:29" ht="15" thickBot="1" x14ac:dyDescent="0.25">
      <c r="A18" s="138" t="s">
        <v>34</v>
      </c>
      <c r="B18" s="132">
        <f>8659950*D4/4</f>
        <v>2311557.1537500001</v>
      </c>
      <c r="C18" s="132">
        <f>3788728*D4/4</f>
        <v>1011306.2214</v>
      </c>
      <c r="D18" s="132">
        <f>10824938*D4/4</f>
        <v>2889446.5756500005</v>
      </c>
      <c r="E18" s="132">
        <f>4329975*D4/4</f>
        <v>1155778.576875</v>
      </c>
      <c r="F18" s="131">
        <f>SUM(B18:E18)</f>
        <v>7368088.527675001</v>
      </c>
      <c r="G18" s="132">
        <f>8760000*D4/4</f>
        <v>2338263</v>
      </c>
      <c r="H18" s="132"/>
      <c r="I18" s="132">
        <f>+(9742444)*D4/4</f>
        <v>2600501.8647000003</v>
      </c>
      <c r="J18" s="132">
        <f>+(3788728)*D4/4</f>
        <v>1011306.2214</v>
      </c>
      <c r="K18" s="132">
        <f>1623741*D4/4</f>
        <v>433417.06642500003</v>
      </c>
      <c r="L18" s="131">
        <f>9742444*D4/4</f>
        <v>2600501.8647000003</v>
      </c>
      <c r="M18" s="133">
        <f>SUM(F18:L18)+G17+I17+J17+L17</f>
        <v>16352078.544900002</v>
      </c>
      <c r="N18" s="133">
        <v>38228571</v>
      </c>
      <c r="O18" s="133">
        <v>38054963</v>
      </c>
      <c r="P18" s="133">
        <v>38520000</v>
      </c>
      <c r="Q18" s="133">
        <v>50128576</v>
      </c>
      <c r="R18" s="133">
        <v>51500000</v>
      </c>
      <c r="S18" s="133">
        <v>58683202</v>
      </c>
      <c r="T18" s="133">
        <v>62004654.214799993</v>
      </c>
      <c r="U18" s="133">
        <v>60967511.851899996</v>
      </c>
      <c r="V18" s="133">
        <v>55500000</v>
      </c>
      <c r="W18" s="133">
        <v>61260947.642800003</v>
      </c>
      <c r="X18" s="133">
        <f>+M18</f>
        <v>16352078.544900002</v>
      </c>
      <c r="Y18" s="202">
        <f>+(X18-W18)/W18</f>
        <v>-0.73307499844361512</v>
      </c>
      <c r="Z18" s="82"/>
      <c r="AA18" s="47"/>
      <c r="AB18" s="47"/>
      <c r="AC18" s="47"/>
    </row>
    <row r="19" spans="1:29" ht="15" x14ac:dyDescent="0.25">
      <c r="A19" s="134"/>
      <c r="B19" s="106" t="s">
        <v>130</v>
      </c>
      <c r="C19" s="135" t="s">
        <v>54</v>
      </c>
      <c r="D19" s="106"/>
      <c r="E19" s="135"/>
      <c r="F19" s="136"/>
      <c r="G19" s="106"/>
      <c r="H19" s="135"/>
      <c r="I19" s="126"/>
      <c r="J19" s="126"/>
      <c r="K19" s="126"/>
      <c r="L19" s="126"/>
      <c r="M19" s="106"/>
      <c r="N19" s="106"/>
      <c r="O19" s="106"/>
      <c r="P19" s="106"/>
      <c r="Q19" s="106"/>
      <c r="R19" s="106"/>
      <c r="S19" s="106"/>
      <c r="T19" s="106"/>
      <c r="U19" s="106"/>
      <c r="V19" s="106"/>
      <c r="W19" s="106"/>
      <c r="X19" s="106"/>
      <c r="Y19" s="205"/>
      <c r="Z19" s="82"/>
      <c r="AA19" s="82"/>
      <c r="AB19" s="47"/>
      <c r="AC19" s="47"/>
    </row>
    <row r="20" spans="1:29" ht="15" thickBot="1" x14ac:dyDescent="0.25">
      <c r="A20" s="138" t="s">
        <v>26</v>
      </c>
      <c r="B20" s="132">
        <f>(40300422/12)*D4*12/4</f>
        <v>10757190.142350001</v>
      </c>
      <c r="C20" s="132">
        <f>(8446765/12)*D4*12/4</f>
        <v>2254652.7476250003</v>
      </c>
      <c r="D20" s="131"/>
      <c r="E20" s="139"/>
      <c r="F20" s="131">
        <f>SUM(B20:E20)</f>
        <v>13011842.889975002</v>
      </c>
      <c r="G20" s="131">
        <f>9299683*D4/4</f>
        <v>2482317.8847750002</v>
      </c>
      <c r="H20" s="132"/>
      <c r="I20" s="131">
        <f>3000000*D4/4</f>
        <v>800775.00000000012</v>
      </c>
      <c r="J20" s="130"/>
      <c r="K20" s="130"/>
      <c r="L20" s="131">
        <f>+'[17]Solicitud presupuestal 2016'!$H$15</f>
        <v>3600000</v>
      </c>
      <c r="M20" s="133">
        <f>SUM(F20:L20)</f>
        <v>19894935.774750002</v>
      </c>
      <c r="N20" s="133">
        <v>24826333</v>
      </c>
      <c r="O20" s="133">
        <v>33433111</v>
      </c>
      <c r="P20" s="133">
        <v>32843175</v>
      </c>
      <c r="Q20" s="133">
        <v>34479000</v>
      </c>
      <c r="R20" s="133">
        <v>38333394</v>
      </c>
      <c r="S20" s="133">
        <v>44396456</v>
      </c>
      <c r="T20" s="133">
        <v>44452174.361599997</v>
      </c>
      <c r="U20" s="133">
        <v>48466408.564800002</v>
      </c>
      <c r="V20" s="133">
        <v>51590697.499999993</v>
      </c>
      <c r="W20" s="133">
        <v>81695941.924400002</v>
      </c>
      <c r="X20" s="133">
        <f>+M20</f>
        <v>19894935.774750002</v>
      </c>
      <c r="Y20" s="202">
        <f>+(X20-W20)/W20</f>
        <v>-0.75647583825937859</v>
      </c>
      <c r="Z20" s="82"/>
      <c r="AA20" s="47"/>
      <c r="AB20" s="47"/>
      <c r="AC20" s="47"/>
    </row>
    <row r="21" spans="1:29" ht="15" x14ac:dyDescent="0.25">
      <c r="A21" s="134"/>
      <c r="B21" s="106" t="s">
        <v>55</v>
      </c>
      <c r="C21" s="143"/>
      <c r="D21" s="144"/>
      <c r="E21" s="143"/>
      <c r="F21" s="136"/>
      <c r="G21" s="126"/>
      <c r="H21" s="126"/>
      <c r="I21" s="126"/>
      <c r="J21" s="126"/>
      <c r="K21" s="126"/>
      <c r="L21" s="126"/>
      <c r="M21" s="106"/>
      <c r="N21" s="106"/>
      <c r="O21" s="106"/>
      <c r="P21" s="106"/>
      <c r="Q21" s="106"/>
      <c r="R21" s="106"/>
      <c r="S21" s="106"/>
      <c r="T21" s="106"/>
      <c r="U21" s="106"/>
      <c r="V21" s="106"/>
      <c r="W21" s="106"/>
      <c r="X21" s="106"/>
      <c r="Y21" s="205"/>
      <c r="Z21" s="82"/>
      <c r="AA21" s="47"/>
      <c r="AB21" s="47"/>
      <c r="AC21" s="47"/>
    </row>
    <row r="22" spans="1:29" ht="15" thickBot="1" x14ac:dyDescent="0.25">
      <c r="A22" s="206" t="s">
        <v>125</v>
      </c>
      <c r="B22" s="152">
        <f>25000000*D4/4</f>
        <v>6673125.0000000009</v>
      </c>
      <c r="C22" s="200"/>
      <c r="D22" s="158"/>
      <c r="E22" s="200"/>
      <c r="F22" s="151">
        <f>SUM(B22:E22)</f>
        <v>6673125.0000000009</v>
      </c>
      <c r="G22" s="393">
        <f>+[18]Hoja1!$H$6</f>
        <v>92000000</v>
      </c>
      <c r="H22" s="393"/>
      <c r="I22" s="393">
        <f>+[20]Agregado!$F$16</f>
        <v>4000000</v>
      </c>
      <c r="J22" s="393">
        <f>16246395*D4/4</f>
        <v>4336568.9853750002</v>
      </c>
      <c r="K22" s="393">
        <f>7718450*D4/4</f>
        <v>2060247.2662500001</v>
      </c>
      <c r="L22" s="393">
        <v>6000000</v>
      </c>
      <c r="M22" s="201">
        <f>SUM(F22:L22)</f>
        <v>115069941.251625</v>
      </c>
      <c r="N22" s="201">
        <v>8566019</v>
      </c>
      <c r="O22" s="201">
        <v>9353350</v>
      </c>
      <c r="P22" s="201">
        <v>9000000</v>
      </c>
      <c r="Q22" s="201">
        <v>179400000</v>
      </c>
      <c r="R22" s="201">
        <v>204044096</v>
      </c>
      <c r="S22" s="201">
        <v>174560183</v>
      </c>
      <c r="T22" s="201">
        <v>205460000</v>
      </c>
      <c r="U22" s="201">
        <v>232176000</v>
      </c>
      <c r="V22" s="201">
        <v>276703160</v>
      </c>
      <c r="W22" s="201">
        <v>410281744.97000003</v>
      </c>
      <c r="X22" s="201">
        <f>+M22</f>
        <v>115069941.251625</v>
      </c>
      <c r="Y22" s="202">
        <f>+(X22-W22)/W22</f>
        <v>-0.71953433789739063</v>
      </c>
      <c r="Z22" s="82"/>
      <c r="AA22" s="47"/>
      <c r="AB22" s="47"/>
      <c r="AC22" s="47"/>
    </row>
    <row r="23" spans="1:29" ht="15" x14ac:dyDescent="0.25">
      <c r="A23" s="134"/>
      <c r="B23" s="106" t="s">
        <v>126</v>
      </c>
      <c r="C23" s="135" t="s">
        <v>301</v>
      </c>
      <c r="D23" s="126"/>
      <c r="E23" s="143"/>
      <c r="F23" s="136"/>
      <c r="G23" s="126"/>
      <c r="H23" s="126"/>
      <c r="I23" s="126"/>
      <c r="J23" s="126"/>
      <c r="K23" s="126"/>
      <c r="L23" s="126"/>
      <c r="M23" s="106"/>
      <c r="N23" s="106"/>
      <c r="O23" s="106"/>
      <c r="P23" s="106"/>
      <c r="Q23" s="106"/>
      <c r="R23" s="106"/>
      <c r="S23" s="106"/>
      <c r="T23" s="106"/>
      <c r="U23" s="106"/>
      <c r="V23" s="106"/>
      <c r="W23" s="106"/>
      <c r="X23" s="106"/>
      <c r="Y23" s="205"/>
      <c r="Z23" s="82"/>
      <c r="AA23" s="47"/>
      <c r="AB23" s="47"/>
      <c r="AC23" s="47"/>
    </row>
    <row r="24" spans="1:29" ht="15" thickBot="1" x14ac:dyDescent="0.25">
      <c r="A24" s="138" t="s">
        <v>103</v>
      </c>
      <c r="B24" s="132">
        <f>8421531*D4/4</f>
        <v>2247917.1621750002</v>
      </c>
      <c r="C24" s="132">
        <f>(2905990*D4)/4</f>
        <v>775681.38075000001</v>
      </c>
      <c r="D24" s="130"/>
      <c r="E24" s="137"/>
      <c r="F24" s="131">
        <f>SUM(B24:E24)</f>
        <v>3023598.5429250002</v>
      </c>
      <c r="G24" s="393">
        <f>+[18]Hoja1!$H$7</f>
        <v>4800000</v>
      </c>
      <c r="H24" s="393">
        <f>+[15]Hoja1!$H$6</f>
        <v>1400000</v>
      </c>
      <c r="I24" s="393">
        <f>+[20]Agregado!$F$11</f>
        <v>3000000</v>
      </c>
      <c r="J24" s="393"/>
      <c r="K24" s="393"/>
      <c r="L24" s="393"/>
      <c r="M24" s="131">
        <f>SUM(F24:L24)</f>
        <v>12223598.542925</v>
      </c>
      <c r="N24" s="145">
        <v>21111853</v>
      </c>
      <c r="O24" s="133">
        <v>20000000</v>
      </c>
      <c r="P24" s="133">
        <v>47100000</v>
      </c>
      <c r="Q24" s="133">
        <f>+[1]RES!$J$34</f>
        <v>62130000</v>
      </c>
      <c r="R24" s="133">
        <v>64295800</v>
      </c>
      <c r="S24" s="133">
        <v>44851839</v>
      </c>
      <c r="T24" s="133">
        <v>40170873</v>
      </c>
      <c r="U24" s="133">
        <v>46034945.804191999</v>
      </c>
      <c r="V24" s="133">
        <v>42359725.5264</v>
      </c>
      <c r="W24" s="133">
        <v>73910131.615199998</v>
      </c>
      <c r="X24" s="133">
        <f>+M24</f>
        <v>12223598.542925</v>
      </c>
      <c r="Y24" s="202">
        <f>+(X24-W24)/W24</f>
        <v>-0.83461538660809054</v>
      </c>
      <c r="Z24" s="82"/>
      <c r="AA24" s="47"/>
      <c r="AB24" s="47"/>
      <c r="AC24" s="47"/>
    </row>
    <row r="25" spans="1:29" ht="15" x14ac:dyDescent="0.25">
      <c r="A25" s="134"/>
      <c r="B25" s="106" t="s">
        <v>383</v>
      </c>
      <c r="C25" s="135" t="s">
        <v>382</v>
      </c>
      <c r="D25" s="106"/>
      <c r="E25" s="143"/>
      <c r="F25" s="136"/>
      <c r="G25" s="126"/>
      <c r="H25" s="126"/>
      <c r="I25" s="126"/>
      <c r="J25" s="126"/>
      <c r="K25" s="126"/>
      <c r="L25" s="126"/>
      <c r="M25" s="106"/>
      <c r="N25" s="106"/>
      <c r="O25" s="106"/>
      <c r="P25" s="106"/>
      <c r="Q25" s="106"/>
      <c r="R25" s="106"/>
      <c r="S25" s="106"/>
      <c r="T25" s="106"/>
      <c r="U25" s="106"/>
      <c r="V25" s="106"/>
      <c r="W25" s="106"/>
      <c r="X25" s="106"/>
      <c r="Y25" s="205"/>
      <c r="Z25" s="82"/>
      <c r="AA25" s="47"/>
      <c r="AB25" s="47"/>
      <c r="AC25" s="47"/>
    </row>
    <row r="26" spans="1:29" ht="15" thickBot="1" x14ac:dyDescent="0.25">
      <c r="A26" s="138" t="s">
        <v>27</v>
      </c>
      <c r="B26" s="152">
        <f>27527297/4</f>
        <v>6881824.25</v>
      </c>
      <c r="C26" s="139">
        <f>24246696/4</f>
        <v>6061674</v>
      </c>
      <c r="D26" s="131"/>
      <c r="E26" s="137"/>
      <c r="F26" s="131">
        <f>SUM(B26:E26)</f>
        <v>12943498.25</v>
      </c>
      <c r="G26" s="393">
        <f>+[18]Hoja1!$H$8</f>
        <v>74000000</v>
      </c>
      <c r="H26" s="393">
        <f>+[15]Hoja1!$H$7</f>
        <v>1000000</v>
      </c>
      <c r="I26" s="393">
        <f>+[20]Agregado!$F$12</f>
        <v>6436903</v>
      </c>
      <c r="J26" s="393">
        <f>+(10572950*D4)/4</f>
        <v>2822184.6787500004</v>
      </c>
      <c r="K26" s="393">
        <f>+(6344000*D4)/4</f>
        <v>1693372.2000000002</v>
      </c>
      <c r="L26" s="393">
        <f>+(9998622*D4)/4</f>
        <v>2668882.17735</v>
      </c>
      <c r="M26" s="131">
        <f>SUM(F26:L26)</f>
        <v>101564840.3061</v>
      </c>
      <c r="N26" s="131">
        <v>41213743</v>
      </c>
      <c r="O26" s="131">
        <v>28251650</v>
      </c>
      <c r="P26" s="131">
        <v>63480000</v>
      </c>
      <c r="Q26" s="131">
        <f>+[1]RES!$J$35</f>
        <v>84000000</v>
      </c>
      <c r="R26" s="131">
        <v>91000000</v>
      </c>
      <c r="S26" s="131">
        <v>119800000</v>
      </c>
      <c r="T26" s="131">
        <v>114328306</v>
      </c>
      <c r="U26" s="133">
        <v>133687645.59615999</v>
      </c>
      <c r="V26" s="133">
        <v>134020279.68000001</v>
      </c>
      <c r="W26" s="133">
        <v>342001988.46952498</v>
      </c>
      <c r="X26" s="133">
        <f>+M26</f>
        <v>101564840.3061</v>
      </c>
      <c r="Y26" s="202">
        <f>+(X26-W26)/W26</f>
        <v>-0.70302850939373929</v>
      </c>
      <c r="Z26" s="82"/>
      <c r="AA26" s="47"/>
      <c r="AB26" s="47"/>
      <c r="AC26" s="47"/>
    </row>
    <row r="27" spans="1:29" ht="15" x14ac:dyDescent="0.25">
      <c r="A27" s="134"/>
      <c r="B27" s="106" t="s">
        <v>56</v>
      </c>
      <c r="C27" s="135" t="s">
        <v>57</v>
      </c>
      <c r="D27" s="126"/>
      <c r="E27" s="143"/>
      <c r="F27" s="136"/>
      <c r="G27" s="126"/>
      <c r="H27" s="126"/>
      <c r="I27" s="126"/>
      <c r="J27" s="126"/>
      <c r="K27" s="126"/>
      <c r="L27" s="126"/>
      <c r="M27" s="106"/>
      <c r="N27" s="106"/>
      <c r="O27" s="106"/>
      <c r="P27" s="106"/>
      <c r="Q27" s="106"/>
      <c r="R27" s="106"/>
      <c r="S27" s="106"/>
      <c r="T27" s="106"/>
      <c r="U27" s="106"/>
      <c r="V27" s="106"/>
      <c r="W27" s="106"/>
      <c r="X27" s="106"/>
      <c r="Y27" s="205"/>
      <c r="Z27" s="82"/>
      <c r="AA27" s="47"/>
      <c r="AB27" s="47"/>
      <c r="AC27" s="47"/>
    </row>
    <row r="28" spans="1:29" ht="15" thickBot="1" x14ac:dyDescent="0.25">
      <c r="A28" s="138" t="s">
        <v>30</v>
      </c>
      <c r="B28" s="132">
        <f>3952453*D4/4</f>
        <v>1055008.5170250002</v>
      </c>
      <c r="C28" s="132">
        <f>583893*D4/4</f>
        <v>155855.63902500001</v>
      </c>
      <c r="D28" s="131"/>
      <c r="E28" s="137"/>
      <c r="F28" s="131">
        <f>SUM(B28:E28)</f>
        <v>1210864.1560500001</v>
      </c>
      <c r="G28" s="132">
        <f>+[18]Hoja1!$H$9</f>
        <v>750000</v>
      </c>
      <c r="H28" s="132"/>
      <c r="I28" s="131">
        <f>+[20]Agregado!$F$13</f>
        <v>300000</v>
      </c>
      <c r="J28" s="131">
        <f>2537508*D4/4</f>
        <v>677324.32290000003</v>
      </c>
      <c r="K28" s="131">
        <f>2000000/4</f>
        <v>500000</v>
      </c>
      <c r="L28" s="131">
        <f>2410633*D4/4</f>
        <v>643458.21352500003</v>
      </c>
      <c r="M28" s="131">
        <f>SUM(F28:L28)</f>
        <v>4081646.6924750004</v>
      </c>
      <c r="N28" s="145">
        <v>2386400</v>
      </c>
      <c r="O28" s="133">
        <v>3032800</v>
      </c>
      <c r="P28" s="133">
        <v>3185000</v>
      </c>
      <c r="Q28" s="133">
        <v>4000000</v>
      </c>
      <c r="R28" s="133">
        <v>4500000</v>
      </c>
      <c r="S28" s="133">
        <v>4500000</v>
      </c>
      <c r="T28" s="133">
        <v>4609200</v>
      </c>
      <c r="U28" s="133">
        <v>4655100</v>
      </c>
      <c r="V28" s="133">
        <v>17210240</v>
      </c>
      <c r="W28" s="133">
        <v>17237486.7148</v>
      </c>
      <c r="X28" s="133">
        <f>+M28</f>
        <v>4081646.6924750004</v>
      </c>
      <c r="Y28" s="202">
        <f>+(X28-W28)/W28</f>
        <v>-0.76321103186286876</v>
      </c>
      <c r="Z28" s="82"/>
      <c r="AA28" s="47"/>
      <c r="AB28" s="47"/>
      <c r="AC28" s="47"/>
    </row>
    <row r="29" spans="1:29" ht="15" x14ac:dyDescent="0.25">
      <c r="A29" s="134"/>
      <c r="B29" s="157" t="s">
        <v>58</v>
      </c>
      <c r="C29" s="197" t="s">
        <v>59</v>
      </c>
      <c r="D29" s="211" t="s">
        <v>169</v>
      </c>
      <c r="E29" s="143"/>
      <c r="F29" s="136"/>
      <c r="G29" s="106"/>
      <c r="H29" s="135"/>
      <c r="I29" s="126"/>
      <c r="J29" s="126"/>
      <c r="K29" s="126"/>
      <c r="L29" s="126"/>
      <c r="M29" s="106"/>
      <c r="N29" s="106"/>
      <c r="O29" s="106"/>
      <c r="P29" s="106"/>
      <c r="Q29" s="106"/>
      <c r="R29" s="106"/>
      <c r="S29" s="106"/>
      <c r="T29" s="106"/>
      <c r="U29" s="106"/>
      <c r="V29" s="106"/>
      <c r="W29" s="106"/>
      <c r="X29" s="106"/>
      <c r="Y29" s="205"/>
      <c r="Z29" s="82"/>
      <c r="AA29" s="47"/>
      <c r="AB29" s="47"/>
      <c r="AC29" s="47"/>
    </row>
    <row r="30" spans="1:29" ht="15" thickBot="1" x14ac:dyDescent="0.25">
      <c r="A30" s="138" t="s">
        <v>35</v>
      </c>
      <c r="B30" s="151">
        <f>15000000*D4/4</f>
        <v>4003875.0000000005</v>
      </c>
      <c r="C30" s="152">
        <f>2000000*D4/4</f>
        <v>533850</v>
      </c>
      <c r="D30" s="152">
        <f>5000000*D4/4</f>
        <v>1334625.0000000002</v>
      </c>
      <c r="E30" s="137"/>
      <c r="F30" s="131">
        <f>SUM(B30:E30)</f>
        <v>5872350</v>
      </c>
      <c r="G30" s="131">
        <f>36000000*D4/4</f>
        <v>9609300</v>
      </c>
      <c r="H30" s="132">
        <f>+[15]Hoja1!$H$9</f>
        <v>375000</v>
      </c>
      <c r="I30" s="132">
        <f>+[20]Agregado!$F$15</f>
        <v>1000000</v>
      </c>
      <c r="J30" s="131">
        <f>500000*D4/4</f>
        <v>133462.5</v>
      </c>
      <c r="K30" s="131">
        <f>+[16]Hoja1!$J$4</f>
        <v>3750000</v>
      </c>
      <c r="L30" s="130"/>
      <c r="M30" s="133">
        <f>SUM(F30:L30)</f>
        <v>20740112.5</v>
      </c>
      <c r="N30" s="133">
        <v>29501988</v>
      </c>
      <c r="O30" s="133">
        <v>21914847</v>
      </c>
      <c r="P30" s="133">
        <v>16000000</v>
      </c>
      <c r="Q30" s="133">
        <v>15500000</v>
      </c>
      <c r="R30" s="133">
        <v>46500000</v>
      </c>
      <c r="S30" s="133">
        <v>87096252</v>
      </c>
      <c r="T30" s="133">
        <v>75200000</v>
      </c>
      <c r="U30" s="133">
        <v>71505410.802359998</v>
      </c>
      <c r="V30" s="133">
        <v>90790250</v>
      </c>
      <c r="W30" s="133">
        <v>68000000</v>
      </c>
      <c r="X30" s="133">
        <f>+M30</f>
        <v>20740112.5</v>
      </c>
      <c r="Y30" s="202">
        <f>+(X30-W30)/W30</f>
        <v>-0.69499834558823526</v>
      </c>
      <c r="Z30" s="82"/>
      <c r="AA30" s="47"/>
      <c r="AB30" s="47"/>
      <c r="AC30" s="47"/>
    </row>
    <row r="31" spans="1:29" ht="15" x14ac:dyDescent="0.25">
      <c r="A31" s="134"/>
      <c r="B31" s="106" t="s">
        <v>60</v>
      </c>
      <c r="C31" s="135" t="s">
        <v>128</v>
      </c>
      <c r="D31" s="106" t="s">
        <v>129</v>
      </c>
      <c r="E31" s="135"/>
      <c r="F31" s="136"/>
      <c r="G31" s="126"/>
      <c r="H31" s="126"/>
      <c r="I31" s="126"/>
      <c r="J31" s="126"/>
      <c r="K31" s="126"/>
      <c r="L31" s="126"/>
      <c r="M31" s="106"/>
      <c r="N31" s="106"/>
      <c r="O31" s="106"/>
      <c r="P31" s="106"/>
      <c r="Q31" s="106"/>
      <c r="R31" s="106"/>
      <c r="S31" s="106"/>
      <c r="T31" s="106"/>
      <c r="U31" s="106"/>
      <c r="V31" s="106"/>
      <c r="W31" s="106"/>
      <c r="X31" s="106"/>
      <c r="Y31" s="205"/>
      <c r="Z31" s="82"/>
      <c r="AA31" s="47"/>
      <c r="AB31" s="47"/>
      <c r="AC31" s="47"/>
    </row>
    <row r="32" spans="1:29" ht="15" thickBot="1" x14ac:dyDescent="0.25">
      <c r="A32" s="138" t="s">
        <v>36</v>
      </c>
      <c r="B32" s="132">
        <f>13923597*D4/4</f>
        <v>3716556.1292250003</v>
      </c>
      <c r="C32" s="132">
        <f>4659914*D4/4</f>
        <v>1243847.5444500002</v>
      </c>
      <c r="D32" s="132">
        <f>(480754*5)*D4/4</f>
        <v>641626.30725000007</v>
      </c>
      <c r="E32" s="139"/>
      <c r="F32" s="131">
        <f>SUM(B32:E32)</f>
        <v>5602029.9809250012</v>
      </c>
      <c r="G32" s="130"/>
      <c r="H32" s="130"/>
      <c r="I32" s="130"/>
      <c r="J32" s="130"/>
      <c r="K32" s="130"/>
      <c r="L32" s="130"/>
      <c r="M32" s="133">
        <f>SUM(F32:L32)</f>
        <v>5602029.9809250012</v>
      </c>
      <c r="N32" s="133">
        <v>6804508</v>
      </c>
      <c r="O32" s="133">
        <v>10425298</v>
      </c>
      <c r="P32" s="133">
        <v>10400000</v>
      </c>
      <c r="Q32" s="133">
        <v>13400000</v>
      </c>
      <c r="R32" s="133">
        <v>14073000</v>
      </c>
      <c r="S32" s="133">
        <v>18000000</v>
      </c>
      <c r="T32" s="133">
        <v>18655200</v>
      </c>
      <c r="U32" s="133">
        <v>18570600</v>
      </c>
      <c r="V32" s="133">
        <v>19345645</v>
      </c>
      <c r="W32" s="133">
        <v>20987282.445399996</v>
      </c>
      <c r="X32" s="133">
        <f>+M32</f>
        <v>5602029.9809250012</v>
      </c>
      <c r="Y32" s="202">
        <f>+(X32-W32)/W32</f>
        <v>-0.73307501838319911</v>
      </c>
      <c r="Z32" s="82"/>
      <c r="AA32" s="47"/>
      <c r="AB32" s="47"/>
      <c r="AC32" s="47"/>
    </row>
    <row r="33" spans="1:29" ht="15" x14ac:dyDescent="0.25">
      <c r="A33" s="134"/>
      <c r="B33" s="106" t="s">
        <v>61</v>
      </c>
      <c r="C33" s="143"/>
      <c r="D33" s="126"/>
      <c r="E33" s="143"/>
      <c r="F33" s="136"/>
      <c r="G33" s="106"/>
      <c r="H33" s="106"/>
      <c r="I33" s="126"/>
      <c r="J33" s="126"/>
      <c r="K33" s="126"/>
      <c r="L33" s="126"/>
      <c r="M33" s="106"/>
      <c r="N33" s="106"/>
      <c r="O33" s="106"/>
      <c r="P33" s="106"/>
      <c r="Q33" s="106"/>
      <c r="R33" s="106"/>
      <c r="S33" s="106"/>
      <c r="T33" s="106"/>
      <c r="U33" s="106"/>
      <c r="V33" s="106"/>
      <c r="W33" s="106"/>
      <c r="X33" s="106"/>
      <c r="Y33" s="205"/>
      <c r="Z33" s="82"/>
      <c r="AA33" s="47"/>
      <c r="AB33" s="47"/>
      <c r="AC33" s="47"/>
    </row>
    <row r="34" spans="1:29" ht="15" thickBot="1" x14ac:dyDescent="0.25">
      <c r="A34" s="138" t="s">
        <v>37</v>
      </c>
      <c r="B34" s="132">
        <f>87550663*D4/4</f>
        <v>23369460.721275002</v>
      </c>
      <c r="C34" s="137"/>
      <c r="D34" s="130"/>
      <c r="E34" s="137"/>
      <c r="F34" s="131">
        <f>SUM(B34:E34)</f>
        <v>23369460.721275002</v>
      </c>
      <c r="G34" s="132">
        <f>57600000*D4/4</f>
        <v>15374880.000000002</v>
      </c>
      <c r="H34" s="132"/>
      <c r="I34" s="131"/>
      <c r="J34" s="131"/>
      <c r="K34" s="131"/>
      <c r="L34" s="131"/>
      <c r="M34" s="133">
        <f>SUM(F34:L34)</f>
        <v>38744340.721275002</v>
      </c>
      <c r="N34" s="133">
        <v>40939829</v>
      </c>
      <c r="O34" s="133">
        <v>37962215</v>
      </c>
      <c r="P34" s="133">
        <v>42000000</v>
      </c>
      <c r="Q34" s="133">
        <v>93000000</v>
      </c>
      <c r="R34" s="133">
        <v>110000000</v>
      </c>
      <c r="S34" s="133">
        <v>95000000</v>
      </c>
      <c r="T34" s="133">
        <v>93057937</v>
      </c>
      <c r="U34" s="133">
        <v>88000000</v>
      </c>
      <c r="V34" s="133">
        <v>161600000</v>
      </c>
      <c r="W34" s="133">
        <v>145150663</v>
      </c>
      <c r="X34" s="133">
        <f>+M34</f>
        <v>38744340.721275002</v>
      </c>
      <c r="Y34" s="202">
        <f>+(X34-W34)/W34</f>
        <v>-0.73307500000000003</v>
      </c>
      <c r="Z34" s="82"/>
      <c r="AA34" s="47"/>
      <c r="AB34" s="47"/>
      <c r="AC34" s="47"/>
    </row>
    <row r="35" spans="1:29" ht="15" x14ac:dyDescent="0.25">
      <c r="A35" s="134"/>
      <c r="B35" s="106" t="s">
        <v>165</v>
      </c>
      <c r="C35" s="127" t="s">
        <v>166</v>
      </c>
      <c r="D35" s="106" t="s">
        <v>167</v>
      </c>
      <c r="E35" s="350" t="s">
        <v>384</v>
      </c>
      <c r="F35" s="136"/>
      <c r="G35" s="126"/>
      <c r="H35" s="126"/>
      <c r="I35" s="126"/>
      <c r="J35" s="126"/>
      <c r="K35" s="126"/>
      <c r="L35" s="126"/>
      <c r="M35" s="106"/>
      <c r="N35" s="106"/>
      <c r="O35" s="106"/>
      <c r="P35" s="106"/>
      <c r="Q35" s="106"/>
      <c r="R35" s="106"/>
      <c r="S35" s="106"/>
      <c r="T35" s="106"/>
      <c r="U35" s="106"/>
      <c r="V35" s="106"/>
      <c r="W35" s="106"/>
      <c r="X35" s="106"/>
      <c r="Y35" s="205"/>
      <c r="Z35" s="82"/>
      <c r="AA35" s="47"/>
      <c r="AB35" s="47"/>
      <c r="AC35" s="47"/>
    </row>
    <row r="36" spans="1:29" ht="15" thickBot="1" x14ac:dyDescent="0.25">
      <c r="A36" s="138" t="s">
        <v>38</v>
      </c>
      <c r="B36" s="152"/>
      <c r="C36" s="132">
        <v>627998</v>
      </c>
      <c r="D36" s="132">
        <f>173484*D4/2</f>
        <v>92614.433400000009</v>
      </c>
      <c r="E36" s="132">
        <v>1500000</v>
      </c>
      <c r="F36" s="131">
        <f>SUM(B36:E36)</f>
        <v>2220612.4334</v>
      </c>
      <c r="G36" s="130"/>
      <c r="H36" s="130"/>
      <c r="I36" s="130"/>
      <c r="J36" s="130"/>
      <c r="K36" s="130"/>
      <c r="L36" s="130"/>
      <c r="M36" s="133">
        <f>SUM(F36:L36)</f>
        <v>2220612.4334</v>
      </c>
      <c r="N36" s="145">
        <v>11545969</v>
      </c>
      <c r="O36" s="145">
        <v>11776888</v>
      </c>
      <c r="P36" s="145">
        <v>15000000</v>
      </c>
      <c r="Q36" s="133">
        <v>19000000</v>
      </c>
      <c r="R36" s="133">
        <v>19000000</v>
      </c>
      <c r="S36" s="133">
        <v>32700000</v>
      </c>
      <c r="T36" s="133">
        <v>34335000</v>
      </c>
      <c r="U36" s="133">
        <v>31186455</v>
      </c>
      <c r="V36" s="133">
        <v>31655550</v>
      </c>
      <c r="W36" s="133">
        <v>41845936.852600001</v>
      </c>
      <c r="X36" s="133">
        <f>+M36</f>
        <v>2220612.4334</v>
      </c>
      <c r="Y36" s="202">
        <f>+(X36-W36)/W36</f>
        <v>-0.94693361887865046</v>
      </c>
      <c r="Z36" s="82"/>
      <c r="AA36" s="47"/>
      <c r="AB36" s="47"/>
      <c r="AC36" s="47"/>
    </row>
    <row r="37" spans="1:29" ht="15.75" thickBot="1" x14ac:dyDescent="0.3">
      <c r="A37" s="444" t="s">
        <v>62</v>
      </c>
      <c r="B37" s="445"/>
      <c r="C37" s="445"/>
      <c r="D37" s="445"/>
      <c r="E37" s="446"/>
      <c r="F37" s="38">
        <f>SUM(F8:F36)</f>
        <v>127013498.83417502</v>
      </c>
      <c r="G37" s="50">
        <f>+G34+G30+G28+G26+G24+G22+G20+G18+G14+G17+G16+G10</f>
        <v>210783389.81707501</v>
      </c>
      <c r="H37" s="50">
        <f>+H34+H30+H28+H26+H24+H22+H20+H18+H14+H17+H16+H10</f>
        <v>4803628.9322999995</v>
      </c>
      <c r="I37" s="50">
        <f>SUM(I10,I12,I14,I16,I18,I20,I22,I24,I26,I28,I30,I32,I34,I36)+I17</f>
        <v>86247949.797000006</v>
      </c>
      <c r="J37" s="50">
        <f>SUM(J10,J12,J14,J16,J18,J20,J22,J24,J26,J28,J30,J32,J34,J36)+J17</f>
        <v>11009475.640725002</v>
      </c>
      <c r="K37" s="50">
        <f>SUM(K10:K36)</f>
        <v>10465665.464974999</v>
      </c>
      <c r="L37" s="50">
        <f>SUM(L10,L12,L14,L16,L18,L20,L22,L24,L26,L28,L30,L32,L34,L36)+L17</f>
        <v>17541471.187875003</v>
      </c>
      <c r="M37" s="50">
        <f>+M36+M34+M32+M30+M28+M26+M24+M22+M20+M18+M16+M14+M12+M10+M8</f>
        <v>467865079.67412508</v>
      </c>
      <c r="N37" s="39">
        <f>SUM(N10:N36)</f>
        <v>283163969</v>
      </c>
      <c r="O37" s="39">
        <f>SUM(O10:O36)</f>
        <v>284221363</v>
      </c>
      <c r="P37" s="39">
        <f>SUM(P7:P36)</f>
        <v>373889913</v>
      </c>
      <c r="Q37" s="46">
        <f>SUM(Q7:Q36)</f>
        <v>651341547</v>
      </c>
      <c r="R37" s="45">
        <f>SUM(R10:R36)</f>
        <v>852485682.55918002</v>
      </c>
      <c r="S37" s="60">
        <f>SUM(S10:S36)</f>
        <v>833607559</v>
      </c>
      <c r="T37" s="60">
        <f>SUM(T10:T36)</f>
        <v>838314535.52520001</v>
      </c>
      <c r="U37" s="60">
        <f>SUM(U10:U36)</f>
        <v>905234987.08781195</v>
      </c>
      <c r="V37" s="60">
        <f>SUM(V8:V36)</f>
        <v>1088322065.4263999</v>
      </c>
      <c r="W37" s="50">
        <f>SUM(W8:W36)</f>
        <v>1540121152.5023248</v>
      </c>
      <c r="X37" s="389">
        <f>SUM(X8:X36)</f>
        <v>467865079.67412502</v>
      </c>
      <c r="Y37" s="390">
        <f>+(X37-W37)/W37</f>
        <v>-0.69621540557769934</v>
      </c>
      <c r="Z37" s="82"/>
      <c r="AA37" s="47"/>
      <c r="AB37" s="47"/>
      <c r="AC37" s="47"/>
    </row>
    <row r="38" spans="1:29" ht="16.5" x14ac:dyDescent="0.3">
      <c r="A38" s="83"/>
      <c r="B38" s="83"/>
      <c r="C38" s="84"/>
      <c r="D38" s="57"/>
      <c r="E38" s="57"/>
      <c r="F38" s="57"/>
      <c r="G38" s="57"/>
      <c r="H38" s="57"/>
      <c r="I38" s="57"/>
      <c r="J38" s="57"/>
      <c r="K38" s="57"/>
      <c r="L38" s="57"/>
      <c r="M38" s="83"/>
      <c r="N38" s="83"/>
      <c r="O38" s="83"/>
      <c r="P38" s="83"/>
      <c r="Q38" s="83"/>
      <c r="R38" s="83"/>
      <c r="S38" s="83"/>
      <c r="T38" s="83"/>
      <c r="U38" s="83"/>
      <c r="V38" s="83"/>
      <c r="W38" s="83"/>
      <c r="X38" s="83"/>
      <c r="Y38" s="83"/>
      <c r="Z38" s="85"/>
      <c r="AA38" s="47"/>
      <c r="AB38" s="47"/>
      <c r="AC38" s="47"/>
    </row>
    <row r="39" spans="1:29" ht="16.5" x14ac:dyDescent="0.3">
      <c r="A39" s="83"/>
      <c r="B39" s="83"/>
      <c r="C39" s="84"/>
      <c r="D39" s="57"/>
      <c r="E39" s="57"/>
      <c r="F39" s="57"/>
      <c r="G39" s="57"/>
      <c r="H39" s="57"/>
      <c r="I39" s="57"/>
      <c r="J39" s="57"/>
      <c r="K39" s="57"/>
      <c r="L39" s="57"/>
      <c r="M39" s="83"/>
      <c r="N39" s="83"/>
      <c r="O39" s="83"/>
      <c r="P39" s="83"/>
      <c r="Q39" s="83"/>
      <c r="R39" s="83"/>
      <c r="S39" s="83"/>
      <c r="T39" s="83"/>
      <c r="U39" s="83"/>
      <c r="V39" s="83"/>
      <c r="W39" s="83"/>
      <c r="X39" s="83"/>
      <c r="Y39" s="83"/>
      <c r="Z39" s="85"/>
      <c r="AA39" s="47"/>
      <c r="AB39" s="47"/>
      <c r="AC39" s="47"/>
    </row>
    <row r="40" spans="1:29" ht="16.5" x14ac:dyDescent="0.3">
      <c r="A40" s="55"/>
      <c r="B40" s="55"/>
      <c r="C40" s="56"/>
      <c r="D40" s="57"/>
      <c r="E40" s="57"/>
      <c r="F40" s="58"/>
      <c r="G40" s="57"/>
      <c r="H40" s="57"/>
      <c r="I40" s="57"/>
      <c r="J40" s="57"/>
      <c r="K40" s="57"/>
      <c r="L40" s="57"/>
      <c r="M40" s="55"/>
      <c r="N40" s="55"/>
      <c r="O40" s="55"/>
      <c r="P40" s="55"/>
      <c r="Q40" s="55"/>
      <c r="R40" s="55"/>
      <c r="S40" s="55"/>
      <c r="T40" s="55"/>
      <c r="U40" s="55"/>
      <c r="V40" s="55"/>
      <c r="W40" s="55"/>
      <c r="X40" s="55"/>
      <c r="Y40" s="55"/>
      <c r="Z40" s="47"/>
      <c r="AA40" s="47"/>
      <c r="AB40" s="47"/>
      <c r="AC40" s="47"/>
    </row>
    <row r="41" spans="1:29" ht="16.5" x14ac:dyDescent="0.3">
      <c r="A41" s="55"/>
      <c r="B41" s="55"/>
      <c r="C41" s="56"/>
      <c r="D41" s="57"/>
      <c r="E41" s="57"/>
      <c r="F41" s="58"/>
      <c r="G41" s="58"/>
      <c r="H41" s="58"/>
      <c r="I41" s="58"/>
      <c r="J41" s="58"/>
      <c r="K41" s="58"/>
      <c r="L41" s="58"/>
      <c r="M41" s="55"/>
      <c r="N41" s="55"/>
      <c r="O41" s="55"/>
      <c r="P41" s="55"/>
      <c r="Q41" s="55"/>
      <c r="R41" s="55"/>
      <c r="S41" s="55"/>
      <c r="T41" s="55"/>
      <c r="U41" s="55"/>
      <c r="V41" s="55"/>
      <c r="W41" s="55"/>
      <c r="X41" s="55"/>
      <c r="Y41" s="55"/>
      <c r="Z41" s="47"/>
      <c r="AA41" s="47"/>
      <c r="AB41" s="47"/>
      <c r="AC41" s="47"/>
    </row>
    <row r="42" spans="1:29" ht="16.5" x14ac:dyDescent="0.3">
      <c r="A42" s="55"/>
      <c r="B42" s="55"/>
      <c r="C42" s="56"/>
      <c r="D42" s="57"/>
      <c r="E42" s="57"/>
      <c r="F42" s="58"/>
      <c r="G42" s="58"/>
      <c r="H42" s="58"/>
      <c r="I42" s="58"/>
      <c r="J42" s="58"/>
      <c r="K42" s="58"/>
      <c r="L42" s="58"/>
      <c r="M42" s="55"/>
      <c r="N42" s="55"/>
      <c r="O42" s="55"/>
      <c r="P42" s="55"/>
      <c r="Q42" s="55"/>
      <c r="R42" s="55"/>
      <c r="S42" s="55"/>
      <c r="T42" s="55"/>
      <c r="U42" s="55"/>
      <c r="V42" s="55"/>
      <c r="W42" s="55"/>
      <c r="X42" s="55"/>
      <c r="Y42" s="55"/>
      <c r="Z42" s="47"/>
      <c r="AA42" s="47"/>
      <c r="AB42" s="47"/>
      <c r="AC42" s="47"/>
    </row>
    <row r="43" spans="1:29" ht="16.5" x14ac:dyDescent="0.3">
      <c r="A43" s="55"/>
      <c r="B43" s="55"/>
      <c r="C43" s="58"/>
      <c r="D43" s="57"/>
      <c r="E43" s="57"/>
      <c r="F43" s="57"/>
      <c r="G43" s="57"/>
      <c r="H43" s="57"/>
      <c r="I43" s="57"/>
      <c r="J43" s="57"/>
      <c r="K43" s="57"/>
      <c r="M43" s="55"/>
      <c r="N43" s="55"/>
      <c r="O43" s="55"/>
      <c r="P43" s="55"/>
      <c r="Q43" s="55"/>
      <c r="R43" s="55"/>
      <c r="S43" s="55"/>
      <c r="T43" s="55"/>
      <c r="U43" s="55"/>
      <c r="V43" s="55"/>
      <c r="W43" s="55"/>
      <c r="X43" s="55"/>
      <c r="Y43" s="55"/>
      <c r="Z43" s="47"/>
      <c r="AA43" s="47"/>
      <c r="AB43" s="47"/>
      <c r="AC43" s="47"/>
    </row>
    <row r="44" spans="1:29" ht="16.5" x14ac:dyDescent="0.3">
      <c r="A44" s="55"/>
      <c r="B44" s="55"/>
      <c r="C44" s="58"/>
      <c r="D44" s="59"/>
      <c r="E44" s="58"/>
      <c r="F44" s="58"/>
      <c r="G44" s="55"/>
      <c r="H44" s="55"/>
      <c r="I44" s="55"/>
      <c r="J44" s="55"/>
      <c r="K44" s="55"/>
      <c r="M44" s="55"/>
      <c r="N44" s="55"/>
      <c r="O44" s="55"/>
      <c r="P44" s="55"/>
      <c r="Q44" s="55"/>
      <c r="R44" s="55"/>
      <c r="S44" s="55"/>
      <c r="T44" s="55"/>
      <c r="U44" s="55"/>
      <c r="V44" s="55"/>
      <c r="W44" s="55"/>
      <c r="X44" s="55"/>
      <c r="Y44" s="55"/>
    </row>
    <row r="45" spans="1:29" ht="16.5" x14ac:dyDescent="0.3">
      <c r="A45" s="55"/>
      <c r="B45" s="55"/>
      <c r="C45" s="10"/>
      <c r="D45" s="10"/>
      <c r="E45" s="10"/>
      <c r="F45" s="10"/>
      <c r="G45" s="7"/>
      <c r="H45" s="7"/>
      <c r="I45" s="7"/>
      <c r="J45" s="7"/>
      <c r="K45" s="7"/>
      <c r="M45" s="7"/>
      <c r="N45" s="5"/>
      <c r="O45" s="5"/>
      <c r="P45" s="5"/>
      <c r="Q45" s="5"/>
      <c r="R45" s="5"/>
      <c r="S45" s="5"/>
      <c r="T45" s="5"/>
      <c r="U45" s="5"/>
      <c r="V45" s="5"/>
      <c r="W45" s="5"/>
      <c r="X45" s="5"/>
      <c r="Y45" s="5"/>
    </row>
    <row r="46" spans="1:29" ht="16.5" x14ac:dyDescent="0.3">
      <c r="A46" s="7"/>
      <c r="B46" s="7"/>
      <c r="C46" s="10"/>
      <c r="D46" s="10"/>
      <c r="E46" s="10"/>
      <c r="F46" s="10"/>
      <c r="G46" s="7"/>
      <c r="H46" s="7"/>
      <c r="I46" s="7"/>
      <c r="J46" s="7"/>
      <c r="K46" s="7"/>
      <c r="M46" s="7"/>
      <c r="N46" s="5"/>
      <c r="O46" s="5"/>
      <c r="P46" s="5"/>
      <c r="Q46" s="5"/>
      <c r="R46" s="5"/>
      <c r="S46" s="5"/>
      <c r="T46" s="5"/>
      <c r="U46" s="5"/>
      <c r="V46" s="5"/>
      <c r="W46" s="5"/>
      <c r="X46" s="5"/>
      <c r="Y46" s="5"/>
    </row>
    <row r="47" spans="1:29" ht="16.5" x14ac:dyDescent="0.3">
      <c r="A47" s="7"/>
      <c r="B47" s="7"/>
      <c r="C47" s="7"/>
      <c r="D47" s="7"/>
      <c r="E47" s="7"/>
      <c r="F47" s="7"/>
      <c r="G47" s="7"/>
      <c r="H47" s="7"/>
      <c r="I47" s="7"/>
      <c r="J47" s="7"/>
      <c r="K47" s="7"/>
      <c r="M47" s="7"/>
      <c r="N47" s="5"/>
      <c r="O47" s="5"/>
      <c r="P47" s="5"/>
      <c r="Q47" s="5"/>
      <c r="R47" s="5"/>
      <c r="S47" s="5"/>
      <c r="T47" s="5"/>
      <c r="U47" s="5"/>
      <c r="V47" s="5"/>
      <c r="W47" s="5"/>
      <c r="X47" s="5"/>
      <c r="Y47" s="5"/>
    </row>
    <row r="48" spans="1:29" ht="16.5" x14ac:dyDescent="0.3">
      <c r="A48" s="7"/>
      <c r="B48" s="7"/>
      <c r="C48" s="7"/>
      <c r="D48" s="7"/>
      <c r="E48" s="7"/>
      <c r="F48" s="7"/>
      <c r="G48" s="7"/>
      <c r="H48" s="7"/>
      <c r="I48" s="7"/>
      <c r="J48" s="7"/>
      <c r="K48" s="7"/>
      <c r="L48" s="7"/>
      <c r="M48" s="7"/>
      <c r="N48" s="5"/>
      <c r="O48" s="5"/>
      <c r="P48" s="5"/>
      <c r="Q48" s="5"/>
      <c r="R48" s="5"/>
      <c r="S48" s="5"/>
      <c r="T48" s="5"/>
      <c r="U48" s="5"/>
      <c r="V48" s="5"/>
      <c r="W48" s="5"/>
      <c r="X48" s="5"/>
      <c r="Y48" s="5"/>
    </row>
    <row r="49" spans="1:25" ht="16.5" x14ac:dyDescent="0.3">
      <c r="A49" s="7"/>
      <c r="B49" s="7"/>
      <c r="C49" s="7"/>
      <c r="D49" s="7"/>
      <c r="E49" s="7"/>
      <c r="F49" s="7"/>
      <c r="G49" s="7"/>
      <c r="H49" s="7"/>
      <c r="I49" s="7"/>
      <c r="J49" s="7"/>
      <c r="K49" s="7"/>
      <c r="L49" s="7"/>
      <c r="M49" s="7"/>
      <c r="N49" s="5"/>
      <c r="O49" s="5"/>
      <c r="P49" s="5"/>
      <c r="Q49" s="5"/>
      <c r="R49" s="5"/>
      <c r="S49" s="5"/>
      <c r="T49" s="5"/>
      <c r="U49" s="5"/>
      <c r="V49" s="5"/>
      <c r="W49" s="5"/>
      <c r="X49" s="5"/>
      <c r="Y49" s="5"/>
    </row>
    <row r="50" spans="1:25" x14ac:dyDescent="0.2">
      <c r="A50" s="2"/>
      <c r="B50" s="2"/>
      <c r="C50" s="2"/>
      <c r="D50" s="2"/>
      <c r="E50" s="2"/>
      <c r="F50" s="2"/>
      <c r="G50" s="2"/>
      <c r="H50" s="2"/>
      <c r="I50" s="2"/>
      <c r="J50" s="2"/>
      <c r="K50" s="2"/>
      <c r="L50" s="2"/>
      <c r="M50" s="2"/>
    </row>
    <row r="51" spans="1:25" x14ac:dyDescent="0.2">
      <c r="A51" s="2"/>
      <c r="B51" s="2"/>
      <c r="C51" s="2"/>
      <c r="D51" s="2"/>
      <c r="E51" s="2"/>
      <c r="F51" s="2"/>
      <c r="G51" s="2"/>
      <c r="H51" s="2"/>
      <c r="I51" s="2"/>
      <c r="J51" s="2"/>
      <c r="K51" s="2"/>
      <c r="L51" s="2"/>
      <c r="M51" s="2"/>
    </row>
    <row r="52" spans="1:25" x14ac:dyDescent="0.2">
      <c r="A52" s="2"/>
      <c r="B52" s="2"/>
      <c r="C52" s="2"/>
      <c r="D52" s="2"/>
      <c r="E52" s="2"/>
      <c r="F52" s="2"/>
      <c r="G52" s="2"/>
      <c r="H52" s="2"/>
      <c r="I52" s="2"/>
      <c r="J52" s="2"/>
      <c r="K52" s="2"/>
      <c r="L52" s="2"/>
      <c r="M52" s="2"/>
    </row>
    <row r="53" spans="1:25" x14ac:dyDescent="0.2">
      <c r="A53" s="2"/>
      <c r="B53" s="2"/>
      <c r="C53" s="2"/>
      <c r="D53" s="2"/>
      <c r="E53" s="2"/>
      <c r="F53" s="2"/>
      <c r="G53" s="2"/>
      <c r="H53" s="2"/>
      <c r="I53" s="2"/>
      <c r="J53" s="2"/>
      <c r="K53" s="2"/>
      <c r="L53" s="2"/>
      <c r="M53" s="2"/>
    </row>
    <row r="54" spans="1:25" x14ac:dyDescent="0.2">
      <c r="A54" s="2"/>
      <c r="B54" s="2"/>
      <c r="C54" s="2"/>
      <c r="D54" s="2"/>
      <c r="E54" s="2"/>
      <c r="F54" s="2"/>
      <c r="G54" s="2"/>
      <c r="H54" s="2"/>
      <c r="I54" s="2"/>
      <c r="J54" s="2"/>
      <c r="K54" s="2"/>
      <c r="L54" s="2"/>
      <c r="M54" s="2"/>
    </row>
    <row r="55" spans="1:25" x14ac:dyDescent="0.2">
      <c r="A55" s="2"/>
      <c r="B55" s="2"/>
      <c r="C55" s="2"/>
      <c r="D55" s="2"/>
      <c r="E55" s="2"/>
      <c r="F55" s="2"/>
      <c r="G55" s="2"/>
      <c r="H55" s="2"/>
      <c r="I55" s="2"/>
      <c r="J55" s="2"/>
      <c r="K55" s="2"/>
      <c r="L55" s="2"/>
      <c r="M55" s="2"/>
    </row>
    <row r="56" spans="1:25" x14ac:dyDescent="0.2">
      <c r="A56" s="2"/>
      <c r="B56" s="2"/>
      <c r="C56" s="2"/>
      <c r="D56" s="2"/>
      <c r="E56" s="2"/>
      <c r="F56" s="2"/>
      <c r="G56" s="2"/>
      <c r="H56" s="2"/>
      <c r="I56" s="2"/>
      <c r="J56" s="2"/>
      <c r="K56" s="2"/>
      <c r="L56" s="2"/>
      <c r="M56" s="2"/>
    </row>
    <row r="57" spans="1:25" x14ac:dyDescent="0.2">
      <c r="A57" s="2"/>
      <c r="B57" s="2"/>
      <c r="C57" s="2"/>
      <c r="D57" s="2"/>
      <c r="E57" s="2"/>
      <c r="F57" s="2"/>
      <c r="G57" s="2"/>
      <c r="H57" s="2"/>
      <c r="I57" s="2"/>
      <c r="J57" s="2"/>
      <c r="K57" s="2"/>
      <c r="L57" s="2"/>
      <c r="M57" s="2"/>
    </row>
    <row r="58" spans="1:25" x14ac:dyDescent="0.2">
      <c r="A58" s="2"/>
      <c r="B58" s="2"/>
      <c r="C58" s="2"/>
      <c r="D58" s="2"/>
      <c r="E58" s="2"/>
      <c r="F58" s="2"/>
      <c r="G58" s="2"/>
      <c r="H58" s="2"/>
      <c r="I58" s="2"/>
      <c r="J58" s="2"/>
      <c r="K58" s="2"/>
      <c r="L58" s="2"/>
      <c r="M58" s="2"/>
    </row>
    <row r="59" spans="1:25" x14ac:dyDescent="0.2">
      <c r="A59" s="2"/>
      <c r="B59" s="2"/>
      <c r="C59" s="2"/>
      <c r="D59" s="2"/>
      <c r="E59" s="2"/>
      <c r="F59" s="2"/>
      <c r="G59" s="2"/>
      <c r="H59" s="2"/>
      <c r="I59" s="2"/>
      <c r="J59" s="2"/>
      <c r="K59" s="2"/>
      <c r="L59" s="2"/>
      <c r="M59" s="2"/>
    </row>
    <row r="60" spans="1:25" x14ac:dyDescent="0.2">
      <c r="A60" s="2"/>
      <c r="B60" s="2"/>
      <c r="C60" s="2"/>
      <c r="D60" s="2"/>
      <c r="E60" s="2"/>
      <c r="F60" s="2"/>
      <c r="G60" s="2"/>
      <c r="H60" s="2"/>
      <c r="I60" s="2"/>
      <c r="J60" s="2"/>
      <c r="K60" s="2"/>
      <c r="L60" s="2"/>
      <c r="M60" s="2"/>
    </row>
    <row r="61" spans="1:25" x14ac:dyDescent="0.2">
      <c r="A61" s="2"/>
      <c r="B61" s="2"/>
      <c r="C61" s="2"/>
      <c r="D61" s="2"/>
      <c r="E61" s="2"/>
      <c r="F61" s="2"/>
      <c r="G61" s="2"/>
      <c r="H61" s="2"/>
      <c r="I61" s="2"/>
      <c r="J61" s="2"/>
      <c r="K61" s="2"/>
      <c r="L61" s="2"/>
      <c r="M61" s="2"/>
    </row>
    <row r="62" spans="1:25" x14ac:dyDescent="0.2">
      <c r="A62" s="2"/>
      <c r="B62" s="2"/>
      <c r="C62" s="2"/>
      <c r="D62" s="2"/>
      <c r="E62" s="2"/>
      <c r="F62" s="2"/>
      <c r="G62" s="2"/>
      <c r="H62" s="2"/>
      <c r="I62" s="2"/>
      <c r="J62" s="2"/>
      <c r="K62" s="2"/>
      <c r="L62" s="2"/>
      <c r="M62" s="2"/>
    </row>
    <row r="63" spans="1:25" x14ac:dyDescent="0.2">
      <c r="A63" s="2"/>
      <c r="B63" s="2"/>
      <c r="C63" s="2"/>
      <c r="D63" s="2"/>
      <c r="E63" s="2"/>
      <c r="F63" s="2"/>
      <c r="G63" s="2"/>
      <c r="H63" s="2"/>
      <c r="I63" s="2"/>
      <c r="J63" s="2"/>
      <c r="K63" s="2"/>
      <c r="L63" s="2"/>
      <c r="M63" s="2"/>
    </row>
    <row r="64" spans="1:25" x14ac:dyDescent="0.2">
      <c r="A64" s="2"/>
      <c r="B64" s="2"/>
      <c r="C64" s="2"/>
      <c r="D64" s="2"/>
      <c r="E64" s="2"/>
      <c r="F64" s="2"/>
      <c r="G64" s="2"/>
      <c r="H64" s="2"/>
      <c r="I64" s="2"/>
      <c r="J64" s="2"/>
      <c r="K64" s="2"/>
      <c r="L64" s="2"/>
      <c r="M64" s="2"/>
    </row>
    <row r="65" spans="1:13" x14ac:dyDescent="0.2">
      <c r="A65" s="2"/>
      <c r="B65" s="2"/>
      <c r="C65" s="2"/>
      <c r="D65" s="2"/>
      <c r="E65" s="2"/>
      <c r="F65" s="2"/>
      <c r="G65" s="2"/>
      <c r="H65" s="2"/>
      <c r="I65" s="2"/>
      <c r="J65" s="2"/>
      <c r="K65" s="2"/>
      <c r="L65" s="2"/>
      <c r="M65" s="2"/>
    </row>
    <row r="66" spans="1:13" x14ac:dyDescent="0.2">
      <c r="A66" s="2"/>
      <c r="B66" s="2"/>
      <c r="C66" s="2"/>
      <c r="D66" s="2"/>
      <c r="E66" s="2"/>
      <c r="F66" s="2"/>
      <c r="G66" s="2"/>
      <c r="H66" s="2"/>
      <c r="I66" s="2"/>
      <c r="J66" s="2"/>
      <c r="K66" s="2"/>
      <c r="L66" s="2"/>
      <c r="M66" s="2"/>
    </row>
    <row r="67" spans="1:13" x14ac:dyDescent="0.2">
      <c r="A67" s="2"/>
      <c r="B67" s="2"/>
      <c r="C67" s="2"/>
      <c r="D67" s="2"/>
      <c r="E67" s="2"/>
      <c r="F67" s="2"/>
      <c r="G67" s="2"/>
      <c r="H67" s="2"/>
      <c r="I67" s="2"/>
      <c r="J67" s="2"/>
      <c r="K67" s="2"/>
      <c r="L67" s="2"/>
      <c r="M67" s="2"/>
    </row>
    <row r="68" spans="1:13" x14ac:dyDescent="0.2">
      <c r="A68" s="2"/>
      <c r="B68" s="2"/>
      <c r="C68" s="2"/>
      <c r="D68" s="2"/>
      <c r="E68" s="2"/>
      <c r="F68" s="2"/>
      <c r="G68" s="2"/>
      <c r="H68" s="2"/>
      <c r="I68" s="2"/>
      <c r="J68" s="2"/>
      <c r="K68" s="2"/>
      <c r="L68" s="2"/>
      <c r="M68" s="2"/>
    </row>
    <row r="69" spans="1:13" x14ac:dyDescent="0.2">
      <c r="A69" s="2"/>
      <c r="B69" s="2"/>
      <c r="C69" s="2"/>
      <c r="D69" s="2"/>
      <c r="E69" s="2"/>
      <c r="F69" s="2"/>
      <c r="G69" s="2"/>
      <c r="H69" s="2"/>
      <c r="I69" s="2"/>
      <c r="J69" s="2"/>
      <c r="K69" s="2"/>
      <c r="L69" s="2"/>
      <c r="M69" s="2"/>
    </row>
    <row r="70" spans="1:13" x14ac:dyDescent="0.2">
      <c r="A70" s="2"/>
      <c r="B70" s="2"/>
      <c r="C70" s="2"/>
      <c r="D70" s="2"/>
      <c r="E70" s="2"/>
      <c r="F70" s="2"/>
      <c r="G70" s="2"/>
      <c r="H70" s="2"/>
      <c r="I70" s="2"/>
      <c r="J70" s="2"/>
      <c r="K70" s="2"/>
      <c r="L70" s="2"/>
      <c r="M70" s="2"/>
    </row>
    <row r="71" spans="1:13" x14ac:dyDescent="0.2">
      <c r="A71" s="2"/>
      <c r="B71" s="2"/>
      <c r="C71" s="2"/>
      <c r="D71" s="2"/>
      <c r="E71" s="2"/>
      <c r="F71" s="2"/>
      <c r="G71" s="2"/>
      <c r="H71" s="2"/>
      <c r="I71" s="2"/>
      <c r="J71" s="2"/>
      <c r="K71" s="2"/>
      <c r="L71" s="2"/>
      <c r="M71" s="2"/>
    </row>
    <row r="72" spans="1:13" x14ac:dyDescent="0.2">
      <c r="A72" s="2"/>
      <c r="B72" s="2"/>
      <c r="C72" s="2"/>
      <c r="D72" s="2"/>
      <c r="E72" s="2"/>
      <c r="F72" s="2"/>
      <c r="G72" s="2"/>
      <c r="H72" s="2"/>
      <c r="I72" s="2"/>
      <c r="J72" s="2"/>
      <c r="K72" s="2"/>
      <c r="L72" s="2"/>
      <c r="M72" s="2"/>
    </row>
    <row r="73" spans="1:13" x14ac:dyDescent="0.2">
      <c r="A73" s="2"/>
      <c r="B73" s="2"/>
      <c r="C73" s="2"/>
      <c r="D73" s="2"/>
      <c r="E73" s="2"/>
      <c r="F73" s="2"/>
      <c r="G73" s="2"/>
      <c r="H73" s="2"/>
      <c r="I73" s="2"/>
      <c r="J73" s="2"/>
      <c r="K73" s="2"/>
      <c r="L73" s="2"/>
      <c r="M73" s="2"/>
    </row>
    <row r="74" spans="1:13" x14ac:dyDescent="0.2">
      <c r="A74" s="2"/>
      <c r="B74" s="2"/>
      <c r="C74" s="2"/>
      <c r="D74" s="2"/>
      <c r="E74" s="2"/>
      <c r="F74" s="2"/>
      <c r="G74" s="2"/>
      <c r="H74" s="2"/>
      <c r="I74" s="2"/>
      <c r="J74" s="2"/>
      <c r="K74" s="2"/>
      <c r="L74" s="2"/>
      <c r="M74" s="2"/>
    </row>
    <row r="75" spans="1:13" x14ac:dyDescent="0.2">
      <c r="A75" s="2"/>
      <c r="B75" s="2"/>
      <c r="C75" s="2"/>
      <c r="D75" s="2"/>
      <c r="E75" s="2"/>
      <c r="F75" s="2"/>
      <c r="G75" s="2"/>
      <c r="H75" s="2"/>
      <c r="I75" s="2"/>
      <c r="J75" s="2"/>
      <c r="K75" s="2"/>
      <c r="L75" s="2"/>
      <c r="M75" s="2"/>
    </row>
    <row r="76" spans="1:13" x14ac:dyDescent="0.2">
      <c r="A76" s="2"/>
      <c r="B76" s="2"/>
      <c r="C76" s="2"/>
      <c r="D76" s="2"/>
      <c r="E76" s="2"/>
      <c r="F76" s="2"/>
      <c r="G76" s="2"/>
      <c r="H76" s="2"/>
      <c r="I76" s="2"/>
      <c r="J76" s="2"/>
      <c r="K76" s="2"/>
      <c r="L76" s="2"/>
      <c r="M76" s="2"/>
    </row>
    <row r="77" spans="1:13" x14ac:dyDescent="0.2">
      <c r="A77" s="2"/>
      <c r="B77" s="2"/>
      <c r="C77" s="2"/>
      <c r="D77" s="2"/>
      <c r="E77" s="2"/>
      <c r="F77" s="2"/>
      <c r="G77" s="2"/>
      <c r="H77" s="2"/>
      <c r="I77" s="2"/>
      <c r="J77" s="2"/>
      <c r="K77" s="2"/>
      <c r="L77" s="2"/>
      <c r="M77" s="2"/>
    </row>
    <row r="78" spans="1:13" x14ac:dyDescent="0.2">
      <c r="A78" s="2"/>
      <c r="B78" s="2"/>
      <c r="C78" s="2"/>
      <c r="D78" s="2"/>
      <c r="E78" s="2"/>
      <c r="F78" s="2"/>
      <c r="G78" s="2"/>
      <c r="H78" s="2"/>
      <c r="I78" s="2"/>
      <c r="J78" s="2"/>
      <c r="K78" s="2"/>
      <c r="L78" s="2"/>
      <c r="M78" s="2"/>
    </row>
    <row r="79" spans="1:13" x14ac:dyDescent="0.2">
      <c r="A79" s="2"/>
      <c r="B79" s="2"/>
      <c r="C79" s="2"/>
      <c r="D79" s="2"/>
      <c r="E79" s="2"/>
      <c r="F79" s="2"/>
      <c r="G79" s="2"/>
      <c r="H79" s="2"/>
      <c r="I79" s="2"/>
      <c r="J79" s="2"/>
      <c r="K79" s="2"/>
      <c r="L79" s="2"/>
      <c r="M79" s="2"/>
    </row>
    <row r="80" spans="1:13" x14ac:dyDescent="0.2">
      <c r="A80" s="2"/>
      <c r="B80" s="2"/>
      <c r="C80" s="2"/>
      <c r="D80" s="2"/>
      <c r="E80" s="2"/>
      <c r="F80" s="2"/>
      <c r="G80" s="2"/>
      <c r="H80" s="2"/>
      <c r="I80" s="2"/>
      <c r="J80" s="2"/>
      <c r="K80" s="2"/>
      <c r="L80" s="2"/>
      <c r="M80" s="2"/>
    </row>
    <row r="81" spans="1:13" x14ac:dyDescent="0.2">
      <c r="A81" s="2"/>
      <c r="B81" s="2"/>
      <c r="C81" s="2"/>
      <c r="D81" s="2"/>
      <c r="E81" s="2"/>
      <c r="F81" s="2"/>
      <c r="G81" s="2"/>
      <c r="H81" s="2"/>
      <c r="I81" s="2"/>
      <c r="J81" s="2"/>
      <c r="K81" s="2"/>
      <c r="L81" s="2"/>
      <c r="M81" s="2"/>
    </row>
    <row r="82" spans="1:13" x14ac:dyDescent="0.2">
      <c r="A82" s="2"/>
      <c r="B82" s="2"/>
      <c r="C82" s="2"/>
      <c r="D82" s="2"/>
      <c r="E82" s="2"/>
      <c r="F82" s="2"/>
      <c r="G82" s="2"/>
      <c r="H82" s="2"/>
      <c r="I82" s="2"/>
      <c r="J82" s="2"/>
      <c r="K82" s="2"/>
      <c r="L82" s="2"/>
      <c r="M82" s="2"/>
    </row>
    <row r="83" spans="1:13" x14ac:dyDescent="0.2">
      <c r="A83" s="2"/>
      <c r="B83" s="2"/>
      <c r="C83" s="2"/>
      <c r="D83" s="2"/>
      <c r="E83" s="2"/>
      <c r="F83" s="2"/>
      <c r="G83" s="2"/>
      <c r="H83" s="2"/>
      <c r="I83" s="2"/>
      <c r="J83" s="2"/>
      <c r="K83" s="2"/>
      <c r="L83" s="2"/>
      <c r="M83" s="2"/>
    </row>
    <row r="84" spans="1:13" x14ac:dyDescent="0.2">
      <c r="A84" s="2"/>
      <c r="B84" s="2"/>
      <c r="C84" s="2"/>
      <c r="D84" s="2"/>
      <c r="E84" s="2"/>
      <c r="F84" s="2"/>
      <c r="G84" s="2"/>
      <c r="H84" s="2"/>
      <c r="I84" s="2"/>
      <c r="J84" s="2"/>
      <c r="K84" s="2"/>
      <c r="L84" s="2"/>
      <c r="M84" s="2"/>
    </row>
    <row r="85" spans="1:13" x14ac:dyDescent="0.2">
      <c r="A85" s="2"/>
      <c r="B85" s="2"/>
      <c r="C85" s="2"/>
      <c r="D85" s="2"/>
      <c r="E85" s="2"/>
      <c r="F85" s="2"/>
      <c r="G85" s="2"/>
      <c r="H85" s="2"/>
      <c r="I85" s="2"/>
      <c r="J85" s="2"/>
      <c r="K85" s="2"/>
      <c r="L85" s="2"/>
      <c r="M85" s="2"/>
    </row>
    <row r="86" spans="1:13" x14ac:dyDescent="0.2">
      <c r="A86" s="2"/>
      <c r="B86" s="2"/>
      <c r="C86" s="2"/>
      <c r="D86" s="2"/>
      <c r="E86" s="2"/>
      <c r="F86" s="2"/>
      <c r="G86" s="2"/>
      <c r="H86" s="2"/>
      <c r="I86" s="2"/>
      <c r="J86" s="2"/>
      <c r="K86" s="2"/>
      <c r="L86" s="2"/>
      <c r="M86" s="2"/>
    </row>
    <row r="87" spans="1:13" x14ac:dyDescent="0.2">
      <c r="A87" s="2"/>
      <c r="B87" s="2"/>
      <c r="C87" s="2"/>
      <c r="D87" s="2"/>
      <c r="E87" s="2"/>
      <c r="F87" s="2"/>
      <c r="G87" s="2"/>
      <c r="H87" s="2"/>
      <c r="I87" s="2"/>
      <c r="J87" s="2"/>
      <c r="K87" s="2"/>
      <c r="L87" s="2"/>
      <c r="M87" s="2"/>
    </row>
    <row r="88" spans="1:13" x14ac:dyDescent="0.2">
      <c r="A88" s="2"/>
      <c r="B88" s="2"/>
      <c r="C88" s="2"/>
      <c r="D88" s="2"/>
      <c r="E88" s="2"/>
      <c r="F88" s="2"/>
      <c r="G88" s="2"/>
      <c r="H88" s="2"/>
      <c r="I88" s="2"/>
      <c r="J88" s="2"/>
      <c r="K88" s="2"/>
      <c r="L88" s="2"/>
      <c r="M88" s="2"/>
    </row>
    <row r="89" spans="1:13" x14ac:dyDescent="0.2">
      <c r="A89" s="2"/>
      <c r="B89" s="2"/>
      <c r="C89" s="2"/>
      <c r="D89" s="2"/>
      <c r="E89" s="2"/>
      <c r="F89" s="2"/>
      <c r="G89" s="2"/>
      <c r="H89" s="2"/>
      <c r="I89" s="2"/>
      <c r="J89" s="2"/>
      <c r="K89" s="2"/>
      <c r="L89" s="2"/>
      <c r="M89" s="2"/>
    </row>
    <row r="90" spans="1:13" x14ac:dyDescent="0.2">
      <c r="A90" s="2"/>
      <c r="B90" s="2"/>
      <c r="C90" s="2"/>
      <c r="D90" s="2"/>
      <c r="E90" s="2"/>
      <c r="F90" s="2"/>
      <c r="G90" s="2"/>
      <c r="H90" s="2"/>
      <c r="I90" s="2"/>
      <c r="J90" s="2"/>
      <c r="K90" s="2"/>
      <c r="L90" s="2"/>
      <c r="M90" s="2"/>
    </row>
    <row r="91" spans="1:13" x14ac:dyDescent="0.2">
      <c r="A91" s="2"/>
      <c r="B91" s="2"/>
      <c r="C91" s="2"/>
      <c r="D91" s="2"/>
      <c r="E91" s="2"/>
      <c r="F91" s="2"/>
      <c r="G91" s="2"/>
      <c r="H91" s="2"/>
      <c r="I91" s="2"/>
      <c r="J91" s="2"/>
      <c r="K91" s="2"/>
      <c r="L91" s="2"/>
      <c r="M91" s="2"/>
    </row>
    <row r="92" spans="1:13" x14ac:dyDescent="0.2">
      <c r="A92" s="2"/>
      <c r="B92" s="2"/>
      <c r="C92" s="2"/>
      <c r="D92" s="2"/>
      <c r="E92" s="2"/>
      <c r="F92" s="2"/>
      <c r="G92" s="2"/>
      <c r="H92" s="2"/>
      <c r="I92" s="2"/>
      <c r="J92" s="2"/>
      <c r="K92" s="2"/>
      <c r="L92" s="2"/>
      <c r="M92" s="2"/>
    </row>
    <row r="93" spans="1:13" x14ac:dyDescent="0.2">
      <c r="A93" s="2"/>
      <c r="B93" s="2"/>
      <c r="C93" s="2"/>
      <c r="D93" s="2"/>
      <c r="E93" s="2"/>
      <c r="F93" s="2"/>
      <c r="G93" s="2"/>
      <c r="H93" s="2"/>
      <c r="I93" s="2"/>
      <c r="J93" s="2"/>
      <c r="K93" s="2"/>
      <c r="L93" s="2"/>
      <c r="M93" s="2"/>
    </row>
    <row r="94" spans="1:13" x14ac:dyDescent="0.2">
      <c r="A94" s="2"/>
      <c r="B94" s="2"/>
      <c r="C94" s="2"/>
      <c r="D94" s="2"/>
      <c r="E94" s="2"/>
      <c r="F94" s="2"/>
      <c r="G94" s="2"/>
      <c r="H94" s="2"/>
      <c r="I94" s="2"/>
      <c r="J94" s="2"/>
      <c r="K94" s="2"/>
      <c r="L94" s="2"/>
      <c r="M94" s="2"/>
    </row>
    <row r="95" spans="1:13" x14ac:dyDescent="0.2">
      <c r="A95" s="2"/>
      <c r="B95" s="2"/>
      <c r="C95" s="2"/>
      <c r="D95" s="2"/>
      <c r="E95" s="2"/>
      <c r="F95" s="2"/>
      <c r="G95" s="2"/>
      <c r="H95" s="2"/>
      <c r="I95" s="2"/>
      <c r="J95" s="2"/>
      <c r="K95" s="2"/>
      <c r="L95" s="2"/>
      <c r="M95" s="2"/>
    </row>
    <row r="96" spans="1:13" x14ac:dyDescent="0.2">
      <c r="A96" s="2"/>
      <c r="B96" s="2"/>
      <c r="C96" s="2"/>
      <c r="D96" s="2"/>
      <c r="E96" s="2"/>
      <c r="F96" s="2"/>
      <c r="G96" s="2"/>
      <c r="H96" s="2"/>
      <c r="I96" s="2"/>
      <c r="J96" s="2"/>
      <c r="K96" s="2"/>
      <c r="L96" s="2"/>
      <c r="M96" s="2"/>
    </row>
    <row r="97" spans="1:13" x14ac:dyDescent="0.2">
      <c r="A97" s="2"/>
      <c r="B97" s="2"/>
      <c r="C97" s="2"/>
      <c r="D97" s="2"/>
      <c r="E97" s="2"/>
      <c r="F97" s="2"/>
      <c r="G97" s="2"/>
      <c r="H97" s="2"/>
      <c r="I97" s="2"/>
      <c r="J97" s="2"/>
      <c r="K97" s="2"/>
      <c r="L97" s="2"/>
      <c r="M97" s="2"/>
    </row>
    <row r="98" spans="1:13" x14ac:dyDescent="0.2">
      <c r="A98" s="2"/>
      <c r="B98" s="2"/>
      <c r="C98" s="2"/>
      <c r="D98" s="2"/>
      <c r="E98" s="2"/>
      <c r="F98" s="2"/>
      <c r="G98" s="2"/>
      <c r="H98" s="2"/>
      <c r="I98" s="2"/>
      <c r="J98" s="2"/>
      <c r="K98" s="2"/>
      <c r="L98" s="2"/>
      <c r="M98" s="2"/>
    </row>
    <row r="99" spans="1:13" x14ac:dyDescent="0.2">
      <c r="A99" s="2"/>
      <c r="B99" s="2"/>
      <c r="C99" s="2"/>
      <c r="D99" s="2"/>
      <c r="E99" s="2"/>
      <c r="F99" s="2"/>
      <c r="G99" s="2"/>
      <c r="H99" s="2"/>
      <c r="I99" s="2"/>
      <c r="J99" s="2"/>
      <c r="K99" s="2"/>
      <c r="L99" s="2"/>
      <c r="M99" s="2"/>
    </row>
    <row r="100" spans="1:13" x14ac:dyDescent="0.2">
      <c r="A100" s="2"/>
      <c r="B100" s="2"/>
      <c r="C100" s="2"/>
      <c r="D100" s="2"/>
      <c r="E100" s="2"/>
      <c r="F100" s="2"/>
      <c r="G100" s="2"/>
      <c r="H100" s="2"/>
      <c r="I100" s="2"/>
      <c r="J100" s="2"/>
      <c r="K100" s="2"/>
      <c r="L100" s="2"/>
      <c r="M100" s="2"/>
    </row>
    <row r="101" spans="1:13" x14ac:dyDescent="0.2">
      <c r="A101" s="2"/>
      <c r="B101" s="2"/>
      <c r="C101" s="2"/>
      <c r="D101" s="2"/>
      <c r="E101" s="2"/>
      <c r="F101" s="2"/>
      <c r="G101" s="2"/>
      <c r="H101" s="2"/>
      <c r="I101" s="2"/>
      <c r="J101" s="2"/>
      <c r="K101" s="2"/>
      <c r="L101" s="2"/>
      <c r="M101" s="2"/>
    </row>
    <row r="102" spans="1:13" x14ac:dyDescent="0.2">
      <c r="A102" s="2"/>
      <c r="B102" s="2"/>
      <c r="C102" s="2"/>
      <c r="D102" s="2"/>
      <c r="E102" s="2"/>
      <c r="F102" s="2"/>
      <c r="G102" s="2"/>
      <c r="H102" s="2"/>
      <c r="I102" s="2"/>
      <c r="J102" s="2"/>
      <c r="K102" s="2"/>
      <c r="L102" s="2"/>
      <c r="M102" s="2"/>
    </row>
    <row r="103" spans="1:13" x14ac:dyDescent="0.2">
      <c r="A103" s="2"/>
      <c r="B103" s="2"/>
      <c r="C103" s="2"/>
      <c r="D103" s="2"/>
      <c r="E103" s="2"/>
      <c r="F103" s="2"/>
      <c r="G103" s="2"/>
      <c r="H103" s="2"/>
      <c r="I103" s="2"/>
      <c r="J103" s="2"/>
      <c r="K103" s="2"/>
      <c r="L103" s="2"/>
      <c r="M103" s="2"/>
    </row>
    <row r="104" spans="1:13" x14ac:dyDescent="0.2">
      <c r="A104" s="2"/>
      <c r="B104" s="2"/>
      <c r="C104" s="2"/>
      <c r="D104" s="2"/>
      <c r="E104" s="2"/>
      <c r="F104" s="2"/>
      <c r="G104" s="2"/>
      <c r="H104" s="2"/>
      <c r="I104" s="2"/>
      <c r="J104" s="2"/>
      <c r="K104" s="2"/>
      <c r="L104" s="2"/>
      <c r="M104" s="2"/>
    </row>
    <row r="105" spans="1:13" x14ac:dyDescent="0.2">
      <c r="A105" s="2"/>
      <c r="B105" s="2"/>
      <c r="C105" s="2"/>
      <c r="D105" s="2"/>
      <c r="E105" s="2"/>
      <c r="F105" s="2"/>
      <c r="G105" s="2"/>
      <c r="H105" s="2"/>
      <c r="I105" s="2"/>
      <c r="J105" s="2"/>
      <c r="K105" s="2"/>
      <c r="L105" s="2"/>
      <c r="M105" s="2"/>
    </row>
    <row r="106" spans="1:13" x14ac:dyDescent="0.2">
      <c r="A106" s="2"/>
      <c r="B106" s="2"/>
      <c r="C106" s="2"/>
      <c r="D106" s="2"/>
      <c r="E106" s="2"/>
      <c r="F106" s="2"/>
      <c r="G106" s="2"/>
      <c r="H106" s="2"/>
      <c r="I106" s="2"/>
      <c r="J106" s="2"/>
      <c r="K106" s="2"/>
      <c r="L106" s="2"/>
      <c r="M106" s="2"/>
    </row>
    <row r="107" spans="1:13" x14ac:dyDescent="0.2">
      <c r="A107" s="2"/>
      <c r="B107" s="2"/>
      <c r="C107" s="2"/>
      <c r="D107" s="2"/>
      <c r="E107" s="2"/>
      <c r="F107" s="2"/>
      <c r="G107" s="2"/>
      <c r="H107" s="2"/>
      <c r="I107" s="2"/>
      <c r="J107" s="2"/>
      <c r="K107" s="2"/>
      <c r="L107" s="2"/>
      <c r="M107" s="2"/>
    </row>
    <row r="108" spans="1:13" x14ac:dyDescent="0.2">
      <c r="A108" s="2"/>
      <c r="B108" s="2"/>
      <c r="C108" s="2"/>
      <c r="D108" s="2"/>
      <c r="E108" s="2"/>
      <c r="F108" s="2"/>
      <c r="G108" s="2"/>
      <c r="H108" s="2"/>
      <c r="I108" s="2"/>
      <c r="J108" s="2"/>
      <c r="K108" s="2"/>
      <c r="L108" s="2"/>
      <c r="M108" s="2"/>
    </row>
    <row r="109" spans="1:13" x14ac:dyDescent="0.2">
      <c r="A109" s="2"/>
      <c r="B109" s="2"/>
      <c r="C109" s="2"/>
      <c r="D109" s="2"/>
      <c r="E109" s="2"/>
      <c r="F109" s="2"/>
      <c r="G109" s="2"/>
      <c r="H109" s="2"/>
      <c r="I109" s="2"/>
      <c r="J109" s="2"/>
      <c r="K109" s="2"/>
      <c r="L109" s="2"/>
      <c r="M109" s="2"/>
    </row>
    <row r="110" spans="1:13" x14ac:dyDescent="0.2">
      <c r="A110" s="2"/>
      <c r="B110" s="2"/>
      <c r="C110" s="2"/>
      <c r="D110" s="2"/>
      <c r="E110" s="2"/>
      <c r="F110" s="2"/>
      <c r="G110" s="2"/>
      <c r="H110" s="2"/>
      <c r="I110" s="2"/>
      <c r="J110" s="2"/>
      <c r="K110" s="2"/>
      <c r="L110" s="2"/>
      <c r="M110" s="2"/>
    </row>
    <row r="111" spans="1:13" x14ac:dyDescent="0.2">
      <c r="A111" s="2"/>
      <c r="B111" s="2"/>
      <c r="C111" s="2"/>
      <c r="D111" s="2"/>
      <c r="E111" s="2"/>
      <c r="F111" s="2"/>
      <c r="G111" s="2"/>
      <c r="H111" s="2"/>
      <c r="I111" s="2"/>
      <c r="J111" s="2"/>
      <c r="K111" s="2"/>
      <c r="L111" s="2"/>
      <c r="M111" s="2"/>
    </row>
    <row r="112" spans="1:13" x14ac:dyDescent="0.2">
      <c r="A112" s="2"/>
      <c r="B112" s="2"/>
      <c r="C112" s="2"/>
      <c r="D112" s="2"/>
      <c r="E112" s="2"/>
      <c r="F112" s="2"/>
      <c r="G112" s="2"/>
      <c r="H112" s="2"/>
      <c r="I112" s="2"/>
      <c r="J112" s="2"/>
      <c r="K112" s="2"/>
      <c r="L112" s="2"/>
      <c r="M112" s="2"/>
    </row>
    <row r="113" spans="1:13" x14ac:dyDescent="0.2">
      <c r="A113" s="2"/>
      <c r="B113" s="2"/>
      <c r="C113" s="2"/>
      <c r="D113" s="2"/>
      <c r="E113" s="2"/>
      <c r="F113" s="2"/>
      <c r="G113" s="2"/>
      <c r="H113" s="2"/>
      <c r="I113" s="2"/>
      <c r="J113" s="2"/>
      <c r="K113" s="2"/>
      <c r="L113" s="2"/>
      <c r="M113" s="2"/>
    </row>
    <row r="114" spans="1:13" x14ac:dyDescent="0.2">
      <c r="A114" s="2"/>
      <c r="B114" s="2"/>
      <c r="C114" s="2"/>
      <c r="D114" s="2"/>
      <c r="E114" s="2"/>
      <c r="F114" s="2"/>
      <c r="G114" s="2"/>
      <c r="H114" s="2"/>
      <c r="I114" s="2"/>
      <c r="J114" s="2"/>
      <c r="K114" s="2"/>
      <c r="L114" s="2"/>
      <c r="M114" s="2"/>
    </row>
    <row r="115" spans="1:13" x14ac:dyDescent="0.2">
      <c r="A115" s="2"/>
      <c r="B115" s="2"/>
      <c r="C115" s="2"/>
      <c r="D115" s="2"/>
      <c r="E115" s="2"/>
      <c r="F115" s="2"/>
      <c r="G115" s="2"/>
      <c r="H115" s="2"/>
      <c r="I115" s="2"/>
      <c r="J115" s="2"/>
      <c r="K115" s="2"/>
      <c r="L115" s="2"/>
      <c r="M115" s="2"/>
    </row>
    <row r="116" spans="1:13" x14ac:dyDescent="0.2">
      <c r="A116" s="2"/>
      <c r="B116" s="2"/>
      <c r="C116" s="2"/>
      <c r="D116" s="2"/>
      <c r="E116" s="2"/>
      <c r="F116" s="2"/>
      <c r="G116" s="2"/>
      <c r="H116" s="2"/>
      <c r="I116" s="2"/>
      <c r="J116" s="2"/>
      <c r="K116" s="2"/>
      <c r="L116" s="2"/>
      <c r="M116" s="2"/>
    </row>
    <row r="117" spans="1:13" x14ac:dyDescent="0.2">
      <c r="A117" s="2"/>
      <c r="B117" s="2"/>
      <c r="C117" s="2"/>
      <c r="D117" s="2"/>
      <c r="E117" s="2"/>
      <c r="F117" s="2"/>
      <c r="G117" s="2"/>
      <c r="H117" s="2"/>
      <c r="I117" s="2"/>
      <c r="J117" s="2"/>
      <c r="K117" s="2"/>
      <c r="L117" s="2"/>
      <c r="M117" s="2"/>
    </row>
    <row r="118" spans="1:13" x14ac:dyDescent="0.2">
      <c r="A118" s="2"/>
      <c r="B118" s="2"/>
      <c r="C118" s="2"/>
      <c r="D118" s="2"/>
      <c r="E118" s="2"/>
      <c r="F118" s="2"/>
      <c r="G118" s="2"/>
      <c r="H118" s="2"/>
      <c r="I118" s="2"/>
      <c r="J118" s="2"/>
      <c r="K118" s="2"/>
      <c r="L118" s="2"/>
      <c r="M118" s="2"/>
    </row>
    <row r="119" spans="1:13" x14ac:dyDescent="0.2">
      <c r="A119" s="2"/>
      <c r="B119" s="2"/>
      <c r="C119" s="2"/>
      <c r="D119" s="2"/>
      <c r="E119" s="2"/>
      <c r="F119" s="2"/>
      <c r="G119" s="2"/>
      <c r="H119" s="2"/>
      <c r="I119" s="2"/>
      <c r="J119" s="2"/>
      <c r="K119" s="2"/>
      <c r="L119" s="2"/>
      <c r="M119" s="2"/>
    </row>
    <row r="120" spans="1:13" x14ac:dyDescent="0.2">
      <c r="A120" s="2"/>
      <c r="B120" s="2"/>
      <c r="C120" s="2"/>
      <c r="D120" s="2"/>
      <c r="E120" s="2"/>
      <c r="F120" s="2"/>
      <c r="G120" s="2"/>
      <c r="H120" s="2"/>
      <c r="I120" s="2"/>
      <c r="J120" s="2"/>
      <c r="K120" s="2"/>
      <c r="L120" s="2"/>
      <c r="M120" s="2"/>
    </row>
    <row r="121" spans="1:13" x14ac:dyDescent="0.2">
      <c r="A121" s="2"/>
      <c r="B121" s="2"/>
      <c r="C121" s="2"/>
      <c r="D121" s="2"/>
      <c r="E121" s="2"/>
      <c r="F121" s="2"/>
      <c r="G121" s="2"/>
      <c r="H121" s="2"/>
      <c r="I121" s="2"/>
      <c r="J121" s="2"/>
      <c r="K121" s="2"/>
      <c r="L121" s="2"/>
      <c r="M121" s="2"/>
    </row>
    <row r="122" spans="1:13" x14ac:dyDescent="0.2">
      <c r="A122" s="2"/>
      <c r="B122" s="2"/>
      <c r="C122" s="2"/>
      <c r="D122" s="2"/>
      <c r="E122" s="2"/>
      <c r="F122" s="2"/>
      <c r="G122" s="2"/>
      <c r="H122" s="2"/>
      <c r="I122" s="2"/>
      <c r="J122" s="2"/>
      <c r="K122" s="2"/>
      <c r="L122" s="2"/>
      <c r="M122" s="2"/>
    </row>
    <row r="123" spans="1:13" x14ac:dyDescent="0.2">
      <c r="A123" s="2"/>
      <c r="B123" s="2"/>
      <c r="C123" s="2"/>
      <c r="D123" s="2"/>
      <c r="E123" s="2"/>
      <c r="F123" s="2"/>
      <c r="G123" s="2"/>
      <c r="H123" s="2"/>
      <c r="I123" s="2"/>
      <c r="J123" s="2"/>
      <c r="K123" s="2"/>
      <c r="L123" s="2"/>
      <c r="M123" s="2"/>
    </row>
    <row r="124" spans="1:13" x14ac:dyDescent="0.2">
      <c r="A124" s="2"/>
      <c r="B124" s="2"/>
      <c r="C124" s="2"/>
      <c r="D124" s="2"/>
      <c r="E124" s="2"/>
      <c r="F124" s="2"/>
      <c r="G124" s="2"/>
      <c r="H124" s="2"/>
      <c r="I124" s="2"/>
      <c r="J124" s="2"/>
      <c r="K124" s="2"/>
      <c r="L124" s="2"/>
      <c r="M124" s="2"/>
    </row>
    <row r="125" spans="1:13" x14ac:dyDescent="0.2">
      <c r="A125" s="2"/>
      <c r="B125" s="2"/>
      <c r="C125" s="2"/>
      <c r="D125" s="2"/>
      <c r="E125" s="2"/>
      <c r="F125" s="2"/>
      <c r="G125" s="2"/>
      <c r="H125" s="2"/>
      <c r="I125" s="2"/>
      <c r="J125" s="2"/>
      <c r="K125" s="2"/>
      <c r="L125" s="2"/>
      <c r="M125" s="2"/>
    </row>
    <row r="126" spans="1:13" x14ac:dyDescent="0.2">
      <c r="A126" s="2"/>
      <c r="B126" s="2"/>
      <c r="C126" s="2"/>
      <c r="D126" s="2"/>
      <c r="E126" s="2"/>
      <c r="F126" s="2"/>
      <c r="G126" s="2"/>
      <c r="H126" s="2"/>
      <c r="I126" s="2"/>
      <c r="J126" s="2"/>
      <c r="K126" s="2"/>
      <c r="L126" s="2"/>
      <c r="M126" s="2"/>
    </row>
    <row r="127" spans="1:13" x14ac:dyDescent="0.2">
      <c r="A127" s="2"/>
      <c r="B127" s="2"/>
      <c r="C127" s="2"/>
      <c r="D127" s="2"/>
      <c r="E127" s="2"/>
      <c r="F127" s="2"/>
      <c r="G127" s="2"/>
      <c r="H127" s="2"/>
      <c r="I127" s="2"/>
      <c r="J127" s="2"/>
      <c r="K127" s="2"/>
      <c r="L127" s="2"/>
      <c r="M127" s="2"/>
    </row>
    <row r="128" spans="1:13" x14ac:dyDescent="0.2">
      <c r="A128" s="2"/>
      <c r="B128" s="2"/>
      <c r="C128" s="2"/>
      <c r="D128" s="2"/>
      <c r="E128" s="2"/>
      <c r="F128" s="2"/>
      <c r="G128" s="2"/>
      <c r="H128" s="2"/>
      <c r="I128" s="2"/>
      <c r="J128" s="2"/>
      <c r="K128" s="2"/>
      <c r="L128" s="2"/>
      <c r="M128" s="2"/>
    </row>
    <row r="129" spans="1:13" x14ac:dyDescent="0.2">
      <c r="A129" s="2"/>
      <c r="B129" s="2"/>
      <c r="C129" s="2"/>
      <c r="D129" s="2"/>
      <c r="E129" s="2"/>
      <c r="F129" s="2"/>
      <c r="G129" s="2"/>
      <c r="H129" s="2"/>
      <c r="I129" s="2"/>
      <c r="J129" s="2"/>
      <c r="K129" s="2"/>
      <c r="L129" s="2"/>
      <c r="M129" s="2"/>
    </row>
    <row r="130" spans="1:13" x14ac:dyDescent="0.2">
      <c r="A130" s="2"/>
      <c r="B130" s="2"/>
      <c r="C130" s="2"/>
      <c r="D130" s="2"/>
      <c r="E130" s="2"/>
      <c r="F130" s="2"/>
      <c r="G130" s="2"/>
      <c r="H130" s="2"/>
      <c r="I130" s="2"/>
      <c r="J130" s="2"/>
      <c r="K130" s="2"/>
      <c r="L130" s="2"/>
      <c r="M130" s="2"/>
    </row>
    <row r="131" spans="1:13" x14ac:dyDescent="0.2">
      <c r="A131" s="2"/>
      <c r="B131" s="2"/>
      <c r="C131" s="2"/>
      <c r="D131" s="2"/>
      <c r="E131" s="2"/>
      <c r="F131" s="2"/>
      <c r="G131" s="2"/>
      <c r="H131" s="2"/>
      <c r="I131" s="2"/>
      <c r="J131" s="2"/>
      <c r="K131" s="2"/>
      <c r="L131" s="2"/>
      <c r="M131" s="2"/>
    </row>
    <row r="132" spans="1:13" x14ac:dyDescent="0.2">
      <c r="A132" s="2"/>
      <c r="B132" s="2"/>
      <c r="C132" s="2"/>
      <c r="D132" s="2"/>
      <c r="E132" s="2"/>
      <c r="F132" s="2"/>
      <c r="G132" s="2"/>
      <c r="H132" s="2"/>
      <c r="I132" s="2"/>
      <c r="J132" s="2"/>
      <c r="K132" s="2"/>
      <c r="L132" s="2"/>
      <c r="M132" s="2"/>
    </row>
    <row r="133" spans="1:13" x14ac:dyDescent="0.2">
      <c r="A133" s="2"/>
      <c r="B133" s="2"/>
      <c r="C133" s="2"/>
      <c r="D133" s="2"/>
      <c r="E133" s="2"/>
      <c r="F133" s="2"/>
      <c r="G133" s="2"/>
      <c r="H133" s="2"/>
      <c r="I133" s="2"/>
      <c r="J133" s="2"/>
      <c r="K133" s="2"/>
      <c r="L133" s="2"/>
      <c r="M133" s="2"/>
    </row>
    <row r="134" spans="1:13" x14ac:dyDescent="0.2">
      <c r="A134" s="2"/>
      <c r="B134" s="2"/>
      <c r="C134" s="2"/>
      <c r="D134" s="2"/>
      <c r="E134" s="2"/>
      <c r="F134" s="2"/>
      <c r="G134" s="2"/>
      <c r="H134" s="2"/>
      <c r="I134" s="2"/>
      <c r="J134" s="2"/>
      <c r="K134" s="2"/>
      <c r="L134" s="2"/>
      <c r="M134" s="2"/>
    </row>
    <row r="135" spans="1:13" x14ac:dyDescent="0.2">
      <c r="A135" s="2"/>
      <c r="B135" s="2"/>
      <c r="C135" s="2"/>
      <c r="D135" s="2"/>
      <c r="E135" s="2"/>
      <c r="F135" s="2"/>
      <c r="G135" s="2"/>
      <c r="H135" s="2"/>
      <c r="I135" s="2"/>
      <c r="J135" s="2"/>
      <c r="K135" s="2"/>
      <c r="L135" s="2"/>
      <c r="M135" s="2"/>
    </row>
    <row r="136" spans="1:13" x14ac:dyDescent="0.2">
      <c r="A136" s="2"/>
      <c r="B136" s="2"/>
      <c r="C136" s="2"/>
      <c r="D136" s="2"/>
      <c r="E136" s="2"/>
      <c r="F136" s="2"/>
      <c r="G136" s="2"/>
      <c r="H136" s="2"/>
      <c r="I136" s="2"/>
      <c r="J136" s="2"/>
      <c r="K136" s="2"/>
      <c r="L136" s="2"/>
      <c r="M136" s="2"/>
    </row>
    <row r="137" spans="1:13" x14ac:dyDescent="0.2">
      <c r="A137" s="2"/>
      <c r="B137" s="2"/>
      <c r="C137" s="2"/>
      <c r="D137" s="2"/>
      <c r="E137" s="2"/>
      <c r="F137" s="2"/>
      <c r="G137" s="2"/>
      <c r="H137" s="2"/>
      <c r="I137" s="2"/>
      <c r="J137" s="2"/>
      <c r="K137" s="2"/>
      <c r="L137" s="2"/>
      <c r="M137" s="2"/>
    </row>
    <row r="138" spans="1:13" x14ac:dyDescent="0.2">
      <c r="A138" s="2"/>
      <c r="B138" s="2"/>
      <c r="C138" s="2"/>
      <c r="D138" s="2"/>
      <c r="E138" s="2"/>
      <c r="F138" s="2"/>
      <c r="G138" s="2"/>
      <c r="H138" s="2"/>
      <c r="I138" s="2"/>
      <c r="J138" s="2"/>
      <c r="K138" s="2"/>
      <c r="L138" s="2"/>
      <c r="M138" s="2"/>
    </row>
    <row r="139" spans="1:13" x14ac:dyDescent="0.2">
      <c r="A139" s="2"/>
      <c r="B139" s="2"/>
      <c r="C139" s="2"/>
      <c r="D139" s="2"/>
      <c r="E139" s="2"/>
      <c r="F139" s="2"/>
      <c r="G139" s="2"/>
      <c r="H139" s="2"/>
      <c r="I139" s="2"/>
      <c r="J139" s="2"/>
      <c r="K139" s="2"/>
      <c r="L139" s="2"/>
      <c r="M139" s="2"/>
    </row>
    <row r="140" spans="1:13" x14ac:dyDescent="0.2">
      <c r="A140" s="2"/>
      <c r="B140" s="2"/>
      <c r="C140" s="2"/>
      <c r="D140" s="2"/>
      <c r="E140" s="2"/>
      <c r="F140" s="2"/>
      <c r="G140" s="2"/>
      <c r="H140" s="2"/>
      <c r="I140" s="2"/>
      <c r="J140" s="2"/>
      <c r="K140" s="2"/>
      <c r="L140" s="2"/>
      <c r="M140" s="2"/>
    </row>
    <row r="141" spans="1:13" x14ac:dyDescent="0.2">
      <c r="A141" s="2"/>
      <c r="B141" s="2"/>
      <c r="C141" s="2"/>
      <c r="D141" s="2"/>
      <c r="E141" s="2"/>
      <c r="F141" s="2"/>
      <c r="G141" s="2"/>
      <c r="H141" s="2"/>
      <c r="I141" s="2"/>
      <c r="J141" s="2"/>
      <c r="K141" s="2"/>
      <c r="L141" s="2"/>
      <c r="M141" s="2"/>
    </row>
    <row r="142" spans="1:13" x14ac:dyDescent="0.2">
      <c r="A142" s="2"/>
      <c r="B142" s="2"/>
      <c r="C142" s="2"/>
      <c r="D142" s="2"/>
      <c r="E142" s="2"/>
      <c r="F142" s="2"/>
      <c r="G142" s="2"/>
      <c r="H142" s="2"/>
      <c r="I142" s="2"/>
      <c r="J142" s="2"/>
      <c r="K142" s="2"/>
      <c r="L142" s="2"/>
      <c r="M142" s="2"/>
    </row>
    <row r="143" spans="1:13" x14ac:dyDescent="0.2">
      <c r="A143" s="2"/>
      <c r="B143" s="2"/>
      <c r="C143" s="2"/>
      <c r="D143" s="2"/>
      <c r="E143" s="2"/>
      <c r="F143" s="2"/>
      <c r="G143" s="2"/>
      <c r="H143" s="2"/>
      <c r="I143" s="2"/>
      <c r="J143" s="2"/>
      <c r="K143" s="2"/>
      <c r="L143" s="2"/>
      <c r="M143" s="2"/>
    </row>
    <row r="144" spans="1:13" x14ac:dyDescent="0.2">
      <c r="A144" s="2"/>
      <c r="B144" s="2"/>
      <c r="C144" s="2"/>
      <c r="D144" s="2"/>
      <c r="E144" s="2"/>
      <c r="F144" s="2"/>
      <c r="G144" s="2"/>
      <c r="H144" s="2"/>
      <c r="I144" s="2"/>
      <c r="J144" s="2"/>
      <c r="K144" s="2"/>
      <c r="L144" s="2"/>
      <c r="M144" s="2"/>
    </row>
    <row r="145" spans="1:13" x14ac:dyDescent="0.2">
      <c r="A145" s="2"/>
      <c r="B145" s="2"/>
      <c r="C145" s="2"/>
      <c r="D145" s="2"/>
      <c r="E145" s="2"/>
      <c r="F145" s="2"/>
      <c r="G145" s="2"/>
      <c r="H145" s="2"/>
      <c r="I145" s="2"/>
      <c r="J145" s="2"/>
      <c r="K145" s="2"/>
      <c r="L145" s="2"/>
      <c r="M145" s="2"/>
    </row>
    <row r="146" spans="1:13" x14ac:dyDescent="0.2">
      <c r="A146" s="2"/>
      <c r="B146" s="2"/>
      <c r="C146" s="2"/>
      <c r="D146" s="2"/>
      <c r="E146" s="2"/>
      <c r="F146" s="2"/>
      <c r="G146" s="2"/>
      <c r="H146" s="2"/>
      <c r="I146" s="2"/>
      <c r="J146" s="2"/>
      <c r="K146" s="2"/>
      <c r="L146" s="2"/>
      <c r="M146" s="2"/>
    </row>
    <row r="147" spans="1:13" x14ac:dyDescent="0.2">
      <c r="A147" s="2"/>
      <c r="B147" s="2"/>
      <c r="C147" s="2"/>
      <c r="D147" s="2"/>
      <c r="E147" s="2"/>
      <c r="F147" s="2"/>
      <c r="G147" s="2"/>
      <c r="H147" s="2"/>
      <c r="I147" s="2"/>
      <c r="J147" s="2"/>
      <c r="K147" s="2"/>
      <c r="L147" s="2"/>
      <c r="M147" s="2"/>
    </row>
    <row r="148" spans="1:13" x14ac:dyDescent="0.2">
      <c r="A148" s="2"/>
      <c r="B148" s="2"/>
      <c r="C148" s="2"/>
      <c r="D148" s="2"/>
      <c r="E148" s="2"/>
      <c r="F148" s="2"/>
      <c r="G148" s="2"/>
      <c r="H148" s="2"/>
      <c r="I148" s="2"/>
      <c r="J148" s="2"/>
      <c r="K148" s="2"/>
      <c r="L148" s="2"/>
      <c r="M148" s="2"/>
    </row>
    <row r="149" spans="1:13" x14ac:dyDescent="0.2">
      <c r="A149" s="2"/>
      <c r="B149" s="2"/>
      <c r="C149" s="2"/>
      <c r="D149" s="2"/>
      <c r="E149" s="2"/>
      <c r="F149" s="2"/>
      <c r="G149" s="2"/>
      <c r="H149" s="2"/>
      <c r="I149" s="2"/>
      <c r="J149" s="2"/>
      <c r="K149" s="2"/>
      <c r="L149" s="2"/>
      <c r="M149" s="2"/>
    </row>
    <row r="150" spans="1:13" x14ac:dyDescent="0.2">
      <c r="A150" s="2"/>
      <c r="B150" s="2"/>
      <c r="C150" s="2"/>
      <c r="D150" s="2"/>
      <c r="E150" s="2"/>
      <c r="F150" s="2"/>
      <c r="G150" s="2"/>
      <c r="H150" s="2"/>
      <c r="I150" s="2"/>
      <c r="J150" s="2"/>
      <c r="K150" s="2"/>
      <c r="L150" s="2"/>
      <c r="M150" s="2"/>
    </row>
    <row r="151" spans="1:13" x14ac:dyDescent="0.2">
      <c r="A151" s="2"/>
      <c r="B151" s="2"/>
      <c r="C151" s="2"/>
      <c r="D151" s="2"/>
      <c r="E151" s="2"/>
      <c r="F151" s="2"/>
      <c r="G151" s="2"/>
      <c r="H151" s="2"/>
      <c r="I151" s="2"/>
      <c r="J151" s="2"/>
      <c r="K151" s="2"/>
      <c r="L151" s="2"/>
      <c r="M151" s="2"/>
    </row>
    <row r="152" spans="1:13" x14ac:dyDescent="0.2">
      <c r="A152" s="2"/>
      <c r="B152" s="2"/>
      <c r="C152" s="2"/>
      <c r="D152" s="2"/>
      <c r="E152" s="2"/>
      <c r="F152" s="2"/>
      <c r="G152" s="2"/>
      <c r="H152" s="2"/>
      <c r="I152" s="2"/>
      <c r="J152" s="2"/>
      <c r="K152" s="2"/>
      <c r="L152" s="2"/>
      <c r="M152" s="2"/>
    </row>
    <row r="153" spans="1:13" x14ac:dyDescent="0.2">
      <c r="A153" s="2"/>
      <c r="B153" s="2"/>
      <c r="C153" s="2"/>
      <c r="D153" s="2"/>
      <c r="E153" s="2"/>
      <c r="F153" s="2"/>
      <c r="G153" s="2"/>
      <c r="H153" s="2"/>
      <c r="I153" s="2"/>
      <c r="J153" s="2"/>
      <c r="K153" s="2"/>
      <c r="L153" s="2"/>
      <c r="M153" s="2"/>
    </row>
    <row r="154" spans="1:13" x14ac:dyDescent="0.2">
      <c r="A154" s="2"/>
      <c r="B154" s="2"/>
      <c r="C154" s="2"/>
      <c r="D154" s="2"/>
      <c r="E154" s="2"/>
      <c r="F154" s="2"/>
      <c r="G154" s="2"/>
      <c r="H154" s="2"/>
      <c r="I154" s="2"/>
      <c r="J154" s="2"/>
      <c r="K154" s="2"/>
      <c r="L154" s="2"/>
      <c r="M154" s="2"/>
    </row>
    <row r="155" spans="1:13" x14ac:dyDescent="0.2">
      <c r="A155" s="2"/>
      <c r="B155" s="2"/>
      <c r="C155" s="2"/>
      <c r="D155" s="2"/>
      <c r="E155" s="2"/>
      <c r="F155" s="2"/>
      <c r="G155" s="2"/>
      <c r="H155" s="2"/>
      <c r="I155" s="2"/>
      <c r="J155" s="2"/>
      <c r="K155" s="2"/>
      <c r="L155" s="2"/>
      <c r="M155" s="2"/>
    </row>
    <row r="156" spans="1:13" x14ac:dyDescent="0.2">
      <c r="A156" s="2"/>
      <c r="B156" s="2"/>
      <c r="C156" s="2"/>
      <c r="D156" s="2"/>
      <c r="E156" s="2"/>
      <c r="F156" s="2"/>
      <c r="G156" s="2"/>
      <c r="H156" s="2"/>
      <c r="I156" s="2"/>
      <c r="J156" s="2"/>
      <c r="K156" s="2"/>
      <c r="L156" s="2"/>
      <c r="M156" s="2"/>
    </row>
    <row r="157" spans="1:13" x14ac:dyDescent="0.2">
      <c r="A157" s="2"/>
      <c r="B157" s="2"/>
      <c r="C157" s="2"/>
      <c r="D157" s="2"/>
      <c r="E157" s="2"/>
      <c r="F157" s="2"/>
      <c r="G157" s="2"/>
      <c r="H157" s="2"/>
      <c r="I157" s="2"/>
      <c r="J157" s="2"/>
      <c r="K157" s="2"/>
      <c r="L157" s="2"/>
      <c r="M157" s="2"/>
    </row>
    <row r="158" spans="1:13" x14ac:dyDescent="0.2">
      <c r="A158" s="2"/>
      <c r="B158" s="2"/>
      <c r="C158" s="2"/>
      <c r="D158" s="2"/>
      <c r="E158" s="2"/>
      <c r="F158" s="2"/>
      <c r="G158" s="2"/>
      <c r="H158" s="2"/>
      <c r="I158" s="2"/>
      <c r="J158" s="2"/>
      <c r="K158" s="2"/>
      <c r="L158" s="2"/>
      <c r="M158" s="2"/>
    </row>
    <row r="159" spans="1:13" x14ac:dyDescent="0.2">
      <c r="A159" s="2"/>
      <c r="B159" s="2"/>
      <c r="C159" s="2"/>
      <c r="D159" s="2"/>
      <c r="E159" s="2"/>
      <c r="F159" s="2"/>
      <c r="G159" s="2"/>
      <c r="H159" s="2"/>
      <c r="I159" s="2"/>
      <c r="J159" s="2"/>
      <c r="K159" s="2"/>
      <c r="L159" s="2"/>
      <c r="M159" s="2"/>
    </row>
    <row r="160" spans="1:13" x14ac:dyDescent="0.2">
      <c r="A160" s="2"/>
      <c r="B160" s="2"/>
      <c r="C160" s="2"/>
      <c r="D160" s="2"/>
      <c r="E160" s="2"/>
      <c r="F160" s="2"/>
      <c r="G160" s="2"/>
      <c r="H160" s="2"/>
      <c r="I160" s="2"/>
      <c r="J160" s="2"/>
      <c r="K160" s="2"/>
      <c r="L160" s="2"/>
      <c r="M160" s="2"/>
    </row>
    <row r="161" spans="1:13" x14ac:dyDescent="0.2">
      <c r="A161" s="2"/>
      <c r="B161" s="2"/>
      <c r="C161" s="2"/>
      <c r="D161" s="2"/>
      <c r="E161" s="2"/>
      <c r="F161" s="2"/>
      <c r="G161" s="2"/>
      <c r="H161" s="2"/>
      <c r="I161" s="2"/>
      <c r="J161" s="2"/>
      <c r="K161" s="2"/>
      <c r="L161" s="2"/>
      <c r="M161" s="2"/>
    </row>
    <row r="162" spans="1:13" x14ac:dyDescent="0.2">
      <c r="A162" s="2"/>
      <c r="B162" s="2"/>
      <c r="C162" s="2"/>
      <c r="D162" s="2"/>
      <c r="E162" s="2"/>
      <c r="F162" s="2"/>
      <c r="G162" s="2"/>
      <c r="H162" s="2"/>
      <c r="I162" s="2"/>
      <c r="J162" s="2"/>
      <c r="K162" s="2"/>
      <c r="L162" s="2"/>
      <c r="M162" s="2"/>
    </row>
    <row r="163" spans="1:13" x14ac:dyDescent="0.2">
      <c r="A163" s="2"/>
      <c r="B163" s="2"/>
      <c r="C163" s="2"/>
      <c r="D163" s="2"/>
      <c r="E163" s="2"/>
      <c r="F163" s="2"/>
      <c r="G163" s="2"/>
      <c r="H163" s="2"/>
      <c r="I163" s="2"/>
      <c r="J163" s="2"/>
      <c r="K163" s="2"/>
      <c r="L163" s="2"/>
      <c r="M163" s="2"/>
    </row>
    <row r="164" spans="1:13" x14ac:dyDescent="0.2">
      <c r="A164" s="2"/>
      <c r="B164" s="2"/>
      <c r="C164" s="2"/>
      <c r="D164" s="2"/>
      <c r="E164" s="2"/>
      <c r="F164" s="2"/>
      <c r="G164" s="2"/>
      <c r="H164" s="2"/>
      <c r="I164" s="2"/>
      <c r="J164" s="2"/>
      <c r="K164" s="2"/>
      <c r="L164" s="2"/>
      <c r="M164" s="2"/>
    </row>
    <row r="165" spans="1:13" x14ac:dyDescent="0.2">
      <c r="A165" s="2"/>
      <c r="B165" s="2"/>
      <c r="C165" s="2"/>
      <c r="D165" s="2"/>
      <c r="E165" s="2"/>
      <c r="F165" s="2"/>
      <c r="G165" s="2"/>
      <c r="H165" s="2"/>
      <c r="I165" s="2"/>
      <c r="J165" s="2"/>
      <c r="K165" s="2"/>
      <c r="L165" s="2"/>
      <c r="M165" s="2"/>
    </row>
    <row r="166" spans="1:13" x14ac:dyDescent="0.2">
      <c r="A166" s="2"/>
      <c r="B166" s="2"/>
      <c r="C166" s="2"/>
      <c r="D166" s="2"/>
      <c r="E166" s="2"/>
      <c r="F166" s="2"/>
      <c r="G166" s="2"/>
      <c r="H166" s="2"/>
      <c r="I166" s="2"/>
      <c r="J166" s="2"/>
      <c r="K166" s="2"/>
      <c r="L166" s="2"/>
      <c r="M166" s="2"/>
    </row>
    <row r="167" spans="1:13" x14ac:dyDescent="0.2">
      <c r="A167" s="2"/>
      <c r="B167" s="2"/>
      <c r="C167" s="2"/>
      <c r="D167" s="2"/>
      <c r="E167" s="2"/>
      <c r="F167" s="2"/>
      <c r="G167" s="2"/>
      <c r="H167" s="2"/>
      <c r="I167" s="2"/>
      <c r="J167" s="2"/>
      <c r="K167" s="2"/>
      <c r="L167" s="2"/>
      <c r="M167" s="2"/>
    </row>
    <row r="168" spans="1:13" x14ac:dyDescent="0.2">
      <c r="A168" s="2"/>
      <c r="B168" s="2"/>
      <c r="C168" s="2"/>
      <c r="D168" s="2"/>
      <c r="E168" s="2"/>
      <c r="F168" s="2"/>
      <c r="G168" s="2"/>
      <c r="H168" s="2"/>
      <c r="I168" s="2"/>
      <c r="J168" s="2"/>
      <c r="K168" s="2"/>
      <c r="L168" s="2"/>
      <c r="M168" s="2"/>
    </row>
    <row r="169" spans="1:13" x14ac:dyDescent="0.2">
      <c r="A169" s="2"/>
      <c r="B169" s="2"/>
      <c r="C169" s="2"/>
      <c r="D169" s="2"/>
      <c r="E169" s="2"/>
      <c r="F169" s="2"/>
      <c r="G169" s="2"/>
      <c r="H169" s="2"/>
      <c r="I169" s="2"/>
      <c r="J169" s="2"/>
      <c r="K169" s="2"/>
      <c r="L169" s="2"/>
      <c r="M169" s="2"/>
    </row>
    <row r="170" spans="1:13" x14ac:dyDescent="0.2">
      <c r="A170" s="2"/>
      <c r="B170" s="2"/>
      <c r="C170" s="2"/>
      <c r="D170" s="2"/>
      <c r="E170" s="2"/>
      <c r="F170" s="2"/>
      <c r="G170" s="2"/>
      <c r="H170" s="2"/>
      <c r="I170" s="2"/>
      <c r="J170" s="2"/>
      <c r="K170" s="2"/>
      <c r="L170" s="2"/>
      <c r="M170" s="2"/>
    </row>
    <row r="171" spans="1:13" x14ac:dyDescent="0.2">
      <c r="A171" s="2"/>
      <c r="B171" s="2"/>
      <c r="C171" s="2"/>
      <c r="D171" s="2"/>
      <c r="E171" s="2"/>
      <c r="F171" s="2"/>
      <c r="G171" s="2"/>
      <c r="H171" s="2"/>
      <c r="I171" s="2"/>
      <c r="J171" s="2"/>
      <c r="K171" s="2"/>
      <c r="L171" s="2"/>
      <c r="M171" s="2"/>
    </row>
    <row r="172" spans="1:13" x14ac:dyDescent="0.2">
      <c r="A172" s="2"/>
      <c r="B172" s="2"/>
      <c r="C172" s="2"/>
      <c r="D172" s="2"/>
      <c r="E172" s="2"/>
      <c r="F172" s="2"/>
      <c r="G172" s="2"/>
      <c r="H172" s="2"/>
      <c r="I172" s="2"/>
      <c r="J172" s="2"/>
      <c r="K172" s="2"/>
      <c r="L172" s="2"/>
      <c r="M172" s="2"/>
    </row>
    <row r="173" spans="1:13" x14ac:dyDescent="0.2">
      <c r="A173" s="2"/>
      <c r="B173" s="2"/>
      <c r="C173" s="2"/>
      <c r="D173" s="2"/>
      <c r="E173" s="2"/>
      <c r="F173" s="2"/>
      <c r="G173" s="2"/>
      <c r="H173" s="2"/>
      <c r="I173" s="2"/>
      <c r="J173" s="2"/>
      <c r="K173" s="2"/>
      <c r="L173" s="2"/>
      <c r="M173" s="2"/>
    </row>
    <row r="174" spans="1:13" x14ac:dyDescent="0.2">
      <c r="A174" s="2"/>
      <c r="B174" s="2"/>
      <c r="C174" s="2"/>
      <c r="D174" s="2"/>
      <c r="E174" s="2"/>
      <c r="F174" s="2"/>
      <c r="G174" s="2"/>
      <c r="H174" s="2"/>
      <c r="I174" s="2"/>
      <c r="J174" s="2"/>
      <c r="K174" s="2"/>
      <c r="L174" s="2"/>
      <c r="M174" s="2"/>
    </row>
    <row r="175" spans="1:13" x14ac:dyDescent="0.2">
      <c r="A175" s="2"/>
      <c r="B175" s="2"/>
      <c r="C175" s="2"/>
      <c r="D175" s="2"/>
      <c r="E175" s="2"/>
      <c r="F175" s="2"/>
      <c r="G175" s="2"/>
      <c r="H175" s="2"/>
      <c r="I175" s="2"/>
      <c r="J175" s="2"/>
      <c r="K175" s="2"/>
      <c r="L175" s="2"/>
      <c r="M175" s="2"/>
    </row>
    <row r="176" spans="1:13" x14ac:dyDescent="0.2">
      <c r="A176" s="2"/>
      <c r="B176" s="2"/>
      <c r="C176" s="2"/>
      <c r="D176" s="2"/>
      <c r="E176" s="2"/>
      <c r="F176" s="2"/>
      <c r="G176" s="2"/>
      <c r="H176" s="2"/>
      <c r="I176" s="2"/>
      <c r="J176" s="2"/>
      <c r="K176" s="2"/>
      <c r="L176" s="2"/>
      <c r="M176" s="2"/>
    </row>
    <row r="177" spans="1:13" x14ac:dyDescent="0.2">
      <c r="A177" s="2"/>
      <c r="B177" s="2"/>
      <c r="C177" s="2"/>
      <c r="D177" s="2"/>
      <c r="E177" s="2"/>
      <c r="F177" s="2"/>
      <c r="G177" s="2"/>
      <c r="H177" s="2"/>
      <c r="I177" s="2"/>
      <c r="J177" s="2"/>
      <c r="K177" s="2"/>
      <c r="L177" s="2"/>
      <c r="M177" s="2"/>
    </row>
    <row r="178" spans="1:13" x14ac:dyDescent="0.2">
      <c r="A178" s="2"/>
      <c r="B178" s="2"/>
      <c r="C178" s="2"/>
      <c r="D178" s="2"/>
      <c r="E178" s="2"/>
      <c r="F178" s="2"/>
      <c r="G178" s="2"/>
      <c r="H178" s="2"/>
      <c r="I178" s="2"/>
      <c r="J178" s="2"/>
      <c r="K178" s="2"/>
      <c r="L178" s="2"/>
      <c r="M178" s="2"/>
    </row>
    <row r="179" spans="1:13" x14ac:dyDescent="0.2">
      <c r="A179" s="2"/>
      <c r="B179" s="2"/>
      <c r="C179" s="2"/>
      <c r="D179" s="2"/>
      <c r="E179" s="2"/>
      <c r="F179" s="2"/>
      <c r="G179" s="2"/>
      <c r="H179" s="2"/>
      <c r="I179" s="2"/>
      <c r="J179" s="2"/>
      <c r="K179" s="2"/>
      <c r="L179" s="2"/>
      <c r="M179" s="2"/>
    </row>
    <row r="180" spans="1:13" x14ac:dyDescent="0.2">
      <c r="A180" s="2"/>
      <c r="B180" s="2"/>
      <c r="C180" s="2"/>
      <c r="D180" s="2"/>
      <c r="E180" s="2"/>
      <c r="F180" s="2"/>
      <c r="G180" s="2"/>
      <c r="H180" s="2"/>
      <c r="I180" s="2"/>
      <c r="J180" s="2"/>
      <c r="K180" s="2"/>
      <c r="L180" s="2"/>
      <c r="M180" s="2"/>
    </row>
    <row r="181" spans="1:13" x14ac:dyDescent="0.2">
      <c r="A181" s="2"/>
      <c r="B181" s="2"/>
      <c r="C181" s="2"/>
      <c r="D181" s="2"/>
      <c r="E181" s="2"/>
      <c r="F181" s="2"/>
      <c r="G181" s="2"/>
      <c r="H181" s="2"/>
      <c r="I181" s="2"/>
      <c r="J181" s="2"/>
      <c r="K181" s="2"/>
      <c r="L181" s="2"/>
      <c r="M181" s="2"/>
    </row>
    <row r="182" spans="1:13" x14ac:dyDescent="0.2">
      <c r="A182" s="2"/>
      <c r="B182" s="2"/>
      <c r="C182" s="2"/>
      <c r="D182" s="2"/>
      <c r="E182" s="2"/>
      <c r="F182" s="2"/>
      <c r="G182" s="2"/>
      <c r="H182" s="2"/>
      <c r="I182" s="2"/>
      <c r="J182" s="2"/>
      <c r="K182" s="2"/>
      <c r="L182" s="2"/>
      <c r="M182" s="2"/>
    </row>
    <row r="183" spans="1:13" x14ac:dyDescent="0.2">
      <c r="A183" s="2"/>
      <c r="B183" s="2"/>
      <c r="C183" s="2"/>
      <c r="D183" s="2"/>
      <c r="E183" s="2"/>
      <c r="F183" s="2"/>
      <c r="G183" s="2"/>
      <c r="H183" s="2"/>
      <c r="I183" s="2"/>
      <c r="J183" s="2"/>
      <c r="K183" s="2"/>
      <c r="L183" s="2"/>
      <c r="M183" s="2"/>
    </row>
    <row r="184" spans="1:13" x14ac:dyDescent="0.2">
      <c r="A184" s="2"/>
      <c r="B184" s="2"/>
      <c r="C184" s="2"/>
      <c r="D184" s="2"/>
      <c r="E184" s="2"/>
      <c r="F184" s="2"/>
      <c r="G184" s="2"/>
      <c r="H184" s="2"/>
      <c r="I184" s="2"/>
      <c r="J184" s="2"/>
      <c r="K184" s="2"/>
      <c r="L184" s="2"/>
      <c r="M184" s="2"/>
    </row>
    <row r="185" spans="1:13" x14ac:dyDescent="0.2">
      <c r="A185" s="2"/>
      <c r="B185" s="2"/>
      <c r="C185" s="2"/>
      <c r="D185" s="2"/>
      <c r="E185" s="2"/>
      <c r="F185" s="2"/>
      <c r="G185" s="2"/>
      <c r="H185" s="2"/>
      <c r="I185" s="2"/>
      <c r="J185" s="2"/>
      <c r="K185" s="2"/>
      <c r="L185" s="2"/>
      <c r="M185" s="2"/>
    </row>
    <row r="186" spans="1:13" x14ac:dyDescent="0.2">
      <c r="A186" s="2"/>
      <c r="B186" s="2"/>
      <c r="C186" s="2"/>
      <c r="D186" s="2"/>
      <c r="E186" s="2"/>
      <c r="F186" s="2"/>
      <c r="G186" s="2"/>
      <c r="H186" s="2"/>
      <c r="I186" s="2"/>
      <c r="J186" s="2"/>
      <c r="K186" s="2"/>
      <c r="L186" s="2"/>
      <c r="M186" s="2"/>
    </row>
    <row r="187" spans="1:13" x14ac:dyDescent="0.2">
      <c r="A187" s="2"/>
      <c r="B187" s="2"/>
      <c r="C187" s="2"/>
      <c r="D187" s="2"/>
      <c r="E187" s="2"/>
      <c r="F187" s="2"/>
      <c r="G187" s="2"/>
      <c r="H187" s="2"/>
      <c r="I187" s="2"/>
      <c r="J187" s="2"/>
      <c r="K187" s="2"/>
      <c r="L187" s="2"/>
      <c r="M187" s="2"/>
    </row>
    <row r="188" spans="1:13" x14ac:dyDescent="0.2">
      <c r="A188" s="2"/>
      <c r="B188" s="2"/>
      <c r="C188" s="2"/>
      <c r="D188" s="2"/>
      <c r="E188" s="2"/>
      <c r="F188" s="2"/>
      <c r="G188" s="2"/>
      <c r="H188" s="2"/>
      <c r="I188" s="2"/>
      <c r="J188" s="2"/>
      <c r="K188" s="2"/>
      <c r="L188" s="2"/>
      <c r="M188" s="2"/>
    </row>
    <row r="189" spans="1:13" x14ac:dyDescent="0.2">
      <c r="A189" s="2"/>
      <c r="B189" s="2"/>
      <c r="C189" s="2"/>
      <c r="D189" s="2"/>
      <c r="E189" s="2"/>
      <c r="F189" s="2"/>
      <c r="G189" s="2"/>
      <c r="H189" s="2"/>
      <c r="I189" s="2"/>
      <c r="J189" s="2"/>
      <c r="K189" s="2"/>
      <c r="L189" s="2"/>
      <c r="M189" s="2"/>
    </row>
    <row r="190" spans="1:13" x14ac:dyDescent="0.2">
      <c r="A190" s="2"/>
      <c r="B190" s="2"/>
      <c r="C190" s="2"/>
      <c r="D190" s="2"/>
      <c r="E190" s="2"/>
      <c r="F190" s="2"/>
      <c r="G190" s="2"/>
      <c r="H190" s="2"/>
      <c r="I190" s="2"/>
      <c r="J190" s="2"/>
      <c r="K190" s="2"/>
      <c r="L190" s="2"/>
      <c r="M190" s="2"/>
    </row>
    <row r="191" spans="1:13" x14ac:dyDescent="0.2">
      <c r="A191" s="2"/>
      <c r="B191" s="2"/>
      <c r="C191" s="2"/>
      <c r="D191" s="2"/>
      <c r="E191" s="2"/>
      <c r="F191" s="2"/>
      <c r="G191" s="2"/>
      <c r="H191" s="2"/>
      <c r="I191" s="2"/>
      <c r="J191" s="2"/>
      <c r="K191" s="2"/>
      <c r="L191" s="2"/>
      <c r="M191" s="2"/>
    </row>
    <row r="192" spans="1:13" x14ac:dyDescent="0.2">
      <c r="A192" s="2"/>
      <c r="B192" s="2"/>
      <c r="C192" s="2"/>
      <c r="D192" s="2"/>
      <c r="E192" s="2"/>
      <c r="F192" s="2"/>
      <c r="G192" s="2"/>
      <c r="H192" s="2"/>
      <c r="I192" s="2"/>
      <c r="J192" s="2"/>
      <c r="K192" s="2"/>
      <c r="L192" s="2"/>
      <c r="M192" s="2"/>
    </row>
    <row r="193" spans="1:13" x14ac:dyDescent="0.2">
      <c r="A193" s="2"/>
      <c r="B193" s="2"/>
      <c r="C193" s="2"/>
      <c r="D193" s="2"/>
      <c r="E193" s="2"/>
      <c r="F193" s="2"/>
      <c r="G193" s="2"/>
      <c r="H193" s="2"/>
      <c r="I193" s="2"/>
      <c r="J193" s="2"/>
      <c r="K193" s="2"/>
      <c r="L193" s="2"/>
      <c r="M193" s="2"/>
    </row>
    <row r="194" spans="1:13" x14ac:dyDescent="0.2">
      <c r="A194" s="2"/>
      <c r="B194" s="2"/>
      <c r="C194" s="2"/>
      <c r="D194" s="2"/>
      <c r="E194" s="2"/>
      <c r="F194" s="2"/>
      <c r="G194" s="2"/>
      <c r="H194" s="2"/>
      <c r="I194" s="2"/>
      <c r="J194" s="2"/>
      <c r="K194" s="2"/>
      <c r="L194" s="2"/>
      <c r="M194" s="2"/>
    </row>
    <row r="195" spans="1:13" x14ac:dyDescent="0.2">
      <c r="A195" s="2"/>
      <c r="B195" s="2"/>
      <c r="C195" s="2"/>
      <c r="D195" s="2"/>
      <c r="E195" s="2"/>
      <c r="F195" s="2"/>
      <c r="G195" s="2"/>
      <c r="H195" s="2"/>
      <c r="I195" s="2"/>
      <c r="J195" s="2"/>
      <c r="K195" s="2"/>
      <c r="L195" s="2"/>
      <c r="M195" s="2"/>
    </row>
    <row r="196" spans="1:13" x14ac:dyDescent="0.2">
      <c r="A196" s="2"/>
      <c r="B196" s="2"/>
      <c r="C196" s="2"/>
      <c r="D196" s="2"/>
      <c r="E196" s="2"/>
      <c r="F196" s="2"/>
      <c r="G196" s="2"/>
      <c r="H196" s="2"/>
      <c r="I196" s="2"/>
      <c r="J196" s="2"/>
      <c r="K196" s="2"/>
      <c r="L196" s="2"/>
      <c r="M196" s="2"/>
    </row>
    <row r="197" spans="1:13" x14ac:dyDescent="0.2">
      <c r="A197" s="2"/>
      <c r="B197" s="2"/>
      <c r="C197" s="2"/>
      <c r="D197" s="2"/>
      <c r="E197" s="2"/>
      <c r="F197" s="2"/>
      <c r="G197" s="2"/>
      <c r="H197" s="2"/>
      <c r="I197" s="2"/>
      <c r="J197" s="2"/>
      <c r="K197" s="2"/>
      <c r="L197" s="2"/>
      <c r="M197" s="2"/>
    </row>
    <row r="198" spans="1:13" x14ac:dyDescent="0.2">
      <c r="A198" s="2"/>
      <c r="B198" s="2"/>
      <c r="C198" s="2"/>
      <c r="D198" s="2"/>
      <c r="E198" s="2"/>
      <c r="F198" s="2"/>
      <c r="G198" s="2"/>
      <c r="H198" s="2"/>
      <c r="I198" s="2"/>
      <c r="J198" s="2"/>
      <c r="K198" s="2"/>
      <c r="L198" s="2"/>
      <c r="M198" s="2"/>
    </row>
    <row r="199" spans="1:13" x14ac:dyDescent="0.2">
      <c r="A199" s="2"/>
      <c r="B199" s="2"/>
      <c r="C199" s="2"/>
      <c r="D199" s="2"/>
      <c r="E199" s="2"/>
      <c r="F199" s="2"/>
      <c r="G199" s="2"/>
      <c r="H199" s="2"/>
      <c r="I199" s="2"/>
      <c r="J199" s="2"/>
      <c r="K199" s="2"/>
      <c r="L199" s="2"/>
      <c r="M199" s="2"/>
    </row>
    <row r="200" spans="1:13" x14ac:dyDescent="0.2">
      <c r="A200" s="2"/>
      <c r="B200" s="2"/>
      <c r="C200" s="2"/>
      <c r="D200" s="2"/>
      <c r="E200" s="2"/>
      <c r="F200" s="2"/>
      <c r="G200" s="2"/>
      <c r="H200" s="2"/>
      <c r="I200" s="2"/>
      <c r="J200" s="2"/>
      <c r="K200" s="2"/>
      <c r="L200" s="2"/>
      <c r="M200" s="2"/>
    </row>
    <row r="201" spans="1:13" x14ac:dyDescent="0.2">
      <c r="A201" s="2"/>
      <c r="B201" s="2"/>
      <c r="C201" s="2"/>
      <c r="D201" s="2"/>
      <c r="E201" s="2"/>
      <c r="F201" s="2"/>
      <c r="G201" s="2"/>
      <c r="H201" s="2"/>
      <c r="I201" s="2"/>
      <c r="J201" s="2"/>
      <c r="K201" s="2"/>
      <c r="L201" s="2"/>
      <c r="M201" s="2"/>
    </row>
    <row r="202" spans="1:13" x14ac:dyDescent="0.2">
      <c r="A202" s="2"/>
      <c r="B202" s="2"/>
      <c r="C202" s="2"/>
      <c r="D202" s="2"/>
      <c r="E202" s="2"/>
      <c r="F202" s="2"/>
      <c r="G202" s="2"/>
      <c r="H202" s="2"/>
      <c r="I202" s="2"/>
      <c r="J202" s="2"/>
      <c r="K202" s="2"/>
      <c r="L202" s="2"/>
      <c r="M202" s="2"/>
    </row>
    <row r="203" spans="1:13" x14ac:dyDescent="0.2">
      <c r="A203" s="2"/>
      <c r="B203" s="2"/>
      <c r="C203" s="2"/>
      <c r="D203" s="2"/>
      <c r="E203" s="2"/>
      <c r="F203" s="2"/>
      <c r="G203" s="2"/>
      <c r="H203" s="2"/>
      <c r="I203" s="2"/>
      <c r="J203" s="2"/>
      <c r="K203" s="2"/>
      <c r="L203" s="2"/>
      <c r="M203" s="2"/>
    </row>
    <row r="204" spans="1:13" x14ac:dyDescent="0.2">
      <c r="A204" s="2"/>
      <c r="B204" s="2"/>
      <c r="C204" s="2"/>
      <c r="D204" s="2"/>
      <c r="E204" s="2"/>
      <c r="F204" s="2"/>
      <c r="G204" s="2"/>
      <c r="H204" s="2"/>
      <c r="I204" s="2"/>
      <c r="J204" s="2"/>
      <c r="K204" s="2"/>
      <c r="L204" s="2"/>
      <c r="M204" s="2"/>
    </row>
    <row r="205" spans="1:13" x14ac:dyDescent="0.2">
      <c r="A205" s="2"/>
      <c r="B205" s="2"/>
      <c r="C205" s="2"/>
      <c r="D205" s="2"/>
      <c r="E205" s="2"/>
      <c r="F205" s="2"/>
      <c r="G205" s="2"/>
      <c r="H205" s="2"/>
      <c r="I205" s="2"/>
      <c r="J205" s="2"/>
      <c r="K205" s="2"/>
      <c r="L205" s="2"/>
      <c r="M205" s="2"/>
    </row>
    <row r="206" spans="1:13" x14ac:dyDescent="0.2">
      <c r="A206" s="2"/>
      <c r="B206" s="2"/>
      <c r="C206" s="2"/>
      <c r="D206" s="2"/>
      <c r="E206" s="2"/>
      <c r="F206" s="2"/>
      <c r="G206" s="2"/>
      <c r="H206" s="2"/>
      <c r="I206" s="2"/>
      <c r="J206" s="2"/>
      <c r="K206" s="2"/>
      <c r="L206" s="2"/>
      <c r="M206" s="2"/>
    </row>
    <row r="207" spans="1:13" x14ac:dyDescent="0.2">
      <c r="A207" s="2"/>
      <c r="B207" s="2"/>
      <c r="C207" s="2"/>
      <c r="D207" s="2"/>
      <c r="E207" s="2"/>
      <c r="F207" s="2"/>
      <c r="G207" s="2"/>
      <c r="H207" s="2"/>
      <c r="I207" s="2"/>
      <c r="J207" s="2"/>
      <c r="K207" s="2"/>
      <c r="L207" s="2"/>
      <c r="M207" s="2"/>
    </row>
    <row r="208" spans="1:13" x14ac:dyDescent="0.2">
      <c r="A208" s="2"/>
      <c r="B208" s="2"/>
      <c r="C208" s="2"/>
      <c r="D208" s="2"/>
      <c r="E208" s="2"/>
      <c r="F208" s="2"/>
      <c r="G208" s="2"/>
      <c r="H208" s="2"/>
      <c r="I208" s="2"/>
      <c r="J208" s="2"/>
      <c r="K208" s="2"/>
      <c r="L208" s="2"/>
      <c r="M208" s="2"/>
    </row>
    <row r="209" spans="1:13" x14ac:dyDescent="0.2">
      <c r="A209" s="2"/>
      <c r="B209" s="2"/>
      <c r="C209" s="2"/>
      <c r="D209" s="2"/>
      <c r="E209" s="2"/>
      <c r="F209" s="2"/>
      <c r="G209" s="2"/>
      <c r="H209" s="2"/>
      <c r="I209" s="2"/>
      <c r="J209" s="2"/>
      <c r="K209" s="2"/>
      <c r="L209" s="2"/>
      <c r="M209" s="2"/>
    </row>
    <row r="210" spans="1:13" x14ac:dyDescent="0.2">
      <c r="A210" s="2"/>
      <c r="B210" s="2"/>
      <c r="C210" s="2"/>
      <c r="D210" s="2"/>
      <c r="E210" s="2"/>
      <c r="F210" s="2"/>
      <c r="G210" s="2"/>
      <c r="H210" s="2"/>
      <c r="I210" s="2"/>
      <c r="J210" s="2"/>
      <c r="K210" s="2"/>
      <c r="L210" s="2"/>
      <c r="M210" s="2"/>
    </row>
    <row r="211" spans="1:13" x14ac:dyDescent="0.2">
      <c r="A211" s="2"/>
      <c r="B211" s="2"/>
      <c r="C211" s="2"/>
      <c r="D211" s="2"/>
      <c r="E211" s="2"/>
      <c r="F211" s="2"/>
      <c r="G211" s="2"/>
      <c r="H211" s="2"/>
      <c r="I211" s="2"/>
      <c r="J211" s="2"/>
      <c r="K211" s="2"/>
      <c r="L211" s="2"/>
      <c r="M211" s="2"/>
    </row>
    <row r="212" spans="1:13" x14ac:dyDescent="0.2">
      <c r="A212" s="2"/>
      <c r="B212" s="2"/>
      <c r="C212" s="2"/>
      <c r="D212" s="2"/>
      <c r="E212" s="2"/>
      <c r="F212" s="2"/>
      <c r="G212" s="2"/>
      <c r="H212" s="2"/>
      <c r="I212" s="2"/>
      <c r="J212" s="2"/>
      <c r="K212" s="2"/>
      <c r="L212" s="2"/>
      <c r="M212" s="2"/>
    </row>
    <row r="213" spans="1:13" x14ac:dyDescent="0.2">
      <c r="A213" s="2"/>
      <c r="B213" s="2"/>
      <c r="C213" s="2"/>
      <c r="D213" s="2"/>
      <c r="E213" s="2"/>
      <c r="F213" s="2"/>
      <c r="G213" s="2"/>
      <c r="H213" s="2"/>
      <c r="I213" s="2"/>
      <c r="J213" s="2"/>
      <c r="K213" s="2"/>
      <c r="L213" s="2"/>
      <c r="M213" s="2"/>
    </row>
    <row r="214" spans="1:13" x14ac:dyDescent="0.2">
      <c r="A214" s="2"/>
      <c r="B214" s="2"/>
      <c r="C214" s="2"/>
      <c r="D214" s="2"/>
      <c r="E214" s="2"/>
      <c r="F214" s="2"/>
      <c r="G214" s="2"/>
      <c r="H214" s="2"/>
      <c r="I214" s="2"/>
      <c r="J214" s="2"/>
      <c r="K214" s="2"/>
      <c r="L214" s="2"/>
      <c r="M214" s="2"/>
    </row>
    <row r="215" spans="1:13" x14ac:dyDescent="0.2">
      <c r="A215" s="2"/>
      <c r="B215" s="2"/>
      <c r="C215" s="2"/>
      <c r="D215" s="2"/>
      <c r="E215" s="2"/>
      <c r="F215" s="2"/>
      <c r="G215" s="2"/>
      <c r="H215" s="2"/>
      <c r="I215" s="2"/>
      <c r="J215" s="2"/>
      <c r="K215" s="2"/>
      <c r="L215" s="2"/>
      <c r="M215" s="2"/>
    </row>
    <row r="216" spans="1:13" x14ac:dyDescent="0.2">
      <c r="A216" s="2"/>
      <c r="B216" s="2"/>
      <c r="C216" s="2"/>
      <c r="D216" s="2"/>
      <c r="E216" s="2"/>
      <c r="F216" s="2"/>
      <c r="G216" s="2"/>
      <c r="H216" s="2"/>
      <c r="I216" s="2"/>
      <c r="J216" s="2"/>
      <c r="K216" s="2"/>
      <c r="L216" s="2"/>
      <c r="M216" s="2"/>
    </row>
    <row r="217" spans="1:13" x14ac:dyDescent="0.2">
      <c r="A217" s="2"/>
      <c r="B217" s="2"/>
      <c r="C217" s="2"/>
      <c r="D217" s="2"/>
      <c r="E217" s="2"/>
      <c r="F217" s="2"/>
      <c r="G217" s="2"/>
      <c r="H217" s="2"/>
      <c r="I217" s="2"/>
      <c r="J217" s="2"/>
      <c r="K217" s="2"/>
      <c r="L217" s="2"/>
      <c r="M217" s="2"/>
    </row>
    <row r="218" spans="1:13" x14ac:dyDescent="0.2">
      <c r="A218" s="2"/>
      <c r="B218" s="2"/>
      <c r="C218" s="2"/>
      <c r="D218" s="2"/>
      <c r="E218" s="2"/>
      <c r="F218" s="2"/>
      <c r="G218" s="2"/>
      <c r="H218" s="2"/>
      <c r="I218" s="2"/>
      <c r="J218" s="2"/>
      <c r="K218" s="2"/>
      <c r="L218" s="2"/>
      <c r="M218" s="2"/>
    </row>
    <row r="219" spans="1:13" x14ac:dyDescent="0.2">
      <c r="A219" s="2"/>
      <c r="B219" s="2"/>
      <c r="C219" s="2"/>
      <c r="D219" s="2"/>
      <c r="E219" s="2"/>
      <c r="F219" s="2"/>
      <c r="G219" s="2"/>
      <c r="H219" s="2"/>
      <c r="I219" s="2"/>
      <c r="J219" s="2"/>
      <c r="K219" s="2"/>
      <c r="L219" s="2"/>
      <c r="M219" s="2"/>
    </row>
    <row r="220" spans="1:13" x14ac:dyDescent="0.2">
      <c r="A220" s="2"/>
      <c r="B220" s="2"/>
      <c r="C220" s="2"/>
      <c r="D220" s="2"/>
      <c r="E220" s="2"/>
      <c r="F220" s="2"/>
      <c r="G220" s="2"/>
      <c r="H220" s="2"/>
      <c r="I220" s="2"/>
      <c r="J220" s="2"/>
      <c r="K220" s="2"/>
      <c r="L220" s="2"/>
      <c r="M220" s="2"/>
    </row>
    <row r="221" spans="1:13" x14ac:dyDescent="0.2">
      <c r="A221" s="2"/>
      <c r="B221" s="2"/>
      <c r="C221" s="2"/>
      <c r="D221" s="2"/>
      <c r="E221" s="2"/>
      <c r="F221" s="2"/>
      <c r="G221" s="2"/>
      <c r="H221" s="2"/>
      <c r="I221" s="2"/>
      <c r="J221" s="2"/>
      <c r="K221" s="2"/>
      <c r="L221" s="2"/>
      <c r="M221" s="2"/>
    </row>
    <row r="222" spans="1:13" x14ac:dyDescent="0.2">
      <c r="A222" s="2"/>
      <c r="B222" s="2"/>
      <c r="C222" s="2"/>
      <c r="D222" s="2"/>
      <c r="E222" s="2"/>
      <c r="F222" s="2"/>
      <c r="G222" s="2"/>
      <c r="H222" s="2"/>
      <c r="I222" s="2"/>
      <c r="J222" s="2"/>
      <c r="K222" s="2"/>
      <c r="L222" s="2"/>
      <c r="M222" s="2"/>
    </row>
    <row r="223" spans="1:13" x14ac:dyDescent="0.2">
      <c r="A223" s="2"/>
      <c r="B223" s="2"/>
      <c r="C223" s="2"/>
      <c r="D223" s="2"/>
      <c r="E223" s="2"/>
      <c r="F223" s="2"/>
      <c r="G223" s="2"/>
      <c r="H223" s="2"/>
      <c r="I223" s="2"/>
      <c r="J223" s="2"/>
      <c r="K223" s="2"/>
      <c r="L223" s="2"/>
      <c r="M223" s="2"/>
    </row>
    <row r="224" spans="1:13" x14ac:dyDescent="0.2">
      <c r="A224" s="2"/>
      <c r="B224" s="2"/>
      <c r="C224" s="2"/>
      <c r="D224" s="2"/>
      <c r="E224" s="2"/>
      <c r="F224" s="2"/>
      <c r="G224" s="2"/>
      <c r="H224" s="2"/>
      <c r="I224" s="2"/>
      <c r="J224" s="2"/>
      <c r="K224" s="2"/>
      <c r="L224" s="2"/>
      <c r="M224" s="2"/>
    </row>
    <row r="225" spans="1:13" x14ac:dyDescent="0.2">
      <c r="A225" s="2"/>
      <c r="B225" s="2"/>
      <c r="C225" s="2"/>
      <c r="D225" s="2"/>
      <c r="E225" s="2"/>
      <c r="F225" s="2"/>
      <c r="G225" s="2"/>
      <c r="H225" s="2"/>
      <c r="I225" s="2"/>
      <c r="J225" s="2"/>
      <c r="K225" s="2"/>
      <c r="L225" s="2"/>
      <c r="M225" s="2"/>
    </row>
    <row r="226" spans="1:13" x14ac:dyDescent="0.2">
      <c r="A226" s="2"/>
      <c r="B226" s="2"/>
      <c r="C226" s="2"/>
      <c r="D226" s="2"/>
      <c r="E226" s="2"/>
      <c r="F226" s="2"/>
      <c r="G226" s="2"/>
      <c r="H226" s="2"/>
      <c r="I226" s="2"/>
      <c r="J226" s="2"/>
      <c r="K226" s="2"/>
      <c r="L226" s="2"/>
      <c r="M226" s="2"/>
    </row>
    <row r="227" spans="1:13" x14ac:dyDescent="0.2">
      <c r="A227" s="2"/>
      <c r="B227" s="2"/>
      <c r="C227" s="2"/>
      <c r="D227" s="2"/>
      <c r="E227" s="2"/>
      <c r="F227" s="2"/>
      <c r="G227" s="2"/>
      <c r="H227" s="2"/>
      <c r="I227" s="2"/>
      <c r="J227" s="2"/>
      <c r="K227" s="2"/>
      <c r="L227" s="2"/>
      <c r="M227" s="2"/>
    </row>
    <row r="228" spans="1:13" x14ac:dyDescent="0.2">
      <c r="A228" s="2"/>
      <c r="B228" s="2"/>
      <c r="C228" s="2"/>
      <c r="D228" s="2"/>
      <c r="E228" s="2"/>
      <c r="F228" s="2"/>
      <c r="G228" s="2"/>
      <c r="H228" s="2"/>
      <c r="I228" s="2"/>
      <c r="J228" s="2"/>
      <c r="K228" s="2"/>
      <c r="L228" s="2"/>
      <c r="M228" s="2"/>
    </row>
    <row r="229" spans="1:13" x14ac:dyDescent="0.2">
      <c r="A229" s="2"/>
      <c r="B229" s="2"/>
      <c r="C229" s="2"/>
      <c r="D229" s="2"/>
      <c r="E229" s="2"/>
      <c r="F229" s="2"/>
      <c r="G229" s="2"/>
      <c r="H229" s="2"/>
      <c r="I229" s="2"/>
      <c r="J229" s="2"/>
      <c r="K229" s="2"/>
      <c r="L229" s="2"/>
      <c r="M229" s="2"/>
    </row>
    <row r="230" spans="1:13" x14ac:dyDescent="0.2">
      <c r="A230" s="2"/>
      <c r="B230" s="2"/>
      <c r="C230" s="2"/>
      <c r="D230" s="2"/>
      <c r="E230" s="2"/>
      <c r="F230" s="2"/>
      <c r="G230" s="2"/>
      <c r="H230" s="2"/>
      <c r="I230" s="2"/>
      <c r="J230" s="2"/>
      <c r="K230" s="2"/>
      <c r="L230" s="2"/>
      <c r="M230" s="2"/>
    </row>
    <row r="231" spans="1:13" x14ac:dyDescent="0.2">
      <c r="A231" s="2"/>
      <c r="B231" s="2"/>
      <c r="C231" s="2"/>
      <c r="D231" s="2"/>
      <c r="E231" s="2"/>
      <c r="F231" s="2"/>
      <c r="G231" s="2"/>
      <c r="H231" s="2"/>
      <c r="I231" s="2"/>
      <c r="J231" s="2"/>
      <c r="K231" s="2"/>
      <c r="L231" s="2"/>
      <c r="M231" s="2"/>
    </row>
    <row r="232" spans="1:13" x14ac:dyDescent="0.2">
      <c r="A232" s="2"/>
      <c r="B232" s="2"/>
      <c r="C232" s="2"/>
      <c r="D232" s="2"/>
      <c r="E232" s="2"/>
      <c r="F232" s="2"/>
      <c r="G232" s="2"/>
      <c r="H232" s="2"/>
      <c r="I232" s="2"/>
      <c r="J232" s="2"/>
      <c r="K232" s="2"/>
      <c r="L232" s="2"/>
      <c r="M232" s="2"/>
    </row>
    <row r="233" spans="1:13" x14ac:dyDescent="0.2">
      <c r="A233" s="2"/>
      <c r="B233" s="2"/>
      <c r="C233" s="2"/>
      <c r="D233" s="2"/>
      <c r="E233" s="2"/>
      <c r="F233" s="2"/>
      <c r="G233" s="2"/>
      <c r="H233" s="2"/>
      <c r="I233" s="2"/>
      <c r="J233" s="2"/>
      <c r="K233" s="2"/>
      <c r="L233" s="2"/>
      <c r="M233" s="2"/>
    </row>
    <row r="234" spans="1:13" x14ac:dyDescent="0.2">
      <c r="A234" s="2"/>
      <c r="B234" s="2"/>
      <c r="C234" s="2"/>
      <c r="D234" s="2"/>
      <c r="E234" s="2"/>
      <c r="F234" s="2"/>
      <c r="G234" s="2"/>
      <c r="H234" s="2"/>
      <c r="I234" s="2"/>
      <c r="J234" s="2"/>
      <c r="K234" s="2"/>
      <c r="L234" s="2"/>
      <c r="M234" s="2"/>
    </row>
    <row r="235" spans="1:13" x14ac:dyDescent="0.2">
      <c r="A235" s="2"/>
      <c r="B235" s="2"/>
      <c r="C235" s="2"/>
      <c r="D235" s="2"/>
      <c r="E235" s="2"/>
      <c r="F235" s="2"/>
      <c r="G235" s="2"/>
      <c r="H235" s="2"/>
      <c r="I235" s="2"/>
      <c r="J235" s="2"/>
      <c r="K235" s="2"/>
      <c r="L235" s="2"/>
      <c r="M235" s="2"/>
    </row>
    <row r="236" spans="1:13" x14ac:dyDescent="0.2">
      <c r="A236" s="2"/>
      <c r="B236" s="2"/>
      <c r="C236" s="2"/>
      <c r="D236" s="2"/>
      <c r="E236" s="2"/>
      <c r="F236" s="2"/>
      <c r="G236" s="2"/>
      <c r="H236" s="2"/>
      <c r="I236" s="2"/>
      <c r="J236" s="2"/>
      <c r="K236" s="2"/>
      <c r="L236" s="2"/>
      <c r="M236" s="2"/>
    </row>
    <row r="237" spans="1:13" x14ac:dyDescent="0.2">
      <c r="A237" s="2"/>
      <c r="B237" s="2"/>
      <c r="C237" s="2"/>
      <c r="D237" s="2"/>
      <c r="E237" s="2"/>
      <c r="F237" s="2"/>
      <c r="G237" s="2"/>
      <c r="H237" s="2"/>
      <c r="I237" s="2"/>
      <c r="J237" s="2"/>
      <c r="K237" s="2"/>
      <c r="L237" s="2"/>
      <c r="M237" s="2"/>
    </row>
    <row r="238" spans="1:13" x14ac:dyDescent="0.2">
      <c r="A238" s="2"/>
      <c r="B238" s="2"/>
      <c r="C238" s="2"/>
      <c r="D238" s="2"/>
      <c r="E238" s="2"/>
      <c r="F238" s="2"/>
      <c r="G238" s="2"/>
      <c r="H238" s="2"/>
      <c r="I238" s="2"/>
      <c r="J238" s="2"/>
      <c r="K238" s="2"/>
      <c r="L238" s="2"/>
      <c r="M238" s="2"/>
    </row>
    <row r="239" spans="1:13" x14ac:dyDescent="0.2">
      <c r="A239" s="2"/>
      <c r="B239" s="2"/>
      <c r="C239" s="2"/>
      <c r="D239" s="2"/>
      <c r="E239" s="2"/>
      <c r="F239" s="2"/>
      <c r="G239" s="2"/>
      <c r="H239" s="2"/>
      <c r="I239" s="2"/>
      <c r="J239" s="2"/>
      <c r="K239" s="2"/>
      <c r="L239" s="2"/>
      <c r="M239" s="2"/>
    </row>
    <row r="240" spans="1:13" x14ac:dyDescent="0.2">
      <c r="A240" s="2"/>
      <c r="B240" s="2"/>
      <c r="C240" s="2"/>
      <c r="D240" s="2"/>
      <c r="E240" s="2"/>
      <c r="F240" s="2"/>
      <c r="G240" s="2"/>
      <c r="H240" s="2"/>
      <c r="I240" s="2"/>
      <c r="J240" s="2"/>
      <c r="K240" s="2"/>
      <c r="L240" s="2"/>
      <c r="M240" s="2"/>
    </row>
    <row r="241" spans="1:13" x14ac:dyDescent="0.2">
      <c r="A241" s="2"/>
      <c r="B241" s="2"/>
      <c r="C241" s="2"/>
      <c r="D241" s="2"/>
      <c r="E241" s="2"/>
      <c r="F241" s="2"/>
      <c r="G241" s="2"/>
      <c r="H241" s="2"/>
      <c r="I241" s="2"/>
      <c r="J241" s="2"/>
      <c r="K241" s="2"/>
      <c r="L241" s="2"/>
      <c r="M241" s="2"/>
    </row>
    <row r="242" spans="1:13" x14ac:dyDescent="0.2">
      <c r="A242" s="2"/>
      <c r="B242" s="2"/>
      <c r="C242" s="2"/>
      <c r="D242" s="2"/>
      <c r="E242" s="2"/>
      <c r="F242" s="2"/>
      <c r="G242" s="2"/>
      <c r="H242" s="2"/>
      <c r="I242" s="2"/>
      <c r="J242" s="2"/>
      <c r="K242" s="2"/>
      <c r="L242" s="2"/>
      <c r="M242" s="2"/>
    </row>
    <row r="243" spans="1:13" x14ac:dyDescent="0.2">
      <c r="A243" s="2"/>
      <c r="B243" s="2"/>
      <c r="C243" s="2"/>
      <c r="D243" s="2"/>
      <c r="E243" s="2"/>
      <c r="F243" s="2"/>
      <c r="G243" s="2"/>
      <c r="H243" s="2"/>
      <c r="I243" s="2"/>
      <c r="J243" s="2"/>
      <c r="K243" s="2"/>
      <c r="L243" s="2"/>
      <c r="M243" s="2"/>
    </row>
    <row r="244" spans="1:13" x14ac:dyDescent="0.2">
      <c r="A244" s="2"/>
      <c r="B244" s="2"/>
      <c r="C244" s="2"/>
      <c r="D244" s="2"/>
      <c r="E244" s="2"/>
      <c r="F244" s="2"/>
      <c r="G244" s="2"/>
      <c r="H244" s="2"/>
      <c r="I244" s="2"/>
      <c r="J244" s="2"/>
      <c r="K244" s="2"/>
      <c r="L244" s="2"/>
      <c r="M244" s="2"/>
    </row>
    <row r="245" spans="1:13" x14ac:dyDescent="0.2">
      <c r="A245" s="2"/>
      <c r="B245" s="2"/>
      <c r="C245" s="2"/>
      <c r="D245" s="2"/>
      <c r="E245" s="2"/>
      <c r="F245" s="2"/>
      <c r="G245" s="2"/>
      <c r="H245" s="2"/>
      <c r="I245" s="2"/>
      <c r="J245" s="2"/>
      <c r="K245" s="2"/>
      <c r="L245" s="2"/>
      <c r="M245" s="2"/>
    </row>
    <row r="246" spans="1:13" x14ac:dyDescent="0.2">
      <c r="A246" s="2"/>
      <c r="B246" s="2"/>
      <c r="C246" s="2"/>
      <c r="D246" s="2"/>
      <c r="E246" s="2"/>
      <c r="F246" s="2"/>
      <c r="G246" s="2"/>
      <c r="H246" s="2"/>
      <c r="I246" s="2"/>
      <c r="J246" s="2"/>
      <c r="K246" s="2"/>
      <c r="L246" s="2"/>
      <c r="M246" s="2"/>
    </row>
    <row r="247" spans="1:13" x14ac:dyDescent="0.2">
      <c r="A247" s="2"/>
      <c r="B247" s="2"/>
      <c r="C247" s="2"/>
      <c r="D247" s="2"/>
      <c r="E247" s="2"/>
      <c r="F247" s="2"/>
      <c r="G247" s="2"/>
      <c r="H247" s="2"/>
      <c r="I247" s="2"/>
      <c r="J247" s="2"/>
      <c r="K247" s="2"/>
      <c r="L247" s="2"/>
      <c r="M247" s="2"/>
    </row>
    <row r="248" spans="1:13" x14ac:dyDescent="0.2">
      <c r="A248" s="2"/>
      <c r="B248" s="2"/>
      <c r="C248" s="2"/>
      <c r="D248" s="2"/>
      <c r="E248" s="2"/>
      <c r="F248" s="2"/>
      <c r="G248" s="2"/>
      <c r="H248" s="2"/>
      <c r="I248" s="2"/>
      <c r="J248" s="2"/>
      <c r="K248" s="2"/>
      <c r="L248" s="2"/>
      <c r="M248" s="2"/>
    </row>
    <row r="249" spans="1:13" x14ac:dyDescent="0.2">
      <c r="A249" s="2"/>
      <c r="B249" s="2"/>
      <c r="C249" s="2"/>
      <c r="D249" s="2"/>
      <c r="E249" s="2"/>
      <c r="F249" s="2"/>
      <c r="G249" s="2"/>
      <c r="H249" s="2"/>
      <c r="I249" s="2"/>
      <c r="J249" s="2"/>
      <c r="K249" s="2"/>
      <c r="L249" s="2"/>
      <c r="M249" s="2"/>
    </row>
    <row r="250" spans="1:13" x14ac:dyDescent="0.2">
      <c r="A250" s="2"/>
      <c r="B250" s="2"/>
      <c r="C250" s="2"/>
      <c r="D250" s="2"/>
      <c r="E250" s="2"/>
      <c r="F250" s="2"/>
      <c r="G250" s="2"/>
      <c r="H250" s="2"/>
      <c r="I250" s="2"/>
      <c r="J250" s="2"/>
      <c r="K250" s="2"/>
      <c r="L250" s="2"/>
      <c r="M250" s="2"/>
    </row>
    <row r="251" spans="1:13" x14ac:dyDescent="0.2">
      <c r="A251" s="2"/>
      <c r="B251" s="2"/>
      <c r="C251" s="2"/>
      <c r="D251" s="2"/>
      <c r="E251" s="2"/>
      <c r="F251" s="2"/>
      <c r="G251" s="2"/>
      <c r="H251" s="2"/>
      <c r="I251" s="2"/>
      <c r="J251" s="2"/>
      <c r="K251" s="2"/>
      <c r="L251" s="2"/>
      <c r="M251" s="2"/>
    </row>
    <row r="252" spans="1:13" x14ac:dyDescent="0.2">
      <c r="A252" s="2"/>
      <c r="B252" s="2"/>
      <c r="C252" s="2"/>
      <c r="D252" s="2"/>
      <c r="E252" s="2"/>
      <c r="F252" s="2"/>
      <c r="G252" s="2"/>
      <c r="H252" s="2"/>
      <c r="I252" s="2"/>
      <c r="J252" s="2"/>
      <c r="K252" s="2"/>
      <c r="L252" s="2"/>
      <c r="M252" s="2"/>
    </row>
    <row r="253" spans="1:13" x14ac:dyDescent="0.2">
      <c r="A253" s="2"/>
      <c r="B253" s="2"/>
      <c r="C253" s="2"/>
      <c r="D253" s="2"/>
      <c r="E253" s="2"/>
      <c r="F253" s="2"/>
      <c r="G253" s="2"/>
      <c r="H253" s="2"/>
      <c r="I253" s="2"/>
      <c r="J253" s="2"/>
      <c r="K253" s="2"/>
      <c r="L253" s="2"/>
      <c r="M253" s="2"/>
    </row>
    <row r="254" spans="1:13" x14ac:dyDescent="0.2">
      <c r="A254" s="2"/>
      <c r="B254" s="2"/>
      <c r="C254" s="2"/>
      <c r="D254" s="2"/>
      <c r="E254" s="2"/>
      <c r="F254" s="2"/>
      <c r="G254" s="2"/>
      <c r="H254" s="2"/>
      <c r="I254" s="2"/>
      <c r="J254" s="2"/>
      <c r="K254" s="2"/>
      <c r="L254" s="2"/>
      <c r="M254" s="2"/>
    </row>
    <row r="255" spans="1:13" x14ac:dyDescent="0.2">
      <c r="A255" s="2"/>
      <c r="B255" s="2"/>
      <c r="C255" s="2"/>
      <c r="D255" s="2"/>
      <c r="E255" s="2"/>
      <c r="F255" s="2"/>
      <c r="G255" s="2"/>
      <c r="H255" s="2"/>
      <c r="I255" s="2"/>
      <c r="J255" s="2"/>
      <c r="K255" s="2"/>
      <c r="L255" s="2"/>
      <c r="M255" s="2"/>
    </row>
    <row r="256" spans="1:13" x14ac:dyDescent="0.2">
      <c r="A256" s="2"/>
      <c r="B256" s="2"/>
      <c r="C256" s="2"/>
      <c r="D256" s="2"/>
      <c r="E256" s="2"/>
      <c r="F256" s="2"/>
      <c r="G256" s="2"/>
      <c r="H256" s="2"/>
      <c r="I256" s="2"/>
      <c r="J256" s="2"/>
      <c r="K256" s="2"/>
      <c r="L256" s="2"/>
      <c r="M256" s="2"/>
    </row>
    <row r="257" spans="1:13" x14ac:dyDescent="0.2">
      <c r="A257" s="2"/>
      <c r="B257" s="2"/>
      <c r="C257" s="2"/>
      <c r="D257" s="2"/>
      <c r="E257" s="2"/>
      <c r="F257" s="2"/>
      <c r="G257" s="2"/>
      <c r="H257" s="2"/>
      <c r="I257" s="2"/>
      <c r="J257" s="2"/>
      <c r="K257" s="2"/>
      <c r="L257" s="2"/>
      <c r="M257" s="2"/>
    </row>
    <row r="258" spans="1:13" x14ac:dyDescent="0.2">
      <c r="A258" s="2"/>
      <c r="B258" s="2"/>
      <c r="C258" s="2"/>
      <c r="D258" s="2"/>
      <c r="E258" s="2"/>
      <c r="F258" s="2"/>
      <c r="G258" s="2"/>
      <c r="H258" s="2"/>
      <c r="I258" s="2"/>
      <c r="J258" s="2"/>
      <c r="K258" s="2"/>
      <c r="L258" s="2"/>
      <c r="M258" s="2"/>
    </row>
    <row r="259" spans="1:13" x14ac:dyDescent="0.2">
      <c r="A259" s="2"/>
      <c r="B259" s="2"/>
      <c r="C259" s="2"/>
      <c r="D259" s="2"/>
      <c r="E259" s="2"/>
      <c r="F259" s="2"/>
      <c r="G259" s="2"/>
      <c r="H259" s="2"/>
      <c r="I259" s="2"/>
      <c r="J259" s="2"/>
      <c r="K259" s="2"/>
      <c r="L259" s="2"/>
      <c r="M259" s="2"/>
    </row>
    <row r="260" spans="1:13" x14ac:dyDescent="0.2">
      <c r="A260" s="2"/>
      <c r="B260" s="2"/>
      <c r="C260" s="2"/>
      <c r="D260" s="2"/>
      <c r="E260" s="2"/>
      <c r="F260" s="2"/>
      <c r="G260" s="2"/>
      <c r="H260" s="2"/>
      <c r="I260" s="2"/>
      <c r="J260" s="2"/>
      <c r="K260" s="2"/>
      <c r="L260" s="2"/>
      <c r="M260" s="2"/>
    </row>
    <row r="261" spans="1:13" x14ac:dyDescent="0.2">
      <c r="A261" s="2"/>
      <c r="B261" s="2"/>
      <c r="C261" s="2"/>
      <c r="D261" s="2"/>
      <c r="E261" s="2"/>
      <c r="F261" s="2"/>
      <c r="G261" s="2"/>
      <c r="H261" s="2"/>
      <c r="I261" s="2"/>
      <c r="J261" s="2"/>
      <c r="K261" s="2"/>
      <c r="L261" s="2"/>
      <c r="M261" s="2"/>
    </row>
    <row r="262" spans="1:13" x14ac:dyDescent="0.2">
      <c r="A262" s="2"/>
      <c r="B262" s="2"/>
      <c r="C262" s="2"/>
      <c r="D262" s="2"/>
      <c r="E262" s="2"/>
      <c r="F262" s="2"/>
      <c r="G262" s="2"/>
      <c r="H262" s="2"/>
      <c r="I262" s="2"/>
      <c r="J262" s="2"/>
      <c r="K262" s="2"/>
      <c r="L262" s="2"/>
      <c r="M262" s="2"/>
    </row>
    <row r="263" spans="1:13" x14ac:dyDescent="0.2">
      <c r="A263" s="2"/>
      <c r="B263" s="2"/>
      <c r="C263" s="2"/>
      <c r="D263" s="2"/>
      <c r="E263" s="2"/>
      <c r="F263" s="2"/>
      <c r="G263" s="2"/>
      <c r="H263" s="2"/>
      <c r="I263" s="2"/>
      <c r="J263" s="2"/>
      <c r="K263" s="2"/>
      <c r="L263" s="2"/>
      <c r="M263" s="2"/>
    </row>
    <row r="264" spans="1:13" x14ac:dyDescent="0.2">
      <c r="A264" s="2"/>
      <c r="B264" s="2"/>
      <c r="C264" s="2"/>
      <c r="D264" s="2"/>
      <c r="E264" s="2"/>
      <c r="F264" s="2"/>
      <c r="G264" s="2"/>
      <c r="H264" s="2"/>
      <c r="I264" s="2"/>
      <c r="J264" s="2"/>
      <c r="K264" s="2"/>
      <c r="L264" s="2"/>
      <c r="M264" s="2"/>
    </row>
    <row r="265" spans="1:13" x14ac:dyDescent="0.2">
      <c r="A265" s="2"/>
      <c r="B265" s="2"/>
      <c r="C265" s="2"/>
      <c r="D265" s="2"/>
      <c r="E265" s="2"/>
      <c r="F265" s="2"/>
      <c r="G265" s="2"/>
      <c r="H265" s="2"/>
      <c r="I265" s="2"/>
      <c r="J265" s="2"/>
      <c r="K265" s="2"/>
      <c r="L265" s="2"/>
      <c r="M265" s="2"/>
    </row>
    <row r="266" spans="1:13" x14ac:dyDescent="0.2">
      <c r="A266" s="2"/>
      <c r="B266" s="2"/>
      <c r="C266" s="2"/>
      <c r="D266" s="2"/>
      <c r="E266" s="2"/>
      <c r="F266" s="2"/>
      <c r="G266" s="2"/>
      <c r="H266" s="2"/>
      <c r="I266" s="2"/>
      <c r="J266" s="2"/>
      <c r="K266" s="2"/>
      <c r="L266" s="2"/>
      <c r="M266" s="2"/>
    </row>
    <row r="267" spans="1:13" x14ac:dyDescent="0.2">
      <c r="A267" s="2"/>
      <c r="B267" s="2"/>
      <c r="C267" s="2"/>
      <c r="D267" s="2"/>
      <c r="E267" s="2"/>
      <c r="F267" s="2"/>
      <c r="G267" s="2"/>
      <c r="H267" s="2"/>
      <c r="I267" s="2"/>
      <c r="J267" s="2"/>
      <c r="K267" s="2"/>
      <c r="L267" s="2"/>
      <c r="M267" s="2"/>
    </row>
    <row r="268" spans="1:13" x14ac:dyDescent="0.2">
      <c r="A268" s="2"/>
      <c r="B268" s="2"/>
      <c r="C268" s="2"/>
      <c r="D268" s="2"/>
      <c r="E268" s="2"/>
      <c r="F268" s="2"/>
      <c r="G268" s="2"/>
      <c r="H268" s="2"/>
      <c r="I268" s="2"/>
      <c r="J268" s="2"/>
      <c r="K268" s="2"/>
      <c r="L268" s="2"/>
      <c r="M268" s="2"/>
    </row>
    <row r="269" spans="1:13" x14ac:dyDescent="0.2">
      <c r="A269" s="2"/>
      <c r="B269" s="2"/>
      <c r="C269" s="2"/>
      <c r="D269" s="2"/>
      <c r="E269" s="2"/>
      <c r="F269" s="2"/>
      <c r="G269" s="2"/>
      <c r="H269" s="2"/>
      <c r="I269" s="2"/>
      <c r="J269" s="2"/>
      <c r="K269" s="2"/>
      <c r="L269" s="2"/>
      <c r="M269" s="2"/>
    </row>
    <row r="270" spans="1:13" x14ac:dyDescent="0.2">
      <c r="A270" s="2"/>
      <c r="B270" s="2"/>
      <c r="C270" s="2"/>
      <c r="D270" s="2"/>
      <c r="E270" s="2"/>
      <c r="F270" s="2"/>
      <c r="G270" s="2"/>
      <c r="H270" s="2"/>
      <c r="I270" s="2"/>
      <c r="J270" s="2"/>
      <c r="K270" s="2"/>
      <c r="L270" s="2"/>
      <c r="M270" s="2"/>
    </row>
    <row r="271" spans="1:13" x14ac:dyDescent="0.2">
      <c r="A271" s="2"/>
      <c r="B271" s="2"/>
      <c r="C271" s="2"/>
      <c r="D271" s="2"/>
      <c r="E271" s="2"/>
      <c r="F271" s="2"/>
      <c r="G271" s="2"/>
      <c r="H271" s="2"/>
      <c r="I271" s="2"/>
      <c r="J271" s="2"/>
      <c r="K271" s="2"/>
      <c r="L271" s="2"/>
      <c r="M271" s="2"/>
    </row>
    <row r="272" spans="1:13" x14ac:dyDescent="0.2">
      <c r="A272" s="2"/>
      <c r="B272" s="2"/>
      <c r="C272" s="2"/>
      <c r="D272" s="2"/>
      <c r="E272" s="2"/>
      <c r="F272" s="2"/>
      <c r="G272" s="2"/>
      <c r="H272" s="2"/>
      <c r="I272" s="2"/>
      <c r="J272" s="2"/>
      <c r="K272" s="2"/>
      <c r="L272" s="2"/>
      <c r="M272" s="2"/>
    </row>
    <row r="273" spans="1:13" x14ac:dyDescent="0.2">
      <c r="A273" s="2"/>
      <c r="B273" s="2"/>
      <c r="C273" s="2"/>
      <c r="D273" s="2"/>
      <c r="E273" s="2"/>
      <c r="F273" s="2"/>
      <c r="G273" s="2"/>
      <c r="H273" s="2"/>
      <c r="I273" s="2"/>
      <c r="J273" s="2"/>
      <c r="K273" s="2"/>
      <c r="L273" s="2"/>
      <c r="M273" s="2"/>
    </row>
    <row r="274" spans="1:13" x14ac:dyDescent="0.2">
      <c r="A274" s="2"/>
      <c r="B274" s="2"/>
      <c r="C274" s="2"/>
      <c r="D274" s="2"/>
      <c r="E274" s="2"/>
      <c r="F274" s="2"/>
      <c r="G274" s="2"/>
      <c r="H274" s="2"/>
      <c r="I274" s="2"/>
      <c r="J274" s="2"/>
      <c r="K274" s="2"/>
      <c r="L274" s="2"/>
      <c r="M274" s="2"/>
    </row>
    <row r="275" spans="1:13" x14ac:dyDescent="0.2">
      <c r="A275" s="2"/>
      <c r="B275" s="2"/>
      <c r="C275" s="2"/>
      <c r="D275" s="2"/>
      <c r="E275" s="2"/>
      <c r="F275" s="2"/>
      <c r="G275" s="2"/>
      <c r="H275" s="2"/>
      <c r="I275" s="2"/>
      <c r="J275" s="2"/>
      <c r="K275" s="2"/>
      <c r="L275" s="2"/>
      <c r="M275" s="2"/>
    </row>
    <row r="276" spans="1:13" x14ac:dyDescent="0.2">
      <c r="A276" s="2"/>
      <c r="B276" s="2"/>
      <c r="C276" s="2"/>
      <c r="D276" s="2"/>
      <c r="E276" s="2"/>
      <c r="F276" s="2"/>
      <c r="G276" s="2"/>
      <c r="H276" s="2"/>
      <c r="I276" s="2"/>
      <c r="J276" s="2"/>
      <c r="K276" s="2"/>
      <c r="L276" s="2"/>
      <c r="M276" s="2"/>
    </row>
    <row r="277" spans="1:13" x14ac:dyDescent="0.2">
      <c r="A277" s="2"/>
      <c r="B277" s="2"/>
      <c r="C277" s="2"/>
      <c r="D277" s="2"/>
      <c r="E277" s="2"/>
      <c r="F277" s="2"/>
      <c r="G277" s="2"/>
      <c r="H277" s="2"/>
      <c r="I277" s="2"/>
      <c r="J277" s="2"/>
      <c r="K277" s="2"/>
      <c r="L277" s="2"/>
      <c r="M277" s="2"/>
    </row>
    <row r="278" spans="1:13" x14ac:dyDescent="0.2">
      <c r="A278" s="2"/>
      <c r="B278" s="2"/>
      <c r="C278" s="2"/>
      <c r="D278" s="2"/>
      <c r="E278" s="2"/>
      <c r="F278" s="2"/>
      <c r="G278" s="2"/>
      <c r="H278" s="2"/>
      <c r="I278" s="2"/>
      <c r="J278" s="2"/>
      <c r="K278" s="2"/>
      <c r="L278" s="2"/>
      <c r="M278" s="2"/>
    </row>
    <row r="279" spans="1:13" x14ac:dyDescent="0.2">
      <c r="A279" s="2"/>
      <c r="B279" s="2"/>
      <c r="C279" s="2"/>
      <c r="D279" s="2"/>
      <c r="E279" s="2"/>
      <c r="F279" s="2"/>
      <c r="G279" s="2"/>
      <c r="H279" s="2"/>
      <c r="I279" s="2"/>
      <c r="J279" s="2"/>
      <c r="K279" s="2"/>
      <c r="L279" s="2"/>
      <c r="M279" s="2"/>
    </row>
    <row r="280" spans="1:13" x14ac:dyDescent="0.2">
      <c r="A280" s="2"/>
      <c r="B280" s="2"/>
      <c r="C280" s="2"/>
      <c r="D280" s="2"/>
      <c r="E280" s="2"/>
      <c r="F280" s="2"/>
      <c r="G280" s="2"/>
      <c r="H280" s="2"/>
      <c r="I280" s="2"/>
      <c r="J280" s="2"/>
      <c r="K280" s="2"/>
      <c r="L280" s="2"/>
      <c r="M280" s="2"/>
    </row>
    <row r="281" spans="1:13" x14ac:dyDescent="0.2">
      <c r="A281" s="2"/>
      <c r="B281" s="2"/>
      <c r="C281" s="2"/>
      <c r="D281" s="2"/>
      <c r="E281" s="2"/>
      <c r="F281" s="2"/>
      <c r="G281" s="2"/>
      <c r="H281" s="2"/>
      <c r="I281" s="2"/>
      <c r="J281" s="2"/>
      <c r="K281" s="2"/>
      <c r="L281" s="2"/>
      <c r="M281" s="2"/>
    </row>
    <row r="282" spans="1:13" x14ac:dyDescent="0.2">
      <c r="A282" s="2"/>
      <c r="B282" s="2"/>
      <c r="C282" s="2"/>
      <c r="D282" s="2"/>
      <c r="E282" s="2"/>
      <c r="F282" s="2"/>
      <c r="G282" s="2"/>
      <c r="H282" s="2"/>
      <c r="I282" s="2"/>
      <c r="J282" s="2"/>
      <c r="K282" s="2"/>
      <c r="L282" s="2"/>
      <c r="M282" s="2"/>
    </row>
    <row r="283" spans="1:13" x14ac:dyDescent="0.2">
      <c r="A283" s="2"/>
      <c r="B283" s="2"/>
      <c r="C283" s="2"/>
      <c r="D283" s="2"/>
      <c r="E283" s="2"/>
      <c r="F283" s="2"/>
      <c r="G283" s="2"/>
      <c r="H283" s="2"/>
      <c r="I283" s="2"/>
      <c r="J283" s="2"/>
      <c r="K283" s="2"/>
      <c r="L283" s="2"/>
      <c r="M283" s="2"/>
    </row>
    <row r="284" spans="1:13" x14ac:dyDescent="0.2">
      <c r="A284" s="2"/>
      <c r="B284" s="2"/>
      <c r="C284" s="2"/>
      <c r="D284" s="2"/>
      <c r="E284" s="2"/>
      <c r="F284" s="2"/>
      <c r="G284" s="2"/>
      <c r="H284" s="2"/>
      <c r="I284" s="2"/>
      <c r="J284" s="2"/>
      <c r="K284" s="2"/>
      <c r="L284" s="2"/>
      <c r="M284" s="2"/>
    </row>
    <row r="285" spans="1:13" x14ac:dyDescent="0.2">
      <c r="A285" s="2"/>
      <c r="B285" s="2"/>
      <c r="C285" s="2"/>
      <c r="D285" s="2"/>
      <c r="E285" s="2"/>
      <c r="F285" s="2"/>
      <c r="G285" s="2"/>
      <c r="H285" s="2"/>
      <c r="I285" s="2"/>
      <c r="J285" s="2"/>
      <c r="K285" s="2"/>
      <c r="L285" s="2"/>
      <c r="M285" s="2"/>
    </row>
    <row r="286" spans="1:13" x14ac:dyDescent="0.2">
      <c r="A286" s="2"/>
      <c r="B286" s="2"/>
      <c r="C286" s="2"/>
      <c r="D286" s="2"/>
      <c r="E286" s="2"/>
      <c r="F286" s="2"/>
      <c r="G286" s="2"/>
      <c r="H286" s="2"/>
      <c r="I286" s="2"/>
      <c r="J286" s="2"/>
      <c r="K286" s="2"/>
      <c r="L286" s="2"/>
      <c r="M286" s="2"/>
    </row>
    <row r="287" spans="1:13" x14ac:dyDescent="0.2">
      <c r="A287" s="2"/>
      <c r="B287" s="2"/>
      <c r="C287" s="2"/>
      <c r="D287" s="2"/>
      <c r="E287" s="2"/>
      <c r="F287" s="2"/>
      <c r="G287" s="2"/>
      <c r="H287" s="2"/>
      <c r="I287" s="2"/>
      <c r="J287" s="2"/>
      <c r="K287" s="2"/>
      <c r="L287" s="2"/>
      <c r="M287" s="2"/>
    </row>
    <row r="288" spans="1:13" x14ac:dyDescent="0.2">
      <c r="A288" s="2"/>
      <c r="B288" s="2"/>
      <c r="C288" s="2"/>
      <c r="D288" s="2"/>
      <c r="E288" s="2"/>
      <c r="F288" s="2"/>
      <c r="G288" s="2"/>
      <c r="H288" s="2"/>
      <c r="I288" s="2"/>
      <c r="J288" s="2"/>
      <c r="K288" s="2"/>
      <c r="L288" s="2"/>
      <c r="M288" s="2"/>
    </row>
    <row r="289" spans="1:13" x14ac:dyDescent="0.2">
      <c r="A289" s="2"/>
      <c r="B289" s="2"/>
      <c r="C289" s="2"/>
      <c r="D289" s="2"/>
      <c r="E289" s="2"/>
      <c r="F289" s="2"/>
      <c r="G289" s="2"/>
      <c r="H289" s="2"/>
      <c r="I289" s="2"/>
      <c r="J289" s="2"/>
      <c r="K289" s="2"/>
      <c r="L289" s="2"/>
      <c r="M289" s="2"/>
    </row>
    <row r="290" spans="1:13" x14ac:dyDescent="0.2">
      <c r="A290" s="2"/>
      <c r="B290" s="2"/>
      <c r="C290" s="2"/>
      <c r="D290" s="2"/>
      <c r="E290" s="2"/>
      <c r="F290" s="2"/>
      <c r="G290" s="2"/>
      <c r="H290" s="2"/>
      <c r="I290" s="2"/>
      <c r="J290" s="2"/>
      <c r="K290" s="2"/>
      <c r="L290" s="2"/>
      <c r="M290" s="2"/>
    </row>
    <row r="291" spans="1:13" x14ac:dyDescent="0.2">
      <c r="A291" s="2"/>
      <c r="B291" s="2"/>
      <c r="C291" s="2"/>
      <c r="D291" s="2"/>
      <c r="E291" s="2"/>
      <c r="F291" s="2"/>
      <c r="G291" s="2"/>
      <c r="H291" s="2"/>
      <c r="I291" s="2"/>
      <c r="J291" s="2"/>
      <c r="K291" s="2"/>
      <c r="L291" s="2"/>
      <c r="M291" s="2"/>
    </row>
    <row r="292" spans="1:13" x14ac:dyDescent="0.2">
      <c r="A292" s="2"/>
      <c r="B292" s="2"/>
      <c r="C292" s="2"/>
      <c r="D292" s="2"/>
      <c r="E292" s="2"/>
      <c r="F292" s="2"/>
      <c r="G292" s="2"/>
      <c r="H292" s="2"/>
      <c r="I292" s="2"/>
      <c r="J292" s="2"/>
      <c r="K292" s="2"/>
      <c r="L292" s="2"/>
      <c r="M292" s="2"/>
    </row>
    <row r="293" spans="1:13" x14ac:dyDescent="0.2">
      <c r="A293" s="2"/>
      <c r="B293" s="2"/>
      <c r="C293" s="2"/>
      <c r="D293" s="2"/>
      <c r="E293" s="2"/>
      <c r="F293" s="2"/>
      <c r="G293" s="2"/>
      <c r="H293" s="2"/>
      <c r="I293" s="2"/>
      <c r="J293" s="2"/>
      <c r="K293" s="2"/>
      <c r="L293" s="2"/>
      <c r="M293" s="2"/>
    </row>
    <row r="294" spans="1:13" x14ac:dyDescent="0.2">
      <c r="A294" s="2"/>
      <c r="B294" s="2"/>
      <c r="C294" s="2"/>
      <c r="D294" s="2"/>
      <c r="E294" s="2"/>
      <c r="F294" s="2"/>
      <c r="G294" s="2"/>
      <c r="H294" s="2"/>
      <c r="I294" s="2"/>
      <c r="J294" s="2"/>
      <c r="K294" s="2"/>
      <c r="L294" s="2"/>
      <c r="M294" s="2"/>
    </row>
    <row r="295" spans="1:13" x14ac:dyDescent="0.2">
      <c r="A295" s="2"/>
      <c r="B295" s="2"/>
      <c r="C295" s="2"/>
      <c r="D295" s="2"/>
      <c r="E295" s="2"/>
      <c r="F295" s="2"/>
      <c r="G295" s="2"/>
      <c r="H295" s="2"/>
      <c r="I295" s="2"/>
      <c r="J295" s="2"/>
      <c r="K295" s="2"/>
      <c r="L295" s="2"/>
      <c r="M295" s="2"/>
    </row>
    <row r="296" spans="1:13" x14ac:dyDescent="0.2">
      <c r="A296" s="2"/>
      <c r="B296" s="2"/>
      <c r="C296" s="2"/>
      <c r="D296" s="2"/>
      <c r="E296" s="2"/>
      <c r="F296" s="2"/>
      <c r="G296" s="2"/>
      <c r="H296" s="2"/>
      <c r="I296" s="2"/>
      <c r="J296" s="2"/>
      <c r="K296" s="2"/>
      <c r="L296" s="2"/>
      <c r="M296" s="2"/>
    </row>
    <row r="297" spans="1:13" x14ac:dyDescent="0.2">
      <c r="A297" s="2"/>
      <c r="B297" s="2"/>
      <c r="C297" s="2"/>
      <c r="D297" s="2"/>
      <c r="E297" s="2"/>
      <c r="F297" s="2"/>
      <c r="G297" s="2"/>
      <c r="H297" s="2"/>
      <c r="I297" s="2"/>
      <c r="J297" s="2"/>
      <c r="K297" s="2"/>
      <c r="L297" s="2"/>
      <c r="M297" s="2"/>
    </row>
    <row r="298" spans="1:13" x14ac:dyDescent="0.2">
      <c r="A298" s="2"/>
      <c r="B298" s="2"/>
      <c r="C298" s="2"/>
      <c r="D298" s="2"/>
      <c r="E298" s="2"/>
      <c r="F298" s="2"/>
      <c r="G298" s="2"/>
      <c r="H298" s="2"/>
      <c r="I298" s="2"/>
      <c r="J298" s="2"/>
      <c r="K298" s="2"/>
      <c r="L298" s="2"/>
      <c r="M298" s="2"/>
    </row>
    <row r="299" spans="1:13" x14ac:dyDescent="0.2">
      <c r="A299" s="2"/>
      <c r="B299" s="2"/>
      <c r="C299" s="2"/>
      <c r="D299" s="2"/>
      <c r="E299" s="2"/>
      <c r="F299" s="2"/>
      <c r="G299" s="2"/>
      <c r="H299" s="2"/>
      <c r="I299" s="2"/>
      <c r="J299" s="2"/>
      <c r="K299" s="2"/>
      <c r="L299" s="2"/>
      <c r="M299" s="2"/>
    </row>
    <row r="300" spans="1:13" x14ac:dyDescent="0.2">
      <c r="A300" s="2"/>
      <c r="B300" s="2"/>
      <c r="C300" s="2"/>
      <c r="D300" s="2"/>
      <c r="E300" s="2"/>
      <c r="F300" s="2"/>
      <c r="G300" s="2"/>
      <c r="H300" s="2"/>
      <c r="I300" s="2"/>
      <c r="J300" s="2"/>
      <c r="K300" s="2"/>
      <c r="L300" s="2"/>
      <c r="M300" s="2"/>
    </row>
    <row r="301" spans="1:13" x14ac:dyDescent="0.2">
      <c r="A301" s="2"/>
      <c r="B301" s="2"/>
      <c r="C301" s="2"/>
      <c r="D301" s="2"/>
      <c r="E301" s="2"/>
      <c r="F301" s="2"/>
      <c r="G301" s="2"/>
      <c r="H301" s="2"/>
      <c r="I301" s="2"/>
      <c r="J301" s="2"/>
      <c r="K301" s="2"/>
      <c r="L301" s="2"/>
      <c r="M301" s="2"/>
    </row>
    <row r="302" spans="1:13" x14ac:dyDescent="0.2">
      <c r="A302" s="2"/>
      <c r="B302" s="2"/>
      <c r="C302" s="2"/>
      <c r="D302" s="2"/>
      <c r="E302" s="2"/>
      <c r="F302" s="2"/>
      <c r="G302" s="2"/>
      <c r="H302" s="2"/>
      <c r="I302" s="2"/>
      <c r="J302" s="2"/>
      <c r="K302" s="2"/>
      <c r="L302" s="2"/>
      <c r="M302" s="2"/>
    </row>
    <row r="303" spans="1:13" x14ac:dyDescent="0.2">
      <c r="A303" s="2"/>
      <c r="B303" s="2"/>
      <c r="C303" s="2"/>
      <c r="D303" s="2"/>
      <c r="E303" s="2"/>
      <c r="F303" s="2"/>
      <c r="G303" s="2"/>
      <c r="H303" s="2"/>
      <c r="I303" s="2"/>
      <c r="J303" s="2"/>
      <c r="K303" s="2"/>
      <c r="L303" s="2"/>
      <c r="M303" s="2"/>
    </row>
    <row r="304" spans="1:13" x14ac:dyDescent="0.2">
      <c r="A304" s="2"/>
      <c r="B304" s="2"/>
      <c r="C304" s="2"/>
      <c r="D304" s="2"/>
      <c r="E304" s="2"/>
      <c r="F304" s="2"/>
      <c r="G304" s="2"/>
      <c r="H304" s="2"/>
      <c r="I304" s="2"/>
      <c r="J304" s="2"/>
      <c r="K304" s="2"/>
      <c r="L304" s="2"/>
      <c r="M304" s="2"/>
    </row>
    <row r="305" spans="1:13" x14ac:dyDescent="0.2">
      <c r="A305" s="2"/>
      <c r="B305" s="2"/>
      <c r="C305" s="2"/>
      <c r="D305" s="2"/>
      <c r="E305" s="2"/>
      <c r="F305" s="2"/>
      <c r="G305" s="2"/>
      <c r="H305" s="2"/>
      <c r="I305" s="2"/>
      <c r="J305" s="2"/>
      <c r="K305" s="2"/>
      <c r="L305" s="2"/>
      <c r="M305" s="2"/>
    </row>
    <row r="306" spans="1:13" x14ac:dyDescent="0.2">
      <c r="A306" s="2"/>
      <c r="B306" s="2"/>
      <c r="C306" s="2"/>
      <c r="D306" s="2"/>
      <c r="E306" s="2"/>
      <c r="F306" s="2"/>
      <c r="G306" s="2"/>
      <c r="H306" s="2"/>
      <c r="I306" s="2"/>
      <c r="J306" s="2"/>
      <c r="K306" s="2"/>
      <c r="L306" s="2"/>
      <c r="M306" s="2"/>
    </row>
    <row r="307" spans="1:13" x14ac:dyDescent="0.2">
      <c r="A307" s="2"/>
      <c r="B307" s="2"/>
      <c r="C307" s="2"/>
      <c r="D307" s="2"/>
      <c r="E307" s="2"/>
      <c r="F307" s="2"/>
      <c r="G307" s="2"/>
      <c r="H307" s="2"/>
      <c r="I307" s="2"/>
      <c r="J307" s="2"/>
      <c r="K307" s="2"/>
      <c r="L307" s="2"/>
      <c r="M307" s="2"/>
    </row>
    <row r="308" spans="1:13" x14ac:dyDescent="0.2">
      <c r="A308" s="2"/>
      <c r="B308" s="2"/>
      <c r="C308" s="2"/>
      <c r="D308" s="2"/>
      <c r="E308" s="2"/>
      <c r="F308" s="2"/>
      <c r="G308" s="2"/>
      <c r="H308" s="2"/>
      <c r="I308" s="2"/>
      <c r="J308" s="2"/>
      <c r="K308" s="2"/>
      <c r="L308" s="2"/>
      <c r="M308" s="2"/>
    </row>
    <row r="309" spans="1:13" x14ac:dyDescent="0.2">
      <c r="A309" s="2"/>
      <c r="B309" s="2"/>
      <c r="C309" s="2"/>
      <c r="D309" s="2"/>
      <c r="E309" s="2"/>
      <c r="F309" s="2"/>
      <c r="G309" s="2"/>
      <c r="H309" s="2"/>
      <c r="I309" s="2"/>
      <c r="J309" s="2"/>
      <c r="K309" s="2"/>
      <c r="L309" s="2"/>
      <c r="M309" s="2"/>
    </row>
    <row r="310" spans="1:13" x14ac:dyDescent="0.2">
      <c r="A310" s="2"/>
      <c r="B310" s="2"/>
      <c r="C310" s="2"/>
      <c r="D310" s="2"/>
      <c r="E310" s="2"/>
      <c r="F310" s="2"/>
      <c r="G310" s="2"/>
      <c r="H310" s="2"/>
      <c r="I310" s="2"/>
      <c r="J310" s="2"/>
      <c r="K310" s="2"/>
      <c r="L310" s="2"/>
      <c r="M310" s="2"/>
    </row>
    <row r="311" spans="1:13" x14ac:dyDescent="0.2">
      <c r="A311" s="2"/>
      <c r="B311" s="2"/>
      <c r="C311" s="2"/>
      <c r="D311" s="2"/>
      <c r="E311" s="2"/>
      <c r="F311" s="2"/>
      <c r="G311" s="2"/>
      <c r="H311" s="2"/>
      <c r="I311" s="2"/>
      <c r="J311" s="2"/>
      <c r="K311" s="2"/>
      <c r="L311" s="2"/>
      <c r="M311" s="2"/>
    </row>
    <row r="312" spans="1:13" x14ac:dyDescent="0.2">
      <c r="A312" s="2"/>
      <c r="B312" s="2"/>
      <c r="C312" s="2"/>
      <c r="D312" s="2"/>
      <c r="E312" s="2"/>
      <c r="F312" s="2"/>
      <c r="G312" s="2"/>
      <c r="H312" s="2"/>
      <c r="I312" s="2"/>
      <c r="J312" s="2"/>
      <c r="K312" s="2"/>
      <c r="L312" s="2"/>
      <c r="M312" s="2"/>
    </row>
    <row r="313" spans="1:13" x14ac:dyDescent="0.2">
      <c r="A313" s="2"/>
      <c r="B313" s="2"/>
      <c r="C313" s="2"/>
      <c r="D313" s="2"/>
      <c r="E313" s="2"/>
      <c r="F313" s="2"/>
      <c r="G313" s="2"/>
      <c r="H313" s="2"/>
      <c r="I313" s="2"/>
      <c r="J313" s="2"/>
      <c r="K313" s="2"/>
      <c r="L313" s="2"/>
      <c r="M313" s="2"/>
    </row>
    <row r="314" spans="1:13" x14ac:dyDescent="0.2">
      <c r="A314" s="2"/>
      <c r="B314" s="2"/>
      <c r="C314" s="2"/>
      <c r="D314" s="2"/>
      <c r="E314" s="2"/>
      <c r="F314" s="2"/>
      <c r="G314" s="2"/>
      <c r="H314" s="2"/>
      <c r="I314" s="2"/>
      <c r="J314" s="2"/>
      <c r="K314" s="2"/>
      <c r="L314" s="2"/>
      <c r="M314" s="2"/>
    </row>
    <row r="315" spans="1:13" x14ac:dyDescent="0.2">
      <c r="A315" s="2"/>
      <c r="B315" s="2"/>
      <c r="C315" s="2"/>
      <c r="D315" s="2"/>
      <c r="E315" s="2"/>
      <c r="F315" s="2"/>
      <c r="G315" s="2"/>
      <c r="H315" s="2"/>
      <c r="I315" s="2"/>
      <c r="J315" s="2"/>
      <c r="K315" s="2"/>
      <c r="L315" s="2"/>
      <c r="M315" s="2"/>
    </row>
    <row r="316" spans="1:13" x14ac:dyDescent="0.2">
      <c r="A316" s="2"/>
      <c r="B316" s="2"/>
      <c r="C316" s="2"/>
      <c r="D316" s="2"/>
      <c r="E316" s="2"/>
      <c r="F316" s="2"/>
      <c r="G316" s="2"/>
      <c r="H316" s="2"/>
      <c r="I316" s="2"/>
      <c r="J316" s="2"/>
      <c r="K316" s="2"/>
      <c r="L316" s="2"/>
      <c r="M316" s="2"/>
    </row>
    <row r="317" spans="1:13" x14ac:dyDescent="0.2">
      <c r="A317" s="2"/>
      <c r="B317" s="2"/>
      <c r="C317" s="2"/>
      <c r="D317" s="2"/>
      <c r="E317" s="2"/>
      <c r="F317" s="2"/>
      <c r="G317" s="2"/>
      <c r="H317" s="2"/>
      <c r="I317" s="2"/>
      <c r="J317" s="2"/>
      <c r="K317" s="2"/>
      <c r="L317" s="2"/>
      <c r="M317" s="2"/>
    </row>
    <row r="318" spans="1:13" x14ac:dyDescent="0.2">
      <c r="A318" s="2"/>
      <c r="B318" s="2"/>
      <c r="C318" s="2"/>
      <c r="D318" s="2"/>
      <c r="E318" s="2"/>
      <c r="F318" s="2"/>
      <c r="G318" s="2"/>
      <c r="H318" s="2"/>
      <c r="I318" s="2"/>
      <c r="J318" s="2"/>
      <c r="K318" s="2"/>
      <c r="L318" s="2"/>
      <c r="M318" s="2"/>
    </row>
    <row r="319" spans="1:13" x14ac:dyDescent="0.2">
      <c r="A319" s="2"/>
      <c r="B319" s="2"/>
      <c r="C319" s="2"/>
      <c r="D319" s="2"/>
      <c r="E319" s="2"/>
      <c r="F319" s="2"/>
      <c r="G319" s="2"/>
      <c r="H319" s="2"/>
      <c r="I319" s="2"/>
      <c r="J319" s="2"/>
      <c r="K319" s="2"/>
      <c r="L319" s="2"/>
      <c r="M319" s="2"/>
    </row>
    <row r="320" spans="1:13" x14ac:dyDescent="0.2">
      <c r="A320" s="2"/>
      <c r="B320" s="2"/>
      <c r="C320" s="2"/>
      <c r="D320" s="2"/>
      <c r="E320" s="2"/>
      <c r="F320" s="2"/>
      <c r="G320" s="2"/>
      <c r="H320" s="2"/>
      <c r="I320" s="2"/>
      <c r="J320" s="2"/>
      <c r="K320" s="2"/>
      <c r="L320" s="2"/>
      <c r="M320" s="2"/>
    </row>
    <row r="321" spans="1:13" x14ac:dyDescent="0.2">
      <c r="A321" s="2"/>
      <c r="B321" s="2"/>
      <c r="C321" s="2"/>
      <c r="D321" s="2"/>
      <c r="E321" s="2"/>
      <c r="F321" s="2"/>
      <c r="G321" s="2"/>
      <c r="H321" s="2"/>
      <c r="I321" s="2"/>
      <c r="J321" s="2"/>
      <c r="K321" s="2"/>
      <c r="L321" s="2"/>
      <c r="M321" s="2"/>
    </row>
    <row r="322" spans="1:13" x14ac:dyDescent="0.2">
      <c r="A322" s="2"/>
      <c r="B322" s="2"/>
      <c r="C322" s="2"/>
      <c r="D322" s="2"/>
      <c r="E322" s="2"/>
      <c r="F322" s="2"/>
      <c r="G322" s="2"/>
      <c r="H322" s="2"/>
      <c r="I322" s="2"/>
      <c r="J322" s="2"/>
      <c r="K322" s="2"/>
      <c r="L322" s="2"/>
      <c r="M322" s="2"/>
    </row>
    <row r="323" spans="1:13" x14ac:dyDescent="0.2">
      <c r="A323" s="2"/>
      <c r="B323" s="2"/>
      <c r="C323" s="2"/>
      <c r="D323" s="2"/>
      <c r="E323" s="2"/>
      <c r="F323" s="2"/>
      <c r="G323" s="2"/>
      <c r="H323" s="2"/>
      <c r="I323" s="2"/>
      <c r="J323" s="2"/>
      <c r="K323" s="2"/>
      <c r="L323" s="2"/>
      <c r="M323" s="2"/>
    </row>
    <row r="324" spans="1:13" x14ac:dyDescent="0.2">
      <c r="A324" s="2"/>
      <c r="B324" s="2"/>
      <c r="C324" s="2"/>
      <c r="D324" s="2"/>
      <c r="E324" s="2"/>
      <c r="F324" s="2"/>
      <c r="G324" s="2"/>
      <c r="H324" s="2"/>
      <c r="I324" s="2"/>
      <c r="J324" s="2"/>
      <c r="K324" s="2"/>
      <c r="L324" s="2"/>
      <c r="M324" s="2"/>
    </row>
    <row r="325" spans="1:13" x14ac:dyDescent="0.2">
      <c r="A325" s="2"/>
      <c r="B325" s="2"/>
      <c r="C325" s="2"/>
      <c r="D325" s="2"/>
      <c r="E325" s="2"/>
      <c r="F325" s="2"/>
      <c r="G325" s="2"/>
      <c r="H325" s="2"/>
      <c r="I325" s="2"/>
      <c r="J325" s="2"/>
      <c r="K325" s="2"/>
      <c r="L325" s="2"/>
      <c r="M325" s="2"/>
    </row>
    <row r="326" spans="1:13" x14ac:dyDescent="0.2">
      <c r="A326" s="2"/>
      <c r="B326" s="2"/>
      <c r="C326" s="2"/>
      <c r="D326" s="2"/>
      <c r="E326" s="2"/>
      <c r="F326" s="2"/>
      <c r="G326" s="2"/>
      <c r="H326" s="2"/>
      <c r="I326" s="2"/>
      <c r="J326" s="2"/>
      <c r="K326" s="2"/>
      <c r="L326" s="2"/>
      <c r="M326" s="2"/>
    </row>
    <row r="327" spans="1:13" x14ac:dyDescent="0.2">
      <c r="A327" s="2"/>
      <c r="B327" s="2"/>
      <c r="C327" s="2"/>
      <c r="D327" s="2"/>
      <c r="E327" s="2"/>
      <c r="F327" s="2"/>
      <c r="G327" s="2"/>
      <c r="H327" s="2"/>
      <c r="I327" s="2"/>
      <c r="J327" s="2"/>
      <c r="K327" s="2"/>
      <c r="L327" s="2"/>
      <c r="M327" s="2"/>
    </row>
    <row r="328" spans="1:13" x14ac:dyDescent="0.2">
      <c r="A328" s="2"/>
      <c r="B328" s="2"/>
      <c r="C328" s="2"/>
      <c r="D328" s="2"/>
      <c r="E328" s="2"/>
      <c r="F328" s="2"/>
      <c r="G328" s="2"/>
      <c r="H328" s="2"/>
      <c r="I328" s="2"/>
      <c r="J328" s="2"/>
      <c r="K328" s="2"/>
      <c r="L328" s="2"/>
      <c r="M328" s="2"/>
    </row>
    <row r="329" spans="1:13" x14ac:dyDescent="0.2">
      <c r="A329" s="2"/>
      <c r="B329" s="2"/>
      <c r="C329" s="2"/>
      <c r="D329" s="2"/>
      <c r="E329" s="2"/>
      <c r="F329" s="2"/>
      <c r="G329" s="2"/>
      <c r="H329" s="2"/>
      <c r="I329" s="2"/>
      <c r="J329" s="2"/>
      <c r="K329" s="2"/>
      <c r="L329" s="2"/>
      <c r="M329" s="2"/>
    </row>
    <row r="330" spans="1:13" x14ac:dyDescent="0.2">
      <c r="A330" s="2"/>
      <c r="B330" s="2"/>
      <c r="C330" s="2"/>
      <c r="D330" s="2"/>
      <c r="E330" s="2"/>
      <c r="F330" s="2"/>
      <c r="G330" s="2"/>
      <c r="H330" s="2"/>
      <c r="I330" s="2"/>
      <c r="J330" s="2"/>
      <c r="K330" s="2"/>
      <c r="L330" s="2"/>
      <c r="M330" s="2"/>
    </row>
    <row r="331" spans="1:13" x14ac:dyDescent="0.2">
      <c r="A331" s="2"/>
      <c r="B331" s="2"/>
      <c r="C331" s="2"/>
      <c r="D331" s="2"/>
      <c r="E331" s="2"/>
      <c r="F331" s="2"/>
      <c r="G331" s="2"/>
      <c r="H331" s="2"/>
      <c r="I331" s="2"/>
      <c r="J331" s="2"/>
      <c r="K331" s="2"/>
      <c r="L331" s="2"/>
      <c r="M331" s="2"/>
    </row>
    <row r="332" spans="1:13" x14ac:dyDescent="0.2">
      <c r="A332" s="2"/>
      <c r="B332" s="2"/>
      <c r="C332" s="2"/>
      <c r="D332" s="2"/>
      <c r="E332" s="2"/>
      <c r="F332" s="2"/>
      <c r="G332" s="2"/>
      <c r="H332" s="2"/>
      <c r="I332" s="2"/>
      <c r="J332" s="2"/>
      <c r="K332" s="2"/>
      <c r="L332" s="2"/>
      <c r="M332" s="2"/>
    </row>
    <row r="333" spans="1:13" x14ac:dyDescent="0.2">
      <c r="A333" s="2"/>
      <c r="B333" s="2"/>
      <c r="C333" s="2"/>
      <c r="D333" s="2"/>
      <c r="E333" s="2"/>
      <c r="F333" s="2"/>
      <c r="G333" s="2"/>
      <c r="H333" s="2"/>
      <c r="I333" s="2"/>
      <c r="J333" s="2"/>
      <c r="K333" s="2"/>
      <c r="L333" s="2"/>
      <c r="M333" s="2"/>
    </row>
    <row r="334" spans="1:13" x14ac:dyDescent="0.2">
      <c r="A334" s="2"/>
      <c r="B334" s="2"/>
      <c r="C334" s="2"/>
      <c r="D334" s="2"/>
      <c r="E334" s="2"/>
      <c r="F334" s="2"/>
      <c r="G334" s="2"/>
      <c r="H334" s="2"/>
      <c r="I334" s="2"/>
      <c r="J334" s="2"/>
      <c r="K334" s="2"/>
      <c r="L334" s="2"/>
      <c r="M334" s="2"/>
    </row>
    <row r="335" spans="1:13" x14ac:dyDescent="0.2">
      <c r="A335" s="2"/>
      <c r="B335" s="2"/>
      <c r="C335" s="2"/>
      <c r="D335" s="2"/>
      <c r="E335" s="2"/>
      <c r="F335" s="2"/>
      <c r="G335" s="2"/>
      <c r="H335" s="2"/>
      <c r="I335" s="2"/>
      <c r="J335" s="2"/>
      <c r="K335" s="2"/>
      <c r="L335" s="2"/>
      <c r="M335" s="2"/>
    </row>
    <row r="336" spans="1:13" x14ac:dyDescent="0.2">
      <c r="A336" s="2"/>
      <c r="B336" s="2"/>
      <c r="C336" s="2"/>
      <c r="D336" s="2"/>
      <c r="E336" s="2"/>
      <c r="F336" s="2"/>
      <c r="G336" s="2"/>
      <c r="H336" s="2"/>
      <c r="I336" s="2"/>
      <c r="J336" s="2"/>
      <c r="K336" s="2"/>
      <c r="L336" s="2"/>
      <c r="M336" s="2"/>
    </row>
    <row r="337" spans="1:13" x14ac:dyDescent="0.2">
      <c r="A337" s="2"/>
      <c r="B337" s="2"/>
      <c r="C337" s="2"/>
      <c r="D337" s="2"/>
      <c r="E337" s="2"/>
      <c r="F337" s="2"/>
      <c r="G337" s="2"/>
      <c r="H337" s="2"/>
      <c r="I337" s="2"/>
      <c r="J337" s="2"/>
      <c r="K337" s="2"/>
      <c r="L337" s="2"/>
      <c r="M337" s="2"/>
    </row>
    <row r="338" spans="1:13" x14ac:dyDescent="0.2">
      <c r="A338" s="2"/>
      <c r="B338" s="2"/>
      <c r="C338" s="2"/>
      <c r="D338" s="2"/>
      <c r="E338" s="2"/>
      <c r="F338" s="2"/>
      <c r="G338" s="2"/>
      <c r="H338" s="2"/>
      <c r="I338" s="2"/>
      <c r="J338" s="2"/>
      <c r="K338" s="2"/>
      <c r="L338" s="2"/>
      <c r="M338" s="2"/>
    </row>
    <row r="339" spans="1:13" x14ac:dyDescent="0.2">
      <c r="A339" s="2"/>
      <c r="B339" s="2"/>
      <c r="C339" s="2"/>
      <c r="D339" s="2"/>
      <c r="E339" s="2"/>
      <c r="F339" s="2"/>
      <c r="G339" s="2"/>
      <c r="H339" s="2"/>
      <c r="I339" s="2"/>
      <c r="J339" s="2"/>
      <c r="K339" s="2"/>
      <c r="L339" s="2"/>
      <c r="M339" s="2"/>
    </row>
    <row r="340" spans="1:13" x14ac:dyDescent="0.2">
      <c r="A340" s="2"/>
      <c r="B340" s="2"/>
      <c r="C340" s="2"/>
      <c r="D340" s="2"/>
      <c r="E340" s="2"/>
      <c r="F340" s="2"/>
      <c r="G340" s="2"/>
      <c r="H340" s="2"/>
      <c r="I340" s="2"/>
      <c r="J340" s="2"/>
      <c r="K340" s="2"/>
      <c r="L340" s="2"/>
      <c r="M340" s="2"/>
    </row>
    <row r="341" spans="1:13" x14ac:dyDescent="0.2">
      <c r="A341" s="2"/>
      <c r="B341" s="2"/>
      <c r="C341" s="2"/>
      <c r="D341" s="2"/>
      <c r="E341" s="2"/>
      <c r="F341" s="2"/>
      <c r="G341" s="2"/>
      <c r="H341" s="2"/>
      <c r="I341" s="2"/>
      <c r="J341" s="2"/>
      <c r="K341" s="2"/>
      <c r="L341" s="2"/>
      <c r="M341" s="2"/>
    </row>
    <row r="342" spans="1:13" x14ac:dyDescent="0.2">
      <c r="A342" s="2"/>
      <c r="B342" s="2"/>
      <c r="C342" s="2"/>
      <c r="D342" s="2"/>
      <c r="E342" s="2"/>
      <c r="F342" s="2"/>
      <c r="G342" s="2"/>
      <c r="H342" s="2"/>
      <c r="I342" s="2"/>
      <c r="J342" s="2"/>
      <c r="K342" s="2"/>
      <c r="L342" s="2"/>
      <c r="M342" s="2"/>
    </row>
    <row r="343" spans="1:13" x14ac:dyDescent="0.2">
      <c r="A343" s="2"/>
      <c r="B343" s="2"/>
      <c r="C343" s="2"/>
      <c r="D343" s="2"/>
      <c r="E343" s="2"/>
      <c r="F343" s="2"/>
      <c r="G343" s="2"/>
      <c r="H343" s="2"/>
      <c r="I343" s="2"/>
      <c r="J343" s="2"/>
      <c r="K343" s="2"/>
      <c r="L343" s="2"/>
      <c r="M343" s="2"/>
    </row>
    <row r="344" spans="1:13" x14ac:dyDescent="0.2">
      <c r="A344" s="2"/>
      <c r="B344" s="2"/>
      <c r="C344" s="2"/>
      <c r="D344" s="2"/>
      <c r="E344" s="2"/>
      <c r="F344" s="2"/>
      <c r="G344" s="2"/>
      <c r="H344" s="2"/>
      <c r="I344" s="2"/>
      <c r="J344" s="2"/>
      <c r="K344" s="2"/>
      <c r="L344" s="2"/>
      <c r="M344" s="2"/>
    </row>
    <row r="345" spans="1:13" x14ac:dyDescent="0.2">
      <c r="A345" s="2"/>
      <c r="B345" s="2"/>
      <c r="C345" s="2"/>
      <c r="D345" s="2"/>
      <c r="E345" s="2"/>
      <c r="F345" s="2"/>
      <c r="G345" s="2"/>
      <c r="H345" s="2"/>
      <c r="I345" s="2"/>
      <c r="J345" s="2"/>
      <c r="K345" s="2"/>
      <c r="L345" s="2"/>
      <c r="M345" s="2"/>
    </row>
    <row r="346" spans="1:13" x14ac:dyDescent="0.2">
      <c r="A346" s="2"/>
      <c r="B346" s="2"/>
      <c r="C346" s="2"/>
      <c r="D346" s="2"/>
      <c r="E346" s="2"/>
      <c r="F346" s="2"/>
      <c r="G346" s="2"/>
      <c r="H346" s="2"/>
      <c r="I346" s="2"/>
      <c r="J346" s="2"/>
      <c r="K346" s="2"/>
      <c r="L346" s="2"/>
      <c r="M346" s="2"/>
    </row>
    <row r="347" spans="1:13" x14ac:dyDescent="0.2">
      <c r="A347" s="2"/>
      <c r="B347" s="2"/>
      <c r="C347" s="2"/>
      <c r="D347" s="2"/>
      <c r="E347" s="2"/>
      <c r="F347" s="2"/>
      <c r="G347" s="2"/>
      <c r="H347" s="2"/>
      <c r="I347" s="2"/>
      <c r="J347" s="2"/>
      <c r="K347" s="2"/>
      <c r="L347" s="2"/>
      <c r="M347" s="2"/>
    </row>
    <row r="348" spans="1:13" x14ac:dyDescent="0.2">
      <c r="A348" s="2"/>
      <c r="B348" s="2"/>
      <c r="C348" s="2"/>
      <c r="D348" s="2"/>
      <c r="E348" s="2"/>
      <c r="F348" s="2"/>
      <c r="G348" s="2"/>
      <c r="H348" s="2"/>
      <c r="I348" s="2"/>
      <c r="J348" s="2"/>
      <c r="K348" s="2"/>
      <c r="L348" s="2"/>
      <c r="M348" s="2"/>
    </row>
    <row r="349" spans="1:13" x14ac:dyDescent="0.2">
      <c r="A349" s="2"/>
      <c r="B349" s="2"/>
      <c r="C349" s="2"/>
      <c r="D349" s="2"/>
      <c r="E349" s="2"/>
      <c r="F349" s="2"/>
      <c r="G349" s="2"/>
      <c r="H349" s="2"/>
      <c r="I349" s="2"/>
      <c r="J349" s="2"/>
      <c r="K349" s="2"/>
      <c r="L349" s="2"/>
      <c r="M349" s="2"/>
    </row>
    <row r="350" spans="1:13" x14ac:dyDescent="0.2">
      <c r="A350" s="2"/>
      <c r="B350" s="2"/>
      <c r="C350" s="2"/>
      <c r="D350" s="2"/>
      <c r="E350" s="2"/>
      <c r="F350" s="2"/>
      <c r="G350" s="2"/>
      <c r="H350" s="2"/>
      <c r="I350" s="2"/>
      <c r="J350" s="2"/>
      <c r="K350" s="2"/>
      <c r="L350" s="2"/>
      <c r="M350" s="2"/>
    </row>
    <row r="351" spans="1:13" x14ac:dyDescent="0.2">
      <c r="A351" s="2"/>
      <c r="B351" s="2"/>
      <c r="C351" s="2"/>
      <c r="D351" s="2"/>
      <c r="E351" s="2"/>
      <c r="F351" s="2"/>
      <c r="G351" s="2"/>
      <c r="H351" s="2"/>
      <c r="I351" s="2"/>
      <c r="J351" s="2"/>
      <c r="K351" s="2"/>
      <c r="L351" s="2"/>
      <c r="M351" s="2"/>
    </row>
    <row r="352" spans="1:13" x14ac:dyDescent="0.2">
      <c r="A352" s="2"/>
      <c r="B352" s="2"/>
      <c r="C352" s="2"/>
      <c r="D352" s="2"/>
      <c r="E352" s="2"/>
      <c r="F352" s="2"/>
      <c r="G352" s="2"/>
      <c r="H352" s="2"/>
      <c r="I352" s="2"/>
      <c r="J352" s="2"/>
      <c r="K352" s="2"/>
      <c r="L352" s="2"/>
      <c r="M352" s="2"/>
    </row>
    <row r="353" spans="1:13" x14ac:dyDescent="0.2">
      <c r="A353" s="2"/>
      <c r="B353" s="2"/>
      <c r="C353" s="2"/>
      <c r="D353" s="2"/>
      <c r="E353" s="2"/>
      <c r="F353" s="2"/>
      <c r="G353" s="2"/>
      <c r="H353" s="2"/>
      <c r="I353" s="2"/>
      <c r="J353" s="2"/>
      <c r="K353" s="2"/>
      <c r="L353" s="2"/>
      <c r="M353" s="2"/>
    </row>
    <row r="354" spans="1:13" x14ac:dyDescent="0.2">
      <c r="A354" s="2"/>
      <c r="B354" s="2"/>
      <c r="C354" s="2"/>
      <c r="D354" s="2"/>
      <c r="E354" s="2"/>
      <c r="F354" s="2"/>
      <c r="G354" s="2"/>
      <c r="H354" s="2"/>
      <c r="I354" s="2"/>
      <c r="J354" s="2"/>
      <c r="K354" s="2"/>
      <c r="L354" s="2"/>
      <c r="M354" s="2"/>
    </row>
    <row r="355" spans="1:13" x14ac:dyDescent="0.2">
      <c r="A355" s="2"/>
      <c r="B355" s="2"/>
      <c r="C355" s="2"/>
      <c r="D355" s="2"/>
      <c r="E355" s="2"/>
      <c r="F355" s="2"/>
      <c r="G355" s="2"/>
      <c r="H355" s="2"/>
      <c r="I355" s="2"/>
      <c r="J355" s="2"/>
      <c r="K355" s="2"/>
      <c r="L355" s="2"/>
      <c r="M355" s="2"/>
    </row>
    <row r="356" spans="1:13" x14ac:dyDescent="0.2">
      <c r="A356" s="2"/>
      <c r="B356" s="2"/>
      <c r="C356" s="2"/>
      <c r="D356" s="2"/>
      <c r="E356" s="2"/>
      <c r="F356" s="2"/>
      <c r="G356" s="2"/>
      <c r="H356" s="2"/>
      <c r="I356" s="2"/>
      <c r="J356" s="2"/>
      <c r="K356" s="2"/>
      <c r="L356" s="2"/>
      <c r="M356" s="2"/>
    </row>
    <row r="357" spans="1:13" x14ac:dyDescent="0.2">
      <c r="A357" s="2"/>
      <c r="B357" s="2"/>
      <c r="C357" s="2"/>
      <c r="D357" s="2"/>
      <c r="E357" s="2"/>
      <c r="F357" s="2"/>
      <c r="G357" s="2"/>
      <c r="H357" s="2"/>
      <c r="I357" s="2"/>
      <c r="J357" s="2"/>
      <c r="K357" s="2"/>
      <c r="L357" s="2"/>
      <c r="M357" s="2"/>
    </row>
    <row r="358" spans="1:13" x14ac:dyDescent="0.2">
      <c r="A358" s="2"/>
      <c r="B358" s="2"/>
      <c r="C358" s="2"/>
      <c r="D358" s="2"/>
      <c r="E358" s="2"/>
      <c r="F358" s="2"/>
      <c r="G358" s="2"/>
      <c r="H358" s="2"/>
      <c r="I358" s="2"/>
      <c r="J358" s="2"/>
      <c r="K358" s="2"/>
      <c r="L358" s="2"/>
      <c r="M358" s="2"/>
    </row>
    <row r="359" spans="1:13" x14ac:dyDescent="0.2">
      <c r="A359" s="2"/>
      <c r="B359" s="2"/>
      <c r="C359" s="2"/>
      <c r="D359" s="2"/>
      <c r="E359" s="2"/>
      <c r="F359" s="2"/>
      <c r="G359" s="2"/>
      <c r="H359" s="2"/>
      <c r="I359" s="2"/>
      <c r="J359" s="2"/>
      <c r="K359" s="2"/>
      <c r="L359" s="2"/>
      <c r="M359" s="2"/>
    </row>
    <row r="360" spans="1:13" x14ac:dyDescent="0.2">
      <c r="A360" s="2"/>
      <c r="B360" s="2"/>
      <c r="C360" s="2"/>
      <c r="D360" s="2"/>
      <c r="E360" s="2"/>
      <c r="F360" s="2"/>
      <c r="G360" s="2"/>
      <c r="H360" s="2"/>
      <c r="I360" s="2"/>
      <c r="J360" s="2"/>
      <c r="K360" s="2"/>
      <c r="L360" s="2"/>
      <c r="M360" s="2"/>
    </row>
    <row r="361" spans="1:13" x14ac:dyDescent="0.2">
      <c r="A361" s="2"/>
      <c r="B361" s="2"/>
      <c r="C361" s="2"/>
      <c r="D361" s="2"/>
      <c r="E361" s="2"/>
      <c r="F361" s="2"/>
      <c r="G361" s="2"/>
      <c r="H361" s="2"/>
      <c r="I361" s="2"/>
      <c r="J361" s="2"/>
      <c r="K361" s="2"/>
      <c r="L361" s="2"/>
      <c r="M361" s="2"/>
    </row>
    <row r="362" spans="1:13" x14ac:dyDescent="0.2">
      <c r="A362" s="2"/>
      <c r="B362" s="2"/>
      <c r="C362" s="2"/>
      <c r="D362" s="2"/>
      <c r="E362" s="2"/>
      <c r="F362" s="2"/>
      <c r="G362" s="2"/>
      <c r="H362" s="2"/>
      <c r="I362" s="2"/>
      <c r="J362" s="2"/>
      <c r="K362" s="2"/>
      <c r="L362" s="2"/>
      <c r="M362" s="2"/>
    </row>
    <row r="363" spans="1:13" x14ac:dyDescent="0.2">
      <c r="A363" s="2"/>
      <c r="B363" s="2"/>
      <c r="C363" s="2"/>
      <c r="D363" s="2"/>
      <c r="E363" s="2"/>
      <c r="F363" s="2"/>
      <c r="G363" s="2"/>
      <c r="H363" s="2"/>
      <c r="I363" s="2"/>
      <c r="J363" s="2"/>
      <c r="K363" s="2"/>
      <c r="L363" s="2"/>
      <c r="M363" s="2"/>
    </row>
    <row r="364" spans="1:13" x14ac:dyDescent="0.2">
      <c r="A364" s="2"/>
      <c r="B364" s="2"/>
      <c r="C364" s="2"/>
      <c r="D364" s="2"/>
      <c r="E364" s="2"/>
      <c r="F364" s="2"/>
      <c r="G364" s="2"/>
      <c r="H364" s="2"/>
      <c r="I364" s="2"/>
      <c r="J364" s="2"/>
      <c r="K364" s="2"/>
      <c r="L364" s="2"/>
      <c r="M364" s="2"/>
    </row>
    <row r="365" spans="1:13" x14ac:dyDescent="0.2">
      <c r="A365" s="2"/>
      <c r="B365" s="2"/>
      <c r="C365" s="2"/>
      <c r="D365" s="2"/>
      <c r="E365" s="2"/>
      <c r="F365" s="2"/>
      <c r="G365" s="2"/>
      <c r="H365" s="2"/>
      <c r="I365" s="2"/>
      <c r="J365" s="2"/>
      <c r="K365" s="2"/>
      <c r="L365" s="2"/>
      <c r="M365" s="2"/>
    </row>
    <row r="366" spans="1:13" x14ac:dyDescent="0.2">
      <c r="A366" s="2"/>
      <c r="B366" s="2"/>
      <c r="C366" s="2"/>
      <c r="D366" s="2"/>
      <c r="E366" s="2"/>
      <c r="F366" s="2"/>
      <c r="G366" s="2"/>
      <c r="H366" s="2"/>
      <c r="I366" s="2"/>
      <c r="J366" s="2"/>
      <c r="K366" s="2"/>
      <c r="L366" s="2"/>
      <c r="M366" s="2"/>
    </row>
    <row r="367" spans="1:13" x14ac:dyDescent="0.2">
      <c r="A367" s="2"/>
      <c r="B367" s="2"/>
      <c r="C367" s="2"/>
      <c r="D367" s="2"/>
      <c r="E367" s="2"/>
      <c r="F367" s="2"/>
      <c r="G367" s="2"/>
      <c r="H367" s="2"/>
      <c r="I367" s="2"/>
      <c r="J367" s="2"/>
      <c r="K367" s="2"/>
      <c r="L367" s="2"/>
      <c r="M367" s="2"/>
    </row>
    <row r="368" spans="1:13" x14ac:dyDescent="0.2">
      <c r="A368" s="2"/>
      <c r="B368" s="2"/>
      <c r="C368" s="2"/>
      <c r="D368" s="2"/>
      <c r="E368" s="2"/>
      <c r="F368" s="2"/>
      <c r="G368" s="2"/>
      <c r="H368" s="2"/>
      <c r="I368" s="2"/>
      <c r="J368" s="2"/>
      <c r="K368" s="2"/>
      <c r="L368" s="2"/>
      <c r="M368" s="2"/>
    </row>
    <row r="369" spans="1:13" x14ac:dyDescent="0.2">
      <c r="A369" s="2"/>
      <c r="B369" s="2"/>
      <c r="C369" s="2"/>
      <c r="D369" s="2"/>
      <c r="E369" s="2"/>
      <c r="F369" s="2"/>
      <c r="G369" s="2"/>
      <c r="H369" s="2"/>
      <c r="I369" s="2"/>
      <c r="J369" s="2"/>
      <c r="K369" s="2"/>
      <c r="L369" s="2"/>
      <c r="M369" s="2"/>
    </row>
    <row r="370" spans="1:13" x14ac:dyDescent="0.2">
      <c r="A370" s="2"/>
      <c r="B370" s="2"/>
      <c r="C370" s="2"/>
      <c r="D370" s="2"/>
      <c r="E370" s="2"/>
      <c r="F370" s="2"/>
      <c r="G370" s="2"/>
      <c r="H370" s="2"/>
      <c r="I370" s="2"/>
      <c r="J370" s="2"/>
      <c r="K370" s="2"/>
      <c r="L370" s="2"/>
      <c r="M370" s="2"/>
    </row>
    <row r="371" spans="1:13" x14ac:dyDescent="0.2">
      <c r="A371" s="2"/>
      <c r="B371" s="2"/>
      <c r="C371" s="2"/>
      <c r="D371" s="2"/>
      <c r="E371" s="2"/>
      <c r="F371" s="2"/>
      <c r="G371" s="2"/>
      <c r="H371" s="2"/>
      <c r="I371" s="2"/>
      <c r="J371" s="2"/>
      <c r="K371" s="2"/>
      <c r="L371" s="2"/>
      <c r="M371" s="2"/>
    </row>
    <row r="372" spans="1:13" x14ac:dyDescent="0.2">
      <c r="A372" s="2"/>
      <c r="B372" s="2"/>
      <c r="C372" s="2"/>
      <c r="D372" s="2"/>
      <c r="E372" s="2"/>
      <c r="F372" s="2"/>
      <c r="G372" s="2"/>
      <c r="H372" s="2"/>
      <c r="I372" s="2"/>
      <c r="J372" s="2"/>
      <c r="K372" s="2"/>
      <c r="L372" s="2"/>
      <c r="M372" s="2"/>
    </row>
    <row r="373" spans="1:13" x14ac:dyDescent="0.2">
      <c r="A373" s="2"/>
      <c r="B373" s="2"/>
      <c r="C373" s="2"/>
      <c r="D373" s="2"/>
      <c r="E373" s="2"/>
      <c r="F373" s="2"/>
      <c r="G373" s="2"/>
      <c r="H373" s="2"/>
      <c r="I373" s="2"/>
      <c r="J373" s="2"/>
      <c r="K373" s="2"/>
      <c r="L373" s="2"/>
      <c r="M373" s="2"/>
    </row>
    <row r="374" spans="1:13" x14ac:dyDescent="0.2">
      <c r="A374" s="2"/>
      <c r="B374" s="2"/>
      <c r="C374" s="2"/>
      <c r="D374" s="2"/>
      <c r="E374" s="2"/>
      <c r="F374" s="2"/>
      <c r="G374" s="2"/>
      <c r="H374" s="2"/>
      <c r="I374" s="2"/>
      <c r="J374" s="2"/>
      <c r="K374" s="2"/>
      <c r="L374" s="2"/>
      <c r="M374" s="2"/>
    </row>
    <row r="375" spans="1:13" x14ac:dyDescent="0.2">
      <c r="A375" s="2"/>
      <c r="B375" s="2"/>
      <c r="C375" s="2"/>
      <c r="D375" s="2"/>
      <c r="E375" s="2"/>
      <c r="F375" s="2"/>
      <c r="G375" s="2"/>
      <c r="H375" s="2"/>
      <c r="I375" s="2"/>
      <c r="J375" s="2"/>
      <c r="K375" s="2"/>
      <c r="L375" s="2"/>
      <c r="M375" s="2"/>
    </row>
    <row r="376" spans="1:13" x14ac:dyDescent="0.2">
      <c r="A376" s="2"/>
      <c r="B376" s="2"/>
      <c r="C376" s="2"/>
      <c r="D376" s="2"/>
      <c r="E376" s="2"/>
      <c r="F376" s="2"/>
      <c r="G376" s="2"/>
      <c r="H376" s="2"/>
      <c r="I376" s="2"/>
      <c r="J376" s="2"/>
      <c r="K376" s="2"/>
      <c r="L376" s="2"/>
      <c r="M376" s="2"/>
    </row>
    <row r="377" spans="1:13" x14ac:dyDescent="0.2">
      <c r="A377" s="2"/>
      <c r="B377" s="2"/>
      <c r="C377" s="2"/>
      <c r="D377" s="2"/>
      <c r="E377" s="2"/>
      <c r="F377" s="2"/>
      <c r="G377" s="2"/>
      <c r="H377" s="2"/>
      <c r="I377" s="2"/>
      <c r="J377" s="2"/>
      <c r="K377" s="2"/>
      <c r="L377" s="2"/>
      <c r="M377" s="2"/>
    </row>
    <row r="378" spans="1:13" x14ac:dyDescent="0.2">
      <c r="A378" s="2"/>
      <c r="B378" s="2"/>
      <c r="C378" s="2"/>
      <c r="D378" s="2"/>
      <c r="E378" s="2"/>
      <c r="F378" s="2"/>
      <c r="G378" s="2"/>
      <c r="H378" s="2"/>
      <c r="I378" s="2"/>
      <c r="J378" s="2"/>
      <c r="K378" s="2"/>
      <c r="L378" s="2"/>
      <c r="M378" s="2"/>
    </row>
    <row r="379" spans="1:13" x14ac:dyDescent="0.2">
      <c r="A379" s="2"/>
      <c r="B379" s="2"/>
      <c r="C379" s="2"/>
      <c r="D379" s="2"/>
      <c r="E379" s="2"/>
      <c r="F379" s="2"/>
      <c r="G379" s="2"/>
      <c r="H379" s="2"/>
      <c r="I379" s="2"/>
      <c r="J379" s="2"/>
      <c r="K379" s="2"/>
      <c r="L379" s="2"/>
      <c r="M379" s="2"/>
    </row>
    <row r="380" spans="1:13" x14ac:dyDescent="0.2">
      <c r="A380" s="2"/>
      <c r="B380" s="2"/>
      <c r="C380" s="2"/>
      <c r="D380" s="2"/>
      <c r="E380" s="2"/>
      <c r="F380" s="2"/>
      <c r="G380" s="2"/>
      <c r="H380" s="2"/>
      <c r="I380" s="2"/>
      <c r="J380" s="2"/>
      <c r="K380" s="2"/>
      <c r="L380" s="2"/>
      <c r="M380" s="2"/>
    </row>
    <row r="381" spans="1:13" x14ac:dyDescent="0.2">
      <c r="A381" s="2"/>
      <c r="B381" s="2"/>
      <c r="C381" s="2"/>
      <c r="D381" s="2"/>
      <c r="E381" s="2"/>
      <c r="F381" s="2"/>
      <c r="G381" s="2"/>
      <c r="H381" s="2"/>
      <c r="I381" s="2"/>
      <c r="J381" s="2"/>
      <c r="K381" s="2"/>
      <c r="L381" s="2"/>
      <c r="M381" s="2"/>
    </row>
    <row r="382" spans="1:13" x14ac:dyDescent="0.2">
      <c r="A382" s="2"/>
      <c r="B382" s="2"/>
      <c r="C382" s="2"/>
      <c r="D382" s="2"/>
      <c r="E382" s="2"/>
      <c r="F382" s="2"/>
      <c r="G382" s="2"/>
      <c r="H382" s="2"/>
      <c r="I382" s="2"/>
      <c r="J382" s="2"/>
      <c r="K382" s="2"/>
      <c r="L382" s="2"/>
      <c r="M382" s="2"/>
    </row>
    <row r="383" spans="1:13" x14ac:dyDescent="0.2">
      <c r="A383" s="2"/>
      <c r="B383" s="2"/>
      <c r="C383" s="2"/>
      <c r="D383" s="2"/>
      <c r="E383" s="2"/>
      <c r="F383" s="2"/>
      <c r="G383" s="2"/>
      <c r="H383" s="2"/>
      <c r="I383" s="2"/>
      <c r="J383" s="2"/>
      <c r="K383" s="2"/>
      <c r="L383" s="2"/>
      <c r="M383" s="2"/>
    </row>
    <row r="384" spans="1:13" x14ac:dyDescent="0.2">
      <c r="A384" s="2"/>
      <c r="B384" s="2"/>
      <c r="C384" s="2"/>
      <c r="D384" s="2"/>
      <c r="E384" s="2"/>
      <c r="F384" s="2"/>
      <c r="G384" s="2"/>
      <c r="H384" s="2"/>
      <c r="I384" s="2"/>
      <c r="J384" s="2"/>
      <c r="K384" s="2"/>
      <c r="L384" s="2"/>
      <c r="M384" s="2"/>
    </row>
    <row r="385" spans="1:13" x14ac:dyDescent="0.2">
      <c r="A385" s="2"/>
      <c r="B385" s="2"/>
      <c r="C385" s="2"/>
      <c r="D385" s="2"/>
      <c r="E385" s="2"/>
      <c r="F385" s="2"/>
      <c r="G385" s="2"/>
      <c r="H385" s="2"/>
      <c r="I385" s="2"/>
      <c r="J385" s="2"/>
      <c r="K385" s="2"/>
      <c r="L385" s="2"/>
      <c r="M385" s="2"/>
    </row>
    <row r="386" spans="1:13" x14ac:dyDescent="0.2">
      <c r="A386" s="2"/>
      <c r="B386" s="2"/>
      <c r="C386" s="2"/>
      <c r="D386" s="2"/>
      <c r="E386" s="2"/>
      <c r="F386" s="2"/>
      <c r="G386" s="2"/>
      <c r="H386" s="2"/>
      <c r="I386" s="2"/>
      <c r="J386" s="2"/>
      <c r="K386" s="2"/>
      <c r="L386" s="2"/>
      <c r="M386" s="2"/>
    </row>
    <row r="387" spans="1:13" x14ac:dyDescent="0.2">
      <c r="A387" s="2"/>
      <c r="B387" s="2"/>
      <c r="C387" s="2"/>
      <c r="D387" s="2"/>
      <c r="E387" s="2"/>
      <c r="F387" s="2"/>
      <c r="G387" s="2"/>
      <c r="H387" s="2"/>
      <c r="I387" s="2"/>
      <c r="J387" s="2"/>
      <c r="K387" s="2"/>
      <c r="L387" s="2"/>
      <c r="M387" s="2"/>
    </row>
    <row r="388" spans="1:13" x14ac:dyDescent="0.2">
      <c r="A388" s="2"/>
      <c r="B388" s="2"/>
      <c r="C388" s="2"/>
      <c r="D388" s="2"/>
      <c r="E388" s="2"/>
      <c r="F388" s="2"/>
      <c r="G388" s="2"/>
      <c r="H388" s="2"/>
      <c r="I388" s="2"/>
      <c r="J388" s="2"/>
      <c r="K388" s="2"/>
      <c r="L388" s="2"/>
      <c r="M388" s="2"/>
    </row>
    <row r="389" spans="1:13" x14ac:dyDescent="0.2">
      <c r="A389" s="2"/>
      <c r="B389" s="2"/>
      <c r="C389" s="2"/>
      <c r="D389" s="2"/>
      <c r="E389" s="2"/>
      <c r="F389" s="2"/>
      <c r="G389" s="2"/>
      <c r="H389" s="2"/>
      <c r="I389" s="2"/>
      <c r="J389" s="2"/>
      <c r="K389" s="2"/>
      <c r="L389" s="2"/>
      <c r="M389" s="2"/>
    </row>
    <row r="390" spans="1:13" x14ac:dyDescent="0.2">
      <c r="A390" s="2"/>
      <c r="B390" s="2"/>
      <c r="C390" s="2"/>
      <c r="D390" s="2"/>
      <c r="E390" s="2"/>
      <c r="F390" s="2"/>
      <c r="G390" s="2"/>
      <c r="H390" s="2"/>
      <c r="I390" s="2"/>
      <c r="J390" s="2"/>
      <c r="K390" s="2"/>
      <c r="L390" s="2"/>
      <c r="M390" s="2"/>
    </row>
    <row r="391" spans="1:13" x14ac:dyDescent="0.2">
      <c r="A391" s="2"/>
      <c r="B391" s="2"/>
      <c r="C391" s="2"/>
      <c r="D391" s="2"/>
      <c r="E391" s="2"/>
      <c r="F391" s="2"/>
      <c r="G391" s="2"/>
      <c r="H391" s="2"/>
      <c r="I391" s="2"/>
      <c r="J391" s="2"/>
      <c r="K391" s="2"/>
      <c r="L391" s="2"/>
      <c r="M391" s="2"/>
    </row>
    <row r="392" spans="1:13" x14ac:dyDescent="0.2">
      <c r="A392" s="2"/>
      <c r="B392" s="2"/>
      <c r="C392" s="2"/>
      <c r="D392" s="2"/>
      <c r="E392" s="2"/>
      <c r="F392" s="2"/>
      <c r="G392" s="2"/>
      <c r="H392" s="2"/>
      <c r="I392" s="2"/>
      <c r="J392" s="2"/>
      <c r="K392" s="2"/>
      <c r="L392" s="2"/>
      <c r="M392" s="2"/>
    </row>
    <row r="393" spans="1:13" x14ac:dyDescent="0.2">
      <c r="A393" s="2"/>
      <c r="B393" s="2"/>
      <c r="C393" s="2"/>
      <c r="D393" s="2"/>
      <c r="E393" s="2"/>
      <c r="F393" s="2"/>
      <c r="G393" s="2"/>
      <c r="H393" s="2"/>
      <c r="I393" s="2"/>
      <c r="J393" s="2"/>
      <c r="K393" s="2"/>
      <c r="L393" s="2"/>
      <c r="M393" s="2"/>
    </row>
    <row r="394" spans="1:13" x14ac:dyDescent="0.2">
      <c r="A394" s="2"/>
      <c r="B394" s="2"/>
      <c r="C394" s="2"/>
      <c r="D394" s="2"/>
      <c r="E394" s="2"/>
      <c r="F394" s="2"/>
      <c r="G394" s="2"/>
      <c r="H394" s="2"/>
      <c r="I394" s="2"/>
      <c r="J394" s="2"/>
      <c r="K394" s="2"/>
      <c r="L394" s="2"/>
      <c r="M394" s="2"/>
    </row>
    <row r="395" spans="1:13" x14ac:dyDescent="0.2">
      <c r="A395" s="2"/>
      <c r="B395" s="2"/>
      <c r="C395" s="2"/>
      <c r="D395" s="2"/>
      <c r="E395" s="2"/>
      <c r="F395" s="2"/>
      <c r="G395" s="2"/>
      <c r="H395" s="2"/>
      <c r="I395" s="2"/>
      <c r="J395" s="2"/>
      <c r="K395" s="2"/>
      <c r="L395" s="2"/>
      <c r="M395" s="2"/>
    </row>
    <row r="396" spans="1:13" x14ac:dyDescent="0.2">
      <c r="A396" s="2"/>
      <c r="B396" s="2"/>
      <c r="C396" s="2"/>
      <c r="D396" s="2"/>
      <c r="E396" s="2"/>
      <c r="F396" s="2"/>
      <c r="G396" s="2"/>
      <c r="H396" s="2"/>
      <c r="I396" s="2"/>
      <c r="J396" s="2"/>
      <c r="K396" s="2"/>
      <c r="L396" s="2"/>
      <c r="M396" s="2"/>
    </row>
    <row r="397" spans="1:13" x14ac:dyDescent="0.2">
      <c r="A397" s="2"/>
      <c r="B397" s="2"/>
      <c r="C397" s="2"/>
      <c r="D397" s="2"/>
      <c r="E397" s="2"/>
      <c r="F397" s="2"/>
      <c r="G397" s="2"/>
      <c r="H397" s="2"/>
      <c r="I397" s="2"/>
      <c r="J397" s="2"/>
      <c r="K397" s="2"/>
      <c r="L397" s="2"/>
      <c r="M397" s="2"/>
    </row>
    <row r="398" spans="1:13" x14ac:dyDescent="0.2">
      <c r="A398" s="2"/>
      <c r="B398" s="2"/>
      <c r="C398" s="2"/>
      <c r="D398" s="2"/>
      <c r="E398" s="2"/>
      <c r="F398" s="2"/>
      <c r="G398" s="2"/>
      <c r="H398" s="2"/>
      <c r="I398" s="2"/>
      <c r="J398" s="2"/>
      <c r="K398" s="2"/>
      <c r="L398" s="2"/>
      <c r="M398" s="2"/>
    </row>
    <row r="399" spans="1:13" x14ac:dyDescent="0.2">
      <c r="A399" s="2"/>
      <c r="B399" s="2"/>
      <c r="C399" s="2"/>
      <c r="D399" s="2"/>
      <c r="E399" s="2"/>
      <c r="F399" s="2"/>
      <c r="G399" s="2"/>
      <c r="H399" s="2"/>
      <c r="I399" s="2"/>
      <c r="J399" s="2"/>
      <c r="K399" s="2"/>
      <c r="L399" s="2"/>
      <c r="M399" s="2"/>
    </row>
    <row r="400" spans="1:13" x14ac:dyDescent="0.2">
      <c r="A400" s="2"/>
      <c r="B400" s="2"/>
      <c r="C400" s="2"/>
      <c r="D400" s="2"/>
      <c r="E400" s="2"/>
      <c r="F400" s="2"/>
      <c r="G400" s="2"/>
      <c r="H400" s="2"/>
      <c r="I400" s="2"/>
      <c r="J400" s="2"/>
      <c r="K400" s="2"/>
      <c r="L400" s="2"/>
      <c r="M400" s="2"/>
    </row>
    <row r="401" spans="1:13" x14ac:dyDescent="0.2">
      <c r="A401" s="2"/>
      <c r="B401" s="2"/>
      <c r="C401" s="2"/>
      <c r="D401" s="2"/>
      <c r="E401" s="2"/>
      <c r="F401" s="2"/>
      <c r="G401" s="2"/>
      <c r="H401" s="2"/>
      <c r="I401" s="2"/>
      <c r="J401" s="2"/>
      <c r="K401" s="2"/>
      <c r="L401" s="2"/>
      <c r="M401" s="2"/>
    </row>
    <row r="402" spans="1:13" x14ac:dyDescent="0.2">
      <c r="A402" s="2"/>
      <c r="B402" s="2"/>
      <c r="C402" s="2"/>
      <c r="D402" s="2"/>
      <c r="E402" s="2"/>
      <c r="F402" s="2"/>
      <c r="G402" s="2"/>
      <c r="H402" s="2"/>
      <c r="I402" s="2"/>
      <c r="J402" s="2"/>
      <c r="K402" s="2"/>
      <c r="L402" s="2"/>
      <c r="M402" s="2"/>
    </row>
    <row r="403" spans="1:13" x14ac:dyDescent="0.2">
      <c r="A403" s="2"/>
      <c r="B403" s="2"/>
      <c r="C403" s="2"/>
      <c r="D403" s="2"/>
      <c r="E403" s="2"/>
      <c r="F403" s="2"/>
      <c r="G403" s="2"/>
      <c r="H403" s="2"/>
      <c r="I403" s="2"/>
      <c r="J403" s="2"/>
      <c r="K403" s="2"/>
      <c r="L403" s="2"/>
      <c r="M403" s="2"/>
    </row>
    <row r="404" spans="1:13" x14ac:dyDescent="0.2">
      <c r="A404" s="2"/>
      <c r="B404" s="2"/>
      <c r="C404" s="2"/>
      <c r="D404" s="2"/>
      <c r="E404" s="2"/>
      <c r="F404" s="2"/>
      <c r="G404" s="2"/>
      <c r="H404" s="2"/>
      <c r="I404" s="2"/>
      <c r="J404" s="2"/>
      <c r="K404" s="2"/>
      <c r="L404" s="2"/>
      <c r="M404" s="2"/>
    </row>
    <row r="405" spans="1:13" x14ac:dyDescent="0.2">
      <c r="A405" s="2"/>
      <c r="B405" s="2"/>
      <c r="C405" s="2"/>
      <c r="D405" s="2"/>
      <c r="E405" s="2"/>
      <c r="F405" s="2"/>
      <c r="G405" s="2"/>
      <c r="H405" s="2"/>
      <c r="I405" s="2"/>
      <c r="J405" s="2"/>
      <c r="K405" s="2"/>
      <c r="L405" s="2"/>
      <c r="M405" s="2"/>
    </row>
    <row r="406" spans="1:13" x14ac:dyDescent="0.2">
      <c r="A406" s="2"/>
      <c r="B406" s="2"/>
      <c r="C406" s="2"/>
      <c r="D406" s="2"/>
      <c r="E406" s="2"/>
      <c r="F406" s="2"/>
      <c r="G406" s="2"/>
      <c r="H406" s="2"/>
      <c r="I406" s="2"/>
      <c r="J406" s="2"/>
      <c r="K406" s="2"/>
      <c r="L406" s="2"/>
      <c r="M406" s="2"/>
    </row>
    <row r="407" spans="1:13" x14ac:dyDescent="0.2">
      <c r="A407" s="2"/>
      <c r="B407" s="2"/>
      <c r="C407" s="2"/>
      <c r="D407" s="2"/>
      <c r="E407" s="2"/>
      <c r="F407" s="2"/>
      <c r="G407" s="2"/>
      <c r="H407" s="2"/>
      <c r="I407" s="2"/>
      <c r="J407" s="2"/>
      <c r="K407" s="2"/>
      <c r="L407" s="2"/>
      <c r="M407" s="2"/>
    </row>
    <row r="408" spans="1:13" x14ac:dyDescent="0.2">
      <c r="A408" s="2"/>
      <c r="B408" s="2"/>
      <c r="C408" s="2"/>
      <c r="D408" s="2"/>
      <c r="E408" s="2"/>
      <c r="F408" s="2"/>
      <c r="G408" s="2"/>
      <c r="H408" s="2"/>
      <c r="I408" s="2"/>
      <c r="J408" s="2"/>
      <c r="K408" s="2"/>
      <c r="L408" s="2"/>
      <c r="M408" s="2"/>
    </row>
    <row r="409" spans="1:13" x14ac:dyDescent="0.2">
      <c r="A409" s="2"/>
      <c r="B409" s="2"/>
      <c r="C409" s="2"/>
      <c r="D409" s="2"/>
      <c r="E409" s="2"/>
      <c r="F409" s="2"/>
      <c r="G409" s="2"/>
      <c r="H409" s="2"/>
      <c r="I409" s="2"/>
      <c r="J409" s="2"/>
      <c r="K409" s="2"/>
      <c r="L409" s="2"/>
      <c r="M409" s="2"/>
    </row>
    <row r="410" spans="1:13" x14ac:dyDescent="0.2">
      <c r="A410" s="2"/>
      <c r="B410" s="2"/>
      <c r="C410" s="2"/>
      <c r="D410" s="2"/>
      <c r="E410" s="2"/>
      <c r="F410" s="2"/>
      <c r="G410" s="2"/>
      <c r="H410" s="2"/>
      <c r="I410" s="2"/>
      <c r="J410" s="2"/>
      <c r="K410" s="2"/>
      <c r="L410" s="2"/>
      <c r="M410" s="2"/>
    </row>
    <row r="411" spans="1:13" x14ac:dyDescent="0.2">
      <c r="A411" s="2"/>
      <c r="B411" s="2"/>
      <c r="C411" s="2"/>
      <c r="D411" s="2"/>
      <c r="E411" s="2"/>
      <c r="F411" s="2"/>
      <c r="G411" s="2"/>
      <c r="H411" s="2"/>
      <c r="I411" s="2"/>
      <c r="J411" s="2"/>
      <c r="K411" s="2"/>
      <c r="L411" s="2"/>
      <c r="M411" s="2"/>
    </row>
    <row r="412" spans="1:13" x14ac:dyDescent="0.2">
      <c r="A412" s="2"/>
      <c r="B412" s="2"/>
      <c r="C412" s="2"/>
      <c r="D412" s="2"/>
      <c r="E412" s="2"/>
      <c r="F412" s="2"/>
      <c r="G412" s="2"/>
      <c r="H412" s="2"/>
      <c r="I412" s="2"/>
      <c r="J412" s="2"/>
      <c r="K412" s="2"/>
      <c r="L412" s="2"/>
      <c r="M412" s="2"/>
    </row>
    <row r="413" spans="1:13" x14ac:dyDescent="0.2">
      <c r="A413" s="2"/>
      <c r="B413" s="2"/>
      <c r="C413" s="2"/>
      <c r="D413" s="2"/>
      <c r="E413" s="2"/>
      <c r="F413" s="2"/>
      <c r="G413" s="2"/>
      <c r="H413" s="2"/>
      <c r="I413" s="2"/>
      <c r="J413" s="2"/>
      <c r="K413" s="2"/>
      <c r="L413" s="2"/>
      <c r="M413" s="2"/>
    </row>
    <row r="414" spans="1:13" x14ac:dyDescent="0.2">
      <c r="A414" s="2"/>
      <c r="B414" s="2"/>
      <c r="C414" s="2"/>
      <c r="D414" s="2"/>
      <c r="E414" s="2"/>
      <c r="F414" s="2"/>
      <c r="G414" s="2"/>
      <c r="H414" s="2"/>
      <c r="I414" s="2"/>
      <c r="J414" s="2"/>
      <c r="K414" s="2"/>
      <c r="L414" s="2"/>
      <c r="M414" s="2"/>
    </row>
    <row r="415" spans="1:13" x14ac:dyDescent="0.2">
      <c r="A415" s="2"/>
      <c r="B415" s="2"/>
      <c r="C415" s="2"/>
      <c r="D415" s="2"/>
      <c r="E415" s="2"/>
      <c r="F415" s="2"/>
      <c r="G415" s="2"/>
      <c r="H415" s="2"/>
      <c r="I415" s="2"/>
      <c r="J415" s="2"/>
      <c r="K415" s="2"/>
      <c r="L415" s="2"/>
      <c r="M415" s="2"/>
    </row>
    <row r="416" spans="1:13" x14ac:dyDescent="0.2">
      <c r="A416" s="2"/>
      <c r="B416" s="2"/>
      <c r="C416" s="2"/>
      <c r="D416" s="2"/>
      <c r="E416" s="2"/>
      <c r="F416" s="2"/>
      <c r="G416" s="2"/>
      <c r="H416" s="2"/>
      <c r="I416" s="2"/>
      <c r="J416" s="2"/>
      <c r="K416" s="2"/>
      <c r="L416" s="2"/>
      <c r="M416" s="2"/>
    </row>
    <row r="417" spans="1:13" x14ac:dyDescent="0.2">
      <c r="A417" s="2"/>
      <c r="B417" s="2"/>
      <c r="C417" s="2"/>
      <c r="D417" s="2"/>
      <c r="E417" s="2"/>
      <c r="F417" s="2"/>
      <c r="G417" s="2"/>
      <c r="H417" s="2"/>
      <c r="I417" s="2"/>
      <c r="J417" s="2"/>
      <c r="K417" s="2"/>
      <c r="L417" s="2"/>
      <c r="M417" s="2"/>
    </row>
    <row r="418" spans="1:13" x14ac:dyDescent="0.2">
      <c r="A418" s="2"/>
      <c r="B418" s="2"/>
      <c r="C418" s="2"/>
      <c r="D418" s="2"/>
      <c r="E418" s="2"/>
      <c r="F418" s="2"/>
      <c r="G418" s="2"/>
      <c r="H418" s="2"/>
      <c r="I418" s="2"/>
      <c r="J418" s="2"/>
      <c r="K418" s="2"/>
      <c r="L418" s="2"/>
      <c r="M418" s="2"/>
    </row>
    <row r="419" spans="1:13" x14ac:dyDescent="0.2">
      <c r="A419" s="2"/>
      <c r="B419" s="2"/>
      <c r="C419" s="2"/>
      <c r="D419" s="2"/>
      <c r="E419" s="2"/>
      <c r="F419" s="2"/>
      <c r="G419" s="2"/>
      <c r="H419" s="2"/>
      <c r="I419" s="2"/>
      <c r="J419" s="2"/>
      <c r="K419" s="2"/>
      <c r="L419" s="2"/>
      <c r="M419" s="2"/>
    </row>
    <row r="420" spans="1:13" x14ac:dyDescent="0.2">
      <c r="A420" s="2"/>
      <c r="B420" s="2"/>
      <c r="C420" s="2"/>
      <c r="D420" s="2"/>
      <c r="E420" s="2"/>
      <c r="F420" s="2"/>
      <c r="G420" s="2"/>
      <c r="H420" s="2"/>
      <c r="I420" s="2"/>
      <c r="J420" s="2"/>
      <c r="K420" s="2"/>
      <c r="L420" s="2"/>
      <c r="M420" s="2"/>
    </row>
    <row r="421" spans="1:13" x14ac:dyDescent="0.2">
      <c r="A421" s="2"/>
      <c r="B421" s="2"/>
      <c r="C421" s="2"/>
      <c r="D421" s="2"/>
      <c r="E421" s="2"/>
      <c r="F421" s="2"/>
      <c r="G421" s="2"/>
      <c r="H421" s="2"/>
      <c r="I421" s="2"/>
      <c r="J421" s="2"/>
      <c r="K421" s="2"/>
      <c r="L421" s="2"/>
      <c r="M421" s="2"/>
    </row>
    <row r="422" spans="1:13" x14ac:dyDescent="0.2">
      <c r="A422" s="2"/>
      <c r="B422" s="2"/>
      <c r="C422" s="2"/>
      <c r="D422" s="2"/>
      <c r="E422" s="2"/>
      <c r="F422" s="2"/>
      <c r="G422" s="2"/>
      <c r="H422" s="2"/>
      <c r="I422" s="2"/>
      <c r="J422" s="2"/>
      <c r="K422" s="2"/>
      <c r="L422" s="2"/>
      <c r="M422" s="2"/>
    </row>
    <row r="423" spans="1:13" x14ac:dyDescent="0.2">
      <c r="A423" s="2"/>
      <c r="B423" s="2"/>
      <c r="C423" s="2"/>
      <c r="D423" s="2"/>
      <c r="E423" s="2"/>
      <c r="F423" s="2"/>
      <c r="G423" s="2"/>
      <c r="H423" s="2"/>
      <c r="I423" s="2"/>
      <c r="J423" s="2"/>
      <c r="K423" s="2"/>
      <c r="L423" s="2"/>
      <c r="M423" s="2"/>
    </row>
    <row r="424" spans="1:13" x14ac:dyDescent="0.2">
      <c r="A424" s="2"/>
      <c r="B424" s="2"/>
      <c r="C424" s="2"/>
      <c r="D424" s="2"/>
      <c r="E424" s="2"/>
      <c r="F424" s="2"/>
      <c r="G424" s="2"/>
      <c r="H424" s="2"/>
      <c r="I424" s="2"/>
      <c r="J424" s="2"/>
      <c r="K424" s="2"/>
      <c r="L424" s="2"/>
      <c r="M424" s="2"/>
    </row>
    <row r="425" spans="1:13" x14ac:dyDescent="0.2">
      <c r="A425" s="2"/>
      <c r="B425" s="2"/>
      <c r="C425" s="2"/>
      <c r="D425" s="2"/>
      <c r="E425" s="2"/>
      <c r="F425" s="2"/>
      <c r="G425" s="2"/>
      <c r="H425" s="2"/>
      <c r="I425" s="2"/>
      <c r="J425" s="2"/>
      <c r="K425" s="2"/>
      <c r="L425" s="2"/>
      <c r="M425" s="2"/>
    </row>
    <row r="426" spans="1:13" x14ac:dyDescent="0.2">
      <c r="A426" s="2"/>
      <c r="B426" s="2"/>
      <c r="C426" s="2"/>
      <c r="D426" s="2"/>
      <c r="E426" s="2"/>
      <c r="F426" s="2"/>
      <c r="G426" s="2"/>
      <c r="H426" s="2"/>
      <c r="I426" s="2"/>
      <c r="J426" s="2"/>
      <c r="K426" s="2"/>
      <c r="L426" s="2"/>
      <c r="M426" s="2"/>
    </row>
    <row r="427" spans="1:13" x14ac:dyDescent="0.2">
      <c r="A427" s="2"/>
      <c r="B427" s="2"/>
      <c r="C427" s="2"/>
      <c r="D427" s="2"/>
      <c r="E427" s="2"/>
      <c r="F427" s="2"/>
      <c r="G427" s="2"/>
      <c r="H427" s="2"/>
      <c r="I427" s="2"/>
      <c r="J427" s="2"/>
      <c r="K427" s="2"/>
      <c r="L427" s="2"/>
      <c r="M427" s="2"/>
    </row>
    <row r="428" spans="1:13" x14ac:dyDescent="0.2">
      <c r="A428" s="2"/>
      <c r="B428" s="2"/>
      <c r="C428" s="2"/>
      <c r="D428" s="2"/>
      <c r="E428" s="2"/>
      <c r="F428" s="2"/>
      <c r="G428" s="2"/>
      <c r="H428" s="2"/>
      <c r="I428" s="2"/>
      <c r="J428" s="2"/>
      <c r="K428" s="2"/>
      <c r="L428" s="2"/>
      <c r="M428" s="2"/>
    </row>
    <row r="429" spans="1:13" x14ac:dyDescent="0.2">
      <c r="A429" s="2"/>
      <c r="B429" s="2"/>
      <c r="C429" s="2"/>
      <c r="D429" s="2"/>
      <c r="E429" s="2"/>
      <c r="F429" s="2"/>
      <c r="G429" s="2"/>
      <c r="H429" s="2"/>
      <c r="I429" s="2"/>
      <c r="J429" s="2"/>
      <c r="K429" s="2"/>
      <c r="L429" s="2"/>
      <c r="M429" s="2"/>
    </row>
    <row r="430" spans="1:13" x14ac:dyDescent="0.2">
      <c r="A430" s="2"/>
      <c r="B430" s="2"/>
      <c r="C430" s="2"/>
      <c r="D430" s="2"/>
      <c r="E430" s="2"/>
      <c r="F430" s="2"/>
      <c r="G430" s="2"/>
      <c r="H430" s="2"/>
      <c r="I430" s="2"/>
      <c r="J430" s="2"/>
      <c r="K430" s="2"/>
      <c r="L430" s="2"/>
      <c r="M430" s="2"/>
    </row>
    <row r="431" spans="1:13" x14ac:dyDescent="0.2">
      <c r="A431" s="2"/>
      <c r="B431" s="2"/>
      <c r="C431" s="2"/>
      <c r="D431" s="2"/>
      <c r="E431" s="2"/>
      <c r="F431" s="2"/>
      <c r="G431" s="2"/>
      <c r="H431" s="2"/>
      <c r="I431" s="2"/>
      <c r="J431" s="2"/>
      <c r="K431" s="2"/>
      <c r="L431" s="2"/>
      <c r="M431" s="2"/>
    </row>
    <row r="432" spans="1:13" x14ac:dyDescent="0.2">
      <c r="A432" s="2"/>
      <c r="B432" s="2"/>
      <c r="C432" s="2"/>
      <c r="D432" s="2"/>
      <c r="E432" s="2"/>
      <c r="F432" s="2"/>
      <c r="G432" s="2"/>
      <c r="H432" s="2"/>
      <c r="I432" s="2"/>
      <c r="J432" s="2"/>
      <c r="K432" s="2"/>
      <c r="L432" s="2"/>
      <c r="M432" s="2"/>
    </row>
    <row r="433" spans="1:13" x14ac:dyDescent="0.2">
      <c r="A433" s="2"/>
      <c r="B433" s="2"/>
      <c r="C433" s="2"/>
      <c r="D433" s="2"/>
      <c r="E433" s="2"/>
      <c r="F433" s="2"/>
      <c r="G433" s="2"/>
      <c r="H433" s="2"/>
      <c r="I433" s="2"/>
      <c r="J433" s="2"/>
      <c r="K433" s="2"/>
      <c r="L433" s="2"/>
      <c r="M433" s="2"/>
    </row>
    <row r="434" spans="1:13" x14ac:dyDescent="0.2">
      <c r="A434" s="2"/>
      <c r="B434" s="2"/>
      <c r="C434" s="2"/>
      <c r="D434" s="2"/>
      <c r="E434" s="2"/>
      <c r="F434" s="2"/>
      <c r="G434" s="2"/>
      <c r="H434" s="2"/>
      <c r="I434" s="2"/>
      <c r="J434" s="2"/>
      <c r="K434" s="2"/>
      <c r="L434" s="2"/>
      <c r="M434" s="2"/>
    </row>
    <row r="435" spans="1:13" x14ac:dyDescent="0.2">
      <c r="A435" s="2"/>
      <c r="B435" s="2"/>
      <c r="C435" s="2"/>
      <c r="D435" s="2"/>
      <c r="E435" s="2"/>
      <c r="F435" s="2"/>
      <c r="G435" s="2"/>
      <c r="H435" s="2"/>
      <c r="I435" s="2"/>
      <c r="J435" s="2"/>
      <c r="K435" s="2"/>
      <c r="L435" s="2"/>
      <c r="M435" s="2"/>
    </row>
    <row r="436" spans="1:13" x14ac:dyDescent="0.2">
      <c r="A436" s="2"/>
      <c r="B436" s="2"/>
      <c r="C436" s="2"/>
      <c r="D436" s="2"/>
      <c r="E436" s="2"/>
      <c r="F436" s="2"/>
      <c r="G436" s="2"/>
      <c r="H436" s="2"/>
      <c r="I436" s="2"/>
      <c r="J436" s="2"/>
      <c r="K436" s="2"/>
      <c r="L436" s="2"/>
      <c r="M436" s="2"/>
    </row>
    <row r="437" spans="1:13" x14ac:dyDescent="0.2">
      <c r="A437" s="2"/>
      <c r="B437" s="2"/>
      <c r="C437" s="2"/>
      <c r="D437" s="2"/>
      <c r="E437" s="2"/>
      <c r="F437" s="2"/>
      <c r="G437" s="2"/>
      <c r="H437" s="2"/>
      <c r="I437" s="2"/>
      <c r="J437" s="2"/>
      <c r="K437" s="2"/>
      <c r="L437" s="2"/>
      <c r="M437" s="2"/>
    </row>
    <row r="438" spans="1:13" x14ac:dyDescent="0.2">
      <c r="A438" s="2"/>
      <c r="B438" s="2"/>
      <c r="C438" s="2"/>
      <c r="D438" s="2"/>
      <c r="E438" s="2"/>
      <c r="F438" s="2"/>
      <c r="G438" s="2"/>
      <c r="H438" s="2"/>
      <c r="I438" s="2"/>
      <c r="J438" s="2"/>
      <c r="K438" s="2"/>
      <c r="L438" s="2"/>
      <c r="M438" s="2"/>
    </row>
    <row r="439" spans="1:13" x14ac:dyDescent="0.2">
      <c r="A439" s="2"/>
      <c r="B439" s="2"/>
      <c r="C439" s="2"/>
      <c r="D439" s="2"/>
      <c r="E439" s="2"/>
      <c r="F439" s="2"/>
      <c r="G439" s="2"/>
      <c r="H439" s="2"/>
      <c r="I439" s="2"/>
      <c r="J439" s="2"/>
      <c r="K439" s="2"/>
      <c r="L439" s="2"/>
      <c r="M439" s="2"/>
    </row>
    <row r="440" spans="1:13" x14ac:dyDescent="0.2">
      <c r="A440" s="2"/>
      <c r="B440" s="2"/>
      <c r="C440" s="2"/>
      <c r="D440" s="2"/>
      <c r="E440" s="2"/>
      <c r="F440" s="2"/>
      <c r="G440" s="2"/>
      <c r="H440" s="2"/>
      <c r="I440" s="2"/>
      <c r="J440" s="2"/>
      <c r="K440" s="2"/>
      <c r="L440" s="2"/>
      <c r="M440" s="2"/>
    </row>
    <row r="441" spans="1:13" x14ac:dyDescent="0.2">
      <c r="A441" s="2"/>
      <c r="B441" s="2"/>
      <c r="C441" s="2"/>
      <c r="D441" s="2"/>
      <c r="E441" s="2"/>
      <c r="F441" s="2"/>
      <c r="G441" s="2"/>
      <c r="H441" s="2"/>
      <c r="I441" s="2"/>
      <c r="J441" s="2"/>
      <c r="K441" s="2"/>
      <c r="L441" s="2"/>
      <c r="M441" s="2"/>
    </row>
    <row r="442" spans="1:13" x14ac:dyDescent="0.2">
      <c r="A442" s="2"/>
      <c r="B442" s="2"/>
      <c r="C442" s="2"/>
      <c r="D442" s="2"/>
      <c r="E442" s="2"/>
      <c r="F442" s="2"/>
      <c r="G442" s="2"/>
      <c r="H442" s="2"/>
      <c r="I442" s="2"/>
      <c r="J442" s="2"/>
      <c r="K442" s="2"/>
      <c r="L442" s="2"/>
      <c r="M442" s="2"/>
    </row>
    <row r="443" spans="1:13" x14ac:dyDescent="0.2">
      <c r="A443" s="2"/>
      <c r="B443" s="2"/>
      <c r="C443" s="2"/>
      <c r="D443" s="2"/>
      <c r="E443" s="2"/>
      <c r="F443" s="2"/>
      <c r="G443" s="2"/>
      <c r="H443" s="2"/>
      <c r="I443" s="2"/>
      <c r="J443" s="2"/>
      <c r="K443" s="2"/>
      <c r="L443" s="2"/>
      <c r="M443" s="2"/>
    </row>
    <row r="444" spans="1:13" x14ac:dyDescent="0.2">
      <c r="A444" s="2"/>
      <c r="B444" s="2"/>
      <c r="C444" s="2"/>
      <c r="D444" s="2"/>
      <c r="E444" s="2"/>
      <c r="F444" s="2"/>
      <c r="G444" s="2"/>
      <c r="H444" s="2"/>
      <c r="I444" s="2"/>
      <c r="J444" s="2"/>
      <c r="K444" s="2"/>
      <c r="L444" s="2"/>
      <c r="M444" s="2"/>
    </row>
    <row r="445" spans="1:13" x14ac:dyDescent="0.2">
      <c r="A445" s="2"/>
      <c r="B445" s="2"/>
      <c r="C445" s="2"/>
      <c r="D445" s="2"/>
      <c r="E445" s="2"/>
      <c r="F445" s="2"/>
      <c r="G445" s="2"/>
      <c r="H445" s="2"/>
      <c r="I445" s="2"/>
      <c r="J445" s="2"/>
      <c r="K445" s="2"/>
      <c r="L445" s="2"/>
      <c r="M445" s="2"/>
    </row>
    <row r="446" spans="1:13" x14ac:dyDescent="0.2">
      <c r="A446" s="2"/>
      <c r="B446" s="2"/>
      <c r="C446" s="2"/>
      <c r="D446" s="2"/>
      <c r="E446" s="2"/>
      <c r="F446" s="2"/>
      <c r="G446" s="2"/>
      <c r="H446" s="2"/>
      <c r="I446" s="2"/>
      <c r="J446" s="2"/>
      <c r="K446" s="2"/>
      <c r="L446" s="2"/>
      <c r="M446" s="2"/>
    </row>
    <row r="447" spans="1:13" x14ac:dyDescent="0.2">
      <c r="A447" s="2"/>
      <c r="B447" s="2"/>
      <c r="C447" s="2"/>
      <c r="D447" s="2"/>
      <c r="E447" s="2"/>
      <c r="F447" s="2"/>
      <c r="G447" s="2"/>
      <c r="H447" s="2"/>
      <c r="I447" s="2"/>
      <c r="J447" s="2"/>
      <c r="K447" s="2"/>
      <c r="L447" s="2"/>
      <c r="M447" s="2"/>
    </row>
    <row r="448" spans="1:13" x14ac:dyDescent="0.2">
      <c r="A448" s="2"/>
      <c r="B448" s="2"/>
      <c r="C448" s="2"/>
      <c r="D448" s="2"/>
      <c r="E448" s="2"/>
      <c r="F448" s="2"/>
      <c r="G448" s="2"/>
      <c r="H448" s="2"/>
      <c r="I448" s="2"/>
      <c r="J448" s="2"/>
      <c r="K448" s="2"/>
      <c r="L448" s="2"/>
      <c r="M448" s="2"/>
    </row>
    <row r="449" spans="1:13" x14ac:dyDescent="0.2">
      <c r="A449" s="2"/>
      <c r="B449" s="2"/>
      <c r="C449" s="2"/>
      <c r="D449" s="2"/>
      <c r="E449" s="2"/>
      <c r="F449" s="2"/>
      <c r="G449" s="2"/>
      <c r="H449" s="2"/>
      <c r="I449" s="2"/>
      <c r="J449" s="2"/>
      <c r="K449" s="2"/>
      <c r="L449" s="2"/>
      <c r="M449" s="2"/>
    </row>
    <row r="450" spans="1:13" x14ac:dyDescent="0.2">
      <c r="A450" s="2"/>
      <c r="B450" s="2"/>
      <c r="C450" s="2"/>
      <c r="D450" s="2"/>
      <c r="E450" s="2"/>
      <c r="F450" s="2"/>
      <c r="G450" s="2"/>
      <c r="H450" s="2"/>
      <c r="I450" s="2"/>
      <c r="J450" s="2"/>
      <c r="K450" s="2"/>
      <c r="L450" s="2"/>
      <c r="M450" s="2"/>
    </row>
    <row r="451" spans="1:13" x14ac:dyDescent="0.2">
      <c r="A451" s="2"/>
      <c r="B451" s="2"/>
      <c r="C451" s="2"/>
      <c r="D451" s="2"/>
      <c r="E451" s="2"/>
      <c r="F451" s="2"/>
      <c r="G451" s="2"/>
      <c r="H451" s="2"/>
      <c r="I451" s="2"/>
      <c r="J451" s="2"/>
      <c r="K451" s="2"/>
      <c r="L451" s="2"/>
      <c r="M451" s="2"/>
    </row>
    <row r="452" spans="1:13" x14ac:dyDescent="0.2">
      <c r="A452" s="2"/>
      <c r="B452" s="2"/>
      <c r="C452" s="2"/>
      <c r="D452" s="2"/>
      <c r="E452" s="2"/>
      <c r="F452" s="2"/>
      <c r="G452" s="2"/>
      <c r="H452" s="2"/>
      <c r="I452" s="2"/>
      <c r="J452" s="2"/>
      <c r="K452" s="2"/>
      <c r="L452" s="2"/>
      <c r="M452" s="2"/>
    </row>
    <row r="453" spans="1:13" x14ac:dyDescent="0.2">
      <c r="A453" s="2"/>
      <c r="B453" s="2"/>
      <c r="C453" s="2"/>
      <c r="D453" s="2"/>
      <c r="E453" s="2"/>
      <c r="F453" s="2"/>
      <c r="G453" s="2"/>
      <c r="H453" s="2"/>
      <c r="I453" s="2"/>
      <c r="J453" s="2"/>
      <c r="K453" s="2"/>
      <c r="L453" s="2"/>
      <c r="M453" s="2"/>
    </row>
    <row r="454" spans="1:13" x14ac:dyDescent="0.2">
      <c r="A454" s="2"/>
      <c r="B454" s="2"/>
      <c r="C454" s="2"/>
      <c r="D454" s="2"/>
      <c r="E454" s="2"/>
      <c r="F454" s="2"/>
      <c r="G454" s="2"/>
      <c r="H454" s="2"/>
      <c r="I454" s="2"/>
      <c r="J454" s="2"/>
      <c r="K454" s="2"/>
      <c r="L454" s="2"/>
      <c r="M454" s="2"/>
    </row>
    <row r="455" spans="1:13" x14ac:dyDescent="0.2">
      <c r="A455" s="2"/>
      <c r="B455" s="2"/>
      <c r="C455" s="2"/>
      <c r="D455" s="2"/>
      <c r="E455" s="2"/>
      <c r="F455" s="2"/>
      <c r="G455" s="2"/>
      <c r="H455" s="2"/>
      <c r="I455" s="2"/>
      <c r="J455" s="2"/>
      <c r="K455" s="2"/>
      <c r="L455" s="2"/>
      <c r="M455" s="2"/>
    </row>
    <row r="456" spans="1:13" x14ac:dyDescent="0.2">
      <c r="A456" s="2"/>
      <c r="B456" s="2"/>
      <c r="C456" s="2"/>
      <c r="D456" s="2"/>
      <c r="E456" s="2"/>
      <c r="F456" s="2"/>
      <c r="G456" s="2"/>
      <c r="H456" s="2"/>
      <c r="I456" s="2"/>
      <c r="J456" s="2"/>
      <c r="K456" s="2"/>
      <c r="L456" s="2"/>
      <c r="M456" s="2"/>
    </row>
    <row r="457" spans="1:13" x14ac:dyDescent="0.2">
      <c r="A457" s="2"/>
      <c r="B457" s="2"/>
      <c r="C457" s="2"/>
      <c r="D457" s="2"/>
      <c r="E457" s="2"/>
      <c r="F457" s="2"/>
      <c r="G457" s="2"/>
      <c r="H457" s="2"/>
      <c r="I457" s="2"/>
      <c r="J457" s="2"/>
      <c r="K457" s="2"/>
      <c r="L457" s="2"/>
      <c r="M457" s="2"/>
    </row>
    <row r="458" spans="1:13" x14ac:dyDescent="0.2">
      <c r="A458" s="2"/>
      <c r="B458" s="2"/>
      <c r="C458" s="2"/>
      <c r="D458" s="2"/>
      <c r="E458" s="2"/>
      <c r="F458" s="2"/>
      <c r="G458" s="2"/>
      <c r="H458" s="2"/>
      <c r="I458" s="2"/>
      <c r="J458" s="2"/>
      <c r="K458" s="2"/>
      <c r="L458" s="2"/>
      <c r="M458" s="2"/>
    </row>
    <row r="459" spans="1:13" x14ac:dyDescent="0.2">
      <c r="A459" s="2"/>
      <c r="B459" s="2"/>
      <c r="C459" s="2"/>
      <c r="D459" s="2"/>
      <c r="E459" s="2"/>
      <c r="F459" s="2"/>
      <c r="G459" s="2"/>
      <c r="H459" s="2"/>
      <c r="I459" s="2"/>
      <c r="J459" s="2"/>
      <c r="K459" s="2"/>
      <c r="L459" s="2"/>
      <c r="M459" s="2"/>
    </row>
    <row r="460" spans="1:13" x14ac:dyDescent="0.2">
      <c r="A460" s="2"/>
      <c r="B460" s="2"/>
      <c r="C460" s="2"/>
      <c r="D460" s="2"/>
      <c r="E460" s="2"/>
      <c r="F460" s="2"/>
      <c r="G460" s="2"/>
      <c r="H460" s="2"/>
      <c r="I460" s="2"/>
      <c r="J460" s="2"/>
      <c r="K460" s="2"/>
      <c r="L460" s="2"/>
      <c r="M460" s="2"/>
    </row>
    <row r="461" spans="1:13" x14ac:dyDescent="0.2">
      <c r="A461" s="2"/>
      <c r="B461" s="2"/>
      <c r="C461" s="2"/>
      <c r="D461" s="2"/>
      <c r="E461" s="2"/>
      <c r="F461" s="2"/>
      <c r="G461" s="2"/>
      <c r="H461" s="2"/>
      <c r="I461" s="2"/>
      <c r="J461" s="2"/>
      <c r="K461" s="2"/>
      <c r="L461" s="2"/>
      <c r="M461" s="2"/>
    </row>
    <row r="462" spans="1:13" x14ac:dyDescent="0.2">
      <c r="A462" s="2"/>
      <c r="B462" s="2"/>
      <c r="C462" s="2"/>
      <c r="D462" s="2"/>
      <c r="E462" s="2"/>
      <c r="F462" s="2"/>
      <c r="G462" s="2"/>
      <c r="H462" s="2"/>
      <c r="I462" s="2"/>
      <c r="J462" s="2"/>
      <c r="K462" s="2"/>
      <c r="L462" s="2"/>
      <c r="M462" s="2"/>
    </row>
    <row r="463" spans="1:13" x14ac:dyDescent="0.2">
      <c r="A463" s="2"/>
      <c r="B463" s="2"/>
      <c r="C463" s="2"/>
      <c r="D463" s="2"/>
      <c r="E463" s="2"/>
      <c r="F463" s="2"/>
      <c r="G463" s="2"/>
      <c r="H463" s="2"/>
      <c r="I463" s="2"/>
      <c r="J463" s="2"/>
      <c r="K463" s="2"/>
      <c r="L463" s="2"/>
      <c r="M463" s="2"/>
    </row>
    <row r="464" spans="1:13" x14ac:dyDescent="0.2">
      <c r="A464" s="2"/>
      <c r="B464" s="2"/>
      <c r="C464" s="2"/>
      <c r="D464" s="2"/>
      <c r="E464" s="2"/>
      <c r="F464" s="2"/>
      <c r="G464" s="2"/>
      <c r="H464" s="2"/>
      <c r="I464" s="2"/>
      <c r="J464" s="2"/>
      <c r="K464" s="2"/>
      <c r="L464" s="2"/>
      <c r="M464" s="2"/>
    </row>
    <row r="465" spans="1:13" x14ac:dyDescent="0.2">
      <c r="A465" s="2"/>
      <c r="B465" s="2"/>
      <c r="C465" s="2"/>
      <c r="D465" s="2"/>
      <c r="E465" s="2"/>
      <c r="F465" s="2"/>
      <c r="G465" s="2"/>
      <c r="H465" s="2"/>
      <c r="I465" s="2"/>
      <c r="J465" s="2"/>
      <c r="K465" s="2"/>
      <c r="L465" s="2"/>
      <c r="M465" s="2"/>
    </row>
    <row r="466" spans="1:13" x14ac:dyDescent="0.2">
      <c r="A466" s="2"/>
      <c r="B466" s="2"/>
      <c r="C466" s="2"/>
      <c r="D466" s="2"/>
      <c r="E466" s="2"/>
      <c r="F466" s="2"/>
      <c r="G466" s="2"/>
      <c r="H466" s="2"/>
      <c r="I466" s="2"/>
      <c r="J466" s="2"/>
      <c r="K466" s="2"/>
      <c r="L466" s="2"/>
      <c r="M466" s="2"/>
    </row>
    <row r="467" spans="1:13" x14ac:dyDescent="0.2">
      <c r="A467" s="2"/>
      <c r="B467" s="2"/>
      <c r="C467" s="2"/>
      <c r="D467" s="2"/>
      <c r="E467" s="2"/>
      <c r="F467" s="2"/>
      <c r="G467" s="2"/>
      <c r="H467" s="2"/>
      <c r="I467" s="2"/>
      <c r="J467" s="2"/>
      <c r="K467" s="2"/>
      <c r="L467" s="2"/>
      <c r="M467" s="2"/>
    </row>
    <row r="468" spans="1:13" x14ac:dyDescent="0.2">
      <c r="A468" s="2"/>
      <c r="B468" s="2"/>
      <c r="C468" s="2"/>
      <c r="D468" s="2"/>
      <c r="E468" s="2"/>
      <c r="F468" s="2"/>
      <c r="G468" s="2"/>
      <c r="H468" s="2"/>
      <c r="I468" s="2"/>
      <c r="J468" s="2"/>
      <c r="K468" s="2"/>
      <c r="L468" s="2"/>
      <c r="M468" s="2"/>
    </row>
    <row r="469" spans="1:13" x14ac:dyDescent="0.2">
      <c r="A469" s="2"/>
      <c r="B469" s="2"/>
      <c r="C469" s="2"/>
      <c r="D469" s="2"/>
      <c r="E469" s="2"/>
      <c r="F469" s="2"/>
      <c r="G469" s="2"/>
      <c r="H469" s="2"/>
      <c r="I469" s="2"/>
      <c r="J469" s="2"/>
      <c r="K469" s="2"/>
      <c r="L469" s="2"/>
      <c r="M469" s="2"/>
    </row>
    <row r="470" spans="1:13" x14ac:dyDescent="0.2">
      <c r="A470" s="2"/>
      <c r="B470" s="2"/>
      <c r="C470" s="2"/>
      <c r="D470" s="2"/>
      <c r="E470" s="2"/>
      <c r="F470" s="2"/>
      <c r="G470" s="2"/>
      <c r="H470" s="2"/>
      <c r="I470" s="2"/>
      <c r="J470" s="2"/>
      <c r="K470" s="2"/>
      <c r="L470" s="2"/>
      <c r="M470" s="2"/>
    </row>
    <row r="471" spans="1:13" x14ac:dyDescent="0.2">
      <c r="A471" s="2"/>
      <c r="B471" s="2"/>
      <c r="C471" s="2"/>
      <c r="D471" s="2"/>
      <c r="E471" s="2"/>
      <c r="F471" s="2"/>
      <c r="G471" s="2"/>
      <c r="H471" s="2"/>
      <c r="I471" s="2"/>
      <c r="J471" s="2"/>
      <c r="K471" s="2"/>
      <c r="L471" s="2"/>
      <c r="M471" s="2"/>
    </row>
    <row r="472" spans="1:13" x14ac:dyDescent="0.2">
      <c r="A472" s="2"/>
      <c r="B472" s="2"/>
      <c r="C472" s="2"/>
      <c r="D472" s="2"/>
      <c r="E472" s="2"/>
      <c r="F472" s="2"/>
      <c r="G472" s="2"/>
      <c r="H472" s="2"/>
      <c r="I472" s="2"/>
      <c r="J472" s="2"/>
      <c r="K472" s="2"/>
      <c r="L472" s="2"/>
      <c r="M472" s="2"/>
    </row>
    <row r="473" spans="1:13" x14ac:dyDescent="0.2">
      <c r="A473" s="2"/>
      <c r="B473" s="2"/>
      <c r="C473" s="2"/>
      <c r="D473" s="2"/>
      <c r="E473" s="2"/>
      <c r="F473" s="2"/>
      <c r="G473" s="2"/>
      <c r="H473" s="2"/>
      <c r="I473" s="2"/>
      <c r="J473" s="2"/>
      <c r="K473" s="2"/>
      <c r="L473" s="2"/>
      <c r="M473" s="2"/>
    </row>
    <row r="474" spans="1:13" x14ac:dyDescent="0.2">
      <c r="A474" s="2"/>
      <c r="B474" s="2"/>
      <c r="C474" s="2"/>
      <c r="D474" s="2"/>
      <c r="E474" s="2"/>
      <c r="F474" s="2"/>
      <c r="G474" s="2"/>
      <c r="H474" s="2"/>
      <c r="I474" s="2"/>
      <c r="J474" s="2"/>
      <c r="K474" s="2"/>
      <c r="L474" s="2"/>
      <c r="M474" s="2"/>
    </row>
    <row r="475" spans="1:13" x14ac:dyDescent="0.2">
      <c r="A475" s="2"/>
      <c r="B475" s="2"/>
      <c r="C475" s="2"/>
      <c r="D475" s="2"/>
      <c r="E475" s="2"/>
      <c r="F475" s="2"/>
      <c r="G475" s="2"/>
      <c r="H475" s="2"/>
      <c r="I475" s="2"/>
      <c r="J475" s="2"/>
      <c r="K475" s="2"/>
      <c r="L475" s="2"/>
      <c r="M475" s="2"/>
    </row>
    <row r="476" spans="1:13" x14ac:dyDescent="0.2">
      <c r="A476" s="2"/>
      <c r="B476" s="2"/>
      <c r="C476" s="2"/>
      <c r="D476" s="2"/>
      <c r="E476" s="2"/>
      <c r="F476" s="2"/>
      <c r="G476" s="2"/>
      <c r="H476" s="2"/>
      <c r="I476" s="2"/>
      <c r="J476" s="2"/>
      <c r="K476" s="2"/>
      <c r="L476" s="2"/>
      <c r="M476" s="2"/>
    </row>
    <row r="477" spans="1:13" x14ac:dyDescent="0.2">
      <c r="A477" s="2"/>
      <c r="B477" s="2"/>
      <c r="C477" s="2"/>
      <c r="D477" s="2"/>
      <c r="E477" s="2"/>
      <c r="F477" s="2"/>
      <c r="G477" s="2"/>
      <c r="H477" s="2"/>
      <c r="I477" s="2"/>
      <c r="J477" s="2"/>
      <c r="K477" s="2"/>
      <c r="L477" s="2"/>
      <c r="M477" s="2"/>
    </row>
    <row r="478" spans="1:13" x14ac:dyDescent="0.2">
      <c r="A478" s="2"/>
      <c r="B478" s="2"/>
      <c r="C478" s="2"/>
      <c r="D478" s="2"/>
      <c r="E478" s="2"/>
      <c r="F478" s="2"/>
      <c r="G478" s="2"/>
      <c r="H478" s="2"/>
      <c r="I478" s="2"/>
      <c r="J478" s="2"/>
      <c r="K478" s="2"/>
      <c r="L478" s="2"/>
      <c r="M478" s="2"/>
    </row>
    <row r="479" spans="1:13" x14ac:dyDescent="0.2">
      <c r="A479" s="2"/>
      <c r="B479" s="2"/>
      <c r="C479" s="2"/>
      <c r="D479" s="2"/>
      <c r="E479" s="2"/>
      <c r="F479" s="2"/>
      <c r="G479" s="2"/>
      <c r="H479" s="2"/>
      <c r="I479" s="2"/>
      <c r="J479" s="2"/>
      <c r="K479" s="2"/>
      <c r="L479" s="2"/>
      <c r="M479" s="2"/>
    </row>
    <row r="480" spans="1:13" x14ac:dyDescent="0.2">
      <c r="A480" s="2"/>
      <c r="B480" s="2"/>
      <c r="C480" s="2"/>
      <c r="D480" s="2"/>
      <c r="E480" s="2"/>
      <c r="F480" s="2"/>
      <c r="G480" s="2"/>
      <c r="H480" s="2"/>
      <c r="I480" s="2"/>
      <c r="J480" s="2"/>
      <c r="K480" s="2"/>
      <c r="L480" s="2"/>
      <c r="M480" s="2"/>
    </row>
    <row r="481" spans="1:13" x14ac:dyDescent="0.2">
      <c r="A481" s="2"/>
      <c r="B481" s="2"/>
      <c r="C481" s="2"/>
      <c r="D481" s="2"/>
      <c r="E481" s="2"/>
      <c r="F481" s="2"/>
      <c r="G481" s="2"/>
      <c r="H481" s="2"/>
      <c r="I481" s="2"/>
      <c r="J481" s="2"/>
      <c r="K481" s="2"/>
      <c r="L481" s="2"/>
      <c r="M481" s="2"/>
    </row>
    <row r="482" spans="1:13" x14ac:dyDescent="0.2">
      <c r="A482" s="2"/>
      <c r="B482" s="2"/>
      <c r="C482" s="2"/>
      <c r="D482" s="2"/>
      <c r="E482" s="2"/>
      <c r="F482" s="2"/>
      <c r="G482" s="2"/>
      <c r="H482" s="2"/>
      <c r="I482" s="2"/>
      <c r="J482" s="2"/>
      <c r="K482" s="2"/>
      <c r="L482" s="2"/>
      <c r="M482" s="2"/>
    </row>
    <row r="483" spans="1:13" x14ac:dyDescent="0.2">
      <c r="A483" s="2"/>
      <c r="B483" s="2"/>
      <c r="C483" s="2"/>
      <c r="D483" s="2"/>
      <c r="E483" s="2"/>
      <c r="F483" s="2"/>
      <c r="G483" s="2"/>
      <c r="H483" s="2"/>
      <c r="I483" s="2"/>
      <c r="J483" s="2"/>
      <c r="K483" s="2"/>
      <c r="L483" s="2"/>
      <c r="M483" s="2"/>
    </row>
    <row r="484" spans="1:13" x14ac:dyDescent="0.2">
      <c r="A484" s="2"/>
      <c r="B484" s="2"/>
      <c r="C484" s="2"/>
      <c r="D484" s="2"/>
      <c r="E484" s="2"/>
      <c r="F484" s="2"/>
      <c r="G484" s="2"/>
      <c r="H484" s="2"/>
      <c r="I484" s="2"/>
      <c r="J484" s="2"/>
      <c r="K484" s="2"/>
      <c r="L484" s="2"/>
      <c r="M484" s="2"/>
    </row>
    <row r="485" spans="1:13" x14ac:dyDescent="0.2">
      <c r="A485" s="2"/>
      <c r="B485" s="2"/>
      <c r="C485" s="2"/>
      <c r="D485" s="2"/>
      <c r="E485" s="2"/>
      <c r="F485" s="2"/>
      <c r="G485" s="2"/>
      <c r="H485" s="2"/>
      <c r="I485" s="2"/>
      <c r="J485" s="2"/>
      <c r="K485" s="2"/>
      <c r="L485" s="2"/>
      <c r="M485" s="2"/>
    </row>
    <row r="486" spans="1:13" x14ac:dyDescent="0.2">
      <c r="A486" s="2"/>
      <c r="B486" s="2"/>
      <c r="C486" s="2"/>
      <c r="D486" s="2"/>
      <c r="E486" s="2"/>
      <c r="F486" s="2"/>
      <c r="G486" s="2"/>
      <c r="H486" s="2"/>
      <c r="I486" s="2"/>
      <c r="J486" s="2"/>
      <c r="K486" s="2"/>
      <c r="L486" s="2"/>
      <c r="M486" s="2"/>
    </row>
    <row r="487" spans="1:13" x14ac:dyDescent="0.2">
      <c r="A487" s="2"/>
      <c r="B487" s="2"/>
      <c r="C487" s="2"/>
      <c r="D487" s="2"/>
      <c r="E487" s="2"/>
      <c r="F487" s="2"/>
      <c r="G487" s="2"/>
      <c r="H487" s="2"/>
      <c r="I487" s="2"/>
      <c r="J487" s="2"/>
      <c r="K487" s="2"/>
      <c r="L487" s="2"/>
      <c r="M487" s="2"/>
    </row>
    <row r="488" spans="1:13" x14ac:dyDescent="0.2">
      <c r="A488" s="2"/>
      <c r="B488" s="2"/>
      <c r="C488" s="2"/>
      <c r="D488" s="2"/>
      <c r="E488" s="2"/>
      <c r="F488" s="2"/>
      <c r="G488" s="2"/>
      <c r="H488" s="2"/>
      <c r="I488" s="2"/>
      <c r="J488" s="2"/>
      <c r="K488" s="2"/>
      <c r="L488" s="2"/>
      <c r="M488" s="2"/>
    </row>
    <row r="489" spans="1:13" x14ac:dyDescent="0.2">
      <c r="A489" s="2"/>
      <c r="B489" s="2"/>
      <c r="C489" s="2"/>
      <c r="D489" s="2"/>
      <c r="E489" s="2"/>
      <c r="F489" s="2"/>
      <c r="G489" s="2"/>
      <c r="H489" s="2"/>
      <c r="I489" s="2"/>
      <c r="J489" s="2"/>
      <c r="K489" s="2"/>
      <c r="L489" s="2"/>
      <c r="M489" s="2"/>
    </row>
    <row r="490" spans="1:13" x14ac:dyDescent="0.2">
      <c r="A490" s="2"/>
      <c r="B490" s="2"/>
      <c r="C490" s="2"/>
      <c r="D490" s="2"/>
      <c r="E490" s="2"/>
      <c r="F490" s="2"/>
      <c r="G490" s="2"/>
      <c r="H490" s="2"/>
      <c r="I490" s="2"/>
      <c r="J490" s="2"/>
      <c r="K490" s="2"/>
      <c r="L490" s="2"/>
      <c r="M490" s="2"/>
    </row>
    <row r="491" spans="1:13" x14ac:dyDescent="0.2">
      <c r="A491" s="2"/>
      <c r="B491" s="2"/>
      <c r="C491" s="2"/>
      <c r="D491" s="2"/>
      <c r="E491" s="2"/>
      <c r="F491" s="2"/>
      <c r="G491" s="2"/>
      <c r="H491" s="2"/>
      <c r="I491" s="2"/>
      <c r="J491" s="2"/>
      <c r="K491" s="2"/>
      <c r="L491" s="2"/>
      <c r="M491" s="2"/>
    </row>
    <row r="492" spans="1:13" x14ac:dyDescent="0.2">
      <c r="A492" s="2"/>
      <c r="B492" s="2"/>
      <c r="C492" s="2"/>
      <c r="D492" s="2"/>
      <c r="E492" s="2"/>
      <c r="F492" s="2"/>
      <c r="G492" s="2"/>
      <c r="H492" s="2"/>
      <c r="I492" s="2"/>
      <c r="J492" s="2"/>
      <c r="K492" s="2"/>
      <c r="L492" s="2"/>
      <c r="M492" s="2"/>
    </row>
    <row r="493" spans="1:13" x14ac:dyDescent="0.2">
      <c r="A493" s="2"/>
      <c r="B493" s="2"/>
      <c r="C493" s="2"/>
      <c r="D493" s="2"/>
      <c r="E493" s="2"/>
      <c r="F493" s="2"/>
      <c r="G493" s="2"/>
      <c r="H493" s="2"/>
      <c r="I493" s="2"/>
      <c r="J493" s="2"/>
      <c r="K493" s="2"/>
      <c r="L493" s="2"/>
      <c r="M493" s="2"/>
    </row>
    <row r="494" spans="1:13" x14ac:dyDescent="0.2">
      <c r="A494" s="2"/>
      <c r="B494" s="2"/>
      <c r="C494" s="2"/>
      <c r="D494" s="2"/>
      <c r="E494" s="2"/>
      <c r="F494" s="2"/>
      <c r="G494" s="2"/>
      <c r="H494" s="2"/>
      <c r="I494" s="2"/>
      <c r="J494" s="2"/>
      <c r="K494" s="2"/>
      <c r="L494" s="2"/>
      <c r="M494" s="2"/>
    </row>
    <row r="495" spans="1:13" x14ac:dyDescent="0.2">
      <c r="A495" s="2"/>
      <c r="B495" s="2"/>
      <c r="C495" s="2"/>
      <c r="D495" s="2"/>
      <c r="E495" s="2"/>
      <c r="F495" s="2"/>
      <c r="G495" s="2"/>
      <c r="H495" s="2"/>
      <c r="I495" s="2"/>
      <c r="J495" s="2"/>
      <c r="K495" s="2"/>
      <c r="L495" s="2"/>
      <c r="M495" s="2"/>
    </row>
    <row r="496" spans="1:13" x14ac:dyDescent="0.2">
      <c r="A496" s="2"/>
      <c r="B496" s="2"/>
      <c r="C496" s="2"/>
      <c r="D496" s="2"/>
      <c r="E496" s="2"/>
      <c r="F496" s="2"/>
      <c r="G496" s="2"/>
      <c r="H496" s="2"/>
      <c r="I496" s="2"/>
      <c r="J496" s="2"/>
      <c r="K496" s="2"/>
      <c r="L496" s="2"/>
      <c r="M496" s="2"/>
    </row>
    <row r="497" spans="1:13" x14ac:dyDescent="0.2">
      <c r="A497" s="2"/>
      <c r="B497" s="2"/>
      <c r="C497" s="2"/>
      <c r="D497" s="2"/>
      <c r="E497" s="2"/>
      <c r="F497" s="2"/>
      <c r="G497" s="2"/>
      <c r="H497" s="2"/>
      <c r="I497" s="2"/>
      <c r="J497" s="2"/>
      <c r="K497" s="2"/>
      <c r="L497" s="2"/>
      <c r="M497" s="2"/>
    </row>
    <row r="498" spans="1:13" x14ac:dyDescent="0.2">
      <c r="A498" s="2"/>
      <c r="B498" s="2"/>
      <c r="C498" s="2"/>
      <c r="D498" s="2"/>
      <c r="E498" s="2"/>
      <c r="F498" s="2"/>
      <c r="G498" s="2"/>
      <c r="H498" s="2"/>
      <c r="I498" s="2"/>
      <c r="J498" s="2"/>
      <c r="K498" s="2"/>
      <c r="L498" s="2"/>
      <c r="M498" s="2"/>
    </row>
    <row r="499" spans="1:13" x14ac:dyDescent="0.2">
      <c r="A499" s="2"/>
      <c r="B499" s="2"/>
      <c r="C499" s="2"/>
      <c r="D499" s="2"/>
      <c r="E499" s="2"/>
      <c r="F499" s="2"/>
      <c r="G499" s="2"/>
      <c r="H499" s="2"/>
      <c r="I499" s="2"/>
      <c r="J499" s="2"/>
      <c r="K499" s="2"/>
      <c r="L499" s="2"/>
      <c r="M499" s="2"/>
    </row>
    <row r="500" spans="1:13" x14ac:dyDescent="0.2">
      <c r="A500" s="2"/>
      <c r="B500" s="2"/>
      <c r="C500" s="2"/>
      <c r="D500" s="2"/>
      <c r="E500" s="2"/>
      <c r="F500" s="2"/>
      <c r="G500" s="2"/>
      <c r="H500" s="2"/>
      <c r="I500" s="2"/>
      <c r="J500" s="2"/>
      <c r="K500" s="2"/>
      <c r="L500" s="2"/>
      <c r="M500" s="2"/>
    </row>
    <row r="501" spans="1:13" x14ac:dyDescent="0.2">
      <c r="A501" s="2"/>
      <c r="B501" s="2"/>
      <c r="C501" s="2"/>
      <c r="D501" s="2"/>
      <c r="E501" s="2"/>
      <c r="F501" s="2"/>
      <c r="G501" s="2"/>
      <c r="H501" s="2"/>
      <c r="I501" s="2"/>
      <c r="J501" s="2"/>
      <c r="K501" s="2"/>
      <c r="L501" s="2"/>
      <c r="M501" s="2"/>
    </row>
    <row r="502" spans="1:13" x14ac:dyDescent="0.2">
      <c r="A502" s="2"/>
      <c r="B502" s="2"/>
      <c r="C502" s="2"/>
      <c r="D502" s="2"/>
      <c r="E502" s="2"/>
      <c r="F502" s="2"/>
      <c r="G502" s="2"/>
      <c r="H502" s="2"/>
      <c r="I502" s="2"/>
      <c r="J502" s="2"/>
      <c r="K502" s="2"/>
      <c r="L502" s="2"/>
      <c r="M502" s="2"/>
    </row>
    <row r="503" spans="1:13" x14ac:dyDescent="0.2">
      <c r="A503" s="2"/>
      <c r="B503" s="2"/>
      <c r="C503" s="2"/>
      <c r="D503" s="2"/>
      <c r="E503" s="2"/>
      <c r="F503" s="2"/>
      <c r="G503" s="2"/>
      <c r="H503" s="2"/>
      <c r="I503" s="2"/>
      <c r="J503" s="2"/>
      <c r="K503" s="2"/>
      <c r="L503" s="2"/>
      <c r="M503" s="2"/>
    </row>
    <row r="504" spans="1:13" x14ac:dyDescent="0.2">
      <c r="A504" s="2"/>
      <c r="B504" s="2"/>
      <c r="C504" s="2"/>
      <c r="D504" s="2"/>
      <c r="E504" s="2"/>
      <c r="F504" s="2"/>
      <c r="G504" s="2"/>
      <c r="H504" s="2"/>
      <c r="I504" s="2"/>
      <c r="J504" s="2"/>
      <c r="K504" s="2"/>
      <c r="L504" s="2"/>
      <c r="M504" s="2"/>
    </row>
    <row r="505" spans="1:13" x14ac:dyDescent="0.2">
      <c r="A505" s="2"/>
      <c r="B505" s="2"/>
      <c r="C505" s="2"/>
      <c r="D505" s="2"/>
      <c r="E505" s="2"/>
      <c r="F505" s="2"/>
      <c r="G505" s="2"/>
      <c r="H505" s="2"/>
      <c r="I505" s="2"/>
      <c r="J505" s="2"/>
      <c r="K505" s="2"/>
      <c r="L505" s="2"/>
      <c r="M505" s="2"/>
    </row>
    <row r="506" spans="1:13" x14ac:dyDescent="0.2">
      <c r="A506" s="2"/>
      <c r="B506" s="2"/>
      <c r="C506" s="2"/>
      <c r="D506" s="2"/>
      <c r="E506" s="2"/>
      <c r="F506" s="2"/>
      <c r="G506" s="2"/>
      <c r="H506" s="2"/>
      <c r="I506" s="2"/>
      <c r="J506" s="2"/>
      <c r="K506" s="2"/>
      <c r="L506" s="2"/>
      <c r="M506" s="2"/>
    </row>
    <row r="507" spans="1:13" x14ac:dyDescent="0.2">
      <c r="A507" s="2"/>
      <c r="B507" s="2"/>
      <c r="C507" s="2"/>
      <c r="D507" s="2"/>
      <c r="E507" s="2"/>
      <c r="F507" s="2"/>
      <c r="G507" s="2"/>
      <c r="H507" s="2"/>
      <c r="I507" s="2"/>
      <c r="J507" s="2"/>
      <c r="K507" s="2"/>
      <c r="L507" s="2"/>
      <c r="M507" s="2"/>
    </row>
    <row r="508" spans="1:13" x14ac:dyDescent="0.2">
      <c r="A508" s="2"/>
      <c r="B508" s="2"/>
      <c r="C508" s="2"/>
      <c r="D508" s="2"/>
      <c r="E508" s="2"/>
      <c r="F508" s="2"/>
      <c r="G508" s="2"/>
      <c r="H508" s="2"/>
      <c r="I508" s="2"/>
      <c r="J508" s="2"/>
      <c r="K508" s="2"/>
      <c r="L508" s="2"/>
      <c r="M508" s="2"/>
    </row>
    <row r="509" spans="1:13" x14ac:dyDescent="0.2">
      <c r="A509" s="2"/>
      <c r="B509" s="2"/>
      <c r="C509" s="2"/>
      <c r="D509" s="2"/>
      <c r="E509" s="2"/>
      <c r="F509" s="2"/>
      <c r="G509" s="2"/>
      <c r="H509" s="2"/>
      <c r="I509" s="2"/>
      <c r="J509" s="2"/>
      <c r="K509" s="2"/>
      <c r="L509" s="2"/>
      <c r="M509" s="2"/>
    </row>
    <row r="510" spans="1:13" x14ac:dyDescent="0.2">
      <c r="A510" s="2"/>
      <c r="B510" s="2"/>
      <c r="C510" s="2"/>
      <c r="D510" s="2"/>
      <c r="E510" s="2"/>
      <c r="F510" s="2"/>
      <c r="G510" s="2"/>
      <c r="H510" s="2"/>
      <c r="I510" s="2"/>
      <c r="J510" s="2"/>
      <c r="K510" s="2"/>
      <c r="L510" s="2"/>
      <c r="M510" s="2"/>
    </row>
    <row r="511" spans="1:13" x14ac:dyDescent="0.2">
      <c r="A511" s="2"/>
      <c r="B511" s="2"/>
      <c r="C511" s="2"/>
      <c r="D511" s="2"/>
      <c r="E511" s="2"/>
      <c r="F511" s="2"/>
      <c r="G511" s="2"/>
      <c r="H511" s="2"/>
      <c r="I511" s="2"/>
      <c r="J511" s="2"/>
      <c r="K511" s="2"/>
      <c r="L511" s="2"/>
      <c r="M511" s="2"/>
    </row>
    <row r="512" spans="1:13" x14ac:dyDescent="0.2">
      <c r="A512" s="2"/>
      <c r="B512" s="2"/>
      <c r="C512" s="2"/>
      <c r="D512" s="2"/>
      <c r="E512" s="2"/>
      <c r="F512" s="2"/>
      <c r="G512" s="2"/>
      <c r="H512" s="2"/>
      <c r="I512" s="2"/>
      <c r="J512" s="2"/>
      <c r="K512" s="2"/>
      <c r="L512" s="2"/>
      <c r="M512" s="2"/>
    </row>
    <row r="513" spans="1:13" x14ac:dyDescent="0.2">
      <c r="A513" s="2"/>
      <c r="B513" s="2"/>
      <c r="C513" s="2"/>
      <c r="D513" s="2"/>
      <c r="E513" s="2"/>
      <c r="F513" s="2"/>
      <c r="G513" s="2"/>
      <c r="H513" s="2"/>
      <c r="I513" s="2"/>
      <c r="J513" s="2"/>
      <c r="K513" s="2"/>
      <c r="L513" s="2"/>
      <c r="M513" s="2"/>
    </row>
    <row r="514" spans="1:13" x14ac:dyDescent="0.2">
      <c r="A514" s="2"/>
      <c r="B514" s="2"/>
      <c r="C514" s="2"/>
      <c r="D514" s="2"/>
      <c r="E514" s="2"/>
      <c r="F514" s="2"/>
      <c r="G514" s="2"/>
      <c r="H514" s="2"/>
      <c r="I514" s="2"/>
      <c r="J514" s="2"/>
      <c r="K514" s="2"/>
      <c r="L514" s="2"/>
      <c r="M514" s="2"/>
    </row>
    <row r="515" spans="1:13" x14ac:dyDescent="0.2">
      <c r="A515" s="2"/>
      <c r="B515" s="2"/>
      <c r="C515" s="2"/>
      <c r="D515" s="2"/>
      <c r="E515" s="2"/>
      <c r="F515" s="2"/>
      <c r="G515" s="2"/>
      <c r="H515" s="2"/>
      <c r="I515" s="2"/>
      <c r="J515" s="2"/>
      <c r="K515" s="2"/>
      <c r="L515" s="2"/>
      <c r="M515" s="2"/>
    </row>
    <row r="516" spans="1:13" x14ac:dyDescent="0.2">
      <c r="A516" s="2"/>
      <c r="B516" s="2"/>
      <c r="C516" s="2"/>
      <c r="D516" s="2"/>
      <c r="E516" s="2"/>
      <c r="F516" s="2"/>
      <c r="G516" s="2"/>
      <c r="H516" s="2"/>
      <c r="I516" s="2"/>
      <c r="J516" s="2"/>
      <c r="K516" s="2"/>
      <c r="L516" s="2"/>
      <c r="M516" s="2"/>
    </row>
    <row r="517" spans="1:13" x14ac:dyDescent="0.2">
      <c r="A517" s="2"/>
      <c r="B517" s="2"/>
      <c r="C517" s="2"/>
      <c r="D517" s="2"/>
      <c r="E517" s="2"/>
      <c r="F517" s="2"/>
      <c r="G517" s="2"/>
      <c r="H517" s="2"/>
      <c r="I517" s="2"/>
      <c r="J517" s="2"/>
      <c r="K517" s="2"/>
      <c r="L517" s="2"/>
      <c r="M517" s="2"/>
    </row>
    <row r="518" spans="1:13" x14ac:dyDescent="0.2">
      <c r="A518" s="2"/>
      <c r="B518" s="2"/>
      <c r="C518" s="2"/>
      <c r="D518" s="2"/>
      <c r="E518" s="2"/>
      <c r="F518" s="2"/>
      <c r="G518" s="2"/>
      <c r="H518" s="2"/>
      <c r="I518" s="2"/>
      <c r="J518" s="2"/>
      <c r="K518" s="2"/>
      <c r="L518" s="2"/>
      <c r="M518" s="2"/>
    </row>
    <row r="519" spans="1:13" x14ac:dyDescent="0.2">
      <c r="A519" s="2"/>
      <c r="B519" s="2"/>
      <c r="C519" s="2"/>
      <c r="D519" s="2"/>
      <c r="E519" s="2"/>
      <c r="F519" s="2"/>
      <c r="G519" s="2"/>
      <c r="H519" s="2"/>
      <c r="I519" s="2"/>
      <c r="J519" s="2"/>
      <c r="K519" s="2"/>
      <c r="L519" s="2"/>
      <c r="M519" s="2"/>
    </row>
    <row r="520" spans="1:13" x14ac:dyDescent="0.2">
      <c r="A520" s="2"/>
      <c r="B520" s="2"/>
      <c r="C520" s="2"/>
      <c r="D520" s="2"/>
      <c r="E520" s="2"/>
      <c r="F520" s="2"/>
      <c r="G520" s="2"/>
      <c r="H520" s="2"/>
      <c r="I520" s="2"/>
      <c r="J520" s="2"/>
      <c r="K520" s="2"/>
      <c r="L520" s="2"/>
      <c r="M520" s="2"/>
    </row>
    <row r="521" spans="1:13" x14ac:dyDescent="0.2">
      <c r="A521" s="2"/>
      <c r="B521" s="2"/>
      <c r="C521" s="2"/>
      <c r="D521" s="2"/>
      <c r="E521" s="2"/>
      <c r="F521" s="2"/>
      <c r="G521" s="2"/>
      <c r="H521" s="2"/>
      <c r="I521" s="2"/>
      <c r="J521" s="2"/>
      <c r="K521" s="2"/>
      <c r="L521" s="2"/>
      <c r="M521" s="2"/>
    </row>
    <row r="522" spans="1:13" x14ac:dyDescent="0.2">
      <c r="A522" s="2"/>
      <c r="B522" s="2"/>
      <c r="C522" s="2"/>
      <c r="D522" s="2"/>
      <c r="E522" s="2"/>
      <c r="F522" s="2"/>
      <c r="G522" s="2"/>
      <c r="H522" s="2"/>
      <c r="I522" s="2"/>
      <c r="J522" s="2"/>
      <c r="K522" s="2"/>
      <c r="L522" s="2"/>
      <c r="M522" s="2"/>
    </row>
    <row r="523" spans="1:13" x14ac:dyDescent="0.2">
      <c r="A523" s="2"/>
      <c r="B523" s="2"/>
      <c r="C523" s="2"/>
      <c r="D523" s="2"/>
      <c r="E523" s="2"/>
      <c r="F523" s="2"/>
      <c r="G523" s="2"/>
      <c r="H523" s="2"/>
      <c r="I523" s="2"/>
      <c r="J523" s="2"/>
      <c r="K523" s="2"/>
      <c r="L523" s="2"/>
      <c r="M523" s="2"/>
    </row>
    <row r="524" spans="1:13" x14ac:dyDescent="0.2">
      <c r="A524" s="2"/>
      <c r="B524" s="2"/>
      <c r="C524" s="2"/>
      <c r="D524" s="2"/>
      <c r="E524" s="2"/>
      <c r="F524" s="2"/>
      <c r="G524" s="2"/>
      <c r="H524" s="2"/>
      <c r="I524" s="2"/>
      <c r="J524" s="2"/>
      <c r="K524" s="2"/>
      <c r="L524" s="2"/>
      <c r="M524" s="2"/>
    </row>
    <row r="525" spans="1:13" x14ac:dyDescent="0.2">
      <c r="A525" s="2"/>
      <c r="B525" s="2"/>
      <c r="C525" s="2"/>
      <c r="D525" s="2"/>
      <c r="E525" s="2"/>
      <c r="F525" s="2"/>
      <c r="G525" s="2"/>
      <c r="H525" s="2"/>
      <c r="I525" s="2"/>
      <c r="J525" s="2"/>
      <c r="K525" s="2"/>
      <c r="L525" s="2"/>
      <c r="M525" s="2"/>
    </row>
    <row r="526" spans="1:13" x14ac:dyDescent="0.2">
      <c r="A526" s="2"/>
      <c r="B526" s="2"/>
      <c r="C526" s="2"/>
      <c r="D526" s="2"/>
      <c r="E526" s="2"/>
      <c r="F526" s="2"/>
      <c r="G526" s="2"/>
      <c r="H526" s="2"/>
      <c r="I526" s="2"/>
      <c r="J526" s="2"/>
      <c r="K526" s="2"/>
      <c r="L526" s="2"/>
      <c r="M526" s="2"/>
    </row>
    <row r="527" spans="1:13" x14ac:dyDescent="0.2">
      <c r="A527" s="2"/>
      <c r="B527" s="2"/>
      <c r="C527" s="2"/>
      <c r="D527" s="2"/>
      <c r="E527" s="2"/>
      <c r="F527" s="2"/>
      <c r="G527" s="2"/>
      <c r="H527" s="2"/>
      <c r="I527" s="2"/>
      <c r="J527" s="2"/>
      <c r="K527" s="2"/>
      <c r="L527" s="2"/>
      <c r="M527" s="2"/>
    </row>
    <row r="528" spans="1:13" x14ac:dyDescent="0.2">
      <c r="A528" s="2"/>
      <c r="B528" s="2"/>
      <c r="C528" s="2"/>
      <c r="D528" s="2"/>
      <c r="E528" s="2"/>
      <c r="F528" s="2"/>
      <c r="G528" s="2"/>
      <c r="H528" s="2"/>
      <c r="I528" s="2"/>
      <c r="J528" s="2"/>
      <c r="K528" s="2"/>
      <c r="L528" s="2"/>
      <c r="M528" s="2"/>
    </row>
    <row r="529" spans="1:13" x14ac:dyDescent="0.2">
      <c r="A529" s="2"/>
      <c r="B529" s="2"/>
      <c r="C529" s="2"/>
      <c r="D529" s="2"/>
      <c r="E529" s="2"/>
      <c r="F529" s="2"/>
      <c r="G529" s="2"/>
      <c r="H529" s="2"/>
      <c r="I529" s="2"/>
      <c r="J529" s="2"/>
      <c r="K529" s="2"/>
      <c r="L529" s="2"/>
      <c r="M529" s="2"/>
    </row>
    <row r="530" spans="1:13" x14ac:dyDescent="0.2">
      <c r="A530" s="2"/>
      <c r="B530" s="2"/>
      <c r="C530" s="2"/>
      <c r="D530" s="2"/>
      <c r="E530" s="2"/>
      <c r="F530" s="2"/>
      <c r="G530" s="2"/>
      <c r="H530" s="2"/>
      <c r="I530" s="2"/>
      <c r="J530" s="2"/>
      <c r="K530" s="2"/>
      <c r="L530" s="2"/>
      <c r="M530" s="2"/>
    </row>
    <row r="531" spans="1:13" x14ac:dyDescent="0.2">
      <c r="A531" s="2"/>
      <c r="B531" s="2"/>
      <c r="C531" s="2"/>
      <c r="D531" s="2"/>
      <c r="E531" s="2"/>
      <c r="F531" s="2"/>
      <c r="G531" s="2"/>
      <c r="H531" s="2"/>
      <c r="I531" s="2"/>
      <c r="J531" s="2"/>
      <c r="K531" s="2"/>
      <c r="L531" s="2"/>
      <c r="M531" s="2"/>
    </row>
    <row r="532" spans="1:13" x14ac:dyDescent="0.2">
      <c r="A532" s="2"/>
      <c r="B532" s="2"/>
      <c r="C532" s="2"/>
      <c r="D532" s="2"/>
      <c r="E532" s="2"/>
      <c r="F532" s="2"/>
      <c r="G532" s="2"/>
      <c r="H532" s="2"/>
      <c r="I532" s="2"/>
      <c r="J532" s="2"/>
      <c r="K532" s="2"/>
      <c r="L532" s="2"/>
      <c r="M532" s="2"/>
    </row>
    <row r="533" spans="1:13" x14ac:dyDescent="0.2">
      <c r="A533" s="2"/>
      <c r="B533" s="2"/>
      <c r="C533" s="2"/>
      <c r="D533" s="2"/>
      <c r="E533" s="2"/>
      <c r="F533" s="2"/>
      <c r="G533" s="2"/>
      <c r="H533" s="2"/>
      <c r="I533" s="2"/>
      <c r="J533" s="2"/>
      <c r="K533" s="2"/>
      <c r="L533" s="2"/>
      <c r="M533" s="2"/>
    </row>
    <row r="534" spans="1:13" x14ac:dyDescent="0.2">
      <c r="A534" s="2"/>
      <c r="B534" s="2"/>
      <c r="C534" s="2"/>
      <c r="D534" s="2"/>
      <c r="E534" s="2"/>
      <c r="F534" s="2"/>
      <c r="G534" s="2"/>
      <c r="H534" s="2"/>
      <c r="I534" s="2"/>
      <c r="J534" s="2"/>
      <c r="K534" s="2"/>
      <c r="L534" s="2"/>
      <c r="M534" s="2"/>
    </row>
    <row r="535" spans="1:13" x14ac:dyDescent="0.2">
      <c r="A535" s="2"/>
      <c r="B535" s="2"/>
      <c r="C535" s="2"/>
      <c r="D535" s="2"/>
      <c r="E535" s="2"/>
      <c r="F535" s="2"/>
      <c r="G535" s="2"/>
      <c r="H535" s="2"/>
      <c r="I535" s="2"/>
      <c r="J535" s="2"/>
      <c r="K535" s="2"/>
      <c r="L535" s="2"/>
      <c r="M535" s="2"/>
    </row>
    <row r="536" spans="1:13" x14ac:dyDescent="0.2">
      <c r="A536" s="2"/>
      <c r="B536" s="2"/>
      <c r="C536" s="2"/>
      <c r="D536" s="2"/>
      <c r="E536" s="2"/>
      <c r="F536" s="2"/>
      <c r="G536" s="2"/>
      <c r="H536" s="2"/>
      <c r="I536" s="2"/>
      <c r="J536" s="2"/>
      <c r="K536" s="2"/>
      <c r="L536" s="2"/>
      <c r="M536" s="2"/>
    </row>
    <row r="537" spans="1:13" x14ac:dyDescent="0.2">
      <c r="A537" s="2"/>
      <c r="B537" s="2"/>
      <c r="C537" s="2"/>
      <c r="D537" s="2"/>
      <c r="E537" s="2"/>
      <c r="F537" s="2"/>
      <c r="G537" s="2"/>
      <c r="H537" s="2"/>
      <c r="I537" s="2"/>
      <c r="J537" s="2"/>
      <c r="K537" s="2"/>
      <c r="L537" s="2"/>
      <c r="M537" s="2"/>
    </row>
    <row r="538" spans="1:13" x14ac:dyDescent="0.2">
      <c r="A538" s="2"/>
      <c r="B538" s="2"/>
      <c r="C538" s="2"/>
      <c r="D538" s="2"/>
      <c r="E538" s="2"/>
      <c r="F538" s="2"/>
      <c r="G538" s="2"/>
      <c r="H538" s="2"/>
      <c r="I538" s="2"/>
      <c r="J538" s="2"/>
      <c r="K538" s="2"/>
      <c r="L538" s="2"/>
      <c r="M538" s="2"/>
    </row>
    <row r="539" spans="1:13" x14ac:dyDescent="0.2">
      <c r="A539" s="2"/>
      <c r="B539" s="2"/>
      <c r="C539" s="2"/>
      <c r="D539" s="2"/>
      <c r="E539" s="2"/>
      <c r="F539" s="2"/>
      <c r="G539" s="2"/>
      <c r="H539" s="2"/>
      <c r="I539" s="2"/>
      <c r="J539" s="2"/>
      <c r="K539" s="2"/>
      <c r="L539" s="2"/>
      <c r="M539" s="2"/>
    </row>
    <row r="540" spans="1:13" x14ac:dyDescent="0.2">
      <c r="A540" s="2"/>
      <c r="B540" s="2"/>
      <c r="C540" s="2"/>
      <c r="D540" s="2"/>
      <c r="E540" s="2"/>
      <c r="F540" s="2"/>
      <c r="G540" s="2"/>
      <c r="H540" s="2"/>
      <c r="I540" s="2"/>
      <c r="J540" s="2"/>
      <c r="K540" s="2"/>
      <c r="L540" s="2"/>
      <c r="M540" s="2"/>
    </row>
    <row r="541" spans="1:13" x14ac:dyDescent="0.2">
      <c r="A541" s="2"/>
      <c r="B541" s="2"/>
      <c r="C541" s="2"/>
      <c r="D541" s="2"/>
      <c r="E541" s="2"/>
      <c r="F541" s="2"/>
      <c r="G541" s="2"/>
      <c r="H541" s="2"/>
      <c r="I541" s="2"/>
      <c r="J541" s="2"/>
      <c r="K541" s="2"/>
      <c r="L541" s="2"/>
      <c r="M541" s="2"/>
    </row>
    <row r="542" spans="1:13" x14ac:dyDescent="0.2">
      <c r="A542" s="2"/>
      <c r="B542" s="2"/>
      <c r="C542" s="2"/>
      <c r="D542" s="2"/>
      <c r="E542" s="2"/>
      <c r="F542" s="2"/>
      <c r="G542" s="2"/>
      <c r="H542" s="2"/>
      <c r="I542" s="2"/>
      <c r="J542" s="2"/>
      <c r="K542" s="2"/>
      <c r="L542" s="2"/>
      <c r="M542" s="2"/>
    </row>
    <row r="543" spans="1:13" x14ac:dyDescent="0.2">
      <c r="A543" s="2"/>
      <c r="B543" s="2"/>
      <c r="C543" s="2"/>
      <c r="D543" s="2"/>
      <c r="E543" s="2"/>
      <c r="F543" s="2"/>
      <c r="G543" s="2"/>
      <c r="H543" s="2"/>
      <c r="I543" s="2"/>
      <c r="J543" s="2"/>
      <c r="K543" s="2"/>
      <c r="L543" s="2"/>
      <c r="M543" s="2"/>
    </row>
    <row r="544" spans="1:13" x14ac:dyDescent="0.2">
      <c r="A544" s="2"/>
      <c r="B544" s="2"/>
      <c r="C544" s="2"/>
      <c r="D544" s="2"/>
      <c r="E544" s="2"/>
      <c r="F544" s="2"/>
      <c r="G544" s="2"/>
      <c r="H544" s="2"/>
      <c r="I544" s="2"/>
      <c r="J544" s="2"/>
      <c r="K544" s="2"/>
      <c r="L544" s="2"/>
      <c r="M544" s="2"/>
    </row>
    <row r="545" spans="1:13" x14ac:dyDescent="0.2">
      <c r="A545" s="2"/>
      <c r="B545" s="2"/>
      <c r="C545" s="2"/>
      <c r="D545" s="2"/>
      <c r="E545" s="2"/>
      <c r="F545" s="2"/>
      <c r="G545" s="2"/>
      <c r="H545" s="2"/>
      <c r="I545" s="2"/>
      <c r="J545" s="2"/>
      <c r="K545" s="2"/>
      <c r="L545" s="2"/>
      <c r="M545" s="2"/>
    </row>
    <row r="546" spans="1:13" x14ac:dyDescent="0.2">
      <c r="A546" s="2"/>
      <c r="B546" s="2"/>
      <c r="C546" s="2"/>
      <c r="D546" s="2"/>
      <c r="E546" s="2"/>
      <c r="F546" s="2"/>
      <c r="G546" s="2"/>
      <c r="H546" s="2"/>
      <c r="I546" s="2"/>
      <c r="J546" s="2"/>
      <c r="K546" s="2"/>
      <c r="L546" s="2"/>
      <c r="M546" s="2"/>
    </row>
    <row r="547" spans="1:13" x14ac:dyDescent="0.2">
      <c r="A547" s="2"/>
      <c r="B547" s="2"/>
      <c r="C547" s="2"/>
      <c r="D547" s="2"/>
      <c r="E547" s="2"/>
      <c r="F547" s="2"/>
      <c r="G547" s="2"/>
      <c r="H547" s="2"/>
      <c r="I547" s="2"/>
      <c r="J547" s="2"/>
      <c r="K547" s="2"/>
      <c r="L547" s="2"/>
      <c r="M547" s="2"/>
    </row>
    <row r="548" spans="1:13" x14ac:dyDescent="0.2">
      <c r="A548" s="2"/>
      <c r="B548" s="2"/>
      <c r="C548" s="2"/>
      <c r="D548" s="2"/>
      <c r="E548" s="2"/>
      <c r="F548" s="2"/>
      <c r="G548" s="2"/>
      <c r="H548" s="2"/>
      <c r="I548" s="2"/>
      <c r="J548" s="2"/>
      <c r="K548" s="2"/>
      <c r="L548" s="2"/>
      <c r="M548" s="2"/>
    </row>
    <row r="549" spans="1:13" x14ac:dyDescent="0.2">
      <c r="A549" s="2"/>
      <c r="B549" s="2"/>
      <c r="C549" s="2"/>
      <c r="D549" s="2"/>
      <c r="E549" s="2"/>
      <c r="F549" s="2"/>
      <c r="G549" s="2"/>
      <c r="H549" s="2"/>
      <c r="I549" s="2"/>
      <c r="J549" s="2"/>
      <c r="K549" s="2"/>
      <c r="L549" s="2"/>
      <c r="M549" s="2"/>
    </row>
    <row r="550" spans="1:13" x14ac:dyDescent="0.2">
      <c r="A550" s="2"/>
      <c r="B550" s="2"/>
      <c r="C550" s="2"/>
      <c r="D550" s="2"/>
      <c r="E550" s="2"/>
      <c r="F550" s="2"/>
      <c r="G550" s="2"/>
      <c r="H550" s="2"/>
      <c r="I550" s="2"/>
      <c r="J550" s="2"/>
      <c r="K550" s="2"/>
      <c r="L550" s="2"/>
      <c r="M550" s="2"/>
    </row>
    <row r="551" spans="1:13" x14ac:dyDescent="0.2">
      <c r="A551" s="2"/>
      <c r="B551" s="2"/>
      <c r="C551" s="2"/>
      <c r="D551" s="2"/>
      <c r="E551" s="2"/>
      <c r="F551" s="2"/>
      <c r="G551" s="2"/>
      <c r="H551" s="2"/>
      <c r="I551" s="2"/>
      <c r="J551" s="2"/>
      <c r="K551" s="2"/>
      <c r="L551" s="2"/>
      <c r="M551" s="2"/>
    </row>
    <row r="552" spans="1:13" x14ac:dyDescent="0.2">
      <c r="A552" s="2"/>
      <c r="B552" s="2"/>
      <c r="C552" s="2"/>
      <c r="D552" s="2"/>
      <c r="E552" s="2"/>
      <c r="F552" s="2"/>
      <c r="G552" s="2"/>
      <c r="H552" s="2"/>
      <c r="I552" s="2"/>
      <c r="J552" s="2"/>
      <c r="K552" s="2"/>
      <c r="L552" s="2"/>
      <c r="M552" s="2"/>
    </row>
    <row r="553" spans="1:13" x14ac:dyDescent="0.2">
      <c r="A553" s="2"/>
      <c r="B553" s="2"/>
      <c r="C553" s="2"/>
      <c r="D553" s="2"/>
      <c r="E553" s="2"/>
      <c r="F553" s="2"/>
      <c r="G553" s="2"/>
      <c r="H553" s="2"/>
      <c r="I553" s="2"/>
      <c r="J553" s="2"/>
      <c r="K553" s="2"/>
      <c r="L553" s="2"/>
      <c r="M553" s="2"/>
    </row>
    <row r="554" spans="1:13" x14ac:dyDescent="0.2">
      <c r="A554" s="2"/>
      <c r="B554" s="2"/>
      <c r="C554" s="2"/>
      <c r="D554" s="2"/>
      <c r="E554" s="2"/>
      <c r="F554" s="2"/>
      <c r="G554" s="2"/>
      <c r="H554" s="2"/>
      <c r="I554" s="2"/>
      <c r="J554" s="2"/>
      <c r="K554" s="2"/>
      <c r="L554" s="2"/>
      <c r="M554" s="2"/>
    </row>
    <row r="555" spans="1:13" x14ac:dyDescent="0.2">
      <c r="A555" s="2"/>
      <c r="B555" s="2"/>
      <c r="C555" s="2"/>
      <c r="D555" s="2"/>
      <c r="E555" s="2"/>
      <c r="F555" s="2"/>
      <c r="G555" s="2"/>
      <c r="H555" s="2"/>
      <c r="I555" s="2"/>
      <c r="J555" s="2"/>
      <c r="K555" s="2"/>
      <c r="L555" s="2"/>
      <c r="M555" s="2"/>
    </row>
    <row r="556" spans="1:13" x14ac:dyDescent="0.2">
      <c r="A556" s="2"/>
      <c r="B556" s="2"/>
      <c r="C556" s="2"/>
      <c r="D556" s="2"/>
      <c r="E556" s="2"/>
      <c r="F556" s="2"/>
      <c r="G556" s="2"/>
      <c r="H556" s="2"/>
      <c r="I556" s="2"/>
      <c r="J556" s="2"/>
      <c r="K556" s="2"/>
      <c r="L556" s="2"/>
      <c r="M556" s="2"/>
    </row>
    <row r="557" spans="1:13" x14ac:dyDescent="0.2">
      <c r="A557" s="2"/>
      <c r="B557" s="2"/>
      <c r="C557" s="2"/>
      <c r="D557" s="2"/>
      <c r="E557" s="2"/>
      <c r="F557" s="2"/>
      <c r="G557" s="2"/>
      <c r="H557" s="2"/>
      <c r="I557" s="2"/>
      <c r="J557" s="2"/>
      <c r="K557" s="2"/>
      <c r="L557" s="2"/>
      <c r="M557" s="2"/>
    </row>
    <row r="558" spans="1:13" x14ac:dyDescent="0.2">
      <c r="A558" s="2"/>
      <c r="B558" s="2"/>
      <c r="C558" s="2"/>
      <c r="D558" s="2"/>
      <c r="E558" s="2"/>
      <c r="F558" s="2"/>
      <c r="G558" s="2"/>
      <c r="H558" s="2"/>
      <c r="I558" s="2"/>
      <c r="J558" s="2"/>
      <c r="K558" s="2"/>
      <c r="L558" s="2"/>
      <c r="M558" s="2"/>
    </row>
    <row r="559" spans="1:13" x14ac:dyDescent="0.2">
      <c r="A559" s="2"/>
      <c r="B559" s="2"/>
      <c r="C559" s="2"/>
      <c r="D559" s="2"/>
      <c r="E559" s="2"/>
      <c r="F559" s="2"/>
      <c r="G559" s="2"/>
      <c r="H559" s="2"/>
      <c r="I559" s="2"/>
      <c r="J559" s="2"/>
      <c r="K559" s="2"/>
      <c r="L559" s="2"/>
      <c r="M559" s="2"/>
    </row>
    <row r="560" spans="1:13" x14ac:dyDescent="0.2">
      <c r="A560" s="2"/>
      <c r="B560" s="2"/>
      <c r="C560" s="2"/>
      <c r="D560" s="2"/>
      <c r="E560" s="2"/>
      <c r="F560" s="2"/>
      <c r="G560" s="2"/>
      <c r="H560" s="2"/>
      <c r="I560" s="2"/>
      <c r="J560" s="2"/>
      <c r="K560" s="2"/>
      <c r="L560" s="2"/>
      <c r="M560" s="2"/>
    </row>
    <row r="561" spans="1:13" x14ac:dyDescent="0.2">
      <c r="A561" s="2"/>
      <c r="B561" s="2"/>
      <c r="C561" s="2"/>
      <c r="D561" s="2"/>
      <c r="E561" s="2"/>
      <c r="F561" s="2"/>
      <c r="G561" s="2"/>
      <c r="H561" s="2"/>
      <c r="I561" s="2"/>
      <c r="J561" s="2"/>
      <c r="K561" s="2"/>
      <c r="L561" s="2"/>
      <c r="M561" s="2"/>
    </row>
    <row r="562" spans="1:13" x14ac:dyDescent="0.2">
      <c r="A562" s="2"/>
      <c r="B562" s="2"/>
      <c r="C562" s="2"/>
      <c r="D562" s="2"/>
      <c r="E562" s="2"/>
      <c r="F562" s="2"/>
      <c r="G562" s="2"/>
      <c r="H562" s="2"/>
      <c r="I562" s="2"/>
      <c r="J562" s="2"/>
      <c r="K562" s="2"/>
      <c r="L562" s="2"/>
      <c r="M562" s="2"/>
    </row>
    <row r="563" spans="1:13" x14ac:dyDescent="0.2">
      <c r="A563" s="2"/>
      <c r="B563" s="2"/>
      <c r="C563" s="2"/>
      <c r="D563" s="2"/>
      <c r="E563" s="2"/>
      <c r="F563" s="2"/>
      <c r="G563" s="2"/>
      <c r="H563" s="2"/>
      <c r="I563" s="2"/>
      <c r="J563" s="2"/>
      <c r="K563" s="2"/>
      <c r="L563" s="2"/>
      <c r="M563" s="2"/>
    </row>
    <row r="564" spans="1:13" x14ac:dyDescent="0.2">
      <c r="A564" s="2"/>
      <c r="B564" s="2"/>
      <c r="C564" s="2"/>
      <c r="D564" s="2"/>
      <c r="E564" s="2"/>
      <c r="F564" s="2"/>
      <c r="G564" s="2"/>
      <c r="H564" s="2"/>
      <c r="I564" s="2"/>
      <c r="J564" s="2"/>
      <c r="K564" s="2"/>
      <c r="L564" s="2"/>
      <c r="M564" s="2"/>
    </row>
    <row r="565" spans="1:13" x14ac:dyDescent="0.2">
      <c r="A565" s="2"/>
      <c r="B565" s="2"/>
      <c r="C565" s="2"/>
      <c r="D565" s="2"/>
      <c r="E565" s="2"/>
      <c r="F565" s="2"/>
      <c r="G565" s="2"/>
      <c r="H565" s="2"/>
      <c r="I565" s="2"/>
      <c r="J565" s="2"/>
      <c r="K565" s="2"/>
      <c r="L565" s="2"/>
      <c r="M565" s="2"/>
    </row>
    <row r="566" spans="1:13" x14ac:dyDescent="0.2">
      <c r="A566" s="2"/>
      <c r="B566" s="2"/>
      <c r="C566" s="2"/>
      <c r="D566" s="2"/>
      <c r="E566" s="2"/>
      <c r="F566" s="2"/>
      <c r="G566" s="2"/>
      <c r="H566" s="2"/>
      <c r="I566" s="2"/>
      <c r="J566" s="2"/>
      <c r="K566" s="2"/>
      <c r="L566" s="2"/>
      <c r="M566" s="2"/>
    </row>
    <row r="567" spans="1:13" x14ac:dyDescent="0.2">
      <c r="A567" s="2"/>
      <c r="B567" s="2"/>
      <c r="C567" s="2"/>
      <c r="D567" s="2"/>
      <c r="E567" s="2"/>
      <c r="F567" s="2"/>
      <c r="G567" s="2"/>
      <c r="H567" s="2"/>
      <c r="I567" s="2"/>
      <c r="J567" s="2"/>
      <c r="K567" s="2"/>
      <c r="L567" s="2"/>
      <c r="M567" s="2"/>
    </row>
    <row r="568" spans="1:13" x14ac:dyDescent="0.2">
      <c r="A568" s="2"/>
      <c r="B568" s="2"/>
      <c r="C568" s="2"/>
      <c r="D568" s="2"/>
      <c r="E568" s="2"/>
      <c r="F568" s="2"/>
      <c r="G568" s="2"/>
      <c r="H568" s="2"/>
      <c r="I568" s="2"/>
      <c r="J568" s="2"/>
      <c r="K568" s="2"/>
      <c r="L568" s="2"/>
      <c r="M568" s="2"/>
    </row>
    <row r="569" spans="1:13" x14ac:dyDescent="0.2">
      <c r="A569" s="2"/>
      <c r="B569" s="2"/>
      <c r="C569" s="2"/>
      <c r="D569" s="2"/>
      <c r="E569" s="2"/>
      <c r="F569" s="2"/>
      <c r="G569" s="2"/>
      <c r="H569" s="2"/>
      <c r="I569" s="2"/>
      <c r="J569" s="2"/>
      <c r="K569" s="2"/>
      <c r="L569" s="2"/>
      <c r="M569" s="2"/>
    </row>
    <row r="570" spans="1:13" x14ac:dyDescent="0.2">
      <c r="A570" s="2"/>
      <c r="B570" s="2"/>
      <c r="C570" s="2"/>
      <c r="D570" s="2"/>
      <c r="E570" s="2"/>
      <c r="F570" s="2"/>
      <c r="G570" s="2"/>
      <c r="H570" s="2"/>
      <c r="I570" s="2"/>
      <c r="J570" s="2"/>
      <c r="K570" s="2"/>
      <c r="L570" s="2"/>
      <c r="M570" s="2"/>
    </row>
    <row r="571" spans="1:13" x14ac:dyDescent="0.2">
      <c r="A571" s="2"/>
      <c r="B571" s="2"/>
      <c r="C571" s="2"/>
      <c r="D571" s="2"/>
      <c r="E571" s="2"/>
      <c r="F571" s="2"/>
      <c r="G571" s="2"/>
      <c r="H571" s="2"/>
      <c r="I571" s="2"/>
      <c r="J571" s="2"/>
      <c r="K571" s="2"/>
      <c r="L571" s="2"/>
      <c r="M571" s="2"/>
    </row>
    <row r="572" spans="1:13" x14ac:dyDescent="0.2">
      <c r="A572" s="2"/>
      <c r="B572" s="2"/>
      <c r="C572" s="2"/>
      <c r="D572" s="2"/>
      <c r="E572" s="2"/>
      <c r="F572" s="2"/>
      <c r="G572" s="2"/>
      <c r="H572" s="2"/>
      <c r="I572" s="2"/>
      <c r="J572" s="2"/>
      <c r="K572" s="2"/>
      <c r="L572" s="2"/>
      <c r="M572" s="2"/>
    </row>
    <row r="573" spans="1:13" x14ac:dyDescent="0.2">
      <c r="A573" s="2"/>
      <c r="B573" s="2"/>
      <c r="C573" s="2"/>
      <c r="D573" s="2"/>
      <c r="E573" s="2"/>
      <c r="F573" s="2"/>
      <c r="G573" s="2"/>
      <c r="H573" s="2"/>
      <c r="I573" s="2"/>
      <c r="J573" s="2"/>
      <c r="K573" s="2"/>
      <c r="L573" s="2"/>
      <c r="M573" s="2"/>
    </row>
    <row r="574" spans="1:13" x14ac:dyDescent="0.2">
      <c r="A574" s="2"/>
      <c r="B574" s="2"/>
      <c r="C574" s="2"/>
      <c r="D574" s="2"/>
      <c r="E574" s="2"/>
      <c r="F574" s="2"/>
      <c r="G574" s="2"/>
      <c r="H574" s="2"/>
      <c r="I574" s="2"/>
      <c r="J574" s="2"/>
      <c r="K574" s="2"/>
      <c r="L574" s="2"/>
      <c r="M574" s="2"/>
    </row>
    <row r="575" spans="1:13" x14ac:dyDescent="0.2">
      <c r="A575" s="2"/>
      <c r="B575" s="2"/>
      <c r="C575" s="2"/>
      <c r="D575" s="2"/>
      <c r="E575" s="2"/>
      <c r="F575" s="2"/>
      <c r="G575" s="2"/>
      <c r="H575" s="2"/>
      <c r="I575" s="2"/>
      <c r="J575" s="2"/>
      <c r="K575" s="2"/>
      <c r="L575" s="2"/>
      <c r="M575" s="2"/>
    </row>
    <row r="576" spans="1:13" x14ac:dyDescent="0.2">
      <c r="A576" s="2"/>
      <c r="B576" s="2"/>
      <c r="C576" s="2"/>
      <c r="D576" s="2"/>
      <c r="E576" s="2"/>
      <c r="F576" s="2"/>
      <c r="G576" s="2"/>
      <c r="H576" s="2"/>
      <c r="I576" s="2"/>
      <c r="J576" s="2"/>
      <c r="K576" s="2"/>
      <c r="L576" s="2"/>
      <c r="M576" s="2"/>
    </row>
    <row r="577" spans="1:13" x14ac:dyDescent="0.2">
      <c r="A577" s="2"/>
      <c r="B577" s="2"/>
      <c r="C577" s="2"/>
      <c r="D577" s="2"/>
      <c r="E577" s="2"/>
      <c r="F577" s="2"/>
      <c r="G577" s="2"/>
      <c r="H577" s="2"/>
      <c r="I577" s="2"/>
      <c r="J577" s="2"/>
      <c r="K577" s="2"/>
      <c r="L577" s="2"/>
      <c r="M577" s="2"/>
    </row>
    <row r="578" spans="1:13" x14ac:dyDescent="0.2">
      <c r="A578" s="2"/>
      <c r="B578" s="2"/>
      <c r="C578" s="2"/>
      <c r="D578" s="2"/>
      <c r="E578" s="2"/>
      <c r="F578" s="2"/>
      <c r="G578" s="2"/>
      <c r="H578" s="2"/>
      <c r="I578" s="2"/>
      <c r="J578" s="2"/>
      <c r="K578" s="2"/>
      <c r="L578" s="2"/>
      <c r="M578" s="2"/>
    </row>
    <row r="579" spans="1:13" x14ac:dyDescent="0.2">
      <c r="A579" s="2"/>
      <c r="B579" s="2"/>
      <c r="C579" s="2"/>
      <c r="D579" s="2"/>
      <c r="E579" s="2"/>
      <c r="F579" s="2"/>
      <c r="G579" s="2"/>
      <c r="H579" s="2"/>
      <c r="I579" s="2"/>
      <c r="J579" s="2"/>
      <c r="K579" s="2"/>
      <c r="L579" s="2"/>
      <c r="M579" s="2"/>
    </row>
    <row r="580" spans="1:13" x14ac:dyDescent="0.2">
      <c r="A580" s="2"/>
      <c r="B580" s="2"/>
      <c r="C580" s="2"/>
      <c r="D580" s="2"/>
      <c r="E580" s="2"/>
      <c r="F580" s="2"/>
      <c r="G580" s="2"/>
      <c r="H580" s="2"/>
      <c r="I580" s="2"/>
      <c r="J580" s="2"/>
      <c r="K580" s="2"/>
      <c r="L580" s="2"/>
      <c r="M580" s="2"/>
    </row>
    <row r="581" spans="1:13" x14ac:dyDescent="0.2">
      <c r="A581" s="2"/>
      <c r="B581" s="2"/>
      <c r="C581" s="2"/>
      <c r="D581" s="2"/>
      <c r="E581" s="2"/>
      <c r="F581" s="2"/>
      <c r="G581" s="2"/>
      <c r="H581" s="2"/>
      <c r="I581" s="2"/>
      <c r="J581" s="2"/>
      <c r="K581" s="2"/>
      <c r="L581" s="2"/>
      <c r="M581" s="2"/>
    </row>
    <row r="582" spans="1:13" x14ac:dyDescent="0.2">
      <c r="A582" s="2"/>
      <c r="B582" s="2"/>
      <c r="C582" s="2"/>
      <c r="D582" s="2"/>
      <c r="E582" s="2"/>
      <c r="F582" s="2"/>
      <c r="G582" s="2"/>
      <c r="H582" s="2"/>
      <c r="I582" s="2"/>
      <c r="J582" s="2"/>
      <c r="K582" s="2"/>
      <c r="L582" s="2"/>
      <c r="M582" s="2"/>
    </row>
    <row r="583" spans="1:13" x14ac:dyDescent="0.2">
      <c r="A583" s="2"/>
      <c r="B583" s="2"/>
      <c r="C583" s="2"/>
      <c r="D583" s="2"/>
      <c r="E583" s="2"/>
      <c r="F583" s="2"/>
      <c r="G583" s="2"/>
      <c r="H583" s="2"/>
      <c r="I583" s="2"/>
      <c r="J583" s="2"/>
      <c r="K583" s="2"/>
      <c r="L583" s="2"/>
      <c r="M583" s="2"/>
    </row>
    <row r="584" spans="1:13" x14ac:dyDescent="0.2">
      <c r="A584" s="2"/>
      <c r="B584" s="2"/>
      <c r="C584" s="2"/>
      <c r="D584" s="2"/>
      <c r="E584" s="2"/>
      <c r="F584" s="2"/>
      <c r="G584" s="2"/>
      <c r="H584" s="2"/>
      <c r="I584" s="2"/>
      <c r="J584" s="2"/>
      <c r="K584" s="2"/>
      <c r="L584" s="2"/>
      <c r="M584" s="2"/>
    </row>
    <row r="585" spans="1:13" x14ac:dyDescent="0.2">
      <c r="A585" s="2"/>
      <c r="B585" s="2"/>
      <c r="C585" s="2"/>
      <c r="D585" s="2"/>
      <c r="E585" s="2"/>
      <c r="F585" s="2"/>
      <c r="G585" s="2"/>
      <c r="H585" s="2"/>
      <c r="I585" s="2"/>
      <c r="J585" s="2"/>
      <c r="K585" s="2"/>
      <c r="L585" s="2"/>
      <c r="M585" s="2"/>
    </row>
    <row r="586" spans="1:13" x14ac:dyDescent="0.2">
      <c r="A586" s="2"/>
      <c r="B586" s="2"/>
      <c r="C586" s="2"/>
      <c r="D586" s="2"/>
      <c r="E586" s="2"/>
      <c r="F586" s="2"/>
      <c r="G586" s="2"/>
      <c r="H586" s="2"/>
      <c r="I586" s="2"/>
      <c r="J586" s="2"/>
      <c r="K586" s="2"/>
      <c r="L586" s="2"/>
      <c r="M586" s="2"/>
    </row>
    <row r="587" spans="1:13" x14ac:dyDescent="0.2">
      <c r="A587" s="2"/>
      <c r="B587" s="2"/>
      <c r="C587" s="2"/>
      <c r="D587" s="2"/>
      <c r="E587" s="2"/>
      <c r="F587" s="2"/>
      <c r="G587" s="2"/>
      <c r="H587" s="2"/>
      <c r="I587" s="2"/>
      <c r="J587" s="2"/>
      <c r="K587" s="2"/>
      <c r="L587" s="2"/>
      <c r="M587" s="2"/>
    </row>
    <row r="588" spans="1:13" x14ac:dyDescent="0.2">
      <c r="A588" s="2"/>
      <c r="B588" s="2"/>
      <c r="C588" s="2"/>
      <c r="D588" s="2"/>
      <c r="E588" s="2"/>
      <c r="F588" s="2"/>
      <c r="G588" s="2"/>
      <c r="H588" s="2"/>
      <c r="I588" s="2"/>
      <c r="J588" s="2"/>
      <c r="K588" s="2"/>
      <c r="L588" s="2"/>
      <c r="M588" s="2"/>
    </row>
    <row r="589" spans="1:13" x14ac:dyDescent="0.2">
      <c r="A589" s="2"/>
      <c r="B589" s="2"/>
      <c r="C589" s="2"/>
      <c r="D589" s="2"/>
      <c r="E589" s="2"/>
      <c r="F589" s="2"/>
      <c r="G589" s="2"/>
      <c r="H589" s="2"/>
      <c r="I589" s="2"/>
      <c r="J589" s="2"/>
      <c r="K589" s="2"/>
      <c r="L589" s="2"/>
      <c r="M589" s="2"/>
    </row>
    <row r="590" spans="1:13" x14ac:dyDescent="0.2">
      <c r="A590" s="2"/>
      <c r="B590" s="2"/>
      <c r="C590" s="2"/>
      <c r="D590" s="2"/>
      <c r="E590" s="2"/>
      <c r="F590" s="2"/>
      <c r="G590" s="2"/>
      <c r="H590" s="2"/>
      <c r="I590" s="2"/>
      <c r="J590" s="2"/>
      <c r="K590" s="2"/>
      <c r="L590" s="2"/>
      <c r="M590" s="2"/>
    </row>
    <row r="591" spans="1:13" x14ac:dyDescent="0.2">
      <c r="A591" s="2"/>
      <c r="B591" s="2"/>
      <c r="C591" s="2"/>
      <c r="D591" s="2"/>
      <c r="E591" s="2"/>
      <c r="F591" s="2"/>
      <c r="G591" s="2"/>
      <c r="H591" s="2"/>
      <c r="I591" s="2"/>
      <c r="J591" s="2"/>
      <c r="K591" s="2"/>
      <c r="L591" s="2"/>
      <c r="M591" s="2"/>
    </row>
    <row r="592" spans="1:13" x14ac:dyDescent="0.2">
      <c r="A592" s="2"/>
      <c r="B592" s="2"/>
      <c r="C592" s="2"/>
      <c r="D592" s="2"/>
      <c r="E592" s="2"/>
      <c r="F592" s="2"/>
      <c r="G592" s="2"/>
      <c r="H592" s="2"/>
      <c r="I592" s="2"/>
      <c r="J592" s="2"/>
      <c r="K592" s="2"/>
      <c r="L592" s="2"/>
      <c r="M592" s="2"/>
    </row>
    <row r="593" spans="1:13" x14ac:dyDescent="0.2">
      <c r="A593" s="2"/>
      <c r="B593" s="2"/>
      <c r="C593" s="2"/>
      <c r="D593" s="2"/>
      <c r="E593" s="2"/>
      <c r="F593" s="2"/>
      <c r="G593" s="2"/>
      <c r="H593" s="2"/>
      <c r="I593" s="2"/>
      <c r="J593" s="2"/>
      <c r="K593" s="2"/>
      <c r="L593" s="2"/>
      <c r="M593" s="2"/>
    </row>
    <row r="594" spans="1:13" x14ac:dyDescent="0.2">
      <c r="A594" s="2"/>
      <c r="B594" s="2"/>
      <c r="C594" s="2"/>
      <c r="D594" s="2"/>
      <c r="E594" s="2"/>
      <c r="F594" s="2"/>
      <c r="G594" s="2"/>
      <c r="H594" s="2"/>
      <c r="I594" s="2"/>
      <c r="J594" s="2"/>
      <c r="K594" s="2"/>
      <c r="L594" s="2"/>
      <c r="M594" s="2"/>
    </row>
    <row r="595" spans="1:13" x14ac:dyDescent="0.2">
      <c r="A595" s="2"/>
      <c r="B595" s="2"/>
      <c r="C595" s="2"/>
      <c r="D595" s="2"/>
      <c r="E595" s="2"/>
      <c r="F595" s="2"/>
      <c r="G595" s="2"/>
      <c r="H595" s="2"/>
      <c r="I595" s="2"/>
      <c r="J595" s="2"/>
      <c r="K595" s="2"/>
      <c r="L595" s="2"/>
      <c r="M595" s="2"/>
    </row>
    <row r="596" spans="1:13" x14ac:dyDescent="0.2">
      <c r="A596" s="2"/>
      <c r="B596" s="2"/>
      <c r="C596" s="2"/>
      <c r="D596" s="2"/>
      <c r="E596" s="2"/>
      <c r="F596" s="2"/>
      <c r="G596" s="2"/>
      <c r="H596" s="2"/>
      <c r="I596" s="2"/>
      <c r="J596" s="2"/>
      <c r="K596" s="2"/>
      <c r="L596" s="2"/>
      <c r="M596" s="2"/>
    </row>
    <row r="597" spans="1:13" x14ac:dyDescent="0.2">
      <c r="A597" s="2"/>
      <c r="B597" s="2"/>
      <c r="C597" s="2"/>
      <c r="D597" s="2"/>
      <c r="E597" s="2"/>
      <c r="F597" s="2"/>
      <c r="G597" s="2"/>
      <c r="H597" s="2"/>
      <c r="I597" s="2"/>
      <c r="J597" s="2"/>
      <c r="K597" s="2"/>
      <c r="L597" s="2"/>
      <c r="M597" s="2"/>
    </row>
    <row r="598" spans="1:13" x14ac:dyDescent="0.2">
      <c r="A598" s="2"/>
      <c r="B598" s="2"/>
      <c r="C598" s="2"/>
      <c r="D598" s="2"/>
      <c r="E598" s="2"/>
      <c r="F598" s="2"/>
      <c r="G598" s="2"/>
      <c r="H598" s="2"/>
      <c r="I598" s="2"/>
      <c r="J598" s="2"/>
      <c r="K598" s="2"/>
      <c r="L598" s="2"/>
      <c r="M598" s="2"/>
    </row>
    <row r="599" spans="1:13" x14ac:dyDescent="0.2">
      <c r="A599" s="2"/>
      <c r="B599" s="2"/>
      <c r="C599" s="2"/>
      <c r="D599" s="2"/>
      <c r="E599" s="2"/>
      <c r="F599" s="2"/>
      <c r="G599" s="2"/>
      <c r="H599" s="2"/>
      <c r="I599" s="2"/>
      <c r="J599" s="2"/>
      <c r="K599" s="2"/>
      <c r="L599" s="2"/>
      <c r="M599" s="2"/>
    </row>
    <row r="600" spans="1:13" x14ac:dyDescent="0.2">
      <c r="A600" s="2"/>
      <c r="B600" s="2"/>
      <c r="C600" s="2"/>
      <c r="D600" s="2"/>
      <c r="E600" s="2"/>
      <c r="F600" s="2"/>
      <c r="G600" s="2"/>
      <c r="H600" s="2"/>
      <c r="I600" s="2"/>
      <c r="J600" s="2"/>
      <c r="K600" s="2"/>
      <c r="L600" s="2"/>
      <c r="M600" s="2"/>
    </row>
    <row r="601" spans="1:13" x14ac:dyDescent="0.2">
      <c r="A601" s="2"/>
      <c r="B601" s="2"/>
      <c r="C601" s="2"/>
      <c r="D601" s="2"/>
      <c r="E601" s="2"/>
      <c r="F601" s="2"/>
      <c r="G601" s="2"/>
      <c r="H601" s="2"/>
      <c r="I601" s="2"/>
      <c r="J601" s="2"/>
      <c r="K601" s="2"/>
      <c r="L601" s="2"/>
      <c r="M601" s="2"/>
    </row>
    <row r="602" spans="1:13" x14ac:dyDescent="0.2">
      <c r="A602" s="2"/>
      <c r="B602" s="2"/>
      <c r="C602" s="2"/>
      <c r="D602" s="2"/>
      <c r="E602" s="2"/>
      <c r="F602" s="2"/>
      <c r="G602" s="2"/>
      <c r="H602" s="2"/>
      <c r="I602" s="2"/>
      <c r="J602" s="2"/>
      <c r="K602" s="2"/>
      <c r="L602" s="2"/>
      <c r="M602" s="2"/>
    </row>
    <row r="603" spans="1:13" x14ac:dyDescent="0.2">
      <c r="A603" s="2"/>
      <c r="B603" s="2"/>
      <c r="C603" s="2"/>
      <c r="D603" s="2"/>
      <c r="E603" s="2"/>
      <c r="F603" s="2"/>
      <c r="G603" s="2"/>
      <c r="H603" s="2"/>
      <c r="I603" s="2"/>
      <c r="J603" s="2"/>
      <c r="K603" s="2"/>
      <c r="L603" s="2"/>
      <c r="M603" s="2"/>
    </row>
    <row r="604" spans="1:13" x14ac:dyDescent="0.2">
      <c r="A604" s="2"/>
      <c r="B604" s="2"/>
      <c r="C604" s="2"/>
      <c r="D604" s="2"/>
      <c r="E604" s="2"/>
      <c r="F604" s="2"/>
      <c r="G604" s="2"/>
      <c r="H604" s="2"/>
      <c r="I604" s="2"/>
      <c r="J604" s="2"/>
      <c r="K604" s="2"/>
      <c r="L604" s="2"/>
      <c r="M604" s="2"/>
    </row>
    <row r="605" spans="1:13" x14ac:dyDescent="0.2">
      <c r="A605" s="2"/>
      <c r="B605" s="2"/>
      <c r="C605" s="2"/>
      <c r="D605" s="2"/>
      <c r="E605" s="2"/>
      <c r="F605" s="2"/>
      <c r="G605" s="2"/>
      <c r="H605" s="2"/>
      <c r="I605" s="2"/>
      <c r="J605" s="2"/>
      <c r="K605" s="2"/>
      <c r="L605" s="2"/>
      <c r="M605" s="2"/>
    </row>
    <row r="606" spans="1:13" x14ac:dyDescent="0.2">
      <c r="A606" s="2"/>
      <c r="B606" s="2"/>
      <c r="C606" s="2"/>
      <c r="D606" s="2"/>
      <c r="E606" s="2"/>
      <c r="F606" s="2"/>
      <c r="G606" s="2"/>
      <c r="H606" s="2"/>
      <c r="I606" s="2"/>
      <c r="J606" s="2"/>
      <c r="K606" s="2"/>
      <c r="L606" s="2"/>
      <c r="M606" s="2"/>
    </row>
    <row r="607" spans="1:13" x14ac:dyDescent="0.2">
      <c r="A607" s="2"/>
      <c r="B607" s="2"/>
      <c r="C607" s="2"/>
      <c r="D607" s="2"/>
      <c r="E607" s="2"/>
      <c r="F607" s="2"/>
      <c r="G607" s="2"/>
      <c r="H607" s="2"/>
      <c r="I607" s="2"/>
      <c r="J607" s="2"/>
      <c r="K607" s="2"/>
      <c r="L607" s="2"/>
      <c r="M607" s="2"/>
    </row>
    <row r="608" spans="1:13" x14ac:dyDescent="0.2">
      <c r="A608" s="2"/>
      <c r="B608" s="2"/>
      <c r="C608" s="2"/>
      <c r="D608" s="2"/>
      <c r="E608" s="2"/>
      <c r="F608" s="2"/>
      <c r="G608" s="2"/>
      <c r="H608" s="2"/>
      <c r="I608" s="2"/>
      <c r="J608" s="2"/>
      <c r="K608" s="2"/>
      <c r="L608" s="2"/>
      <c r="M608" s="2"/>
    </row>
    <row r="609" spans="1:13" x14ac:dyDescent="0.2">
      <c r="A609" s="2"/>
      <c r="B609" s="2"/>
      <c r="C609" s="2"/>
      <c r="D609" s="2"/>
      <c r="E609" s="2"/>
      <c r="F609" s="2"/>
      <c r="G609" s="2"/>
      <c r="H609" s="2"/>
      <c r="I609" s="2"/>
      <c r="J609" s="2"/>
      <c r="K609" s="2"/>
      <c r="L609" s="2"/>
      <c r="M609" s="2"/>
    </row>
    <row r="610" spans="1:13" x14ac:dyDescent="0.2">
      <c r="A610" s="2"/>
      <c r="B610" s="2"/>
      <c r="C610" s="2"/>
      <c r="D610" s="2"/>
      <c r="E610" s="2"/>
      <c r="F610" s="2"/>
      <c r="G610" s="2"/>
      <c r="H610" s="2"/>
      <c r="I610" s="2"/>
      <c r="J610" s="2"/>
      <c r="K610" s="2"/>
      <c r="L610" s="2"/>
      <c r="M610" s="2"/>
    </row>
    <row r="611" spans="1:13" x14ac:dyDescent="0.2">
      <c r="A611" s="2"/>
      <c r="B611" s="2"/>
      <c r="C611" s="2"/>
      <c r="D611" s="2"/>
      <c r="E611" s="2"/>
      <c r="F611" s="2"/>
      <c r="G611" s="2"/>
      <c r="H611" s="2"/>
      <c r="I611" s="2"/>
      <c r="J611" s="2"/>
      <c r="K611" s="2"/>
      <c r="L611" s="2"/>
      <c r="M611" s="2"/>
    </row>
    <row r="612" spans="1:13" x14ac:dyDescent="0.2">
      <c r="A612" s="2"/>
      <c r="B612" s="2"/>
      <c r="C612" s="2"/>
      <c r="D612" s="2"/>
      <c r="E612" s="2"/>
      <c r="F612" s="2"/>
      <c r="G612" s="2"/>
      <c r="H612" s="2"/>
      <c r="I612" s="2"/>
      <c r="J612" s="2"/>
      <c r="K612" s="2"/>
      <c r="L612" s="2"/>
      <c r="M612" s="2"/>
    </row>
    <row r="613" spans="1:13" x14ac:dyDescent="0.2">
      <c r="A613" s="2"/>
      <c r="B613" s="2"/>
      <c r="C613" s="2"/>
      <c r="D613" s="2"/>
      <c r="E613" s="2"/>
      <c r="F613" s="2"/>
      <c r="G613" s="2"/>
      <c r="H613" s="2"/>
      <c r="I613" s="2"/>
      <c r="J613" s="2"/>
      <c r="K613" s="2"/>
      <c r="L613" s="2"/>
      <c r="M613" s="2"/>
    </row>
    <row r="614" spans="1:13" x14ac:dyDescent="0.2">
      <c r="A614" s="2"/>
      <c r="B614" s="2"/>
      <c r="C614" s="2"/>
      <c r="D614" s="2"/>
      <c r="E614" s="2"/>
      <c r="F614" s="2"/>
      <c r="G614" s="2"/>
      <c r="H614" s="2"/>
      <c r="I614" s="2"/>
      <c r="J614" s="2"/>
      <c r="K614" s="2"/>
      <c r="L614" s="2"/>
      <c r="M614" s="2"/>
    </row>
    <row r="615" spans="1:13" x14ac:dyDescent="0.2">
      <c r="A615" s="2"/>
      <c r="B615" s="2"/>
      <c r="C615" s="2"/>
      <c r="D615" s="2"/>
      <c r="E615" s="2"/>
      <c r="F615" s="2"/>
      <c r="G615" s="2"/>
      <c r="H615" s="2"/>
      <c r="I615" s="2"/>
      <c r="J615" s="2"/>
      <c r="K615" s="2"/>
      <c r="L615" s="2"/>
      <c r="M615" s="2"/>
    </row>
    <row r="616" spans="1:13" x14ac:dyDescent="0.2">
      <c r="A616" s="2"/>
      <c r="B616" s="2"/>
      <c r="C616" s="2"/>
      <c r="D616" s="2"/>
      <c r="E616" s="2"/>
      <c r="F616" s="2"/>
      <c r="G616" s="2"/>
      <c r="H616" s="2"/>
      <c r="I616" s="2"/>
      <c r="J616" s="2"/>
      <c r="K616" s="2"/>
      <c r="L616" s="2"/>
      <c r="M616" s="2"/>
    </row>
    <row r="617" spans="1:13" x14ac:dyDescent="0.2">
      <c r="A617" s="2"/>
      <c r="B617" s="2"/>
      <c r="C617" s="2"/>
      <c r="D617" s="2"/>
      <c r="E617" s="2"/>
      <c r="F617" s="2"/>
      <c r="G617" s="2"/>
      <c r="H617" s="2"/>
      <c r="I617" s="2"/>
      <c r="J617" s="2"/>
      <c r="K617" s="2"/>
      <c r="L617" s="2"/>
      <c r="M617" s="2"/>
    </row>
    <row r="618" spans="1:13" x14ac:dyDescent="0.2">
      <c r="A618" s="2"/>
      <c r="B618" s="2"/>
      <c r="C618" s="2"/>
      <c r="D618" s="2"/>
      <c r="E618" s="2"/>
      <c r="F618" s="2"/>
      <c r="G618" s="2"/>
      <c r="H618" s="2"/>
      <c r="I618" s="2"/>
      <c r="J618" s="2"/>
      <c r="K618" s="2"/>
      <c r="L618" s="2"/>
      <c r="M618" s="2"/>
    </row>
    <row r="619" spans="1:13" x14ac:dyDescent="0.2">
      <c r="A619" s="2"/>
      <c r="B619" s="2"/>
      <c r="C619" s="2"/>
      <c r="D619" s="2"/>
      <c r="E619" s="2"/>
      <c r="F619" s="2"/>
      <c r="G619" s="2"/>
      <c r="H619" s="2"/>
      <c r="I619" s="2"/>
      <c r="J619" s="2"/>
      <c r="K619" s="2"/>
      <c r="L619" s="2"/>
      <c r="M619" s="2"/>
    </row>
    <row r="620" spans="1:13" x14ac:dyDescent="0.2">
      <c r="A620" s="2"/>
      <c r="B620" s="2"/>
      <c r="C620" s="2"/>
      <c r="D620" s="2"/>
      <c r="E620" s="2"/>
      <c r="F620" s="2"/>
      <c r="G620" s="2"/>
      <c r="H620" s="2"/>
      <c r="I620" s="2"/>
      <c r="J620" s="2"/>
      <c r="K620" s="2"/>
      <c r="L620" s="2"/>
      <c r="M620" s="2"/>
    </row>
    <row r="621" spans="1:13" x14ac:dyDescent="0.2">
      <c r="A621" s="2"/>
      <c r="B621" s="2"/>
      <c r="C621" s="2"/>
      <c r="D621" s="2"/>
      <c r="E621" s="2"/>
      <c r="F621" s="2"/>
      <c r="G621" s="2"/>
      <c r="H621" s="2"/>
      <c r="I621" s="2"/>
      <c r="J621" s="2"/>
      <c r="K621" s="2"/>
      <c r="L621" s="2"/>
      <c r="M621" s="2"/>
    </row>
    <row r="622" spans="1:13" x14ac:dyDescent="0.2">
      <c r="A622" s="2"/>
      <c r="B622" s="2"/>
      <c r="C622" s="2"/>
      <c r="D622" s="2"/>
      <c r="E622" s="2"/>
      <c r="F622" s="2"/>
      <c r="G622" s="2"/>
      <c r="H622" s="2"/>
      <c r="I622" s="2"/>
      <c r="J622" s="2"/>
      <c r="K622" s="2"/>
      <c r="L622" s="2"/>
      <c r="M622" s="2"/>
    </row>
    <row r="623" spans="1:13" x14ac:dyDescent="0.2">
      <c r="A623" s="2"/>
      <c r="B623" s="2"/>
      <c r="C623" s="2"/>
      <c r="D623" s="2"/>
      <c r="E623" s="2"/>
      <c r="F623" s="2"/>
      <c r="G623" s="2"/>
      <c r="H623" s="2"/>
      <c r="I623" s="2"/>
      <c r="J623" s="2"/>
      <c r="K623" s="2"/>
      <c r="L623" s="2"/>
      <c r="M623" s="2"/>
    </row>
    <row r="624" spans="1:13" x14ac:dyDescent="0.2">
      <c r="A624" s="2"/>
      <c r="B624" s="2"/>
      <c r="C624" s="2"/>
      <c r="D624" s="2"/>
      <c r="E624" s="2"/>
      <c r="F624" s="2"/>
      <c r="G624" s="2"/>
      <c r="H624" s="2"/>
      <c r="I624" s="2"/>
      <c r="J624" s="2"/>
      <c r="K624" s="2"/>
      <c r="L624" s="2"/>
      <c r="M624" s="2"/>
    </row>
    <row r="625" spans="1:13" x14ac:dyDescent="0.2">
      <c r="A625" s="2"/>
      <c r="B625" s="2"/>
      <c r="C625" s="2"/>
      <c r="D625" s="2"/>
      <c r="E625" s="2"/>
      <c r="F625" s="2"/>
      <c r="G625" s="2"/>
      <c r="H625" s="2"/>
      <c r="I625" s="2"/>
      <c r="J625" s="2"/>
      <c r="K625" s="2"/>
      <c r="L625" s="2"/>
      <c r="M625" s="2"/>
    </row>
    <row r="626" spans="1:13" x14ac:dyDescent="0.2">
      <c r="A626" s="2"/>
      <c r="B626" s="2"/>
      <c r="C626" s="2"/>
      <c r="D626" s="2"/>
      <c r="E626" s="2"/>
      <c r="F626" s="2"/>
      <c r="G626" s="2"/>
      <c r="H626" s="2"/>
      <c r="I626" s="2"/>
      <c r="J626" s="2"/>
      <c r="K626" s="2"/>
      <c r="L626" s="2"/>
      <c r="M626" s="2"/>
    </row>
    <row r="627" spans="1:13" x14ac:dyDescent="0.2">
      <c r="A627" s="2"/>
      <c r="B627" s="2"/>
      <c r="C627" s="2"/>
      <c r="D627" s="2"/>
      <c r="E627" s="2"/>
      <c r="F627" s="2"/>
      <c r="G627" s="2"/>
      <c r="H627" s="2"/>
      <c r="I627" s="2"/>
      <c r="J627" s="2"/>
      <c r="K627" s="2"/>
      <c r="L627" s="2"/>
      <c r="M627" s="2"/>
    </row>
    <row r="628" spans="1:13" x14ac:dyDescent="0.2">
      <c r="A628" s="2"/>
      <c r="B628" s="2"/>
      <c r="C628" s="2"/>
      <c r="D628" s="2"/>
      <c r="E628" s="2"/>
      <c r="F628" s="2"/>
      <c r="G628" s="2"/>
      <c r="H628" s="2"/>
      <c r="I628" s="2"/>
      <c r="J628" s="2"/>
      <c r="K628" s="2"/>
      <c r="L628" s="2"/>
      <c r="M628" s="2"/>
    </row>
    <row r="629" spans="1:13" x14ac:dyDescent="0.2">
      <c r="A629" s="2"/>
      <c r="B629" s="2"/>
      <c r="C629" s="2"/>
      <c r="D629" s="2"/>
      <c r="E629" s="2"/>
      <c r="F629" s="2"/>
      <c r="G629" s="2"/>
      <c r="H629" s="2"/>
      <c r="I629" s="2"/>
      <c r="J629" s="2"/>
      <c r="K629" s="2"/>
      <c r="L629" s="2"/>
      <c r="M629" s="2"/>
    </row>
    <row r="630" spans="1:13" x14ac:dyDescent="0.2">
      <c r="A630" s="2"/>
      <c r="B630" s="2"/>
      <c r="C630" s="2"/>
      <c r="D630" s="2"/>
      <c r="E630" s="2"/>
      <c r="F630" s="2"/>
      <c r="G630" s="2"/>
      <c r="H630" s="2"/>
      <c r="I630" s="2"/>
      <c r="J630" s="2"/>
      <c r="K630" s="2"/>
      <c r="L630" s="2"/>
      <c r="M630" s="2"/>
    </row>
    <row r="631" spans="1:13" x14ac:dyDescent="0.2">
      <c r="A631" s="2"/>
      <c r="B631" s="2"/>
      <c r="C631" s="2"/>
      <c r="D631" s="2"/>
      <c r="E631" s="2"/>
      <c r="F631" s="2"/>
      <c r="G631" s="2"/>
      <c r="H631" s="2"/>
      <c r="I631" s="2"/>
      <c r="J631" s="2"/>
      <c r="K631" s="2"/>
      <c r="L631" s="2"/>
      <c r="M631" s="2"/>
    </row>
    <row r="632" spans="1:13" x14ac:dyDescent="0.2">
      <c r="A632" s="2"/>
      <c r="B632" s="2"/>
      <c r="C632" s="2"/>
      <c r="D632" s="2"/>
      <c r="E632" s="2"/>
      <c r="F632" s="2"/>
      <c r="G632" s="2"/>
      <c r="H632" s="2"/>
      <c r="I632" s="2"/>
      <c r="J632" s="2"/>
      <c r="K632" s="2"/>
      <c r="L632" s="2"/>
      <c r="M632" s="2"/>
    </row>
    <row r="633" spans="1:13" x14ac:dyDescent="0.2">
      <c r="A633" s="2"/>
      <c r="B633" s="2"/>
      <c r="C633" s="2"/>
      <c r="D633" s="2"/>
      <c r="E633" s="2"/>
      <c r="F633" s="2"/>
      <c r="G633" s="2"/>
      <c r="H633" s="2"/>
      <c r="I633" s="2"/>
      <c r="J633" s="2"/>
      <c r="K633" s="2"/>
      <c r="L633" s="2"/>
      <c r="M633" s="2"/>
    </row>
    <row r="634" spans="1:13" x14ac:dyDescent="0.2">
      <c r="A634" s="2"/>
      <c r="B634" s="2"/>
      <c r="C634" s="2"/>
      <c r="D634" s="2"/>
      <c r="E634" s="2"/>
      <c r="F634" s="2"/>
      <c r="G634" s="2"/>
      <c r="H634" s="2"/>
      <c r="I634" s="2"/>
      <c r="J634" s="2"/>
      <c r="K634" s="2"/>
      <c r="L634" s="2"/>
      <c r="M634" s="2"/>
    </row>
    <row r="635" spans="1:13" x14ac:dyDescent="0.2">
      <c r="A635" s="2"/>
      <c r="B635" s="2"/>
      <c r="C635" s="2"/>
      <c r="D635" s="2"/>
      <c r="E635" s="2"/>
      <c r="F635" s="2"/>
      <c r="G635" s="2"/>
      <c r="H635" s="2"/>
      <c r="I635" s="2"/>
      <c r="J635" s="2"/>
      <c r="K635" s="2"/>
      <c r="L635" s="2"/>
      <c r="M635" s="2"/>
    </row>
    <row r="636" spans="1:13" x14ac:dyDescent="0.2">
      <c r="A636" s="2"/>
      <c r="B636" s="2"/>
      <c r="C636" s="2"/>
      <c r="D636" s="2"/>
      <c r="E636" s="2"/>
      <c r="F636" s="2"/>
      <c r="G636" s="2"/>
      <c r="H636" s="2"/>
      <c r="I636" s="2"/>
      <c r="J636" s="2"/>
      <c r="K636" s="2"/>
      <c r="L636" s="2"/>
      <c r="M636" s="2"/>
    </row>
    <row r="637" spans="1:13" x14ac:dyDescent="0.2">
      <c r="A637" s="2"/>
      <c r="B637" s="2"/>
      <c r="C637" s="2"/>
      <c r="D637" s="2"/>
      <c r="E637" s="2"/>
      <c r="F637" s="2"/>
      <c r="G637" s="2"/>
      <c r="H637" s="2"/>
      <c r="I637" s="2"/>
      <c r="J637" s="2"/>
      <c r="K637" s="2"/>
      <c r="L637" s="2"/>
      <c r="M637" s="2"/>
    </row>
    <row r="638" spans="1:13" x14ac:dyDescent="0.2">
      <c r="A638" s="2"/>
      <c r="B638" s="2"/>
      <c r="C638" s="2"/>
      <c r="D638" s="2"/>
      <c r="E638" s="2"/>
      <c r="F638" s="2"/>
      <c r="G638" s="2"/>
      <c r="H638" s="2"/>
      <c r="I638" s="2"/>
      <c r="J638" s="2"/>
      <c r="K638" s="2"/>
      <c r="L638" s="2"/>
      <c r="M638" s="2"/>
    </row>
    <row r="639" spans="1:13" x14ac:dyDescent="0.2">
      <c r="A639" s="2"/>
      <c r="B639" s="2"/>
      <c r="C639" s="2"/>
      <c r="D639" s="2"/>
      <c r="E639" s="2"/>
      <c r="F639" s="2"/>
      <c r="G639" s="2"/>
      <c r="H639" s="2"/>
      <c r="I639" s="2"/>
      <c r="J639" s="2"/>
      <c r="K639" s="2"/>
      <c r="L639" s="2"/>
      <c r="M639" s="2"/>
    </row>
    <row r="640" spans="1:13" x14ac:dyDescent="0.2">
      <c r="A640" s="2"/>
      <c r="B640" s="2"/>
      <c r="C640" s="2"/>
      <c r="D640" s="2"/>
      <c r="E640" s="2"/>
      <c r="F640" s="2"/>
      <c r="G640" s="2"/>
      <c r="H640" s="2"/>
      <c r="I640" s="2"/>
      <c r="J640" s="2"/>
      <c r="K640" s="2"/>
      <c r="L640" s="2"/>
      <c r="M640" s="2"/>
    </row>
    <row r="641" spans="1:13" x14ac:dyDescent="0.2">
      <c r="A641" s="2"/>
      <c r="B641" s="2"/>
      <c r="C641" s="2"/>
      <c r="D641" s="2"/>
      <c r="E641" s="2"/>
      <c r="F641" s="2"/>
      <c r="G641" s="2"/>
      <c r="H641" s="2"/>
      <c r="I641" s="2"/>
      <c r="J641" s="2"/>
      <c r="K641" s="2"/>
      <c r="L641" s="2"/>
      <c r="M641" s="2"/>
    </row>
    <row r="642" spans="1:13" x14ac:dyDescent="0.2">
      <c r="A642" s="2"/>
      <c r="B642" s="2"/>
      <c r="C642" s="2"/>
      <c r="D642" s="2"/>
      <c r="E642" s="2"/>
      <c r="F642" s="2"/>
      <c r="G642" s="2"/>
      <c r="H642" s="2"/>
      <c r="I642" s="2"/>
      <c r="J642" s="2"/>
      <c r="K642" s="2"/>
      <c r="L642" s="2"/>
      <c r="M642" s="2"/>
    </row>
    <row r="643" spans="1:13" x14ac:dyDescent="0.2">
      <c r="A643" s="2"/>
      <c r="B643" s="2"/>
      <c r="C643" s="2"/>
      <c r="D643" s="2"/>
      <c r="E643" s="2"/>
      <c r="F643" s="2"/>
      <c r="G643" s="2"/>
      <c r="H643" s="2"/>
      <c r="I643" s="2"/>
      <c r="J643" s="2"/>
      <c r="K643" s="2"/>
      <c r="L643" s="2"/>
      <c r="M643" s="2"/>
    </row>
    <row r="644" spans="1:13" x14ac:dyDescent="0.2">
      <c r="A644" s="2"/>
      <c r="B644" s="2"/>
      <c r="C644" s="2"/>
      <c r="D644" s="2"/>
      <c r="E644" s="2"/>
      <c r="F644" s="2"/>
      <c r="G644" s="2"/>
      <c r="H644" s="2"/>
      <c r="I644" s="2"/>
      <c r="J644" s="2"/>
      <c r="K644" s="2"/>
      <c r="L644" s="2"/>
      <c r="M644" s="2"/>
    </row>
    <row r="645" spans="1:13" x14ac:dyDescent="0.2">
      <c r="A645" s="2"/>
      <c r="B645" s="2"/>
      <c r="C645" s="2"/>
      <c r="D645" s="2"/>
      <c r="E645" s="2"/>
      <c r="F645" s="2"/>
      <c r="G645" s="2"/>
      <c r="H645" s="2"/>
      <c r="I645" s="2"/>
      <c r="J645" s="2"/>
      <c r="K645" s="2"/>
      <c r="L645" s="2"/>
      <c r="M645" s="2"/>
    </row>
    <row r="646" spans="1:13" x14ac:dyDescent="0.2">
      <c r="A646" s="2"/>
      <c r="B646" s="2"/>
      <c r="C646" s="2"/>
      <c r="D646" s="2"/>
      <c r="E646" s="2"/>
      <c r="F646" s="2"/>
      <c r="G646" s="2"/>
      <c r="H646" s="2"/>
      <c r="I646" s="2"/>
      <c r="J646" s="2"/>
      <c r="K646" s="2"/>
      <c r="L646" s="2"/>
      <c r="M646" s="2"/>
    </row>
    <row r="647" spans="1:13" x14ac:dyDescent="0.2">
      <c r="A647" s="2"/>
      <c r="B647" s="2"/>
      <c r="C647" s="2"/>
      <c r="D647" s="2"/>
      <c r="E647" s="2"/>
      <c r="F647" s="2"/>
      <c r="G647" s="2"/>
      <c r="H647" s="2"/>
      <c r="I647" s="2"/>
      <c r="J647" s="2"/>
      <c r="K647" s="2"/>
      <c r="L647" s="2"/>
      <c r="M647" s="2"/>
    </row>
    <row r="648" spans="1:13" x14ac:dyDescent="0.2">
      <c r="A648" s="2"/>
      <c r="B648" s="2"/>
      <c r="C648" s="2"/>
      <c r="D648" s="2"/>
      <c r="E648" s="2"/>
      <c r="F648" s="2"/>
      <c r="G648" s="2"/>
      <c r="H648" s="2"/>
      <c r="I648" s="2"/>
      <c r="J648" s="2"/>
      <c r="K648" s="2"/>
      <c r="L648" s="2"/>
      <c r="M648" s="2"/>
    </row>
    <row r="649" spans="1:13" x14ac:dyDescent="0.2">
      <c r="A649" s="2"/>
      <c r="B649" s="2"/>
      <c r="C649" s="2"/>
      <c r="D649" s="2"/>
      <c r="E649" s="2"/>
      <c r="F649" s="2"/>
      <c r="G649" s="2"/>
      <c r="H649" s="2"/>
      <c r="I649" s="2"/>
      <c r="J649" s="2"/>
      <c r="K649" s="2"/>
      <c r="L649" s="2"/>
      <c r="M649" s="2"/>
    </row>
    <row r="650" spans="1:13" x14ac:dyDescent="0.2">
      <c r="A650" s="2"/>
      <c r="B650" s="2"/>
      <c r="C650" s="2"/>
      <c r="D650" s="2"/>
      <c r="E650" s="2"/>
      <c r="F650" s="2"/>
      <c r="G650" s="2"/>
      <c r="H650" s="2"/>
      <c r="I650" s="2"/>
      <c r="J650" s="2"/>
      <c r="K650" s="2"/>
      <c r="L650" s="2"/>
      <c r="M650" s="2"/>
    </row>
    <row r="651" spans="1:13" x14ac:dyDescent="0.2">
      <c r="A651" s="2"/>
      <c r="B651" s="2"/>
      <c r="C651" s="2"/>
      <c r="D651" s="2"/>
      <c r="E651" s="2"/>
      <c r="F651" s="2"/>
      <c r="G651" s="2"/>
      <c r="H651" s="2"/>
      <c r="I651" s="2"/>
      <c r="J651" s="2"/>
      <c r="K651" s="2"/>
      <c r="L651" s="2"/>
      <c r="M651" s="2"/>
    </row>
    <row r="652" spans="1:13" x14ac:dyDescent="0.2">
      <c r="A652" s="2"/>
      <c r="B652" s="2"/>
      <c r="C652" s="2"/>
      <c r="D652" s="2"/>
      <c r="E652" s="2"/>
      <c r="F652" s="2"/>
      <c r="G652" s="2"/>
      <c r="H652" s="2"/>
      <c r="I652" s="2"/>
      <c r="J652" s="2"/>
      <c r="K652" s="2"/>
      <c r="L652" s="2"/>
      <c r="M652" s="2"/>
    </row>
    <row r="653" spans="1:13" x14ac:dyDescent="0.2">
      <c r="A653" s="2"/>
      <c r="B653" s="2"/>
      <c r="C653" s="2"/>
      <c r="D653" s="2"/>
      <c r="E653" s="2"/>
      <c r="F653" s="2"/>
      <c r="G653" s="2"/>
      <c r="H653" s="2"/>
      <c r="I653" s="2"/>
      <c r="J653" s="2"/>
      <c r="K653" s="2"/>
      <c r="L653" s="2"/>
      <c r="M653" s="2"/>
    </row>
    <row r="654" spans="1:13" x14ac:dyDescent="0.2">
      <c r="A654" s="2"/>
      <c r="B654" s="2"/>
      <c r="C654" s="2"/>
      <c r="D654" s="2"/>
      <c r="E654" s="2"/>
      <c r="F654" s="2"/>
      <c r="G654" s="2"/>
      <c r="H654" s="2"/>
      <c r="I654" s="2"/>
      <c r="J654" s="2"/>
      <c r="K654" s="2"/>
      <c r="L654" s="2"/>
      <c r="M654" s="2"/>
    </row>
    <row r="655" spans="1:13" x14ac:dyDescent="0.2">
      <c r="A655" s="2"/>
      <c r="B655" s="2"/>
      <c r="C655" s="2"/>
      <c r="D655" s="2"/>
      <c r="E655" s="2"/>
      <c r="F655" s="2"/>
      <c r="G655" s="2"/>
      <c r="H655" s="2"/>
      <c r="I655" s="2"/>
      <c r="J655" s="2"/>
      <c r="K655" s="2"/>
      <c r="L655" s="2"/>
      <c r="M655" s="2"/>
    </row>
    <row r="656" spans="1:13" x14ac:dyDescent="0.2">
      <c r="A656" s="2"/>
      <c r="B656" s="2"/>
      <c r="C656" s="2"/>
      <c r="D656" s="2"/>
      <c r="E656" s="2"/>
      <c r="F656" s="2"/>
      <c r="G656" s="2"/>
      <c r="H656" s="2"/>
      <c r="I656" s="2"/>
      <c r="J656" s="2"/>
      <c r="K656" s="2"/>
      <c r="L656" s="2"/>
      <c r="M656" s="2"/>
    </row>
    <row r="657" spans="1:13" x14ac:dyDescent="0.2">
      <c r="A657" s="2"/>
      <c r="B657" s="2"/>
      <c r="C657" s="2"/>
      <c r="D657" s="2"/>
      <c r="E657" s="2"/>
      <c r="F657" s="2"/>
      <c r="G657" s="2"/>
      <c r="H657" s="2"/>
      <c r="I657" s="2"/>
      <c r="J657" s="2"/>
      <c r="K657" s="2"/>
      <c r="L657" s="2"/>
      <c r="M657" s="2"/>
    </row>
    <row r="658" spans="1:13" x14ac:dyDescent="0.2">
      <c r="A658" s="2"/>
      <c r="B658" s="2"/>
      <c r="C658" s="2"/>
      <c r="D658" s="2"/>
      <c r="E658" s="2"/>
      <c r="F658" s="2"/>
      <c r="G658" s="2"/>
      <c r="H658" s="2"/>
      <c r="I658" s="2"/>
      <c r="J658" s="2"/>
      <c r="K658" s="2"/>
      <c r="L658" s="2"/>
      <c r="M658" s="2"/>
    </row>
    <row r="659" spans="1:13" x14ac:dyDescent="0.2">
      <c r="A659" s="2"/>
      <c r="B659" s="2"/>
      <c r="C659" s="2"/>
      <c r="D659" s="2"/>
      <c r="E659" s="2"/>
      <c r="F659" s="2"/>
      <c r="G659" s="2"/>
      <c r="H659" s="2"/>
      <c r="I659" s="2"/>
      <c r="J659" s="2"/>
      <c r="K659" s="2"/>
      <c r="L659" s="2"/>
      <c r="M659" s="2"/>
    </row>
    <row r="660" spans="1:13" x14ac:dyDescent="0.2">
      <c r="A660" s="2"/>
      <c r="B660" s="2"/>
      <c r="C660" s="2"/>
      <c r="D660" s="2"/>
      <c r="E660" s="2"/>
      <c r="F660" s="2"/>
      <c r="G660" s="2"/>
      <c r="H660" s="2"/>
      <c r="I660" s="2"/>
      <c r="J660" s="2"/>
      <c r="K660" s="2"/>
      <c r="L660" s="2"/>
      <c r="M660" s="2"/>
    </row>
    <row r="661" spans="1:13" x14ac:dyDescent="0.2">
      <c r="A661" s="2"/>
      <c r="B661" s="2"/>
      <c r="C661" s="2"/>
      <c r="D661" s="2"/>
      <c r="E661" s="2"/>
      <c r="F661" s="2"/>
      <c r="G661" s="2"/>
      <c r="H661" s="2"/>
      <c r="I661" s="2"/>
      <c r="J661" s="2"/>
      <c r="K661" s="2"/>
      <c r="L661" s="2"/>
      <c r="M661" s="2"/>
    </row>
    <row r="662" spans="1:13" x14ac:dyDescent="0.2">
      <c r="A662" s="2"/>
      <c r="B662" s="2"/>
      <c r="C662" s="2"/>
      <c r="D662" s="2"/>
      <c r="E662" s="2"/>
      <c r="F662" s="2"/>
      <c r="G662" s="2"/>
      <c r="H662" s="2"/>
      <c r="I662" s="2"/>
      <c r="J662" s="2"/>
      <c r="K662" s="2"/>
      <c r="L662" s="2"/>
      <c r="M662" s="2"/>
    </row>
    <row r="663" spans="1:13" x14ac:dyDescent="0.2">
      <c r="A663" s="2"/>
      <c r="B663" s="2"/>
      <c r="C663" s="2"/>
      <c r="D663" s="2"/>
      <c r="E663" s="2"/>
      <c r="F663" s="2"/>
      <c r="G663" s="2"/>
      <c r="H663" s="2"/>
      <c r="I663" s="2"/>
      <c r="J663" s="2"/>
      <c r="K663" s="2"/>
      <c r="L663" s="2"/>
      <c r="M663" s="2"/>
    </row>
    <row r="664" spans="1:13" x14ac:dyDescent="0.2">
      <c r="A664" s="2"/>
      <c r="B664" s="2"/>
      <c r="C664" s="2"/>
      <c r="D664" s="2"/>
      <c r="E664" s="2"/>
      <c r="F664" s="2"/>
      <c r="G664" s="2"/>
      <c r="H664" s="2"/>
      <c r="I664" s="2"/>
      <c r="J664" s="2"/>
      <c r="K664" s="2"/>
      <c r="L664" s="2"/>
      <c r="M664" s="2"/>
    </row>
    <row r="665" spans="1:13" x14ac:dyDescent="0.2">
      <c r="A665" s="2"/>
      <c r="B665" s="2"/>
      <c r="C665" s="2"/>
      <c r="D665" s="2"/>
      <c r="E665" s="2"/>
      <c r="F665" s="2"/>
      <c r="G665" s="2"/>
      <c r="H665" s="2"/>
      <c r="I665" s="2"/>
      <c r="J665" s="2"/>
      <c r="K665" s="2"/>
      <c r="L665" s="2"/>
      <c r="M665" s="2"/>
    </row>
    <row r="666" spans="1:13" x14ac:dyDescent="0.2">
      <c r="A666" s="2"/>
      <c r="B666" s="2"/>
      <c r="C666" s="2"/>
      <c r="D666" s="2"/>
      <c r="E666" s="2"/>
      <c r="F666" s="2"/>
      <c r="G666" s="2"/>
      <c r="H666" s="2"/>
      <c r="I666" s="2"/>
      <c r="J666" s="2"/>
      <c r="K666" s="2"/>
      <c r="L666" s="2"/>
      <c r="M666" s="2"/>
    </row>
    <row r="667" spans="1:13" x14ac:dyDescent="0.2">
      <c r="A667" s="2"/>
      <c r="B667" s="2"/>
      <c r="C667" s="2"/>
      <c r="D667" s="2"/>
      <c r="E667" s="2"/>
      <c r="F667" s="2"/>
      <c r="G667" s="2"/>
      <c r="H667" s="2"/>
      <c r="I667" s="2"/>
      <c r="J667" s="2"/>
      <c r="K667" s="2"/>
      <c r="L667" s="2"/>
      <c r="M667" s="2"/>
    </row>
    <row r="668" spans="1:13" x14ac:dyDescent="0.2">
      <c r="A668" s="2"/>
      <c r="B668" s="2"/>
      <c r="C668" s="2"/>
      <c r="D668" s="2"/>
      <c r="E668" s="2"/>
      <c r="F668" s="2"/>
      <c r="G668" s="2"/>
      <c r="H668" s="2"/>
      <c r="I668" s="2"/>
      <c r="J668" s="2"/>
      <c r="K668" s="2"/>
      <c r="L668" s="2"/>
      <c r="M668" s="2"/>
    </row>
    <row r="669" spans="1:13" x14ac:dyDescent="0.2">
      <c r="A669" s="2"/>
      <c r="B669" s="2"/>
      <c r="C669" s="2"/>
      <c r="D669" s="2"/>
      <c r="E669" s="2"/>
      <c r="F669" s="2"/>
      <c r="G669" s="2"/>
      <c r="H669" s="2"/>
      <c r="I669" s="2"/>
      <c r="J669" s="2"/>
      <c r="K669" s="2"/>
      <c r="L669" s="2"/>
      <c r="M669" s="2"/>
    </row>
    <row r="670" spans="1:13" x14ac:dyDescent="0.2">
      <c r="A670" s="2"/>
      <c r="B670" s="2"/>
      <c r="C670" s="2"/>
      <c r="D670" s="2"/>
      <c r="E670" s="2"/>
      <c r="F670" s="2"/>
      <c r="G670" s="2"/>
      <c r="H670" s="2"/>
      <c r="I670" s="2"/>
      <c r="J670" s="2"/>
      <c r="K670" s="2"/>
      <c r="L670" s="2"/>
      <c r="M670" s="2"/>
    </row>
    <row r="671" spans="1:13" x14ac:dyDescent="0.2">
      <c r="A671" s="2"/>
      <c r="B671" s="2"/>
      <c r="C671" s="2"/>
      <c r="D671" s="2"/>
      <c r="E671" s="2"/>
      <c r="F671" s="2"/>
      <c r="G671" s="2"/>
      <c r="H671" s="2"/>
      <c r="I671" s="2"/>
      <c r="J671" s="2"/>
      <c r="K671" s="2"/>
      <c r="L671" s="2"/>
      <c r="M671" s="2"/>
    </row>
    <row r="672" spans="1:13" x14ac:dyDescent="0.2">
      <c r="A672" s="2"/>
      <c r="B672" s="2"/>
      <c r="C672" s="2"/>
      <c r="D672" s="2"/>
      <c r="E672" s="2"/>
      <c r="F672" s="2"/>
      <c r="G672" s="2"/>
      <c r="H672" s="2"/>
      <c r="I672" s="2"/>
      <c r="J672" s="2"/>
      <c r="K672" s="2"/>
      <c r="L672" s="2"/>
      <c r="M672" s="2"/>
    </row>
    <row r="673" spans="1:13" x14ac:dyDescent="0.2">
      <c r="A673" s="2"/>
      <c r="B673" s="2"/>
      <c r="C673" s="2"/>
      <c r="D673" s="2"/>
      <c r="E673" s="2"/>
      <c r="F673" s="2"/>
      <c r="G673" s="2"/>
      <c r="H673" s="2"/>
      <c r="I673" s="2"/>
      <c r="J673" s="2"/>
      <c r="K673" s="2"/>
      <c r="L673" s="2"/>
      <c r="M673" s="2"/>
    </row>
    <row r="674" spans="1:13" x14ac:dyDescent="0.2">
      <c r="A674" s="2"/>
      <c r="B674" s="2"/>
      <c r="C674" s="2"/>
      <c r="D674" s="2"/>
      <c r="E674" s="2"/>
      <c r="F674" s="2"/>
      <c r="G674" s="2"/>
      <c r="H674" s="2"/>
      <c r="I674" s="2"/>
      <c r="J674" s="2"/>
      <c r="K674" s="2"/>
      <c r="L674" s="2"/>
      <c r="M674" s="2"/>
    </row>
    <row r="675" spans="1:13" x14ac:dyDescent="0.2">
      <c r="A675" s="2"/>
      <c r="B675" s="2"/>
      <c r="C675" s="2"/>
      <c r="D675" s="2"/>
      <c r="E675" s="2"/>
      <c r="F675" s="2"/>
      <c r="G675" s="2"/>
      <c r="H675" s="2"/>
      <c r="I675" s="2"/>
      <c r="J675" s="2"/>
      <c r="K675" s="2"/>
      <c r="L675" s="2"/>
      <c r="M675" s="2"/>
    </row>
    <row r="676" spans="1:13" x14ac:dyDescent="0.2">
      <c r="A676" s="2"/>
      <c r="B676" s="2"/>
      <c r="C676" s="2"/>
      <c r="D676" s="2"/>
      <c r="E676" s="2"/>
      <c r="F676" s="2"/>
      <c r="G676" s="2"/>
      <c r="H676" s="2"/>
      <c r="I676" s="2"/>
      <c r="J676" s="2"/>
      <c r="K676" s="2"/>
      <c r="L676" s="2"/>
      <c r="M676" s="2"/>
    </row>
    <row r="677" spans="1:13" x14ac:dyDescent="0.2">
      <c r="A677" s="2"/>
      <c r="B677" s="2"/>
      <c r="C677" s="2"/>
      <c r="D677" s="2"/>
      <c r="E677" s="2"/>
      <c r="F677" s="2"/>
      <c r="G677" s="2"/>
      <c r="H677" s="2"/>
      <c r="I677" s="2"/>
      <c r="J677" s="2"/>
      <c r="K677" s="2"/>
      <c r="L677" s="2"/>
      <c r="M677" s="2"/>
    </row>
    <row r="678" spans="1:13" x14ac:dyDescent="0.2">
      <c r="A678" s="2"/>
      <c r="B678" s="2"/>
      <c r="C678" s="2"/>
      <c r="D678" s="2"/>
      <c r="E678" s="2"/>
      <c r="F678" s="2"/>
      <c r="G678" s="2"/>
      <c r="H678" s="2"/>
      <c r="I678" s="2"/>
      <c r="J678" s="2"/>
      <c r="K678" s="2"/>
      <c r="L678" s="2"/>
      <c r="M678" s="2"/>
    </row>
    <row r="679" spans="1:13" x14ac:dyDescent="0.2">
      <c r="A679" s="2"/>
      <c r="B679" s="2"/>
      <c r="C679" s="2"/>
      <c r="D679" s="2"/>
      <c r="E679" s="2"/>
      <c r="F679" s="2"/>
      <c r="G679" s="2"/>
      <c r="H679" s="2"/>
      <c r="I679" s="2"/>
      <c r="J679" s="2"/>
      <c r="K679" s="2"/>
      <c r="L679" s="2"/>
      <c r="M679" s="2"/>
    </row>
    <row r="680" spans="1:13" x14ac:dyDescent="0.2">
      <c r="A680" s="2"/>
      <c r="B680" s="2"/>
      <c r="C680" s="2"/>
      <c r="D680" s="2"/>
      <c r="E680" s="2"/>
      <c r="F680" s="2"/>
      <c r="G680" s="2"/>
      <c r="H680" s="2"/>
      <c r="I680" s="2"/>
      <c r="J680" s="2"/>
      <c r="K680" s="2"/>
      <c r="L680" s="2"/>
      <c r="M680" s="2"/>
    </row>
    <row r="681" spans="1:13" x14ac:dyDescent="0.2">
      <c r="A681" s="2"/>
      <c r="B681" s="2"/>
      <c r="C681" s="2"/>
      <c r="D681" s="2"/>
      <c r="E681" s="2"/>
      <c r="F681" s="2"/>
      <c r="G681" s="2"/>
      <c r="H681" s="2"/>
      <c r="I681" s="2"/>
      <c r="J681" s="2"/>
      <c r="K681" s="2"/>
      <c r="L681" s="2"/>
      <c r="M681" s="2"/>
    </row>
    <row r="682" spans="1:13" x14ac:dyDescent="0.2">
      <c r="A682" s="2"/>
      <c r="B682" s="2"/>
      <c r="C682" s="2"/>
      <c r="D682" s="2"/>
      <c r="E682" s="2"/>
      <c r="F682" s="2"/>
      <c r="G682" s="2"/>
      <c r="H682" s="2"/>
      <c r="I682" s="2"/>
      <c r="J682" s="2"/>
      <c r="K682" s="2"/>
      <c r="L682" s="2"/>
      <c r="M682" s="2"/>
    </row>
    <row r="683" spans="1:13" x14ac:dyDescent="0.2">
      <c r="A683" s="2"/>
      <c r="B683" s="2"/>
      <c r="C683" s="2"/>
      <c r="D683" s="2"/>
      <c r="E683" s="2"/>
      <c r="F683" s="2"/>
      <c r="G683" s="2"/>
      <c r="H683" s="2"/>
      <c r="I683" s="2"/>
      <c r="J683" s="2"/>
      <c r="K683" s="2"/>
      <c r="L683" s="2"/>
      <c r="M683" s="2"/>
    </row>
    <row r="684" spans="1:13" x14ac:dyDescent="0.2">
      <c r="A684" s="2"/>
      <c r="B684" s="2"/>
      <c r="C684" s="2"/>
      <c r="D684" s="2"/>
      <c r="E684" s="2"/>
      <c r="F684" s="2"/>
      <c r="G684" s="2"/>
      <c r="H684" s="2"/>
      <c r="I684" s="2"/>
      <c r="J684" s="2"/>
      <c r="K684" s="2"/>
      <c r="L684" s="2"/>
      <c r="M684" s="2"/>
    </row>
    <row r="685" spans="1:13" x14ac:dyDescent="0.2">
      <c r="A685" s="2"/>
      <c r="B685" s="2"/>
      <c r="C685" s="2"/>
      <c r="D685" s="2"/>
      <c r="E685" s="2"/>
      <c r="F685" s="2"/>
      <c r="G685" s="2"/>
      <c r="H685" s="2"/>
      <c r="I685" s="2"/>
      <c r="J685" s="2"/>
      <c r="K685" s="2"/>
      <c r="L685" s="2"/>
      <c r="M685" s="2"/>
    </row>
    <row r="686" spans="1:13" x14ac:dyDescent="0.2">
      <c r="A686" s="2"/>
      <c r="B686" s="2"/>
      <c r="C686" s="2"/>
      <c r="D686" s="2"/>
      <c r="E686" s="2"/>
      <c r="F686" s="2"/>
      <c r="G686" s="2"/>
      <c r="H686" s="2"/>
      <c r="I686" s="2"/>
      <c r="J686" s="2"/>
      <c r="K686" s="2"/>
      <c r="L686" s="2"/>
      <c r="M686" s="2"/>
    </row>
    <row r="687" spans="1:13" x14ac:dyDescent="0.2">
      <c r="A687" s="2"/>
      <c r="B687" s="2"/>
      <c r="C687" s="2"/>
      <c r="D687" s="2"/>
      <c r="E687" s="2"/>
      <c r="F687" s="2"/>
      <c r="G687" s="2"/>
      <c r="H687" s="2"/>
      <c r="I687" s="2"/>
      <c r="J687" s="2"/>
      <c r="K687" s="2"/>
      <c r="L687" s="2"/>
      <c r="M687" s="2"/>
    </row>
    <row r="688" spans="1:13" x14ac:dyDescent="0.2">
      <c r="A688" s="2"/>
      <c r="B688" s="2"/>
      <c r="C688" s="2"/>
      <c r="D688" s="2"/>
      <c r="E688" s="2"/>
      <c r="F688" s="2"/>
      <c r="G688" s="2"/>
      <c r="H688" s="2"/>
      <c r="I688" s="2"/>
      <c r="J688" s="2"/>
      <c r="K688" s="2"/>
      <c r="L688" s="2"/>
      <c r="M688" s="2"/>
    </row>
    <row r="689" spans="1:13" x14ac:dyDescent="0.2">
      <c r="A689" s="2"/>
      <c r="B689" s="2"/>
      <c r="C689" s="2"/>
      <c r="D689" s="2"/>
      <c r="E689" s="2"/>
      <c r="F689" s="2"/>
      <c r="G689" s="2"/>
      <c r="H689" s="2"/>
      <c r="I689" s="2"/>
      <c r="J689" s="2"/>
      <c r="K689" s="2"/>
      <c r="L689" s="2"/>
      <c r="M689" s="2"/>
    </row>
    <row r="690" spans="1:13" x14ac:dyDescent="0.2">
      <c r="A690" s="2"/>
      <c r="B690" s="2"/>
      <c r="C690" s="2"/>
      <c r="D690" s="2"/>
      <c r="E690" s="2"/>
      <c r="F690" s="2"/>
      <c r="G690" s="2"/>
      <c r="H690" s="2"/>
      <c r="I690" s="2"/>
      <c r="J690" s="2"/>
      <c r="K690" s="2"/>
      <c r="L690" s="2"/>
      <c r="M690" s="2"/>
    </row>
    <row r="691" spans="1:13" x14ac:dyDescent="0.2">
      <c r="A691" s="2"/>
      <c r="B691" s="2"/>
      <c r="C691" s="2"/>
      <c r="D691" s="2"/>
      <c r="E691" s="2"/>
      <c r="F691" s="2"/>
      <c r="G691" s="2"/>
      <c r="H691" s="2"/>
      <c r="I691" s="2"/>
      <c r="J691" s="2"/>
      <c r="K691" s="2"/>
      <c r="L691" s="2"/>
      <c r="M691" s="2"/>
    </row>
    <row r="692" spans="1:13" x14ac:dyDescent="0.2">
      <c r="A692" s="2"/>
      <c r="B692" s="2"/>
      <c r="C692" s="2"/>
      <c r="D692" s="2"/>
      <c r="E692" s="2"/>
      <c r="F692" s="2"/>
      <c r="G692" s="2"/>
      <c r="H692" s="2"/>
      <c r="I692" s="2"/>
      <c r="J692" s="2"/>
      <c r="K692" s="2"/>
      <c r="L692" s="2"/>
      <c r="M692" s="2"/>
    </row>
    <row r="693" spans="1:13" x14ac:dyDescent="0.2">
      <c r="A693" s="2"/>
      <c r="B693" s="2"/>
      <c r="C693" s="2"/>
      <c r="D693" s="2"/>
      <c r="E693" s="2"/>
      <c r="F693" s="2"/>
      <c r="G693" s="2"/>
      <c r="H693" s="2"/>
      <c r="I693" s="2"/>
      <c r="J693" s="2"/>
      <c r="K693" s="2"/>
      <c r="L693" s="2"/>
      <c r="M693" s="2"/>
    </row>
    <row r="694" spans="1:13" x14ac:dyDescent="0.2">
      <c r="A694" s="2"/>
      <c r="B694" s="2"/>
      <c r="C694" s="2"/>
      <c r="D694" s="2"/>
      <c r="E694" s="2"/>
      <c r="F694" s="2"/>
      <c r="G694" s="2"/>
      <c r="H694" s="2"/>
      <c r="I694" s="2"/>
      <c r="J694" s="2"/>
      <c r="K694" s="2"/>
      <c r="L694" s="2"/>
      <c r="M694" s="2"/>
    </row>
    <row r="695" spans="1:13" x14ac:dyDescent="0.2">
      <c r="A695" s="2"/>
      <c r="B695" s="2"/>
      <c r="C695" s="2"/>
      <c r="D695" s="2"/>
      <c r="E695" s="2"/>
      <c r="F695" s="2"/>
      <c r="G695" s="2"/>
      <c r="H695" s="2"/>
      <c r="I695" s="2"/>
      <c r="J695" s="2"/>
      <c r="K695" s="2"/>
      <c r="L695" s="2"/>
      <c r="M695" s="2"/>
    </row>
    <row r="696" spans="1:13" x14ac:dyDescent="0.2">
      <c r="A696" s="2"/>
      <c r="B696" s="2"/>
      <c r="C696" s="2"/>
      <c r="D696" s="2"/>
      <c r="E696" s="2"/>
      <c r="F696" s="2"/>
      <c r="G696" s="2"/>
      <c r="H696" s="2"/>
      <c r="I696" s="2"/>
      <c r="J696" s="2"/>
      <c r="K696" s="2"/>
      <c r="L696" s="2"/>
      <c r="M696" s="2"/>
    </row>
    <row r="697" spans="1:13" x14ac:dyDescent="0.2">
      <c r="A697" s="2"/>
      <c r="B697" s="2"/>
      <c r="C697" s="2"/>
      <c r="D697" s="2"/>
      <c r="E697" s="2"/>
      <c r="F697" s="2"/>
      <c r="G697" s="2"/>
      <c r="H697" s="2"/>
      <c r="I697" s="2"/>
      <c r="J697" s="2"/>
      <c r="K697" s="2"/>
      <c r="L697" s="2"/>
      <c r="M697" s="2"/>
    </row>
    <row r="698" spans="1:13" x14ac:dyDescent="0.2">
      <c r="A698" s="2"/>
      <c r="B698" s="2"/>
      <c r="C698" s="2"/>
      <c r="D698" s="2"/>
      <c r="E698" s="2"/>
      <c r="F698" s="2"/>
      <c r="G698" s="2"/>
      <c r="H698" s="2"/>
      <c r="I698" s="2"/>
      <c r="J698" s="2"/>
      <c r="K698" s="2"/>
      <c r="L698" s="2"/>
      <c r="M698" s="2"/>
    </row>
    <row r="699" spans="1:13" x14ac:dyDescent="0.2">
      <c r="A699" s="2"/>
      <c r="B699" s="2"/>
      <c r="C699" s="2"/>
      <c r="D699" s="2"/>
      <c r="E699" s="2"/>
      <c r="F699" s="2"/>
      <c r="G699" s="2"/>
      <c r="H699" s="2"/>
      <c r="I699" s="2"/>
      <c r="J699" s="2"/>
      <c r="K699" s="2"/>
      <c r="L699" s="2"/>
      <c r="M699" s="2"/>
    </row>
    <row r="700" spans="1:13" x14ac:dyDescent="0.2">
      <c r="A700" s="2"/>
      <c r="B700" s="2"/>
      <c r="C700" s="2"/>
      <c r="D700" s="2"/>
      <c r="E700" s="2"/>
      <c r="F700" s="2"/>
      <c r="G700" s="2"/>
      <c r="H700" s="2"/>
      <c r="I700" s="2"/>
      <c r="J700" s="2"/>
      <c r="K700" s="2"/>
      <c r="L700" s="2"/>
      <c r="M700" s="2"/>
    </row>
    <row r="701" spans="1:13" x14ac:dyDescent="0.2">
      <c r="A701" s="2"/>
      <c r="B701" s="2"/>
      <c r="C701" s="2"/>
      <c r="D701" s="2"/>
      <c r="E701" s="2"/>
      <c r="F701" s="2"/>
      <c r="G701" s="2"/>
      <c r="H701" s="2"/>
      <c r="I701" s="2"/>
      <c r="J701" s="2"/>
      <c r="K701" s="2"/>
      <c r="L701" s="2"/>
      <c r="M701" s="2"/>
    </row>
    <row r="702" spans="1:13" x14ac:dyDescent="0.2">
      <c r="A702" s="2"/>
      <c r="B702" s="2"/>
      <c r="C702" s="2"/>
      <c r="D702" s="2"/>
      <c r="E702" s="2"/>
      <c r="F702" s="2"/>
      <c r="G702" s="2"/>
      <c r="H702" s="2"/>
      <c r="I702" s="2"/>
      <c r="J702" s="2"/>
      <c r="K702" s="2"/>
      <c r="L702" s="2"/>
      <c r="M702" s="2"/>
    </row>
    <row r="703" spans="1:13" x14ac:dyDescent="0.2">
      <c r="A703" s="2"/>
      <c r="B703" s="2"/>
      <c r="C703" s="2"/>
      <c r="D703" s="2"/>
      <c r="E703" s="2"/>
      <c r="F703" s="2"/>
      <c r="G703" s="2"/>
      <c r="H703" s="2"/>
      <c r="I703" s="2"/>
      <c r="J703" s="2"/>
      <c r="K703" s="2"/>
      <c r="L703" s="2"/>
      <c r="M703" s="2"/>
    </row>
    <row r="704" spans="1:13" x14ac:dyDescent="0.2">
      <c r="A704" s="2"/>
      <c r="B704" s="2"/>
      <c r="C704" s="2"/>
      <c r="D704" s="2"/>
      <c r="E704" s="2"/>
      <c r="F704" s="2"/>
      <c r="G704" s="2"/>
      <c r="H704" s="2"/>
      <c r="I704" s="2"/>
      <c r="J704" s="2"/>
      <c r="K704" s="2"/>
      <c r="L704" s="2"/>
      <c r="M704" s="2"/>
    </row>
    <row r="705" spans="1:13" x14ac:dyDescent="0.2">
      <c r="A705" s="2"/>
      <c r="B705" s="2"/>
      <c r="C705" s="2"/>
      <c r="D705" s="2"/>
      <c r="E705" s="2"/>
      <c r="F705" s="2"/>
      <c r="G705" s="2"/>
      <c r="H705" s="2"/>
      <c r="I705" s="2"/>
      <c r="J705" s="2"/>
      <c r="K705" s="2"/>
      <c r="L705" s="2"/>
      <c r="M705" s="2"/>
    </row>
    <row r="706" spans="1:13" x14ac:dyDescent="0.2">
      <c r="A706" s="2"/>
      <c r="B706" s="2"/>
      <c r="C706" s="2"/>
      <c r="D706" s="2"/>
      <c r="E706" s="2"/>
      <c r="F706" s="2"/>
      <c r="G706" s="2"/>
      <c r="H706" s="2"/>
      <c r="I706" s="2"/>
      <c r="J706" s="2"/>
      <c r="K706" s="2"/>
      <c r="L706" s="2"/>
      <c r="M706" s="2"/>
    </row>
    <row r="707" spans="1:13" x14ac:dyDescent="0.2">
      <c r="A707" s="2"/>
      <c r="B707" s="2"/>
      <c r="C707" s="2"/>
      <c r="D707" s="2"/>
      <c r="E707" s="2"/>
      <c r="F707" s="2"/>
      <c r="G707" s="2"/>
      <c r="H707" s="2"/>
      <c r="I707" s="2"/>
      <c r="J707" s="2"/>
      <c r="K707" s="2"/>
      <c r="L707" s="2"/>
      <c r="M707" s="2"/>
    </row>
    <row r="708" spans="1:13" x14ac:dyDescent="0.2">
      <c r="A708" s="2"/>
      <c r="B708" s="2"/>
      <c r="C708" s="2"/>
      <c r="D708" s="2"/>
      <c r="E708" s="2"/>
      <c r="F708" s="2"/>
      <c r="G708" s="2"/>
      <c r="H708" s="2"/>
      <c r="I708" s="2"/>
      <c r="J708" s="2"/>
      <c r="K708" s="2"/>
      <c r="L708" s="2"/>
      <c r="M708" s="2"/>
    </row>
    <row r="709" spans="1:13" x14ac:dyDescent="0.2">
      <c r="A709" s="2"/>
      <c r="B709" s="2"/>
      <c r="C709" s="2"/>
      <c r="D709" s="2"/>
      <c r="E709" s="2"/>
      <c r="F709" s="2"/>
      <c r="G709" s="2"/>
      <c r="H709" s="2"/>
      <c r="I709" s="2"/>
      <c r="J709" s="2"/>
      <c r="K709" s="2"/>
      <c r="L709" s="2"/>
      <c r="M709" s="2"/>
    </row>
    <row r="710" spans="1:13" x14ac:dyDescent="0.2">
      <c r="A710" s="2"/>
      <c r="B710" s="2"/>
      <c r="C710" s="2"/>
      <c r="D710" s="2"/>
      <c r="E710" s="2"/>
      <c r="F710" s="2"/>
      <c r="G710" s="2"/>
      <c r="H710" s="2"/>
      <c r="I710" s="2"/>
      <c r="J710" s="2"/>
      <c r="K710" s="2"/>
      <c r="L710" s="2"/>
      <c r="M710" s="2"/>
    </row>
    <row r="711" spans="1:13" x14ac:dyDescent="0.2">
      <c r="A711" s="2"/>
      <c r="B711" s="2"/>
      <c r="C711" s="2"/>
      <c r="D711" s="2"/>
      <c r="E711" s="2"/>
      <c r="F711" s="2"/>
      <c r="G711" s="2"/>
      <c r="H711" s="2"/>
      <c r="I711" s="2"/>
      <c r="J711" s="2"/>
      <c r="K711" s="2"/>
      <c r="L711" s="2"/>
      <c r="M711" s="2"/>
    </row>
    <row r="712" spans="1:13" x14ac:dyDescent="0.2">
      <c r="A712" s="2"/>
      <c r="B712" s="2"/>
      <c r="C712" s="2"/>
      <c r="D712" s="2"/>
      <c r="E712" s="2"/>
      <c r="F712" s="2"/>
      <c r="G712" s="2"/>
      <c r="H712" s="2"/>
      <c r="I712" s="2"/>
      <c r="J712" s="2"/>
      <c r="K712" s="2"/>
      <c r="L712" s="2"/>
      <c r="M712" s="2"/>
    </row>
    <row r="713" spans="1:13" x14ac:dyDescent="0.2">
      <c r="A713" s="2"/>
      <c r="B713" s="2"/>
      <c r="C713" s="2"/>
      <c r="D713" s="2"/>
      <c r="E713" s="2"/>
      <c r="F713" s="2"/>
      <c r="G713" s="2"/>
      <c r="H713" s="2"/>
      <c r="I713" s="2"/>
      <c r="J713" s="2"/>
      <c r="K713" s="2"/>
      <c r="L713" s="2"/>
      <c r="M713" s="2"/>
    </row>
    <row r="714" spans="1:13" x14ac:dyDescent="0.2">
      <c r="A714" s="2"/>
      <c r="B714" s="2"/>
      <c r="C714" s="2"/>
      <c r="D714" s="2"/>
      <c r="E714" s="2"/>
      <c r="F714" s="2"/>
      <c r="G714" s="2"/>
      <c r="H714" s="2"/>
      <c r="I714" s="2"/>
      <c r="J714" s="2"/>
      <c r="K714" s="2"/>
      <c r="L714" s="2"/>
      <c r="M714" s="2"/>
    </row>
    <row r="715" spans="1:13" x14ac:dyDescent="0.2">
      <c r="A715" s="2"/>
      <c r="B715" s="2"/>
      <c r="C715" s="2"/>
      <c r="D715" s="2"/>
      <c r="E715" s="2"/>
      <c r="F715" s="2"/>
      <c r="G715" s="2"/>
      <c r="H715" s="2"/>
      <c r="I715" s="2"/>
      <c r="J715" s="2"/>
      <c r="K715" s="2"/>
      <c r="L715" s="2"/>
      <c r="M715" s="2"/>
    </row>
    <row r="716" spans="1:13" x14ac:dyDescent="0.2">
      <c r="A716" s="2"/>
      <c r="B716" s="2"/>
      <c r="C716" s="2"/>
      <c r="D716" s="2"/>
      <c r="E716" s="2"/>
      <c r="F716" s="2"/>
      <c r="G716" s="2"/>
      <c r="H716" s="2"/>
      <c r="I716" s="2"/>
      <c r="J716" s="2"/>
      <c r="K716" s="2"/>
      <c r="L716" s="2"/>
      <c r="M716" s="2"/>
    </row>
    <row r="717" spans="1:13" x14ac:dyDescent="0.2">
      <c r="A717" s="2"/>
      <c r="B717" s="2"/>
      <c r="C717" s="2"/>
      <c r="D717" s="2"/>
      <c r="E717" s="2"/>
      <c r="F717" s="2"/>
      <c r="G717" s="2"/>
      <c r="H717" s="2"/>
      <c r="I717" s="2"/>
      <c r="J717" s="2"/>
      <c r="K717" s="2"/>
      <c r="L717" s="2"/>
      <c r="M717" s="2"/>
    </row>
    <row r="718" spans="1:13" x14ac:dyDescent="0.2">
      <c r="A718" s="2"/>
      <c r="B718" s="2"/>
      <c r="C718" s="2"/>
      <c r="D718" s="2"/>
      <c r="E718" s="2"/>
      <c r="F718" s="2"/>
      <c r="G718" s="2"/>
      <c r="H718" s="2"/>
      <c r="I718" s="2"/>
      <c r="J718" s="2"/>
      <c r="K718" s="2"/>
      <c r="L718" s="2"/>
      <c r="M718" s="2"/>
    </row>
    <row r="719" spans="1:13" x14ac:dyDescent="0.2">
      <c r="A719" s="2"/>
      <c r="B719" s="2"/>
      <c r="C719" s="2"/>
      <c r="D719" s="2"/>
      <c r="E719" s="2"/>
      <c r="F719" s="2"/>
      <c r="G719" s="2"/>
      <c r="H719" s="2"/>
      <c r="I719" s="2"/>
      <c r="J719" s="2"/>
      <c r="K719" s="2"/>
      <c r="L719" s="2"/>
      <c r="M719" s="2"/>
    </row>
    <row r="720" spans="1:13" x14ac:dyDescent="0.2">
      <c r="A720" s="2"/>
      <c r="B720" s="2"/>
      <c r="C720" s="2"/>
      <c r="D720" s="2"/>
      <c r="E720" s="2"/>
      <c r="F720" s="2"/>
      <c r="G720" s="2"/>
      <c r="H720" s="2"/>
      <c r="I720" s="2"/>
      <c r="J720" s="2"/>
      <c r="K720" s="2"/>
      <c r="L720" s="2"/>
      <c r="M720" s="2"/>
    </row>
    <row r="721" spans="1:13" x14ac:dyDescent="0.2">
      <c r="A721" s="2"/>
      <c r="B721" s="2"/>
      <c r="C721" s="2"/>
      <c r="D721" s="2"/>
      <c r="E721" s="2"/>
      <c r="F721" s="2"/>
      <c r="G721" s="2"/>
      <c r="H721" s="2"/>
      <c r="I721" s="2"/>
      <c r="J721" s="2"/>
      <c r="K721" s="2"/>
      <c r="L721" s="2"/>
      <c r="M721" s="2"/>
    </row>
    <row r="722" spans="1:13" x14ac:dyDescent="0.2">
      <c r="A722" s="2"/>
      <c r="B722" s="2"/>
      <c r="C722" s="2"/>
      <c r="D722" s="2"/>
      <c r="E722" s="2"/>
      <c r="F722" s="2"/>
      <c r="G722" s="2"/>
      <c r="H722" s="2"/>
      <c r="I722" s="2"/>
      <c r="J722" s="2"/>
      <c r="K722" s="2"/>
      <c r="L722" s="2"/>
      <c r="M722" s="2"/>
    </row>
    <row r="723" spans="1:13" x14ac:dyDescent="0.2">
      <c r="A723" s="2"/>
      <c r="B723" s="2"/>
      <c r="C723" s="2"/>
      <c r="D723" s="2"/>
      <c r="E723" s="2"/>
      <c r="F723" s="2"/>
      <c r="G723" s="2"/>
      <c r="H723" s="2"/>
      <c r="I723" s="2"/>
      <c r="J723" s="2"/>
      <c r="K723" s="2"/>
      <c r="L723" s="2"/>
      <c r="M723" s="2"/>
    </row>
    <row r="724" spans="1:13" x14ac:dyDescent="0.2">
      <c r="A724" s="2"/>
      <c r="B724" s="2"/>
      <c r="C724" s="2"/>
      <c r="D724" s="2"/>
      <c r="E724" s="2"/>
      <c r="F724" s="2"/>
      <c r="G724" s="2"/>
      <c r="H724" s="2"/>
      <c r="I724" s="2"/>
      <c r="J724" s="2"/>
      <c r="K724" s="2"/>
      <c r="L724" s="2"/>
      <c r="M724" s="2"/>
    </row>
    <row r="725" spans="1:13" x14ac:dyDescent="0.2">
      <c r="A725" s="2"/>
      <c r="B725" s="2"/>
      <c r="C725" s="2"/>
      <c r="D725" s="2"/>
      <c r="E725" s="2"/>
      <c r="F725" s="2"/>
      <c r="G725" s="2"/>
      <c r="H725" s="2"/>
      <c r="I725" s="2"/>
      <c r="J725" s="2"/>
      <c r="K725" s="2"/>
      <c r="L725" s="2"/>
      <c r="M725" s="2"/>
    </row>
    <row r="726" spans="1:13" x14ac:dyDescent="0.2">
      <c r="A726" s="2"/>
      <c r="B726" s="2"/>
      <c r="C726" s="2"/>
      <c r="D726" s="2"/>
      <c r="E726" s="2"/>
      <c r="F726" s="2"/>
      <c r="G726" s="2"/>
      <c r="H726" s="2"/>
      <c r="I726" s="2"/>
      <c r="J726" s="2"/>
      <c r="K726" s="2"/>
      <c r="L726" s="2"/>
      <c r="M726" s="2"/>
    </row>
    <row r="727" spans="1:13" x14ac:dyDescent="0.2">
      <c r="A727" s="2"/>
      <c r="B727" s="2"/>
      <c r="C727" s="2"/>
      <c r="D727" s="2"/>
      <c r="E727" s="2"/>
      <c r="F727" s="2"/>
      <c r="G727" s="2"/>
      <c r="H727" s="2"/>
      <c r="I727" s="2"/>
      <c r="J727" s="2"/>
      <c r="K727" s="2"/>
      <c r="L727" s="2"/>
      <c r="M727" s="2"/>
    </row>
    <row r="728" spans="1:13" x14ac:dyDescent="0.2">
      <c r="A728" s="2"/>
      <c r="B728" s="2"/>
      <c r="C728" s="2"/>
      <c r="D728" s="2"/>
      <c r="E728" s="2"/>
      <c r="F728" s="2"/>
      <c r="G728" s="2"/>
      <c r="H728" s="2"/>
      <c r="I728" s="2"/>
      <c r="J728" s="2"/>
      <c r="K728" s="2"/>
      <c r="L728" s="2"/>
      <c r="M728" s="2"/>
    </row>
    <row r="729" spans="1:13" x14ac:dyDescent="0.2">
      <c r="A729" s="2"/>
      <c r="B729" s="2"/>
      <c r="C729" s="2"/>
      <c r="D729" s="2"/>
      <c r="E729" s="2"/>
      <c r="F729" s="2"/>
      <c r="G729" s="2"/>
      <c r="H729" s="2"/>
      <c r="I729" s="2"/>
      <c r="J729" s="2"/>
      <c r="K729" s="2"/>
      <c r="L729" s="2"/>
      <c r="M729" s="2"/>
    </row>
    <row r="730" spans="1:13" x14ac:dyDescent="0.2">
      <c r="A730" s="2"/>
      <c r="B730" s="2"/>
      <c r="C730" s="2"/>
      <c r="D730" s="2"/>
      <c r="E730" s="2"/>
      <c r="F730" s="2"/>
      <c r="G730" s="2"/>
      <c r="H730" s="2"/>
      <c r="I730" s="2"/>
      <c r="J730" s="2"/>
      <c r="K730" s="2"/>
      <c r="L730" s="2"/>
      <c r="M730" s="2"/>
    </row>
    <row r="731" spans="1:13" x14ac:dyDescent="0.2">
      <c r="A731" s="2"/>
      <c r="B731" s="2"/>
      <c r="C731" s="2"/>
      <c r="D731" s="2"/>
      <c r="E731" s="2"/>
      <c r="F731" s="2"/>
      <c r="G731" s="2"/>
      <c r="H731" s="2"/>
      <c r="I731" s="2"/>
      <c r="J731" s="2"/>
      <c r="K731" s="2"/>
      <c r="L731" s="2"/>
      <c r="M731" s="2"/>
    </row>
    <row r="732" spans="1:13" x14ac:dyDescent="0.2">
      <c r="A732" s="2"/>
      <c r="B732" s="2"/>
      <c r="C732" s="2"/>
      <c r="D732" s="2"/>
      <c r="E732" s="2"/>
      <c r="F732" s="2"/>
      <c r="G732" s="2"/>
      <c r="H732" s="2"/>
      <c r="I732" s="2"/>
      <c r="J732" s="2"/>
      <c r="K732" s="2"/>
      <c r="L732" s="2"/>
      <c r="M732" s="2"/>
    </row>
    <row r="733" spans="1:13" x14ac:dyDescent="0.2">
      <c r="A733" s="2"/>
      <c r="B733" s="2"/>
      <c r="C733" s="2"/>
      <c r="D733" s="2"/>
      <c r="E733" s="2"/>
      <c r="F733" s="2"/>
      <c r="G733" s="2"/>
      <c r="H733" s="2"/>
      <c r="I733" s="2"/>
      <c r="J733" s="2"/>
      <c r="K733" s="2"/>
      <c r="L733" s="2"/>
      <c r="M733" s="2"/>
    </row>
    <row r="734" spans="1:13" x14ac:dyDescent="0.2">
      <c r="A734" s="2"/>
      <c r="B734" s="2"/>
      <c r="C734" s="2"/>
      <c r="D734" s="2"/>
      <c r="E734" s="2"/>
      <c r="F734" s="2"/>
      <c r="G734" s="2"/>
      <c r="H734" s="2"/>
      <c r="I734" s="2"/>
      <c r="J734" s="2"/>
      <c r="K734" s="2"/>
      <c r="L734" s="2"/>
      <c r="M734" s="2"/>
    </row>
    <row r="735" spans="1:13" x14ac:dyDescent="0.2">
      <c r="A735" s="2"/>
      <c r="B735" s="2"/>
      <c r="C735" s="2"/>
      <c r="D735" s="2"/>
      <c r="E735" s="2"/>
      <c r="F735" s="2"/>
      <c r="G735" s="2"/>
      <c r="H735" s="2"/>
      <c r="I735" s="2"/>
      <c r="J735" s="2"/>
      <c r="K735" s="2"/>
      <c r="L735" s="2"/>
      <c r="M735" s="2"/>
    </row>
    <row r="736" spans="1:13" x14ac:dyDescent="0.2">
      <c r="A736" s="2"/>
      <c r="B736" s="2"/>
      <c r="C736" s="2"/>
      <c r="D736" s="2"/>
      <c r="E736" s="2"/>
      <c r="F736" s="2"/>
      <c r="G736" s="2"/>
      <c r="H736" s="2"/>
      <c r="I736" s="2"/>
      <c r="J736" s="2"/>
      <c r="K736" s="2"/>
      <c r="L736" s="2"/>
      <c r="M736" s="2"/>
    </row>
    <row r="737" spans="1:13" x14ac:dyDescent="0.2">
      <c r="A737" s="2"/>
      <c r="B737" s="2"/>
      <c r="C737" s="2"/>
      <c r="D737" s="2"/>
      <c r="E737" s="2"/>
      <c r="F737" s="2"/>
      <c r="G737" s="2"/>
      <c r="H737" s="2"/>
      <c r="I737" s="2"/>
      <c r="J737" s="2"/>
      <c r="K737" s="2"/>
      <c r="L737" s="2"/>
      <c r="M737" s="2"/>
    </row>
    <row r="738" spans="1:13" x14ac:dyDescent="0.2">
      <c r="A738" s="2"/>
      <c r="B738" s="2"/>
      <c r="C738" s="2"/>
      <c r="D738" s="2"/>
      <c r="E738" s="2"/>
      <c r="F738" s="2"/>
      <c r="G738" s="2"/>
      <c r="H738" s="2"/>
      <c r="I738" s="2"/>
      <c r="J738" s="2"/>
      <c r="K738" s="2"/>
      <c r="L738" s="2"/>
      <c r="M738" s="2"/>
    </row>
    <row r="739" spans="1:13" x14ac:dyDescent="0.2">
      <c r="A739" s="2"/>
      <c r="B739" s="2"/>
      <c r="C739" s="2"/>
      <c r="D739" s="2"/>
      <c r="E739" s="2"/>
      <c r="F739" s="2"/>
      <c r="G739" s="2"/>
      <c r="H739" s="2"/>
      <c r="I739" s="2"/>
      <c r="J739" s="2"/>
      <c r="K739" s="2"/>
      <c r="L739" s="2"/>
      <c r="M739" s="2"/>
    </row>
    <row r="740" spans="1:13" x14ac:dyDescent="0.2">
      <c r="A740" s="2"/>
      <c r="B740" s="2"/>
      <c r="C740" s="2"/>
      <c r="D740" s="2"/>
      <c r="E740" s="2"/>
      <c r="F740" s="2"/>
      <c r="G740" s="2"/>
      <c r="H740" s="2"/>
      <c r="I740" s="2"/>
      <c r="J740" s="2"/>
      <c r="K740" s="2"/>
      <c r="L740" s="2"/>
      <c r="M740" s="2"/>
    </row>
    <row r="741" spans="1:13" x14ac:dyDescent="0.2">
      <c r="A741" s="2"/>
      <c r="B741" s="2"/>
      <c r="C741" s="2"/>
      <c r="D741" s="2"/>
      <c r="E741" s="2"/>
      <c r="F741" s="2"/>
      <c r="G741" s="2"/>
      <c r="H741" s="2"/>
      <c r="I741" s="2"/>
      <c r="J741" s="2"/>
      <c r="K741" s="2"/>
      <c r="L741" s="2"/>
      <c r="M741" s="2"/>
    </row>
    <row r="742" spans="1:13" x14ac:dyDescent="0.2">
      <c r="A742" s="2"/>
      <c r="B742" s="2"/>
      <c r="C742" s="2"/>
      <c r="D742" s="2"/>
      <c r="E742" s="2"/>
      <c r="F742" s="2"/>
      <c r="G742" s="2"/>
      <c r="H742" s="2"/>
      <c r="I742" s="2"/>
      <c r="J742" s="2"/>
      <c r="K742" s="2"/>
      <c r="L742" s="2"/>
      <c r="M742" s="2"/>
    </row>
    <row r="743" spans="1:13" x14ac:dyDescent="0.2">
      <c r="A743" s="2"/>
      <c r="B743" s="2"/>
      <c r="C743" s="2"/>
      <c r="D743" s="2"/>
      <c r="E743" s="2"/>
      <c r="F743" s="2"/>
      <c r="G743" s="2"/>
      <c r="H743" s="2"/>
      <c r="I743" s="2"/>
      <c r="J743" s="2"/>
      <c r="K743" s="2"/>
      <c r="L743" s="2"/>
      <c r="M743" s="2"/>
    </row>
    <row r="744" spans="1:13" x14ac:dyDescent="0.2">
      <c r="A744" s="2"/>
      <c r="B744" s="2"/>
      <c r="C744" s="2"/>
      <c r="D744" s="2"/>
      <c r="E744" s="2"/>
      <c r="F744" s="2"/>
      <c r="G744" s="2"/>
      <c r="H744" s="2"/>
      <c r="I744" s="2"/>
      <c r="J744" s="2"/>
      <c r="K744" s="2"/>
      <c r="L744" s="2"/>
      <c r="M744" s="2"/>
    </row>
    <row r="745" spans="1:13" x14ac:dyDescent="0.2">
      <c r="A745" s="2"/>
      <c r="B745" s="2"/>
      <c r="C745" s="2"/>
      <c r="D745" s="2"/>
      <c r="E745" s="2"/>
      <c r="F745" s="2"/>
      <c r="G745" s="2"/>
      <c r="H745" s="2"/>
      <c r="I745" s="2"/>
      <c r="J745" s="2"/>
      <c r="K745" s="2"/>
      <c r="L745" s="2"/>
      <c r="M745" s="2"/>
    </row>
    <row r="746" spans="1:13" x14ac:dyDescent="0.2">
      <c r="A746" s="2"/>
      <c r="B746" s="2"/>
      <c r="C746" s="2"/>
      <c r="D746" s="2"/>
      <c r="E746" s="2"/>
      <c r="F746" s="2"/>
      <c r="G746" s="2"/>
      <c r="H746" s="2"/>
      <c r="I746" s="2"/>
      <c r="J746" s="2"/>
      <c r="K746" s="2"/>
      <c r="L746" s="2"/>
      <c r="M746" s="2"/>
    </row>
    <row r="747" spans="1:13" x14ac:dyDescent="0.2">
      <c r="A747" s="2"/>
      <c r="B747" s="2"/>
      <c r="C747" s="2"/>
      <c r="D747" s="2"/>
      <c r="E747" s="2"/>
      <c r="F747" s="2"/>
      <c r="G747" s="2"/>
      <c r="H747" s="2"/>
      <c r="I747" s="2"/>
      <c r="J747" s="2"/>
      <c r="K747" s="2"/>
      <c r="L747" s="2"/>
      <c r="M747" s="2"/>
    </row>
    <row r="748" spans="1:13" x14ac:dyDescent="0.2">
      <c r="A748" s="2"/>
      <c r="B748" s="2"/>
      <c r="C748" s="2"/>
      <c r="D748" s="2"/>
      <c r="E748" s="2"/>
      <c r="F748" s="2"/>
      <c r="G748" s="2"/>
      <c r="H748" s="2"/>
      <c r="I748" s="2"/>
      <c r="J748" s="2"/>
      <c r="K748" s="2"/>
      <c r="L748" s="2"/>
      <c r="M748" s="2"/>
    </row>
    <row r="749" spans="1:13" x14ac:dyDescent="0.2">
      <c r="A749" s="2"/>
      <c r="B749" s="2"/>
      <c r="C749" s="2"/>
      <c r="D749" s="2"/>
      <c r="E749" s="2"/>
      <c r="F749" s="2"/>
      <c r="G749" s="2"/>
      <c r="H749" s="2"/>
      <c r="I749" s="2"/>
      <c r="J749" s="2"/>
      <c r="K749" s="2"/>
      <c r="L749" s="2"/>
      <c r="M749" s="2"/>
    </row>
    <row r="750" spans="1:13" x14ac:dyDescent="0.2">
      <c r="A750" s="2"/>
      <c r="B750" s="2"/>
      <c r="C750" s="2"/>
      <c r="D750" s="2"/>
      <c r="E750" s="2"/>
      <c r="F750" s="2"/>
      <c r="G750" s="2"/>
      <c r="H750" s="2"/>
      <c r="I750" s="2"/>
      <c r="J750" s="2"/>
      <c r="K750" s="2"/>
      <c r="L750" s="2"/>
      <c r="M750" s="2"/>
    </row>
    <row r="751" spans="1:13" x14ac:dyDescent="0.2">
      <c r="A751" s="2"/>
      <c r="B751" s="2"/>
      <c r="C751" s="2"/>
      <c r="D751" s="2"/>
      <c r="E751" s="2"/>
      <c r="F751" s="2"/>
      <c r="G751" s="2"/>
      <c r="H751" s="2"/>
      <c r="I751" s="2"/>
      <c r="J751" s="2"/>
      <c r="K751" s="2"/>
      <c r="L751" s="2"/>
      <c r="M751" s="2"/>
    </row>
    <row r="752" spans="1:13" x14ac:dyDescent="0.2">
      <c r="A752" s="2"/>
      <c r="B752" s="2"/>
      <c r="C752" s="2"/>
      <c r="D752" s="2"/>
      <c r="E752" s="2"/>
      <c r="F752" s="2"/>
      <c r="G752" s="2"/>
      <c r="H752" s="2"/>
      <c r="I752" s="2"/>
      <c r="J752" s="2"/>
      <c r="K752" s="2"/>
      <c r="L752" s="2"/>
      <c r="M752" s="2"/>
    </row>
    <row r="753" spans="1:13" x14ac:dyDescent="0.2">
      <c r="A753" s="2"/>
      <c r="B753" s="2"/>
      <c r="C753" s="2"/>
      <c r="D753" s="2"/>
      <c r="E753" s="2"/>
      <c r="F753" s="2"/>
      <c r="G753" s="2"/>
      <c r="H753" s="2"/>
      <c r="I753" s="2"/>
      <c r="J753" s="2"/>
      <c r="K753" s="2"/>
      <c r="L753" s="2"/>
      <c r="M753" s="2"/>
    </row>
    <row r="754" spans="1:13" x14ac:dyDescent="0.2">
      <c r="A754" s="2"/>
      <c r="B754" s="2"/>
      <c r="C754" s="2"/>
      <c r="D754" s="2"/>
      <c r="E754" s="2"/>
      <c r="F754" s="2"/>
      <c r="G754" s="2"/>
      <c r="H754" s="2"/>
      <c r="I754" s="2"/>
      <c r="J754" s="2"/>
      <c r="K754" s="2"/>
      <c r="L754" s="2"/>
      <c r="M754" s="2"/>
    </row>
    <row r="755" spans="1:13" x14ac:dyDescent="0.2">
      <c r="A755" s="2"/>
      <c r="B755" s="2"/>
      <c r="C755" s="2"/>
      <c r="D755" s="2"/>
      <c r="E755" s="2"/>
      <c r="F755" s="2"/>
      <c r="G755" s="2"/>
      <c r="H755" s="2"/>
      <c r="I755" s="2"/>
      <c r="J755" s="2"/>
      <c r="K755" s="2"/>
      <c r="L755" s="2"/>
      <c r="M755" s="2"/>
    </row>
    <row r="756" spans="1:13" x14ac:dyDescent="0.2">
      <c r="A756" s="2"/>
      <c r="B756" s="2"/>
      <c r="C756" s="2"/>
      <c r="D756" s="2"/>
      <c r="E756" s="2"/>
      <c r="F756" s="2"/>
      <c r="G756" s="2"/>
      <c r="H756" s="2"/>
      <c r="I756" s="2"/>
      <c r="J756" s="2"/>
      <c r="K756" s="2"/>
      <c r="L756" s="2"/>
      <c r="M756" s="2"/>
    </row>
    <row r="757" spans="1:13" x14ac:dyDescent="0.2">
      <c r="A757" s="2"/>
      <c r="B757" s="2"/>
      <c r="C757" s="2"/>
      <c r="D757" s="2"/>
      <c r="E757" s="2"/>
      <c r="F757" s="2"/>
      <c r="G757" s="2"/>
      <c r="H757" s="2"/>
      <c r="I757" s="2"/>
      <c r="J757" s="2"/>
      <c r="K757" s="2"/>
      <c r="L757" s="2"/>
      <c r="M757" s="2"/>
    </row>
    <row r="758" spans="1:13" x14ac:dyDescent="0.2">
      <c r="A758" s="2"/>
      <c r="B758" s="2"/>
      <c r="C758" s="2"/>
      <c r="D758" s="2"/>
      <c r="E758" s="2"/>
      <c r="F758" s="2"/>
      <c r="G758" s="2"/>
      <c r="H758" s="2"/>
      <c r="I758" s="2"/>
      <c r="J758" s="2"/>
      <c r="K758" s="2"/>
      <c r="L758" s="2"/>
      <c r="M758" s="2"/>
    </row>
    <row r="759" spans="1:13" x14ac:dyDescent="0.2">
      <c r="A759" s="2"/>
      <c r="B759" s="2"/>
      <c r="C759" s="2"/>
      <c r="D759" s="2"/>
      <c r="E759" s="2"/>
      <c r="F759" s="2"/>
      <c r="G759" s="2"/>
      <c r="H759" s="2"/>
      <c r="I759" s="2"/>
      <c r="J759" s="2"/>
      <c r="K759" s="2"/>
      <c r="L759" s="2"/>
      <c r="M759" s="2"/>
    </row>
    <row r="760" spans="1:13" x14ac:dyDescent="0.2">
      <c r="A760" s="2"/>
      <c r="B760" s="2"/>
      <c r="C760" s="2"/>
      <c r="D760" s="2"/>
      <c r="E760" s="2"/>
      <c r="F760" s="2"/>
      <c r="G760" s="2"/>
      <c r="H760" s="2"/>
      <c r="I760" s="2"/>
      <c r="J760" s="2"/>
      <c r="K760" s="2"/>
      <c r="L760" s="2"/>
      <c r="M760" s="2"/>
    </row>
    <row r="761" spans="1:13" x14ac:dyDescent="0.2">
      <c r="A761" s="2"/>
      <c r="B761" s="2"/>
      <c r="C761" s="2"/>
      <c r="D761" s="2"/>
      <c r="E761" s="2"/>
      <c r="F761" s="2"/>
      <c r="G761" s="2"/>
      <c r="H761" s="2"/>
      <c r="I761" s="2"/>
      <c r="J761" s="2"/>
      <c r="K761" s="2"/>
      <c r="L761" s="2"/>
      <c r="M761" s="2"/>
    </row>
    <row r="762" spans="1:13" x14ac:dyDescent="0.2">
      <c r="A762" s="2"/>
      <c r="B762" s="2"/>
      <c r="C762" s="2"/>
      <c r="D762" s="2"/>
      <c r="E762" s="2"/>
      <c r="F762" s="2"/>
      <c r="G762" s="2"/>
      <c r="H762" s="2"/>
      <c r="I762" s="2"/>
      <c r="J762" s="2"/>
      <c r="K762" s="2"/>
      <c r="L762" s="2"/>
      <c r="M762" s="2"/>
    </row>
    <row r="763" spans="1:13" x14ac:dyDescent="0.2">
      <c r="A763" s="2"/>
      <c r="B763" s="2"/>
      <c r="C763" s="2"/>
      <c r="D763" s="2"/>
      <c r="E763" s="2"/>
      <c r="F763" s="2"/>
      <c r="G763" s="2"/>
      <c r="H763" s="2"/>
      <c r="I763" s="2"/>
      <c r="J763" s="2"/>
      <c r="K763" s="2"/>
      <c r="L763" s="2"/>
      <c r="M763" s="2"/>
    </row>
    <row r="764" spans="1:13" x14ac:dyDescent="0.2">
      <c r="A764" s="2"/>
      <c r="B764" s="2"/>
      <c r="C764" s="2"/>
      <c r="D764" s="2"/>
      <c r="E764" s="2"/>
      <c r="F764" s="2"/>
      <c r="G764" s="2"/>
      <c r="H764" s="2"/>
      <c r="I764" s="2"/>
      <c r="J764" s="2"/>
      <c r="K764" s="2"/>
      <c r="L764" s="2"/>
      <c r="M764" s="2"/>
    </row>
    <row r="765" spans="1:13" x14ac:dyDescent="0.2">
      <c r="A765" s="2"/>
      <c r="B765" s="2"/>
      <c r="C765" s="2"/>
      <c r="D765" s="2"/>
      <c r="E765" s="2"/>
      <c r="F765" s="2"/>
      <c r="G765" s="2"/>
      <c r="H765" s="2"/>
      <c r="I765" s="2"/>
      <c r="J765" s="2"/>
      <c r="K765" s="2"/>
      <c r="L765" s="2"/>
      <c r="M765" s="2"/>
    </row>
    <row r="766" spans="1:13" x14ac:dyDescent="0.2">
      <c r="A766" s="2"/>
      <c r="B766" s="2"/>
      <c r="C766" s="2"/>
      <c r="D766" s="2"/>
      <c r="E766" s="2"/>
      <c r="F766" s="2"/>
      <c r="G766" s="2"/>
      <c r="H766" s="2"/>
      <c r="I766" s="2"/>
      <c r="J766" s="2"/>
      <c r="K766" s="2"/>
      <c r="L766" s="2"/>
      <c r="M766" s="2"/>
    </row>
    <row r="767" spans="1:13" x14ac:dyDescent="0.2">
      <c r="A767" s="2"/>
      <c r="B767" s="2"/>
      <c r="C767" s="2"/>
      <c r="D767" s="2"/>
      <c r="E767" s="2"/>
      <c r="F767" s="2"/>
      <c r="G767" s="2"/>
      <c r="H767" s="2"/>
      <c r="I767" s="2"/>
      <c r="J767" s="2"/>
      <c r="K767" s="2"/>
      <c r="L767" s="2"/>
      <c r="M767" s="2"/>
    </row>
    <row r="768" spans="1:13" x14ac:dyDescent="0.2">
      <c r="A768" s="2"/>
      <c r="B768" s="2"/>
      <c r="C768" s="2"/>
      <c r="D768" s="2"/>
      <c r="E768" s="2"/>
      <c r="F768" s="2"/>
      <c r="G768" s="2"/>
      <c r="H768" s="2"/>
      <c r="I768" s="2"/>
      <c r="J768" s="2"/>
      <c r="K768" s="2"/>
      <c r="L768" s="2"/>
      <c r="M768" s="2"/>
    </row>
    <row r="769" spans="1:13" x14ac:dyDescent="0.2">
      <c r="A769" s="2"/>
      <c r="B769" s="2"/>
      <c r="C769" s="2"/>
      <c r="D769" s="2"/>
      <c r="E769" s="2"/>
      <c r="F769" s="2"/>
      <c r="G769" s="2"/>
      <c r="H769" s="2"/>
      <c r="I769" s="2"/>
      <c r="J769" s="2"/>
      <c r="K769" s="2"/>
      <c r="L769" s="2"/>
      <c r="M769" s="2"/>
    </row>
    <row r="770" spans="1:13" x14ac:dyDescent="0.2">
      <c r="A770" s="2"/>
      <c r="B770" s="2"/>
      <c r="C770" s="2"/>
      <c r="D770" s="2"/>
      <c r="E770" s="2"/>
      <c r="F770" s="2"/>
      <c r="G770" s="2"/>
      <c r="H770" s="2"/>
      <c r="I770" s="2"/>
      <c r="J770" s="2"/>
      <c r="K770" s="2"/>
      <c r="L770" s="2"/>
      <c r="M770" s="2"/>
    </row>
    <row r="771" spans="1:13" x14ac:dyDescent="0.2">
      <c r="A771" s="2"/>
      <c r="B771" s="2"/>
      <c r="C771" s="2"/>
      <c r="D771" s="2"/>
      <c r="E771" s="2"/>
      <c r="F771" s="2"/>
      <c r="G771" s="2"/>
      <c r="H771" s="2"/>
      <c r="I771" s="2"/>
      <c r="J771" s="2"/>
      <c r="K771" s="2"/>
      <c r="L771" s="2"/>
      <c r="M771" s="2"/>
    </row>
    <row r="772" spans="1:13" x14ac:dyDescent="0.2">
      <c r="A772" s="2"/>
      <c r="B772" s="2"/>
      <c r="C772" s="2"/>
      <c r="D772" s="2"/>
      <c r="E772" s="2"/>
      <c r="F772" s="2"/>
      <c r="G772" s="2"/>
      <c r="H772" s="2"/>
      <c r="I772" s="2"/>
      <c r="J772" s="2"/>
      <c r="K772" s="2"/>
      <c r="L772" s="2"/>
      <c r="M772" s="2"/>
    </row>
    <row r="773" spans="1:13" x14ac:dyDescent="0.2">
      <c r="A773" s="2"/>
      <c r="B773" s="2"/>
      <c r="C773" s="2"/>
      <c r="D773" s="2"/>
      <c r="E773" s="2"/>
      <c r="F773" s="2"/>
      <c r="G773" s="2"/>
      <c r="H773" s="2"/>
      <c r="I773" s="2"/>
      <c r="J773" s="2"/>
      <c r="K773" s="2"/>
      <c r="L773" s="2"/>
      <c r="M773" s="2"/>
    </row>
    <row r="774" spans="1:13" x14ac:dyDescent="0.2">
      <c r="A774" s="2"/>
      <c r="B774" s="2"/>
      <c r="C774" s="2"/>
      <c r="D774" s="2"/>
      <c r="E774" s="2"/>
      <c r="F774" s="2"/>
      <c r="G774" s="2"/>
      <c r="H774" s="2"/>
      <c r="I774" s="2"/>
      <c r="J774" s="2"/>
      <c r="K774" s="2"/>
      <c r="L774" s="2"/>
      <c r="M774" s="2"/>
    </row>
    <row r="775" spans="1:13" x14ac:dyDescent="0.2">
      <c r="A775" s="2"/>
      <c r="B775" s="2"/>
      <c r="C775" s="2"/>
      <c r="D775" s="2"/>
      <c r="E775" s="2"/>
      <c r="F775" s="2"/>
      <c r="G775" s="2"/>
      <c r="H775" s="2"/>
      <c r="I775" s="2"/>
      <c r="J775" s="2"/>
      <c r="K775" s="2"/>
      <c r="L775" s="2"/>
      <c r="M775" s="2"/>
    </row>
    <row r="776" spans="1:13" x14ac:dyDescent="0.2">
      <c r="A776" s="2"/>
      <c r="B776" s="2"/>
      <c r="C776" s="2"/>
      <c r="D776" s="2"/>
      <c r="E776" s="2"/>
      <c r="F776" s="2"/>
      <c r="G776" s="2"/>
      <c r="H776" s="2"/>
      <c r="I776" s="2"/>
      <c r="J776" s="2"/>
      <c r="K776" s="2"/>
      <c r="L776" s="2"/>
      <c r="M776" s="2"/>
    </row>
    <row r="777" spans="1:13" x14ac:dyDescent="0.2">
      <c r="A777" s="2"/>
      <c r="B777" s="2"/>
      <c r="C777" s="2"/>
      <c r="D777" s="2"/>
      <c r="E777" s="2"/>
      <c r="F777" s="2"/>
      <c r="G777" s="2"/>
      <c r="H777" s="2"/>
      <c r="I777" s="2"/>
      <c r="J777" s="2"/>
      <c r="K777" s="2"/>
      <c r="L777" s="2"/>
      <c r="M777" s="2"/>
    </row>
    <row r="778" spans="1:13" x14ac:dyDescent="0.2">
      <c r="A778" s="2"/>
      <c r="B778" s="2"/>
      <c r="C778" s="2"/>
      <c r="D778" s="2"/>
      <c r="E778" s="2"/>
      <c r="F778" s="2"/>
      <c r="G778" s="2"/>
      <c r="H778" s="2"/>
      <c r="I778" s="2"/>
      <c r="J778" s="2"/>
      <c r="K778" s="2"/>
      <c r="L778" s="2"/>
      <c r="M778" s="2"/>
    </row>
    <row r="779" spans="1:13" x14ac:dyDescent="0.2">
      <c r="A779" s="2"/>
      <c r="B779" s="2"/>
      <c r="C779" s="2"/>
      <c r="D779" s="2"/>
      <c r="E779" s="2"/>
      <c r="F779" s="2"/>
      <c r="G779" s="2"/>
      <c r="H779" s="2"/>
      <c r="I779" s="2"/>
      <c r="J779" s="2"/>
      <c r="K779" s="2"/>
      <c r="L779" s="2"/>
      <c r="M779" s="2"/>
    </row>
    <row r="780" spans="1:13" x14ac:dyDescent="0.2">
      <c r="A780" s="2"/>
      <c r="B780" s="2"/>
      <c r="C780" s="2"/>
      <c r="D780" s="2"/>
      <c r="E780" s="2"/>
      <c r="F780" s="2"/>
      <c r="G780" s="2"/>
      <c r="H780" s="2"/>
      <c r="I780" s="2"/>
      <c r="J780" s="2"/>
      <c r="K780" s="2"/>
      <c r="L780" s="2"/>
      <c r="M780" s="2"/>
    </row>
    <row r="781" spans="1:13" x14ac:dyDescent="0.2">
      <c r="A781" s="2"/>
      <c r="B781" s="2"/>
      <c r="C781" s="2"/>
      <c r="D781" s="2"/>
      <c r="E781" s="2"/>
      <c r="F781" s="2"/>
      <c r="G781" s="2"/>
      <c r="H781" s="2"/>
      <c r="I781" s="2"/>
      <c r="J781" s="2"/>
      <c r="K781" s="2"/>
      <c r="L781" s="2"/>
      <c r="M781" s="2"/>
    </row>
    <row r="782" spans="1:13" x14ac:dyDescent="0.2">
      <c r="A782" s="2"/>
      <c r="B782" s="2"/>
      <c r="C782" s="2"/>
      <c r="D782" s="2"/>
      <c r="E782" s="2"/>
      <c r="F782" s="2"/>
      <c r="G782" s="2"/>
      <c r="H782" s="2"/>
      <c r="I782" s="2"/>
      <c r="J782" s="2"/>
      <c r="K782" s="2"/>
      <c r="L782" s="2"/>
      <c r="M782" s="2"/>
    </row>
    <row r="783" spans="1:13" x14ac:dyDescent="0.2">
      <c r="A783" s="2"/>
      <c r="B783" s="2"/>
      <c r="C783" s="2"/>
      <c r="D783" s="2"/>
      <c r="E783" s="2"/>
      <c r="F783" s="2"/>
      <c r="G783" s="2"/>
      <c r="H783" s="2"/>
      <c r="I783" s="2"/>
      <c r="J783" s="2"/>
      <c r="K783" s="2"/>
      <c r="L783" s="2"/>
      <c r="M783" s="2"/>
    </row>
    <row r="784" spans="1:13" x14ac:dyDescent="0.2">
      <c r="A784" s="2"/>
      <c r="B784" s="2"/>
      <c r="C784" s="2"/>
      <c r="D784" s="2"/>
      <c r="E784" s="2"/>
      <c r="F784" s="2"/>
      <c r="G784" s="2"/>
      <c r="H784" s="2"/>
      <c r="I784" s="2"/>
      <c r="J784" s="2"/>
      <c r="K784" s="2"/>
      <c r="L784" s="2"/>
      <c r="M784" s="2"/>
    </row>
    <row r="785" spans="1:13" x14ac:dyDescent="0.2">
      <c r="A785" s="2"/>
      <c r="B785" s="2"/>
      <c r="C785" s="2"/>
      <c r="D785" s="2"/>
      <c r="E785" s="2"/>
      <c r="F785" s="2"/>
      <c r="G785" s="2"/>
      <c r="H785" s="2"/>
      <c r="I785" s="2"/>
      <c r="J785" s="2"/>
      <c r="K785" s="2"/>
      <c r="L785" s="2"/>
      <c r="M785" s="2"/>
    </row>
    <row r="786" spans="1:13" x14ac:dyDescent="0.2">
      <c r="A786" s="2"/>
      <c r="B786" s="2"/>
      <c r="C786" s="2"/>
      <c r="D786" s="2"/>
      <c r="E786" s="2"/>
      <c r="F786" s="2"/>
      <c r="G786" s="2"/>
      <c r="H786" s="2"/>
      <c r="I786" s="2"/>
      <c r="J786" s="2"/>
      <c r="K786" s="2"/>
      <c r="L786" s="2"/>
      <c r="M786" s="2"/>
    </row>
    <row r="787" spans="1:13" x14ac:dyDescent="0.2">
      <c r="A787" s="2"/>
      <c r="B787" s="2"/>
      <c r="C787" s="2"/>
      <c r="D787" s="2"/>
      <c r="E787" s="2"/>
      <c r="F787" s="2"/>
      <c r="G787" s="2"/>
      <c r="H787" s="2"/>
      <c r="I787" s="2"/>
      <c r="J787" s="2"/>
      <c r="K787" s="2"/>
      <c r="L787" s="2"/>
      <c r="M787" s="2"/>
    </row>
    <row r="788" spans="1:13" x14ac:dyDescent="0.2">
      <c r="A788" s="2"/>
      <c r="B788" s="2"/>
      <c r="C788" s="2"/>
      <c r="D788" s="2"/>
      <c r="E788" s="2"/>
      <c r="F788" s="2"/>
      <c r="G788" s="2"/>
      <c r="H788" s="2"/>
      <c r="I788" s="2"/>
      <c r="J788" s="2"/>
      <c r="K788" s="2"/>
      <c r="L788" s="2"/>
      <c r="M788" s="2"/>
    </row>
    <row r="789" spans="1:13" x14ac:dyDescent="0.2">
      <c r="A789" s="2"/>
      <c r="B789" s="2"/>
      <c r="C789" s="2"/>
      <c r="D789" s="2"/>
      <c r="E789" s="2"/>
      <c r="F789" s="2"/>
      <c r="G789" s="2"/>
      <c r="H789" s="2"/>
      <c r="I789" s="2"/>
      <c r="J789" s="2"/>
      <c r="K789" s="2"/>
      <c r="L789" s="2"/>
      <c r="M789" s="2"/>
    </row>
    <row r="790" spans="1:13" x14ac:dyDescent="0.2">
      <c r="A790" s="2"/>
      <c r="B790" s="2"/>
      <c r="C790" s="2"/>
      <c r="D790" s="2"/>
      <c r="E790" s="2"/>
      <c r="F790" s="2"/>
      <c r="G790" s="2"/>
      <c r="H790" s="2"/>
      <c r="I790" s="2"/>
      <c r="J790" s="2"/>
      <c r="K790" s="2"/>
      <c r="L790" s="2"/>
      <c r="M790" s="2"/>
    </row>
    <row r="791" spans="1:13" x14ac:dyDescent="0.2">
      <c r="A791" s="2"/>
      <c r="B791" s="2"/>
      <c r="C791" s="2"/>
      <c r="D791" s="2"/>
      <c r="E791" s="2"/>
      <c r="F791" s="2"/>
      <c r="G791" s="2"/>
      <c r="H791" s="2"/>
      <c r="I791" s="2"/>
      <c r="J791" s="2"/>
      <c r="K791" s="2"/>
      <c r="L791" s="2"/>
      <c r="M791" s="2"/>
    </row>
    <row r="792" spans="1:13" x14ac:dyDescent="0.2">
      <c r="A792" s="2"/>
      <c r="B792" s="2"/>
      <c r="C792" s="2"/>
      <c r="D792" s="2"/>
      <c r="E792" s="2"/>
      <c r="F792" s="2"/>
      <c r="G792" s="2"/>
      <c r="H792" s="2"/>
      <c r="I792" s="2"/>
      <c r="J792" s="2"/>
      <c r="K792" s="2"/>
      <c r="L792" s="2"/>
      <c r="M792" s="2"/>
    </row>
    <row r="793" spans="1:13" x14ac:dyDescent="0.2">
      <c r="A793" s="2"/>
      <c r="B793" s="2"/>
      <c r="C793" s="2"/>
      <c r="D793" s="2"/>
      <c r="E793" s="2"/>
      <c r="F793" s="2"/>
      <c r="G793" s="2"/>
      <c r="H793" s="2"/>
      <c r="I793" s="2"/>
      <c r="J793" s="2"/>
      <c r="K793" s="2"/>
      <c r="L793" s="2"/>
      <c r="M793" s="2"/>
    </row>
    <row r="794" spans="1:13" x14ac:dyDescent="0.2">
      <c r="A794" s="2"/>
      <c r="B794" s="2"/>
      <c r="C794" s="2"/>
      <c r="D794" s="2"/>
      <c r="E794" s="2"/>
      <c r="F794" s="2"/>
      <c r="G794" s="2"/>
      <c r="H794" s="2"/>
      <c r="I794" s="2"/>
      <c r="J794" s="2"/>
      <c r="K794" s="2"/>
      <c r="L794" s="2"/>
      <c r="M794" s="2"/>
    </row>
    <row r="795" spans="1:13" x14ac:dyDescent="0.2">
      <c r="A795" s="2"/>
      <c r="B795" s="2"/>
      <c r="C795" s="2"/>
      <c r="D795" s="2"/>
      <c r="E795" s="2"/>
      <c r="F795" s="2"/>
      <c r="G795" s="2"/>
      <c r="H795" s="2"/>
      <c r="I795" s="2"/>
      <c r="J795" s="2"/>
      <c r="K795" s="2"/>
      <c r="L795" s="2"/>
      <c r="M795" s="2"/>
    </row>
    <row r="796" spans="1:13" x14ac:dyDescent="0.2">
      <c r="A796" s="2"/>
      <c r="B796" s="2"/>
      <c r="C796" s="2"/>
      <c r="D796" s="2"/>
      <c r="E796" s="2"/>
      <c r="F796" s="2"/>
      <c r="G796" s="2"/>
      <c r="H796" s="2"/>
      <c r="I796" s="2"/>
      <c r="J796" s="2"/>
      <c r="K796" s="2"/>
      <c r="L796" s="2"/>
      <c r="M796" s="2"/>
    </row>
    <row r="797" spans="1:13" x14ac:dyDescent="0.2">
      <c r="A797" s="2"/>
      <c r="B797" s="2"/>
      <c r="C797" s="2"/>
      <c r="D797" s="2"/>
      <c r="E797" s="2"/>
      <c r="F797" s="2"/>
      <c r="G797" s="2"/>
      <c r="H797" s="2"/>
      <c r="I797" s="2"/>
      <c r="J797" s="2"/>
      <c r="K797" s="2"/>
      <c r="L797" s="2"/>
      <c r="M797" s="2"/>
    </row>
    <row r="798" spans="1:13" x14ac:dyDescent="0.2">
      <c r="A798" s="2"/>
      <c r="B798" s="2"/>
      <c r="C798" s="2"/>
      <c r="D798" s="2"/>
      <c r="E798" s="2"/>
      <c r="F798" s="2"/>
      <c r="G798" s="2"/>
      <c r="H798" s="2"/>
      <c r="I798" s="2"/>
      <c r="J798" s="2"/>
      <c r="K798" s="2"/>
      <c r="L798" s="2"/>
      <c r="M798" s="2"/>
    </row>
    <row r="799" spans="1:13" x14ac:dyDescent="0.2">
      <c r="A799" s="2"/>
      <c r="B799" s="2"/>
      <c r="C799" s="2"/>
      <c r="D799" s="2"/>
      <c r="E799" s="2"/>
      <c r="F799" s="2"/>
      <c r="G799" s="2"/>
      <c r="H799" s="2"/>
      <c r="I799" s="2"/>
      <c r="J799" s="2"/>
      <c r="K799" s="2"/>
      <c r="L799" s="2"/>
      <c r="M799" s="2"/>
    </row>
    <row r="800" spans="1:13" x14ac:dyDescent="0.2">
      <c r="A800" s="2"/>
      <c r="B800" s="2"/>
      <c r="C800" s="2"/>
      <c r="D800" s="2"/>
      <c r="E800" s="2"/>
      <c r="F800" s="2"/>
      <c r="G800" s="2"/>
      <c r="H800" s="2"/>
      <c r="I800" s="2"/>
      <c r="J800" s="2"/>
      <c r="K800" s="2"/>
      <c r="L800" s="2"/>
      <c r="M800" s="2"/>
    </row>
    <row r="801" spans="1:13" x14ac:dyDescent="0.2">
      <c r="A801" s="2"/>
      <c r="B801" s="2"/>
      <c r="C801" s="2"/>
      <c r="D801" s="2"/>
      <c r="E801" s="2"/>
      <c r="F801" s="2"/>
      <c r="G801" s="2"/>
      <c r="H801" s="2"/>
      <c r="I801" s="2"/>
      <c r="J801" s="2"/>
      <c r="K801" s="2"/>
      <c r="L801" s="2"/>
      <c r="M801" s="2"/>
    </row>
    <row r="802" spans="1:13" x14ac:dyDescent="0.2">
      <c r="A802" s="2"/>
      <c r="B802" s="2"/>
      <c r="C802" s="2"/>
      <c r="D802" s="2"/>
      <c r="E802" s="2"/>
      <c r="F802" s="2"/>
      <c r="G802" s="2"/>
      <c r="H802" s="2"/>
      <c r="I802" s="2"/>
      <c r="J802" s="2"/>
      <c r="K802" s="2"/>
      <c r="L802" s="2"/>
      <c r="M802" s="2"/>
    </row>
    <row r="803" spans="1:13" x14ac:dyDescent="0.2">
      <c r="A803" s="2"/>
      <c r="B803" s="2"/>
      <c r="C803" s="2"/>
      <c r="D803" s="2"/>
      <c r="E803" s="2"/>
      <c r="F803" s="2"/>
      <c r="G803" s="2"/>
      <c r="H803" s="2"/>
      <c r="I803" s="2"/>
      <c r="J803" s="2"/>
      <c r="K803" s="2"/>
      <c r="L803" s="2"/>
      <c r="M803" s="2"/>
    </row>
    <row r="804" spans="1:13" x14ac:dyDescent="0.2">
      <c r="A804" s="2"/>
      <c r="B804" s="2"/>
      <c r="C804" s="2"/>
      <c r="D804" s="2"/>
      <c r="E804" s="2"/>
      <c r="F804" s="2"/>
      <c r="G804" s="2"/>
      <c r="H804" s="2"/>
      <c r="I804" s="2"/>
      <c r="J804" s="2"/>
      <c r="K804" s="2"/>
      <c r="L804" s="2"/>
      <c r="M804" s="2"/>
    </row>
    <row r="805" spans="1:13" x14ac:dyDescent="0.2">
      <c r="A805" s="2"/>
      <c r="B805" s="2"/>
      <c r="C805" s="2"/>
      <c r="D805" s="2"/>
      <c r="E805" s="2"/>
      <c r="F805" s="2"/>
      <c r="G805" s="2"/>
      <c r="H805" s="2"/>
      <c r="I805" s="2"/>
      <c r="J805" s="2"/>
      <c r="K805" s="2"/>
      <c r="L805" s="2"/>
      <c r="M805" s="2"/>
    </row>
    <row r="806" spans="1:13" x14ac:dyDescent="0.2">
      <c r="A806" s="2"/>
      <c r="B806" s="2"/>
      <c r="C806" s="2"/>
      <c r="D806" s="2"/>
      <c r="E806" s="2"/>
      <c r="F806" s="2"/>
      <c r="G806" s="2"/>
      <c r="H806" s="2"/>
      <c r="I806" s="2"/>
      <c r="J806" s="2"/>
      <c r="K806" s="2"/>
      <c r="L806" s="2"/>
      <c r="M806" s="2"/>
    </row>
    <row r="807" spans="1:13" x14ac:dyDescent="0.2">
      <c r="A807" s="2"/>
      <c r="B807" s="2"/>
      <c r="C807" s="2"/>
      <c r="D807" s="2"/>
      <c r="E807" s="2"/>
      <c r="F807" s="2"/>
      <c r="G807" s="2"/>
      <c r="H807" s="2"/>
      <c r="I807" s="2"/>
      <c r="J807" s="2"/>
      <c r="K807" s="2"/>
      <c r="L807" s="2"/>
      <c r="M807" s="2"/>
    </row>
    <row r="808" spans="1:13" x14ac:dyDescent="0.2">
      <c r="A808" s="2"/>
      <c r="B808" s="2"/>
      <c r="C808" s="2"/>
      <c r="D808" s="2"/>
      <c r="E808" s="2"/>
      <c r="F808" s="2"/>
      <c r="G808" s="2"/>
      <c r="H808" s="2"/>
      <c r="I808" s="2"/>
      <c r="J808" s="2"/>
      <c r="K808" s="2"/>
      <c r="L808" s="2"/>
      <c r="M808" s="2"/>
    </row>
    <row r="809" spans="1:13" x14ac:dyDescent="0.2">
      <c r="A809" s="2"/>
      <c r="B809" s="2"/>
      <c r="C809" s="2"/>
      <c r="D809" s="2"/>
      <c r="E809" s="2"/>
      <c r="F809" s="2"/>
      <c r="G809" s="2"/>
      <c r="H809" s="2"/>
      <c r="I809" s="2"/>
      <c r="J809" s="2"/>
      <c r="K809" s="2"/>
      <c r="L809" s="2"/>
      <c r="M809" s="2"/>
    </row>
    <row r="810" spans="1:13" x14ac:dyDescent="0.2">
      <c r="A810" s="2"/>
      <c r="B810" s="2"/>
      <c r="C810" s="2"/>
      <c r="D810" s="2"/>
      <c r="E810" s="2"/>
      <c r="F810" s="2"/>
      <c r="G810" s="2"/>
      <c r="H810" s="2"/>
      <c r="I810" s="2"/>
      <c r="J810" s="2"/>
      <c r="K810" s="2"/>
      <c r="L810" s="2"/>
      <c r="M810" s="2"/>
    </row>
    <row r="811" spans="1:13" x14ac:dyDescent="0.2">
      <c r="A811" s="2"/>
      <c r="B811" s="2"/>
      <c r="C811" s="2"/>
      <c r="D811" s="2"/>
      <c r="E811" s="2"/>
      <c r="F811" s="2"/>
      <c r="G811" s="2"/>
      <c r="H811" s="2"/>
      <c r="I811" s="2"/>
      <c r="J811" s="2"/>
      <c r="K811" s="2"/>
      <c r="L811" s="2"/>
      <c r="M811" s="2"/>
    </row>
    <row r="812" spans="1:13" x14ac:dyDescent="0.2">
      <c r="A812" s="2"/>
      <c r="B812" s="2"/>
      <c r="C812" s="2"/>
      <c r="D812" s="2"/>
      <c r="E812" s="2"/>
      <c r="F812" s="2"/>
      <c r="G812" s="2"/>
      <c r="H812" s="2"/>
      <c r="I812" s="2"/>
      <c r="J812" s="2"/>
      <c r="K812" s="2"/>
      <c r="L812" s="2"/>
      <c r="M812" s="2"/>
    </row>
    <row r="813" spans="1:13" x14ac:dyDescent="0.2">
      <c r="A813" s="2"/>
      <c r="B813" s="2"/>
      <c r="C813" s="2"/>
      <c r="D813" s="2"/>
      <c r="E813" s="2"/>
      <c r="F813" s="2"/>
      <c r="G813" s="2"/>
      <c r="H813" s="2"/>
      <c r="I813" s="2"/>
      <c r="J813" s="2"/>
      <c r="K813" s="2"/>
      <c r="L813" s="2"/>
      <c r="M813" s="2"/>
    </row>
    <row r="814" spans="1:13" x14ac:dyDescent="0.2">
      <c r="A814" s="2"/>
      <c r="B814" s="2"/>
      <c r="C814" s="2"/>
      <c r="D814" s="2"/>
      <c r="E814" s="2"/>
      <c r="F814" s="2"/>
      <c r="G814" s="2"/>
      <c r="H814" s="2"/>
      <c r="I814" s="2"/>
      <c r="J814" s="2"/>
      <c r="K814" s="2"/>
      <c r="L814" s="2"/>
      <c r="M814" s="2"/>
    </row>
    <row r="815" spans="1:13" x14ac:dyDescent="0.2">
      <c r="A815" s="2"/>
      <c r="B815" s="2"/>
      <c r="C815" s="2"/>
      <c r="D815" s="2"/>
      <c r="E815" s="2"/>
      <c r="F815" s="2"/>
      <c r="G815" s="2"/>
      <c r="H815" s="2"/>
      <c r="I815" s="2"/>
      <c r="J815" s="2"/>
      <c r="K815" s="2"/>
      <c r="L815" s="2"/>
      <c r="M815" s="2"/>
    </row>
    <row r="816" spans="1:13" x14ac:dyDescent="0.2">
      <c r="A816" s="2"/>
      <c r="B816" s="2"/>
      <c r="C816" s="2"/>
      <c r="D816" s="2"/>
      <c r="E816" s="2"/>
      <c r="F816" s="2"/>
      <c r="G816" s="2"/>
      <c r="H816" s="2"/>
      <c r="I816" s="2"/>
      <c r="J816" s="2"/>
      <c r="K816" s="2"/>
      <c r="L816" s="2"/>
      <c r="M816" s="2"/>
    </row>
    <row r="817" spans="1:13" x14ac:dyDescent="0.2">
      <c r="A817" s="2"/>
      <c r="B817" s="2"/>
      <c r="C817" s="2"/>
      <c r="D817" s="2"/>
      <c r="E817" s="2"/>
      <c r="F817" s="2"/>
      <c r="G817" s="2"/>
      <c r="H817" s="2"/>
      <c r="I817" s="2"/>
      <c r="J817" s="2"/>
      <c r="K817" s="2"/>
      <c r="L817" s="2"/>
      <c r="M817" s="2"/>
    </row>
    <row r="818" spans="1:13" x14ac:dyDescent="0.2">
      <c r="A818" s="2"/>
      <c r="B818" s="2"/>
      <c r="C818" s="2"/>
      <c r="D818" s="2"/>
      <c r="E818" s="2"/>
      <c r="F818" s="2"/>
      <c r="G818" s="2"/>
      <c r="H818" s="2"/>
      <c r="I818" s="2"/>
      <c r="J818" s="2"/>
      <c r="K818" s="2"/>
      <c r="L818" s="2"/>
      <c r="M818" s="2"/>
    </row>
    <row r="819" spans="1:13" x14ac:dyDescent="0.2">
      <c r="A819" s="2"/>
      <c r="B819" s="2"/>
      <c r="C819" s="2"/>
      <c r="D819" s="2"/>
      <c r="E819" s="2"/>
      <c r="F819" s="2"/>
      <c r="G819" s="2"/>
      <c r="H819" s="2"/>
      <c r="I819" s="2"/>
      <c r="J819" s="2"/>
      <c r="K819" s="2"/>
      <c r="L819" s="2"/>
      <c r="M819" s="2"/>
    </row>
    <row r="820" spans="1:13" x14ac:dyDescent="0.2">
      <c r="A820" s="2"/>
      <c r="B820" s="2"/>
      <c r="C820" s="2"/>
      <c r="D820" s="2"/>
      <c r="E820" s="2"/>
      <c r="F820" s="2"/>
      <c r="G820" s="2"/>
      <c r="H820" s="2"/>
      <c r="I820" s="2"/>
      <c r="J820" s="2"/>
      <c r="K820" s="2"/>
      <c r="L820" s="2"/>
      <c r="M820" s="2"/>
    </row>
    <row r="821" spans="1:13" x14ac:dyDescent="0.2">
      <c r="A821" s="2"/>
      <c r="B821" s="2"/>
      <c r="C821" s="2"/>
      <c r="D821" s="2"/>
      <c r="E821" s="2"/>
      <c r="F821" s="2"/>
      <c r="G821" s="2"/>
      <c r="H821" s="2"/>
      <c r="I821" s="2"/>
      <c r="J821" s="2"/>
      <c r="K821" s="2"/>
      <c r="L821" s="2"/>
      <c r="M821" s="2"/>
    </row>
    <row r="822" spans="1:13" x14ac:dyDescent="0.2">
      <c r="A822" s="2"/>
      <c r="B822" s="2"/>
      <c r="C822" s="2"/>
      <c r="D822" s="2"/>
      <c r="E822" s="2"/>
      <c r="F822" s="2"/>
      <c r="G822" s="2"/>
      <c r="H822" s="2"/>
      <c r="I822" s="2"/>
      <c r="J822" s="2"/>
      <c r="K822" s="2"/>
      <c r="L822" s="2"/>
      <c r="M822" s="2"/>
    </row>
    <row r="823" spans="1:13" x14ac:dyDescent="0.2">
      <c r="A823" s="2"/>
      <c r="B823" s="2"/>
      <c r="C823" s="2"/>
      <c r="D823" s="2"/>
      <c r="E823" s="2"/>
      <c r="F823" s="2"/>
      <c r="G823" s="2"/>
      <c r="H823" s="2"/>
      <c r="I823" s="2"/>
      <c r="J823" s="2"/>
      <c r="K823" s="2"/>
      <c r="L823" s="2"/>
      <c r="M823" s="2"/>
    </row>
    <row r="824" spans="1:13" x14ac:dyDescent="0.2">
      <c r="A824" s="2"/>
      <c r="B824" s="2"/>
      <c r="C824" s="2"/>
      <c r="D824" s="2"/>
      <c r="E824" s="2"/>
      <c r="F824" s="2"/>
      <c r="G824" s="2"/>
      <c r="H824" s="2"/>
      <c r="I824" s="2"/>
      <c r="J824" s="2"/>
      <c r="K824" s="2"/>
      <c r="L824" s="2"/>
      <c r="M824" s="2"/>
    </row>
    <row r="825" spans="1:13" x14ac:dyDescent="0.2">
      <c r="A825" s="2"/>
      <c r="B825" s="2"/>
      <c r="C825" s="2"/>
      <c r="D825" s="2"/>
      <c r="E825" s="2"/>
      <c r="F825" s="2"/>
      <c r="G825" s="2"/>
      <c r="H825" s="2"/>
      <c r="I825" s="2"/>
      <c r="J825" s="2"/>
      <c r="K825" s="2"/>
      <c r="L825" s="2"/>
      <c r="M825" s="2"/>
    </row>
    <row r="826" spans="1:13" x14ac:dyDescent="0.2">
      <c r="A826" s="2"/>
      <c r="B826" s="2"/>
      <c r="C826" s="2"/>
      <c r="D826" s="2"/>
      <c r="E826" s="2"/>
      <c r="F826" s="2"/>
      <c r="G826" s="2"/>
      <c r="H826" s="2"/>
      <c r="I826" s="2"/>
      <c r="J826" s="2"/>
      <c r="K826" s="2"/>
      <c r="L826" s="2"/>
      <c r="M826" s="2"/>
    </row>
    <row r="827" spans="1:13" x14ac:dyDescent="0.2">
      <c r="A827" s="2"/>
      <c r="B827" s="2"/>
      <c r="C827" s="2"/>
      <c r="D827" s="2"/>
      <c r="E827" s="2"/>
      <c r="F827" s="2"/>
      <c r="G827" s="2"/>
      <c r="H827" s="2"/>
      <c r="I827" s="2"/>
      <c r="J827" s="2"/>
      <c r="K827" s="2"/>
      <c r="L827" s="2"/>
      <c r="M827" s="2"/>
    </row>
    <row r="828" spans="1:13" x14ac:dyDescent="0.2">
      <c r="A828" s="2"/>
      <c r="B828" s="2"/>
      <c r="C828" s="2"/>
      <c r="D828" s="2"/>
      <c r="E828" s="2"/>
      <c r="F828" s="2"/>
      <c r="G828" s="2"/>
      <c r="H828" s="2"/>
      <c r="I828" s="2"/>
      <c r="J828" s="2"/>
      <c r="K828" s="2"/>
      <c r="L828" s="2"/>
      <c r="M828" s="2"/>
    </row>
    <row r="829" spans="1:13" x14ac:dyDescent="0.2">
      <c r="A829" s="2"/>
      <c r="B829" s="2"/>
      <c r="C829" s="2"/>
      <c r="D829" s="2"/>
      <c r="E829" s="2"/>
      <c r="F829" s="2"/>
      <c r="G829" s="2"/>
      <c r="H829" s="2"/>
      <c r="I829" s="2"/>
      <c r="J829" s="2"/>
      <c r="K829" s="2"/>
      <c r="L829" s="2"/>
      <c r="M829" s="2"/>
    </row>
    <row r="830" spans="1:13" x14ac:dyDescent="0.2">
      <c r="A830" s="2"/>
      <c r="B830" s="2"/>
      <c r="C830" s="2"/>
      <c r="D830" s="2"/>
      <c r="E830" s="2"/>
      <c r="F830" s="2"/>
      <c r="G830" s="2"/>
      <c r="H830" s="2"/>
      <c r="I830" s="2"/>
      <c r="J830" s="2"/>
      <c r="K830" s="2"/>
      <c r="L830" s="2"/>
      <c r="M830" s="2"/>
    </row>
    <row r="831" spans="1:13" x14ac:dyDescent="0.2">
      <c r="A831" s="2"/>
      <c r="B831" s="2"/>
      <c r="C831" s="2"/>
      <c r="D831" s="2"/>
      <c r="E831" s="2"/>
      <c r="F831" s="2"/>
      <c r="G831" s="2"/>
      <c r="H831" s="2"/>
      <c r="I831" s="2"/>
      <c r="J831" s="2"/>
      <c r="K831" s="2"/>
      <c r="L831" s="2"/>
      <c r="M831" s="2"/>
    </row>
    <row r="832" spans="1:13" x14ac:dyDescent="0.2">
      <c r="A832" s="2"/>
      <c r="B832" s="2"/>
      <c r="C832" s="2"/>
      <c r="D832" s="2"/>
      <c r="E832" s="2"/>
      <c r="F832" s="2"/>
      <c r="G832" s="2"/>
      <c r="H832" s="2"/>
      <c r="I832" s="2"/>
      <c r="J832" s="2"/>
      <c r="K832" s="2"/>
      <c r="L832" s="2"/>
      <c r="M832" s="2"/>
    </row>
    <row r="833" spans="1:13" x14ac:dyDescent="0.2">
      <c r="A833" s="2"/>
      <c r="B833" s="2"/>
      <c r="C833" s="2"/>
      <c r="D833" s="2"/>
      <c r="E833" s="2"/>
      <c r="F833" s="2"/>
      <c r="G833" s="2"/>
      <c r="H833" s="2"/>
      <c r="I833" s="2"/>
      <c r="J833" s="2"/>
      <c r="K833" s="2"/>
      <c r="L833" s="2"/>
      <c r="M833" s="2"/>
    </row>
    <row r="834" spans="1:13" x14ac:dyDescent="0.2">
      <c r="A834" s="2"/>
      <c r="B834" s="2"/>
      <c r="C834" s="2"/>
      <c r="D834" s="2"/>
      <c r="E834" s="2"/>
      <c r="F834" s="2"/>
      <c r="G834" s="2"/>
      <c r="H834" s="2"/>
      <c r="I834" s="2"/>
      <c r="J834" s="2"/>
      <c r="K834" s="2"/>
      <c r="L834" s="2"/>
      <c r="M834" s="2"/>
    </row>
    <row r="835" spans="1:13" x14ac:dyDescent="0.2">
      <c r="A835" s="2"/>
      <c r="B835" s="2"/>
      <c r="C835" s="2"/>
      <c r="D835" s="2"/>
      <c r="E835" s="2"/>
      <c r="F835" s="2"/>
      <c r="G835" s="2"/>
      <c r="H835" s="2"/>
      <c r="I835" s="2"/>
      <c r="J835" s="2"/>
      <c r="K835" s="2"/>
      <c r="L835" s="2"/>
      <c r="M835" s="2"/>
    </row>
    <row r="836" spans="1:13" x14ac:dyDescent="0.2">
      <c r="A836" s="2"/>
      <c r="B836" s="2"/>
      <c r="C836" s="2"/>
      <c r="D836" s="2"/>
      <c r="E836" s="2"/>
      <c r="F836" s="2"/>
      <c r="G836" s="2"/>
      <c r="H836" s="2"/>
      <c r="I836" s="2"/>
      <c r="J836" s="2"/>
      <c r="K836" s="2"/>
      <c r="L836" s="2"/>
      <c r="M836" s="2"/>
    </row>
    <row r="837" spans="1:13" x14ac:dyDescent="0.2">
      <c r="A837" s="2"/>
      <c r="B837" s="2"/>
      <c r="C837" s="2"/>
      <c r="D837" s="2"/>
      <c r="E837" s="2"/>
      <c r="F837" s="2"/>
      <c r="G837" s="2"/>
      <c r="H837" s="2"/>
      <c r="I837" s="2"/>
      <c r="J837" s="2"/>
      <c r="K837" s="2"/>
      <c r="L837" s="2"/>
      <c r="M837" s="2"/>
    </row>
    <row r="838" spans="1:13" x14ac:dyDescent="0.2">
      <c r="A838" s="2"/>
      <c r="B838" s="2"/>
      <c r="C838" s="2"/>
      <c r="D838" s="2"/>
      <c r="E838" s="2"/>
      <c r="F838" s="2"/>
      <c r="G838" s="2"/>
      <c r="H838" s="2"/>
      <c r="I838" s="2"/>
      <c r="J838" s="2"/>
      <c r="K838" s="2"/>
      <c r="L838" s="2"/>
      <c r="M838" s="2"/>
    </row>
    <row r="839" spans="1:13" x14ac:dyDescent="0.2">
      <c r="A839" s="2"/>
      <c r="B839" s="2"/>
      <c r="C839" s="2"/>
      <c r="D839" s="2"/>
      <c r="E839" s="2"/>
      <c r="F839" s="2"/>
      <c r="G839" s="2"/>
      <c r="H839" s="2"/>
      <c r="I839" s="2"/>
      <c r="J839" s="2"/>
      <c r="K839" s="2"/>
      <c r="L839" s="2"/>
      <c r="M839" s="2"/>
    </row>
    <row r="840" spans="1:13" x14ac:dyDescent="0.2">
      <c r="A840" s="2"/>
      <c r="B840" s="2"/>
      <c r="C840" s="2"/>
      <c r="D840" s="2"/>
      <c r="E840" s="2"/>
      <c r="F840" s="2"/>
      <c r="G840" s="2"/>
      <c r="H840" s="2"/>
      <c r="I840" s="2"/>
      <c r="J840" s="2"/>
      <c r="K840" s="2"/>
      <c r="L840" s="2"/>
      <c r="M840" s="2"/>
    </row>
    <row r="841" spans="1:13" x14ac:dyDescent="0.2">
      <c r="A841" s="2"/>
      <c r="B841" s="2"/>
      <c r="C841" s="2"/>
      <c r="D841" s="2"/>
      <c r="E841" s="2"/>
      <c r="F841" s="2"/>
      <c r="G841" s="2"/>
      <c r="H841" s="2"/>
      <c r="I841" s="2"/>
      <c r="J841" s="2"/>
      <c r="K841" s="2"/>
      <c r="L841" s="2"/>
      <c r="M841" s="2"/>
    </row>
    <row r="842" spans="1:13" x14ac:dyDescent="0.2">
      <c r="A842" s="2"/>
      <c r="B842" s="2"/>
      <c r="C842" s="2"/>
      <c r="D842" s="2"/>
      <c r="E842" s="2"/>
      <c r="F842" s="2"/>
      <c r="G842" s="2"/>
      <c r="H842" s="2"/>
      <c r="I842" s="2"/>
      <c r="J842" s="2"/>
      <c r="K842" s="2"/>
      <c r="L842" s="2"/>
      <c r="M842" s="2"/>
    </row>
    <row r="843" spans="1:13" x14ac:dyDescent="0.2">
      <c r="A843" s="2"/>
      <c r="B843" s="2"/>
      <c r="C843" s="2"/>
      <c r="D843" s="2"/>
      <c r="E843" s="2"/>
      <c r="F843" s="2"/>
      <c r="G843" s="2"/>
      <c r="H843" s="2"/>
      <c r="I843" s="2"/>
      <c r="J843" s="2"/>
      <c r="K843" s="2"/>
      <c r="L843" s="2"/>
      <c r="M843" s="2"/>
    </row>
    <row r="844" spans="1:13" x14ac:dyDescent="0.2">
      <c r="A844" s="2"/>
      <c r="B844" s="2"/>
      <c r="C844" s="2"/>
      <c r="D844" s="2"/>
      <c r="E844" s="2"/>
      <c r="F844" s="2"/>
      <c r="G844" s="2"/>
      <c r="H844" s="2"/>
      <c r="I844" s="2"/>
      <c r="J844" s="2"/>
      <c r="K844" s="2"/>
      <c r="L844" s="2"/>
      <c r="M844" s="2"/>
    </row>
    <row r="845" spans="1:13" x14ac:dyDescent="0.2">
      <c r="A845" s="2"/>
      <c r="B845" s="2"/>
      <c r="C845" s="2"/>
      <c r="D845" s="2"/>
      <c r="E845" s="2"/>
      <c r="F845" s="2"/>
      <c r="G845" s="2"/>
      <c r="H845" s="2"/>
      <c r="I845" s="2"/>
      <c r="J845" s="2"/>
      <c r="K845" s="2"/>
      <c r="L845" s="2"/>
      <c r="M845" s="2"/>
    </row>
    <row r="846" spans="1:13" x14ac:dyDescent="0.2">
      <c r="A846" s="2"/>
      <c r="B846" s="2"/>
      <c r="C846" s="2"/>
      <c r="D846" s="2"/>
      <c r="E846" s="2"/>
      <c r="F846" s="2"/>
      <c r="G846" s="2"/>
      <c r="H846" s="2"/>
      <c r="I846" s="2"/>
      <c r="J846" s="2"/>
      <c r="K846" s="2"/>
      <c r="L846" s="2"/>
      <c r="M846" s="2"/>
    </row>
    <row r="847" spans="1:13" x14ac:dyDescent="0.2">
      <c r="A847" s="2"/>
      <c r="B847" s="2"/>
      <c r="C847" s="2"/>
      <c r="D847" s="2"/>
      <c r="E847" s="2"/>
      <c r="F847" s="2"/>
      <c r="G847" s="2"/>
      <c r="H847" s="2"/>
      <c r="I847" s="2"/>
      <c r="J847" s="2"/>
      <c r="K847" s="2"/>
      <c r="L847" s="2"/>
      <c r="M847" s="2"/>
    </row>
    <row r="848" spans="1:13" x14ac:dyDescent="0.2">
      <c r="A848" s="2"/>
      <c r="B848" s="2"/>
      <c r="C848" s="2"/>
      <c r="D848" s="2"/>
      <c r="E848" s="2"/>
      <c r="F848" s="2"/>
      <c r="G848" s="2"/>
      <c r="H848" s="2"/>
      <c r="I848" s="2"/>
      <c r="J848" s="2"/>
      <c r="K848" s="2"/>
      <c r="L848" s="2"/>
      <c r="M848" s="2"/>
    </row>
    <row r="849" spans="1:13" x14ac:dyDescent="0.2">
      <c r="A849" s="2"/>
      <c r="B849" s="2"/>
      <c r="C849" s="2"/>
      <c r="D849" s="2"/>
      <c r="E849" s="2"/>
      <c r="F849" s="2"/>
      <c r="G849" s="2"/>
      <c r="H849" s="2"/>
      <c r="I849" s="2"/>
      <c r="J849" s="2"/>
      <c r="K849" s="2"/>
      <c r="L849" s="2"/>
      <c r="M849" s="2"/>
    </row>
    <row r="850" spans="1:13" x14ac:dyDescent="0.2">
      <c r="A850" s="2"/>
      <c r="B850" s="2"/>
      <c r="C850" s="2"/>
      <c r="D850" s="2"/>
      <c r="E850" s="2"/>
      <c r="F850" s="2"/>
      <c r="G850" s="2"/>
      <c r="H850" s="2"/>
      <c r="I850" s="2"/>
      <c r="J850" s="2"/>
      <c r="K850" s="2"/>
      <c r="L850" s="2"/>
      <c r="M850" s="2"/>
    </row>
    <row r="851" spans="1:13" x14ac:dyDescent="0.2">
      <c r="A851" s="2"/>
      <c r="B851" s="2"/>
      <c r="C851" s="2"/>
      <c r="D851" s="2"/>
      <c r="E851" s="2"/>
      <c r="F851" s="2"/>
      <c r="G851" s="2"/>
      <c r="H851" s="2"/>
      <c r="I851" s="2"/>
      <c r="J851" s="2"/>
      <c r="K851" s="2"/>
      <c r="L851" s="2"/>
      <c r="M851" s="2"/>
    </row>
    <row r="852" spans="1:13" x14ac:dyDescent="0.2">
      <c r="A852" s="2"/>
      <c r="B852" s="2"/>
      <c r="C852" s="2"/>
      <c r="D852" s="2"/>
      <c r="E852" s="2"/>
      <c r="F852" s="2"/>
      <c r="G852" s="2"/>
      <c r="H852" s="2"/>
      <c r="I852" s="2"/>
      <c r="J852" s="2"/>
      <c r="K852" s="2"/>
      <c r="L852" s="2"/>
      <c r="M852" s="2"/>
    </row>
    <row r="853" spans="1:13" x14ac:dyDescent="0.2">
      <c r="A853" s="2"/>
      <c r="B853" s="2"/>
      <c r="C853" s="2"/>
      <c r="D853" s="2"/>
      <c r="E853" s="2"/>
      <c r="F853" s="2"/>
      <c r="G853" s="2"/>
      <c r="H853" s="2"/>
      <c r="I853" s="2"/>
      <c r="J853" s="2"/>
      <c r="K853" s="2"/>
      <c r="L853" s="2"/>
      <c r="M853" s="2"/>
    </row>
    <row r="854" spans="1:13" x14ac:dyDescent="0.2">
      <c r="A854" s="2"/>
      <c r="B854" s="2"/>
      <c r="C854" s="2"/>
      <c r="D854" s="2"/>
      <c r="E854" s="2"/>
      <c r="F854" s="2"/>
      <c r="G854" s="2"/>
      <c r="H854" s="2"/>
      <c r="I854" s="2"/>
      <c r="J854" s="2"/>
      <c r="K854" s="2"/>
      <c r="L854" s="2"/>
      <c r="M854" s="2"/>
    </row>
    <row r="855" spans="1:13" x14ac:dyDescent="0.2">
      <c r="A855" s="2"/>
      <c r="B855" s="2"/>
      <c r="C855" s="2"/>
      <c r="D855" s="2"/>
      <c r="E855" s="2"/>
      <c r="F855" s="2"/>
      <c r="G855" s="2"/>
      <c r="H855" s="2"/>
      <c r="I855" s="2"/>
      <c r="J855" s="2"/>
      <c r="K855" s="2"/>
      <c r="L855" s="2"/>
      <c r="M855" s="2"/>
    </row>
    <row r="856" spans="1:13" x14ac:dyDescent="0.2">
      <c r="A856" s="2"/>
      <c r="B856" s="2"/>
      <c r="C856" s="2"/>
      <c r="D856" s="2"/>
      <c r="E856" s="2"/>
      <c r="F856" s="2"/>
      <c r="G856" s="2"/>
      <c r="H856" s="2"/>
      <c r="I856" s="2"/>
      <c r="J856" s="2"/>
      <c r="K856" s="2"/>
      <c r="L856" s="2"/>
      <c r="M856" s="2"/>
    </row>
    <row r="857" spans="1:13" x14ac:dyDescent="0.2">
      <c r="A857" s="2"/>
      <c r="B857" s="2"/>
      <c r="C857" s="2"/>
      <c r="D857" s="2"/>
      <c r="E857" s="2"/>
      <c r="F857" s="2"/>
      <c r="G857" s="2"/>
      <c r="H857" s="2"/>
      <c r="I857" s="2"/>
      <c r="J857" s="2"/>
      <c r="K857" s="2"/>
      <c r="L857" s="2"/>
      <c r="M857" s="2"/>
    </row>
    <row r="858" spans="1:13" x14ac:dyDescent="0.2">
      <c r="A858" s="2"/>
      <c r="B858" s="2"/>
      <c r="C858" s="2"/>
      <c r="D858" s="2"/>
      <c r="E858" s="2"/>
      <c r="F858" s="2"/>
      <c r="G858" s="2"/>
      <c r="H858" s="2"/>
      <c r="I858" s="2"/>
      <c r="J858" s="2"/>
      <c r="K858" s="2"/>
      <c r="L858" s="2"/>
      <c r="M858" s="2"/>
    </row>
    <row r="859" spans="1:13" x14ac:dyDescent="0.2">
      <c r="A859" s="2"/>
      <c r="B859" s="2"/>
      <c r="C859" s="2"/>
      <c r="D859" s="2"/>
      <c r="E859" s="2"/>
      <c r="F859" s="2"/>
      <c r="G859" s="2"/>
      <c r="H859" s="2"/>
      <c r="I859" s="2"/>
      <c r="J859" s="2"/>
      <c r="K859" s="2"/>
      <c r="L859" s="2"/>
      <c r="M859" s="2"/>
    </row>
    <row r="860" spans="1:13" x14ac:dyDescent="0.2">
      <c r="A860" s="2"/>
      <c r="B860" s="2"/>
      <c r="C860" s="2"/>
      <c r="D860" s="2"/>
      <c r="E860" s="2"/>
      <c r="F860" s="2"/>
      <c r="G860" s="2"/>
      <c r="H860" s="2"/>
      <c r="I860" s="2"/>
      <c r="J860" s="2"/>
      <c r="K860" s="2"/>
      <c r="L860" s="2"/>
      <c r="M860" s="2"/>
    </row>
    <row r="861" spans="1:13" x14ac:dyDescent="0.2">
      <c r="A861" s="2"/>
      <c r="B861" s="2"/>
      <c r="C861" s="2"/>
      <c r="D861" s="2"/>
      <c r="E861" s="2"/>
      <c r="F861" s="2"/>
      <c r="G861" s="2"/>
      <c r="H861" s="2"/>
      <c r="I861" s="2"/>
      <c r="J861" s="2"/>
      <c r="K861" s="2"/>
      <c r="L861" s="2"/>
      <c r="M861" s="2"/>
    </row>
    <row r="862" spans="1:13" x14ac:dyDescent="0.2">
      <c r="A862" s="2"/>
      <c r="B862" s="2"/>
      <c r="C862" s="2"/>
      <c r="D862" s="2"/>
      <c r="E862" s="2"/>
      <c r="F862" s="2"/>
      <c r="G862" s="2"/>
      <c r="H862" s="2"/>
      <c r="I862" s="2"/>
      <c r="J862" s="2"/>
      <c r="K862" s="2"/>
      <c r="L862" s="2"/>
      <c r="M862" s="2"/>
    </row>
    <row r="863" spans="1:13" x14ac:dyDescent="0.2">
      <c r="A863" s="2"/>
      <c r="B863" s="2"/>
      <c r="C863" s="2"/>
      <c r="D863" s="2"/>
      <c r="E863" s="2"/>
      <c r="F863" s="2"/>
      <c r="G863" s="2"/>
      <c r="H863" s="2"/>
      <c r="I863" s="2"/>
      <c r="J863" s="2"/>
      <c r="K863" s="2"/>
      <c r="L863" s="2"/>
      <c r="M863" s="2"/>
    </row>
    <row r="864" spans="1:13" x14ac:dyDescent="0.2">
      <c r="A864" s="2"/>
      <c r="B864" s="2"/>
      <c r="C864" s="2"/>
      <c r="D864" s="2"/>
      <c r="E864" s="2"/>
      <c r="F864" s="2"/>
      <c r="G864" s="2"/>
      <c r="H864" s="2"/>
      <c r="I864" s="2"/>
      <c r="J864" s="2"/>
      <c r="K864" s="2"/>
      <c r="L864" s="2"/>
      <c r="M864" s="2"/>
    </row>
    <row r="865" spans="1:13" x14ac:dyDescent="0.2">
      <c r="A865" s="2"/>
      <c r="B865" s="2"/>
      <c r="C865" s="2"/>
      <c r="D865" s="2"/>
      <c r="E865" s="2"/>
      <c r="F865" s="2"/>
      <c r="G865" s="2"/>
      <c r="H865" s="2"/>
      <c r="I865" s="2"/>
      <c r="J865" s="2"/>
      <c r="K865" s="2"/>
      <c r="L865" s="2"/>
      <c r="M865" s="2"/>
    </row>
    <row r="866" spans="1:13" x14ac:dyDescent="0.2">
      <c r="A866" s="2"/>
      <c r="B866" s="2"/>
      <c r="C866" s="2"/>
      <c r="D866" s="2"/>
      <c r="E866" s="2"/>
      <c r="F866" s="2"/>
      <c r="G866" s="2"/>
      <c r="H866" s="2"/>
      <c r="I866" s="2"/>
      <c r="J866" s="2"/>
      <c r="K866" s="2"/>
      <c r="L866" s="2"/>
      <c r="M866" s="2"/>
    </row>
    <row r="867" spans="1:13" x14ac:dyDescent="0.2">
      <c r="A867" s="2"/>
      <c r="B867" s="2"/>
      <c r="C867" s="2"/>
      <c r="D867" s="2"/>
      <c r="E867" s="2"/>
      <c r="F867" s="2"/>
      <c r="G867" s="2"/>
      <c r="H867" s="2"/>
      <c r="I867" s="2"/>
      <c r="J867" s="2"/>
      <c r="K867" s="2"/>
      <c r="L867" s="2"/>
      <c r="M867" s="2"/>
    </row>
    <row r="868" spans="1:13" x14ac:dyDescent="0.2">
      <c r="A868" s="2"/>
      <c r="B868" s="2"/>
      <c r="C868" s="2"/>
      <c r="D868" s="2"/>
      <c r="E868" s="2"/>
      <c r="F868" s="2"/>
      <c r="G868" s="2"/>
      <c r="H868" s="2"/>
      <c r="I868" s="2"/>
      <c r="J868" s="2"/>
      <c r="K868" s="2"/>
      <c r="L868" s="2"/>
      <c r="M868" s="2"/>
    </row>
    <row r="869" spans="1:13" x14ac:dyDescent="0.2">
      <c r="A869" s="2"/>
      <c r="B869" s="2"/>
      <c r="C869" s="2"/>
      <c r="D869" s="2"/>
      <c r="E869" s="2"/>
      <c r="F869" s="2"/>
      <c r="G869" s="2"/>
      <c r="H869" s="2"/>
      <c r="I869" s="2"/>
      <c r="J869" s="2"/>
      <c r="K869" s="2"/>
      <c r="L869" s="2"/>
      <c r="M869" s="2"/>
    </row>
    <row r="870" spans="1:13" x14ac:dyDescent="0.2">
      <c r="A870" s="2"/>
      <c r="B870" s="2"/>
      <c r="C870" s="2"/>
      <c r="D870" s="2"/>
      <c r="E870" s="2"/>
      <c r="F870" s="2"/>
      <c r="G870" s="2"/>
      <c r="H870" s="2"/>
      <c r="I870" s="2"/>
      <c r="J870" s="2"/>
      <c r="K870" s="2"/>
      <c r="L870" s="2"/>
      <c r="M870" s="2"/>
    </row>
    <row r="871" spans="1:13" x14ac:dyDescent="0.2">
      <c r="A871" s="2"/>
      <c r="B871" s="2"/>
      <c r="C871" s="2"/>
      <c r="D871" s="2"/>
      <c r="E871" s="2"/>
      <c r="F871" s="2"/>
      <c r="G871" s="2"/>
      <c r="H871" s="2"/>
      <c r="I871" s="2"/>
      <c r="J871" s="2"/>
      <c r="K871" s="2"/>
      <c r="L871" s="2"/>
      <c r="M871" s="2"/>
    </row>
    <row r="872" spans="1:13" x14ac:dyDescent="0.2">
      <c r="A872" s="2"/>
      <c r="B872" s="2"/>
      <c r="C872" s="2"/>
      <c r="D872" s="2"/>
      <c r="E872" s="2"/>
      <c r="F872" s="2"/>
      <c r="G872" s="2"/>
      <c r="H872" s="2"/>
      <c r="I872" s="2"/>
      <c r="J872" s="2"/>
      <c r="K872" s="2"/>
      <c r="L872" s="2"/>
      <c r="M872" s="2"/>
    </row>
    <row r="873" spans="1:13" x14ac:dyDescent="0.2">
      <c r="A873" s="2"/>
      <c r="B873" s="2"/>
      <c r="C873" s="2"/>
      <c r="D873" s="2"/>
      <c r="E873" s="2"/>
      <c r="F873" s="2"/>
      <c r="G873" s="2"/>
      <c r="H873" s="2"/>
      <c r="I873" s="2"/>
      <c r="J873" s="2"/>
      <c r="K873" s="2"/>
      <c r="L873" s="2"/>
      <c r="M873" s="2"/>
    </row>
    <row r="874" spans="1:13" x14ac:dyDescent="0.2">
      <c r="A874" s="2"/>
      <c r="B874" s="2"/>
      <c r="C874" s="2"/>
      <c r="D874" s="2"/>
      <c r="E874" s="2"/>
      <c r="F874" s="2"/>
      <c r="G874" s="2"/>
      <c r="H874" s="2"/>
      <c r="I874" s="2"/>
      <c r="J874" s="2"/>
      <c r="K874" s="2"/>
      <c r="L874" s="2"/>
      <c r="M874" s="2"/>
    </row>
    <row r="875" spans="1:13" x14ac:dyDescent="0.2">
      <c r="A875" s="2"/>
      <c r="B875" s="2"/>
      <c r="C875" s="2"/>
      <c r="D875" s="2"/>
      <c r="E875" s="2"/>
      <c r="F875" s="2"/>
      <c r="G875" s="2"/>
      <c r="H875" s="2"/>
      <c r="I875" s="2"/>
      <c r="J875" s="2"/>
      <c r="K875" s="2"/>
      <c r="L875" s="2"/>
      <c r="M875" s="2"/>
    </row>
    <row r="876" spans="1:13" x14ac:dyDescent="0.2">
      <c r="A876" s="2"/>
      <c r="B876" s="2"/>
      <c r="C876" s="2"/>
      <c r="D876" s="2"/>
      <c r="E876" s="2"/>
      <c r="F876" s="2"/>
      <c r="G876" s="2"/>
      <c r="H876" s="2"/>
      <c r="I876" s="2"/>
      <c r="J876" s="2"/>
      <c r="K876" s="2"/>
      <c r="L876" s="2"/>
      <c r="M876" s="2"/>
    </row>
    <row r="877" spans="1:13" x14ac:dyDescent="0.2">
      <c r="A877" s="2"/>
      <c r="B877" s="2"/>
      <c r="C877" s="2"/>
      <c r="D877" s="2"/>
      <c r="E877" s="2"/>
      <c r="F877" s="2"/>
      <c r="G877" s="2"/>
      <c r="H877" s="2"/>
      <c r="I877" s="2"/>
      <c r="J877" s="2"/>
      <c r="K877" s="2"/>
      <c r="L877" s="2"/>
      <c r="M877" s="2"/>
    </row>
    <row r="878" spans="1:13" x14ac:dyDescent="0.2">
      <c r="A878" s="2"/>
      <c r="B878" s="2"/>
      <c r="C878" s="2"/>
      <c r="D878" s="2"/>
      <c r="E878" s="2"/>
      <c r="F878" s="2"/>
      <c r="G878" s="2"/>
      <c r="H878" s="2"/>
      <c r="I878" s="2"/>
      <c r="J878" s="2"/>
      <c r="K878" s="2"/>
      <c r="L878" s="2"/>
      <c r="M878" s="2"/>
    </row>
    <row r="879" spans="1:13" x14ac:dyDescent="0.2">
      <c r="A879" s="2"/>
      <c r="B879" s="2"/>
      <c r="C879" s="2"/>
      <c r="D879" s="2"/>
      <c r="E879" s="2"/>
      <c r="F879" s="2"/>
      <c r="G879" s="2"/>
      <c r="H879" s="2"/>
      <c r="I879" s="2"/>
      <c r="J879" s="2"/>
      <c r="K879" s="2"/>
      <c r="L879" s="2"/>
      <c r="M879" s="2"/>
    </row>
    <row r="880" spans="1:13" x14ac:dyDescent="0.2">
      <c r="A880" s="2"/>
      <c r="B880" s="2"/>
      <c r="C880" s="2"/>
      <c r="D880" s="2"/>
      <c r="E880" s="2"/>
      <c r="F880" s="2"/>
      <c r="G880" s="2"/>
      <c r="H880" s="2"/>
      <c r="I880" s="2"/>
      <c r="J880" s="2"/>
      <c r="K880" s="2"/>
      <c r="L880" s="2"/>
      <c r="M880" s="2"/>
    </row>
    <row r="881" spans="1:13" x14ac:dyDescent="0.2">
      <c r="A881" s="2"/>
      <c r="B881" s="2"/>
      <c r="C881" s="2"/>
      <c r="D881" s="2"/>
      <c r="E881" s="2"/>
      <c r="F881" s="2"/>
      <c r="G881" s="2"/>
      <c r="H881" s="2"/>
      <c r="I881" s="2"/>
      <c r="J881" s="2"/>
      <c r="K881" s="2"/>
      <c r="L881" s="2"/>
      <c r="M881" s="2"/>
    </row>
    <row r="882" spans="1:13" x14ac:dyDescent="0.2">
      <c r="A882" s="2"/>
      <c r="B882" s="2"/>
      <c r="C882" s="2"/>
      <c r="D882" s="2"/>
      <c r="E882" s="2"/>
      <c r="F882" s="2"/>
      <c r="G882" s="2"/>
      <c r="H882" s="2"/>
      <c r="I882" s="2"/>
      <c r="J882" s="2"/>
      <c r="K882" s="2"/>
      <c r="L882" s="2"/>
      <c r="M882" s="2"/>
    </row>
    <row r="883" spans="1:13" x14ac:dyDescent="0.2">
      <c r="A883" s="2"/>
      <c r="B883" s="2"/>
      <c r="C883" s="2"/>
      <c r="D883" s="2"/>
      <c r="E883" s="2"/>
      <c r="F883" s="2"/>
      <c r="G883" s="2"/>
      <c r="H883" s="2"/>
      <c r="I883" s="2"/>
      <c r="J883" s="2"/>
      <c r="K883" s="2"/>
      <c r="L883" s="2"/>
      <c r="M883" s="2"/>
    </row>
    <row r="884" spans="1:13" x14ac:dyDescent="0.2">
      <c r="A884" s="2"/>
      <c r="B884" s="2"/>
      <c r="C884" s="2"/>
      <c r="D884" s="2"/>
      <c r="E884" s="2"/>
      <c r="F884" s="2"/>
      <c r="G884" s="2"/>
      <c r="H884" s="2"/>
      <c r="I884" s="2"/>
      <c r="J884" s="2"/>
      <c r="K884" s="2"/>
      <c r="L884" s="2"/>
      <c r="M884" s="2"/>
    </row>
    <row r="885" spans="1:13" x14ac:dyDescent="0.2">
      <c r="A885" s="2"/>
      <c r="B885" s="2"/>
      <c r="C885" s="2"/>
      <c r="D885" s="2"/>
      <c r="E885" s="2"/>
      <c r="F885" s="2"/>
      <c r="G885" s="2"/>
      <c r="H885" s="2"/>
      <c r="I885" s="2"/>
      <c r="J885" s="2"/>
      <c r="K885" s="2"/>
      <c r="L885" s="2"/>
      <c r="M885" s="2"/>
    </row>
    <row r="886" spans="1:13" x14ac:dyDescent="0.2">
      <c r="A886" s="2"/>
      <c r="B886" s="2"/>
      <c r="C886" s="2"/>
      <c r="D886" s="2"/>
      <c r="E886" s="2"/>
      <c r="F886" s="2"/>
      <c r="G886" s="2"/>
      <c r="H886" s="2"/>
      <c r="I886" s="2"/>
      <c r="J886" s="2"/>
      <c r="K886" s="2"/>
      <c r="L886" s="2"/>
      <c r="M886" s="2"/>
    </row>
    <row r="887" spans="1:13" x14ac:dyDescent="0.2">
      <c r="A887" s="2"/>
      <c r="B887" s="2"/>
      <c r="C887" s="2"/>
      <c r="D887" s="2"/>
      <c r="E887" s="2"/>
      <c r="F887" s="2"/>
      <c r="G887" s="2"/>
      <c r="H887" s="2"/>
      <c r="I887" s="2"/>
      <c r="J887" s="2"/>
      <c r="K887" s="2"/>
      <c r="L887" s="2"/>
      <c r="M887" s="2"/>
    </row>
    <row r="888" spans="1:13" x14ac:dyDescent="0.2">
      <c r="A888" s="2"/>
      <c r="B888" s="2"/>
      <c r="C888" s="2"/>
      <c r="D888" s="2"/>
      <c r="E888" s="2"/>
      <c r="F888" s="2"/>
      <c r="G888" s="2"/>
      <c r="H888" s="2"/>
      <c r="I888" s="2"/>
      <c r="J888" s="2"/>
      <c r="K888" s="2"/>
      <c r="L888" s="2"/>
      <c r="M888" s="2"/>
    </row>
    <row r="889" spans="1:13" x14ac:dyDescent="0.2">
      <c r="A889" s="2"/>
      <c r="B889" s="2"/>
      <c r="C889" s="2"/>
      <c r="D889" s="2"/>
      <c r="E889" s="2"/>
      <c r="F889" s="2"/>
      <c r="G889" s="2"/>
      <c r="H889" s="2"/>
      <c r="I889" s="2"/>
      <c r="J889" s="2"/>
      <c r="K889" s="2"/>
      <c r="L889" s="2"/>
      <c r="M889" s="2"/>
    </row>
    <row r="890" spans="1:13" x14ac:dyDescent="0.2">
      <c r="A890" s="2"/>
      <c r="B890" s="2"/>
      <c r="C890" s="2"/>
      <c r="D890" s="2"/>
      <c r="E890" s="2"/>
      <c r="F890" s="2"/>
      <c r="G890" s="2"/>
      <c r="H890" s="2"/>
      <c r="I890" s="2"/>
      <c r="J890" s="2"/>
      <c r="K890" s="2"/>
      <c r="L890" s="2"/>
      <c r="M890" s="2"/>
    </row>
    <row r="891" spans="1:13" x14ac:dyDescent="0.2">
      <c r="A891" s="2"/>
      <c r="B891" s="2"/>
      <c r="C891" s="2"/>
      <c r="D891" s="2"/>
      <c r="E891" s="2"/>
      <c r="F891" s="2"/>
      <c r="G891" s="2"/>
      <c r="H891" s="2"/>
      <c r="I891" s="2"/>
      <c r="J891" s="2"/>
      <c r="K891" s="2"/>
      <c r="L891" s="2"/>
      <c r="M891" s="2"/>
    </row>
    <row r="892" spans="1:13" x14ac:dyDescent="0.2">
      <c r="A892" s="2"/>
      <c r="B892" s="2"/>
      <c r="C892" s="2"/>
      <c r="D892" s="2"/>
      <c r="E892" s="2"/>
      <c r="F892" s="2"/>
      <c r="G892" s="2"/>
      <c r="H892" s="2"/>
      <c r="I892" s="2"/>
      <c r="J892" s="2"/>
      <c r="K892" s="2"/>
      <c r="L892" s="2"/>
      <c r="M892" s="2"/>
    </row>
    <row r="893" spans="1:13" x14ac:dyDescent="0.2">
      <c r="A893" s="2"/>
      <c r="B893" s="2"/>
      <c r="C893" s="2"/>
      <c r="D893" s="2"/>
      <c r="E893" s="2"/>
      <c r="F893" s="2"/>
      <c r="G893" s="2"/>
      <c r="H893" s="2"/>
      <c r="I893" s="2"/>
      <c r="J893" s="2"/>
      <c r="K893" s="2"/>
      <c r="L893" s="2"/>
      <c r="M893" s="2"/>
    </row>
    <row r="894" spans="1:13" x14ac:dyDescent="0.2">
      <c r="A894" s="2"/>
      <c r="B894" s="2"/>
      <c r="C894" s="2"/>
      <c r="D894" s="2"/>
      <c r="E894" s="2"/>
      <c r="F894" s="2"/>
      <c r="G894" s="2"/>
      <c r="H894" s="2"/>
      <c r="I894" s="2"/>
      <c r="J894" s="2"/>
      <c r="K894" s="2"/>
      <c r="L894" s="2"/>
      <c r="M894" s="2"/>
    </row>
    <row r="895" spans="1:13" x14ac:dyDescent="0.2">
      <c r="A895" s="2"/>
      <c r="B895" s="2"/>
      <c r="C895" s="2"/>
      <c r="D895" s="2"/>
      <c r="E895" s="2"/>
      <c r="F895" s="2"/>
      <c r="G895" s="2"/>
      <c r="H895" s="2"/>
      <c r="I895" s="2"/>
      <c r="J895" s="2"/>
      <c r="K895" s="2"/>
      <c r="L895" s="2"/>
      <c r="M895" s="2"/>
    </row>
    <row r="896" spans="1:13" x14ac:dyDescent="0.2">
      <c r="A896" s="2"/>
      <c r="B896" s="2"/>
      <c r="C896" s="2"/>
      <c r="D896" s="2"/>
      <c r="E896" s="2"/>
      <c r="F896" s="2"/>
      <c r="G896" s="2"/>
      <c r="H896" s="2"/>
      <c r="I896" s="2"/>
      <c r="J896" s="2"/>
      <c r="K896" s="2"/>
      <c r="L896" s="2"/>
      <c r="M896" s="2"/>
    </row>
    <row r="897" spans="1:13" x14ac:dyDescent="0.2">
      <c r="A897" s="2"/>
      <c r="B897" s="2"/>
      <c r="C897" s="2"/>
      <c r="D897" s="2"/>
      <c r="E897" s="2"/>
      <c r="F897" s="2"/>
      <c r="G897" s="2"/>
      <c r="H897" s="2"/>
      <c r="I897" s="2"/>
      <c r="J897" s="2"/>
      <c r="K897" s="2"/>
      <c r="L897" s="2"/>
      <c r="M897" s="2"/>
    </row>
    <row r="898" spans="1:13" x14ac:dyDescent="0.2">
      <c r="A898" s="2"/>
      <c r="B898" s="2"/>
      <c r="C898" s="2"/>
      <c r="D898" s="2"/>
      <c r="E898" s="2"/>
      <c r="F898" s="2"/>
      <c r="G898" s="2"/>
      <c r="H898" s="2"/>
      <c r="I898" s="2"/>
      <c r="J898" s="2"/>
      <c r="K898" s="2"/>
      <c r="L898" s="2"/>
      <c r="M898" s="2"/>
    </row>
    <row r="899" spans="1:13" x14ac:dyDescent="0.2">
      <c r="A899" s="2"/>
      <c r="B899" s="2"/>
      <c r="C899" s="2"/>
      <c r="D899" s="2"/>
      <c r="E899" s="2"/>
      <c r="F899" s="2"/>
      <c r="G899" s="2"/>
      <c r="H899" s="2"/>
      <c r="I899" s="2"/>
      <c r="J899" s="2"/>
      <c r="K899" s="2"/>
      <c r="L899" s="2"/>
      <c r="M899" s="2"/>
    </row>
    <row r="900" spans="1:13" x14ac:dyDescent="0.2">
      <c r="A900" s="2"/>
      <c r="B900" s="2"/>
      <c r="C900" s="2"/>
      <c r="D900" s="2"/>
      <c r="E900" s="2"/>
      <c r="F900" s="2"/>
      <c r="G900" s="2"/>
      <c r="H900" s="2"/>
      <c r="I900" s="2"/>
      <c r="J900" s="2"/>
      <c r="K900" s="2"/>
      <c r="L900" s="2"/>
      <c r="M900" s="2"/>
    </row>
    <row r="901" spans="1:13" x14ac:dyDescent="0.2">
      <c r="A901" s="2"/>
      <c r="B901" s="2"/>
      <c r="C901" s="2"/>
      <c r="D901" s="2"/>
      <c r="E901" s="2"/>
      <c r="F901" s="2"/>
      <c r="G901" s="2"/>
      <c r="H901" s="2"/>
      <c r="I901" s="2"/>
      <c r="J901" s="2"/>
      <c r="K901" s="2"/>
      <c r="L901" s="2"/>
      <c r="M901" s="2"/>
    </row>
    <row r="902" spans="1:13" x14ac:dyDescent="0.2">
      <c r="A902" s="2"/>
      <c r="B902" s="2"/>
      <c r="C902" s="2"/>
      <c r="D902" s="2"/>
      <c r="E902" s="2"/>
      <c r="F902" s="2"/>
      <c r="G902" s="2"/>
      <c r="H902" s="2"/>
      <c r="I902" s="2"/>
      <c r="J902" s="2"/>
      <c r="K902" s="2"/>
      <c r="L902" s="2"/>
      <c r="M902" s="2"/>
    </row>
    <row r="903" spans="1:13" x14ac:dyDescent="0.2">
      <c r="A903" s="2"/>
      <c r="B903" s="2"/>
      <c r="C903" s="2"/>
      <c r="D903" s="2"/>
      <c r="E903" s="2"/>
      <c r="F903" s="2"/>
      <c r="G903" s="2"/>
      <c r="H903" s="2"/>
      <c r="I903" s="2"/>
      <c r="J903" s="2"/>
      <c r="K903" s="2"/>
      <c r="L903" s="2"/>
      <c r="M903" s="2"/>
    </row>
    <row r="904" spans="1:13" x14ac:dyDescent="0.2">
      <c r="A904" s="2"/>
      <c r="B904" s="2"/>
      <c r="C904" s="2"/>
      <c r="D904" s="2"/>
      <c r="E904" s="2"/>
      <c r="F904" s="2"/>
      <c r="G904" s="2"/>
      <c r="H904" s="2"/>
      <c r="I904" s="2"/>
      <c r="J904" s="2"/>
      <c r="K904" s="2"/>
      <c r="L904" s="2"/>
      <c r="M904" s="2"/>
    </row>
    <row r="905" spans="1:13" x14ac:dyDescent="0.2">
      <c r="A905" s="2"/>
      <c r="B905" s="2"/>
      <c r="C905" s="2"/>
      <c r="D905" s="2"/>
      <c r="E905" s="2"/>
      <c r="F905" s="2"/>
      <c r="G905" s="2"/>
      <c r="H905" s="2"/>
      <c r="I905" s="2"/>
      <c r="J905" s="2"/>
      <c r="K905" s="2"/>
      <c r="L905" s="2"/>
      <c r="M905" s="2"/>
    </row>
    <row r="906" spans="1:13" x14ac:dyDescent="0.2">
      <c r="A906" s="2"/>
      <c r="B906" s="2"/>
      <c r="C906" s="2"/>
      <c r="D906" s="2"/>
      <c r="E906" s="2"/>
      <c r="F906" s="2"/>
      <c r="G906" s="2"/>
      <c r="H906" s="2"/>
      <c r="I906" s="2"/>
      <c r="J906" s="2"/>
      <c r="K906" s="2"/>
      <c r="L906" s="2"/>
      <c r="M906" s="2"/>
    </row>
    <row r="907" spans="1:13" x14ac:dyDescent="0.2">
      <c r="A907" s="2"/>
      <c r="B907" s="2"/>
      <c r="C907" s="2"/>
      <c r="D907" s="2"/>
      <c r="E907" s="2"/>
      <c r="F907" s="2"/>
      <c r="G907" s="2"/>
      <c r="H907" s="2"/>
      <c r="I907" s="2"/>
      <c r="J907" s="2"/>
      <c r="K907" s="2"/>
      <c r="L907" s="2"/>
      <c r="M907" s="2"/>
    </row>
    <row r="908" spans="1:13" x14ac:dyDescent="0.2">
      <c r="A908" s="2"/>
      <c r="B908" s="2"/>
      <c r="C908" s="2"/>
      <c r="D908" s="2"/>
      <c r="E908" s="2"/>
      <c r="F908" s="2"/>
      <c r="G908" s="2"/>
      <c r="H908" s="2"/>
      <c r="I908" s="2"/>
      <c r="J908" s="2"/>
      <c r="K908" s="2"/>
      <c r="L908" s="2"/>
      <c r="M908" s="2"/>
    </row>
    <row r="909" spans="1:13" x14ac:dyDescent="0.2">
      <c r="A909" s="2"/>
      <c r="B909" s="2"/>
      <c r="C909" s="2"/>
      <c r="D909" s="2"/>
      <c r="E909" s="2"/>
      <c r="F909" s="2"/>
      <c r="G909" s="2"/>
      <c r="H909" s="2"/>
      <c r="I909" s="2"/>
      <c r="J909" s="2"/>
      <c r="K909" s="2"/>
      <c r="L909" s="2"/>
      <c r="M909" s="2"/>
    </row>
    <row r="910" spans="1:13" x14ac:dyDescent="0.2">
      <c r="A910" s="2"/>
      <c r="B910" s="2"/>
      <c r="C910" s="2"/>
      <c r="D910" s="2"/>
      <c r="E910" s="2"/>
      <c r="F910" s="2"/>
      <c r="G910" s="2"/>
      <c r="H910" s="2"/>
      <c r="I910" s="2"/>
      <c r="J910" s="2"/>
      <c r="K910" s="2"/>
      <c r="L910" s="2"/>
      <c r="M910" s="2"/>
    </row>
    <row r="911" spans="1:13" x14ac:dyDescent="0.2">
      <c r="A911" s="2"/>
      <c r="B911" s="2"/>
      <c r="C911" s="2"/>
      <c r="D911" s="2"/>
      <c r="E911" s="2"/>
      <c r="F911" s="2"/>
      <c r="G911" s="2"/>
      <c r="H911" s="2"/>
      <c r="I911" s="2"/>
      <c r="J911" s="2"/>
      <c r="K911" s="2"/>
      <c r="L911" s="2"/>
      <c r="M911" s="2"/>
    </row>
    <row r="912" spans="1:13" x14ac:dyDescent="0.2">
      <c r="A912" s="2"/>
      <c r="B912" s="2"/>
      <c r="C912" s="2"/>
      <c r="D912" s="2"/>
      <c r="E912" s="2"/>
      <c r="F912" s="2"/>
      <c r="G912" s="2"/>
      <c r="H912" s="2"/>
      <c r="I912" s="2"/>
      <c r="J912" s="2"/>
      <c r="K912" s="2"/>
      <c r="L912" s="2"/>
      <c r="M912" s="2"/>
    </row>
    <row r="913" spans="1:13" x14ac:dyDescent="0.2">
      <c r="A913" s="2"/>
      <c r="B913" s="2"/>
      <c r="C913" s="2"/>
      <c r="D913" s="2"/>
      <c r="E913" s="2"/>
      <c r="F913" s="2"/>
      <c r="G913" s="2"/>
      <c r="H913" s="2"/>
      <c r="I913" s="2"/>
      <c r="J913" s="2"/>
      <c r="K913" s="2"/>
      <c r="L913" s="2"/>
      <c r="M913" s="2"/>
    </row>
    <row r="914" spans="1:13" x14ac:dyDescent="0.2">
      <c r="A914" s="2"/>
      <c r="B914" s="2"/>
      <c r="C914" s="2"/>
      <c r="D914" s="2"/>
      <c r="E914" s="2"/>
      <c r="F914" s="2"/>
      <c r="G914" s="2"/>
      <c r="H914" s="2"/>
      <c r="I914" s="2"/>
      <c r="J914" s="2"/>
      <c r="K914" s="2"/>
      <c r="L914" s="2"/>
      <c r="M914" s="2"/>
    </row>
    <row r="915" spans="1:13" x14ac:dyDescent="0.2">
      <c r="A915" s="2"/>
      <c r="B915" s="2"/>
      <c r="C915" s="2"/>
      <c r="D915" s="2"/>
      <c r="E915" s="2"/>
      <c r="F915" s="2"/>
      <c r="G915" s="2"/>
      <c r="H915" s="2"/>
      <c r="I915" s="2"/>
      <c r="J915" s="2"/>
      <c r="K915" s="2"/>
      <c r="L915" s="2"/>
      <c r="M915" s="2"/>
    </row>
    <row r="916" spans="1:13" x14ac:dyDescent="0.2">
      <c r="A916" s="2"/>
      <c r="B916" s="2"/>
      <c r="C916" s="2"/>
      <c r="D916" s="2"/>
      <c r="E916" s="2"/>
      <c r="F916" s="2"/>
      <c r="G916" s="2"/>
      <c r="H916" s="2"/>
      <c r="I916" s="2"/>
      <c r="J916" s="2"/>
      <c r="K916" s="2"/>
      <c r="L916" s="2"/>
      <c r="M916" s="2"/>
    </row>
    <row r="917" spans="1:13" x14ac:dyDescent="0.2">
      <c r="A917" s="2"/>
      <c r="B917" s="2"/>
      <c r="C917" s="2"/>
      <c r="D917" s="2"/>
      <c r="E917" s="2"/>
      <c r="F917" s="2"/>
      <c r="G917" s="2"/>
      <c r="H917" s="2"/>
      <c r="I917" s="2"/>
      <c r="J917" s="2"/>
      <c r="K917" s="2"/>
      <c r="L917" s="2"/>
      <c r="M917" s="2"/>
    </row>
    <row r="918" spans="1:13" x14ac:dyDescent="0.2">
      <c r="A918" s="2"/>
      <c r="B918" s="2"/>
      <c r="C918" s="2"/>
      <c r="D918" s="2"/>
      <c r="E918" s="2"/>
      <c r="F918" s="2"/>
      <c r="G918" s="2"/>
      <c r="H918" s="2"/>
      <c r="I918" s="2"/>
      <c r="J918" s="2"/>
      <c r="K918" s="2"/>
      <c r="L918" s="2"/>
      <c r="M918" s="2"/>
    </row>
    <row r="919" spans="1:13" x14ac:dyDescent="0.2">
      <c r="A919" s="2"/>
      <c r="B919" s="2"/>
      <c r="C919" s="2"/>
      <c r="D919" s="2"/>
      <c r="E919" s="2"/>
      <c r="F919" s="2"/>
      <c r="G919" s="2"/>
      <c r="H919" s="2"/>
      <c r="I919" s="2"/>
      <c r="J919" s="2"/>
      <c r="K919" s="2"/>
      <c r="L919" s="2"/>
      <c r="M919" s="2"/>
    </row>
    <row r="920" spans="1:13" x14ac:dyDescent="0.2">
      <c r="A920" s="2"/>
      <c r="B920" s="2"/>
      <c r="C920" s="2"/>
      <c r="D920" s="2"/>
      <c r="E920" s="2"/>
      <c r="F920" s="2"/>
      <c r="G920" s="2"/>
      <c r="H920" s="2"/>
      <c r="I920" s="2"/>
      <c r="J920" s="2"/>
      <c r="K920" s="2"/>
      <c r="L920" s="2"/>
      <c r="M920" s="2"/>
    </row>
    <row r="921" spans="1:13" x14ac:dyDescent="0.2">
      <c r="A921" s="2"/>
      <c r="B921" s="2"/>
      <c r="C921" s="2"/>
      <c r="D921" s="2"/>
      <c r="E921" s="2"/>
      <c r="F921" s="2"/>
      <c r="G921" s="2"/>
      <c r="H921" s="2"/>
      <c r="I921" s="2"/>
      <c r="J921" s="2"/>
      <c r="K921" s="2"/>
      <c r="L921" s="2"/>
      <c r="M921" s="2"/>
    </row>
    <row r="922" spans="1:13" x14ac:dyDescent="0.2">
      <c r="A922" s="2"/>
      <c r="B922" s="2"/>
      <c r="C922" s="2"/>
      <c r="D922" s="2"/>
      <c r="E922" s="2"/>
      <c r="F922" s="2"/>
      <c r="G922" s="2"/>
      <c r="H922" s="2"/>
      <c r="I922" s="2"/>
      <c r="J922" s="2"/>
      <c r="K922" s="2"/>
      <c r="L922" s="2"/>
      <c r="M922" s="2"/>
    </row>
    <row r="923" spans="1:13" x14ac:dyDescent="0.2">
      <c r="A923" s="2"/>
      <c r="B923" s="2"/>
      <c r="C923" s="2"/>
      <c r="D923" s="2"/>
      <c r="E923" s="2"/>
      <c r="F923" s="2"/>
      <c r="G923" s="2"/>
      <c r="H923" s="2"/>
      <c r="I923" s="2"/>
      <c r="J923" s="2"/>
      <c r="K923" s="2"/>
      <c r="L923" s="2"/>
      <c r="M923" s="2"/>
    </row>
    <row r="924" spans="1:13" x14ac:dyDescent="0.2">
      <c r="A924" s="2"/>
      <c r="B924" s="2"/>
      <c r="C924" s="2"/>
      <c r="D924" s="2"/>
      <c r="E924" s="2"/>
      <c r="F924" s="2"/>
      <c r="G924" s="2"/>
      <c r="H924" s="2"/>
      <c r="I924" s="2"/>
      <c r="J924" s="2"/>
      <c r="K924" s="2"/>
      <c r="L924" s="2"/>
      <c r="M924" s="2"/>
    </row>
    <row r="925" spans="1:13" x14ac:dyDescent="0.2">
      <c r="A925" s="2"/>
      <c r="B925" s="2"/>
      <c r="C925" s="2"/>
      <c r="D925" s="2"/>
      <c r="E925" s="2"/>
      <c r="F925" s="2"/>
      <c r="G925" s="2"/>
      <c r="H925" s="2"/>
      <c r="I925" s="2"/>
      <c r="J925" s="2"/>
      <c r="K925" s="2"/>
      <c r="L925" s="2"/>
      <c r="M925" s="2"/>
    </row>
    <row r="926" spans="1:13" x14ac:dyDescent="0.2">
      <c r="A926" s="2"/>
      <c r="B926" s="2"/>
      <c r="C926" s="2"/>
      <c r="D926" s="2"/>
      <c r="E926" s="2"/>
      <c r="F926" s="2"/>
      <c r="G926" s="2"/>
      <c r="H926" s="2"/>
      <c r="I926" s="2"/>
      <c r="J926" s="2"/>
      <c r="K926" s="2"/>
      <c r="L926" s="2"/>
      <c r="M926" s="2"/>
    </row>
    <row r="927" spans="1:13" x14ac:dyDescent="0.2">
      <c r="A927" s="2"/>
      <c r="B927" s="2"/>
      <c r="C927" s="2"/>
      <c r="D927" s="2"/>
      <c r="E927" s="2"/>
      <c r="F927" s="2"/>
      <c r="G927" s="2"/>
      <c r="H927" s="2"/>
      <c r="I927" s="2"/>
      <c r="J927" s="2"/>
      <c r="K927" s="2"/>
      <c r="L927" s="2"/>
      <c r="M927" s="2"/>
    </row>
    <row r="928" spans="1:13" x14ac:dyDescent="0.2">
      <c r="A928" s="2"/>
      <c r="B928" s="2"/>
      <c r="C928" s="2"/>
      <c r="D928" s="2"/>
      <c r="E928" s="2"/>
      <c r="F928" s="2"/>
      <c r="G928" s="2"/>
      <c r="H928" s="2"/>
      <c r="I928" s="2"/>
      <c r="J928" s="2"/>
      <c r="K928" s="2"/>
      <c r="L928" s="2"/>
      <c r="M928" s="2"/>
    </row>
    <row r="929" spans="1:13" x14ac:dyDescent="0.2">
      <c r="A929" s="2"/>
      <c r="B929" s="2"/>
      <c r="C929" s="2"/>
      <c r="D929" s="2"/>
      <c r="E929" s="2"/>
      <c r="F929" s="2"/>
      <c r="G929" s="2"/>
      <c r="H929" s="2"/>
      <c r="I929" s="2"/>
      <c r="J929" s="2"/>
      <c r="K929" s="2"/>
      <c r="L929" s="2"/>
      <c r="M929" s="2"/>
    </row>
    <row r="930" spans="1:13" x14ac:dyDescent="0.2">
      <c r="A930" s="2"/>
      <c r="B930" s="2"/>
      <c r="C930" s="2"/>
      <c r="D930" s="2"/>
      <c r="E930" s="2"/>
      <c r="F930" s="2"/>
      <c r="G930" s="2"/>
      <c r="H930" s="2"/>
      <c r="I930" s="2"/>
      <c r="J930" s="2"/>
      <c r="K930" s="2"/>
      <c r="L930" s="2"/>
      <c r="M930" s="2"/>
    </row>
    <row r="931" spans="1:13" x14ac:dyDescent="0.2">
      <c r="A931" s="2"/>
      <c r="B931" s="2"/>
      <c r="C931" s="2"/>
      <c r="D931" s="2"/>
      <c r="E931" s="2"/>
      <c r="F931" s="2"/>
      <c r="G931" s="2"/>
      <c r="H931" s="2"/>
      <c r="I931" s="2"/>
      <c r="J931" s="2"/>
      <c r="K931" s="2"/>
      <c r="L931" s="2"/>
      <c r="M931" s="2"/>
    </row>
    <row r="932" spans="1:13" x14ac:dyDescent="0.2">
      <c r="A932" s="2"/>
      <c r="B932" s="2"/>
      <c r="C932" s="2"/>
      <c r="D932" s="2"/>
      <c r="E932" s="2"/>
      <c r="F932" s="2"/>
      <c r="G932" s="2"/>
      <c r="H932" s="2"/>
      <c r="I932" s="2"/>
      <c r="J932" s="2"/>
      <c r="K932" s="2"/>
      <c r="L932" s="2"/>
      <c r="M932" s="2"/>
    </row>
    <row r="933" spans="1:13" x14ac:dyDescent="0.2">
      <c r="A933" s="2"/>
      <c r="B933" s="2"/>
      <c r="C933" s="2"/>
      <c r="D933" s="2"/>
      <c r="E933" s="2"/>
      <c r="F933" s="2"/>
      <c r="G933" s="2"/>
      <c r="H933" s="2"/>
      <c r="I933" s="2"/>
      <c r="J933" s="2"/>
      <c r="K933" s="2"/>
      <c r="L933" s="2"/>
      <c r="M933" s="2"/>
    </row>
    <row r="934" spans="1:13" x14ac:dyDescent="0.2">
      <c r="A934" s="2"/>
      <c r="B934" s="2"/>
      <c r="C934" s="2"/>
      <c r="D934" s="2"/>
      <c r="E934" s="2"/>
      <c r="F934" s="2"/>
      <c r="G934" s="2"/>
      <c r="H934" s="2"/>
      <c r="I934" s="2"/>
      <c r="J934" s="2"/>
      <c r="K934" s="2"/>
      <c r="L934" s="2"/>
      <c r="M934" s="2"/>
    </row>
    <row r="935" spans="1:13" x14ac:dyDescent="0.2">
      <c r="A935" s="2"/>
      <c r="B935" s="2"/>
      <c r="C935" s="2"/>
      <c r="D935" s="2"/>
      <c r="E935" s="2"/>
      <c r="F935" s="2"/>
      <c r="G935" s="2"/>
      <c r="H935" s="2"/>
      <c r="I935" s="2"/>
      <c r="J935" s="2"/>
      <c r="K935" s="2"/>
      <c r="L935" s="2"/>
      <c r="M935" s="2"/>
    </row>
    <row r="936" spans="1:13" x14ac:dyDescent="0.2">
      <c r="A936" s="2"/>
      <c r="B936" s="2"/>
      <c r="C936" s="2"/>
      <c r="D936" s="2"/>
      <c r="E936" s="2"/>
      <c r="F936" s="2"/>
      <c r="G936" s="2"/>
      <c r="H936" s="2"/>
      <c r="I936" s="2"/>
      <c r="J936" s="2"/>
      <c r="K936" s="2"/>
      <c r="L936" s="2"/>
      <c r="M936" s="2"/>
    </row>
    <row r="937" spans="1:13" x14ac:dyDescent="0.2">
      <c r="A937" s="2"/>
      <c r="B937" s="2"/>
      <c r="C937" s="2"/>
      <c r="D937" s="2"/>
      <c r="E937" s="2"/>
      <c r="F937" s="2"/>
      <c r="G937" s="2"/>
      <c r="H937" s="2"/>
      <c r="I937" s="2"/>
      <c r="J937" s="2"/>
      <c r="K937" s="2"/>
      <c r="L937" s="2"/>
      <c r="M937" s="2"/>
    </row>
    <row r="938" spans="1:13" x14ac:dyDescent="0.2">
      <c r="A938" s="2"/>
      <c r="B938" s="2"/>
      <c r="C938" s="2"/>
      <c r="D938" s="2"/>
      <c r="E938" s="2"/>
      <c r="F938" s="2"/>
      <c r="G938" s="2"/>
      <c r="H938" s="2"/>
      <c r="I938" s="2"/>
      <c r="J938" s="2"/>
      <c r="K938" s="2"/>
      <c r="L938" s="2"/>
      <c r="M938" s="2"/>
    </row>
    <row r="939" spans="1:13" x14ac:dyDescent="0.2">
      <c r="A939" s="2"/>
      <c r="B939" s="2"/>
      <c r="C939" s="2"/>
      <c r="D939" s="2"/>
      <c r="E939" s="2"/>
      <c r="F939" s="2"/>
      <c r="G939" s="2"/>
      <c r="H939" s="2"/>
      <c r="I939" s="2"/>
      <c r="J939" s="2"/>
      <c r="K939" s="2"/>
      <c r="L939" s="2"/>
      <c r="M939" s="2"/>
    </row>
    <row r="940" spans="1:13" x14ac:dyDescent="0.2">
      <c r="A940" s="2"/>
      <c r="B940" s="2"/>
      <c r="C940" s="2"/>
      <c r="D940" s="2"/>
      <c r="E940" s="2"/>
      <c r="F940" s="2"/>
      <c r="G940" s="2"/>
      <c r="H940" s="2"/>
      <c r="I940" s="2"/>
      <c r="J940" s="2"/>
      <c r="K940" s="2"/>
      <c r="L940" s="2"/>
      <c r="M940" s="2"/>
    </row>
    <row r="941" spans="1:13" x14ac:dyDescent="0.2">
      <c r="A941" s="2"/>
      <c r="B941" s="2"/>
      <c r="C941" s="2"/>
      <c r="D941" s="2"/>
      <c r="E941" s="2"/>
      <c r="F941" s="2"/>
      <c r="G941" s="2"/>
      <c r="H941" s="2"/>
      <c r="I941" s="2"/>
      <c r="J941" s="2"/>
      <c r="K941" s="2"/>
      <c r="L941" s="2"/>
      <c r="M941" s="2"/>
    </row>
    <row r="942" spans="1:13" x14ac:dyDescent="0.2">
      <c r="A942" s="2"/>
      <c r="B942" s="2"/>
      <c r="C942" s="2"/>
      <c r="D942" s="2"/>
      <c r="E942" s="2"/>
      <c r="F942" s="2"/>
      <c r="G942" s="2"/>
      <c r="H942" s="2"/>
      <c r="I942" s="2"/>
      <c r="J942" s="2"/>
      <c r="K942" s="2"/>
      <c r="L942" s="2"/>
      <c r="M942" s="2"/>
    </row>
    <row r="943" spans="1:13" x14ac:dyDescent="0.2">
      <c r="A943" s="2"/>
      <c r="B943" s="2"/>
      <c r="C943" s="2"/>
      <c r="D943" s="2"/>
      <c r="E943" s="2"/>
      <c r="F943" s="2"/>
      <c r="G943" s="2"/>
      <c r="H943" s="2"/>
      <c r="I943" s="2"/>
      <c r="J943" s="2"/>
      <c r="K943" s="2"/>
      <c r="L943" s="2"/>
      <c r="M943" s="2"/>
    </row>
    <row r="944" spans="1:13" x14ac:dyDescent="0.2">
      <c r="A944" s="2"/>
      <c r="B944" s="2"/>
      <c r="C944" s="2"/>
      <c r="D944" s="2"/>
      <c r="E944" s="2"/>
      <c r="F944" s="2"/>
      <c r="G944" s="2"/>
      <c r="H944" s="2"/>
      <c r="I944" s="2"/>
      <c r="J944" s="2"/>
      <c r="K944" s="2"/>
      <c r="L944" s="2"/>
      <c r="M944" s="2"/>
    </row>
    <row r="945" spans="1:13" x14ac:dyDescent="0.2">
      <c r="A945" s="2"/>
      <c r="B945" s="2"/>
      <c r="C945" s="2"/>
      <c r="D945" s="2"/>
      <c r="E945" s="2"/>
      <c r="F945" s="2"/>
      <c r="G945" s="2"/>
      <c r="H945" s="2"/>
      <c r="I945" s="2"/>
      <c r="J945" s="2"/>
      <c r="K945" s="2"/>
      <c r="L945" s="2"/>
      <c r="M945" s="2"/>
    </row>
    <row r="946" spans="1:13" x14ac:dyDescent="0.2">
      <c r="A946" s="2"/>
      <c r="B946" s="2"/>
      <c r="C946" s="2"/>
      <c r="D946" s="2"/>
      <c r="E946" s="2"/>
      <c r="F946" s="2"/>
      <c r="G946" s="2"/>
      <c r="H946" s="2"/>
      <c r="I946" s="2"/>
      <c r="J946" s="2"/>
      <c r="K946" s="2"/>
      <c r="L946" s="2"/>
      <c r="M946" s="2"/>
    </row>
    <row r="947" spans="1:13" x14ac:dyDescent="0.2">
      <c r="A947" s="2"/>
      <c r="B947" s="2"/>
      <c r="C947" s="2"/>
      <c r="D947" s="2"/>
      <c r="E947" s="2"/>
      <c r="F947" s="2"/>
      <c r="G947" s="2"/>
      <c r="H947" s="2"/>
      <c r="I947" s="2"/>
      <c r="J947" s="2"/>
      <c r="K947" s="2"/>
      <c r="L947" s="2"/>
      <c r="M947" s="2"/>
    </row>
    <row r="948" spans="1:13" x14ac:dyDescent="0.2">
      <c r="A948" s="2"/>
      <c r="B948" s="2"/>
      <c r="C948" s="2"/>
      <c r="D948" s="2"/>
      <c r="E948" s="2"/>
      <c r="F948" s="2"/>
      <c r="G948" s="2"/>
      <c r="H948" s="2"/>
      <c r="I948" s="2"/>
      <c r="J948" s="2"/>
      <c r="K948" s="2"/>
      <c r="L948" s="2"/>
      <c r="M948" s="2"/>
    </row>
    <row r="949" spans="1:13" x14ac:dyDescent="0.2">
      <c r="A949" s="2"/>
      <c r="B949" s="2"/>
      <c r="C949" s="2"/>
      <c r="D949" s="2"/>
      <c r="E949" s="2"/>
      <c r="F949" s="2"/>
      <c r="G949" s="2"/>
      <c r="H949" s="2"/>
      <c r="I949" s="2"/>
      <c r="J949" s="2"/>
      <c r="K949" s="2"/>
      <c r="L949" s="2"/>
      <c r="M949" s="2"/>
    </row>
    <row r="950" spans="1:13" x14ac:dyDescent="0.2">
      <c r="A950" s="2"/>
      <c r="B950" s="2"/>
      <c r="C950" s="2"/>
      <c r="D950" s="2"/>
      <c r="E950" s="2"/>
      <c r="F950" s="2"/>
      <c r="G950" s="2"/>
      <c r="H950" s="2"/>
      <c r="I950" s="2"/>
      <c r="J950" s="2"/>
      <c r="K950" s="2"/>
      <c r="L950" s="2"/>
      <c r="M950" s="2"/>
    </row>
    <row r="951" spans="1:13" x14ac:dyDescent="0.2">
      <c r="A951" s="2"/>
      <c r="B951" s="2"/>
      <c r="C951" s="2"/>
      <c r="D951" s="2"/>
      <c r="E951" s="2"/>
      <c r="F951" s="2"/>
      <c r="G951" s="2"/>
      <c r="H951" s="2"/>
      <c r="I951" s="2"/>
      <c r="J951" s="2"/>
      <c r="K951" s="2"/>
      <c r="L951" s="2"/>
      <c r="M951" s="2"/>
    </row>
    <row r="952" spans="1:13" x14ac:dyDescent="0.2">
      <c r="A952" s="2"/>
      <c r="B952" s="2"/>
      <c r="C952" s="2"/>
      <c r="D952" s="2"/>
      <c r="E952" s="2"/>
      <c r="F952" s="2"/>
      <c r="G952" s="2"/>
      <c r="H952" s="2"/>
      <c r="I952" s="2"/>
      <c r="J952" s="2"/>
      <c r="K952" s="2"/>
      <c r="L952" s="2"/>
      <c r="M952" s="2"/>
    </row>
    <row r="953" spans="1:13" x14ac:dyDescent="0.2">
      <c r="A953" s="2"/>
      <c r="B953" s="2"/>
      <c r="C953" s="2"/>
      <c r="D953" s="2"/>
      <c r="E953" s="2"/>
      <c r="F953" s="2"/>
      <c r="G953" s="2"/>
      <c r="H953" s="2"/>
      <c r="I953" s="2"/>
      <c r="J953" s="2"/>
      <c r="K953" s="2"/>
      <c r="L953" s="2"/>
      <c r="M953" s="2"/>
    </row>
    <row r="954" spans="1:13" x14ac:dyDescent="0.2">
      <c r="A954" s="2"/>
      <c r="B954" s="2"/>
      <c r="C954" s="2"/>
      <c r="D954" s="2"/>
      <c r="E954" s="2"/>
      <c r="F954" s="2"/>
      <c r="G954" s="2"/>
      <c r="H954" s="2"/>
      <c r="I954" s="2"/>
      <c r="J954" s="2"/>
      <c r="K954" s="2"/>
      <c r="L954" s="2"/>
      <c r="M954" s="2"/>
    </row>
    <row r="955" spans="1:13" x14ac:dyDescent="0.2">
      <c r="A955" s="2"/>
      <c r="B955" s="2"/>
      <c r="C955" s="2"/>
      <c r="D955" s="2"/>
      <c r="E955" s="2"/>
      <c r="F955" s="2"/>
      <c r="G955" s="2"/>
      <c r="H955" s="2"/>
      <c r="I955" s="2"/>
      <c r="J955" s="2"/>
      <c r="K955" s="2"/>
      <c r="L955" s="2"/>
      <c r="M955" s="2"/>
    </row>
    <row r="956" spans="1:13" x14ac:dyDescent="0.2">
      <c r="A956" s="2"/>
      <c r="B956" s="2"/>
      <c r="C956" s="2"/>
      <c r="D956" s="2"/>
      <c r="E956" s="2"/>
      <c r="F956" s="2"/>
      <c r="G956" s="2"/>
      <c r="H956" s="2"/>
      <c r="I956" s="2"/>
      <c r="J956" s="2"/>
      <c r="K956" s="2"/>
      <c r="L956" s="2"/>
      <c r="M956" s="2"/>
    </row>
    <row r="957" spans="1:13" x14ac:dyDescent="0.2">
      <c r="A957" s="2"/>
      <c r="B957" s="2"/>
      <c r="C957" s="2"/>
      <c r="D957" s="2"/>
      <c r="E957" s="2"/>
      <c r="F957" s="2"/>
      <c r="G957" s="2"/>
      <c r="H957" s="2"/>
      <c r="I957" s="2"/>
      <c r="J957" s="2"/>
      <c r="K957" s="2"/>
      <c r="L957" s="2"/>
      <c r="M957" s="2"/>
    </row>
    <row r="958" spans="1:13" x14ac:dyDescent="0.2">
      <c r="A958" s="2"/>
      <c r="B958" s="2"/>
      <c r="C958" s="2"/>
      <c r="D958" s="2"/>
      <c r="E958" s="2"/>
      <c r="F958" s="2"/>
      <c r="G958" s="2"/>
      <c r="H958" s="2"/>
      <c r="I958" s="2"/>
      <c r="J958" s="2"/>
      <c r="K958" s="2"/>
      <c r="L958" s="2"/>
      <c r="M958" s="2"/>
    </row>
    <row r="959" spans="1:13" x14ac:dyDescent="0.2">
      <c r="A959" s="2"/>
      <c r="B959" s="2"/>
      <c r="C959" s="2"/>
      <c r="D959" s="2"/>
      <c r="E959" s="2"/>
      <c r="F959" s="2"/>
      <c r="G959" s="2"/>
      <c r="H959" s="2"/>
      <c r="I959" s="2"/>
      <c r="J959" s="2"/>
      <c r="K959" s="2"/>
      <c r="L959" s="2"/>
      <c r="M959" s="2"/>
    </row>
    <row r="960" spans="1:13" x14ac:dyDescent="0.2">
      <c r="A960" s="2"/>
      <c r="B960" s="2"/>
      <c r="C960" s="2"/>
      <c r="D960" s="2"/>
      <c r="E960" s="2"/>
      <c r="F960" s="2"/>
      <c r="G960" s="2"/>
      <c r="H960" s="2"/>
      <c r="I960" s="2"/>
      <c r="J960" s="2"/>
      <c r="K960" s="2"/>
      <c r="L960" s="2"/>
      <c r="M960" s="2"/>
    </row>
    <row r="961" spans="1:13" x14ac:dyDescent="0.2">
      <c r="A961" s="2"/>
      <c r="B961" s="2"/>
      <c r="C961" s="2"/>
      <c r="D961" s="2"/>
      <c r="E961" s="2"/>
      <c r="F961" s="2"/>
      <c r="G961" s="2"/>
      <c r="H961" s="2"/>
      <c r="I961" s="2"/>
      <c r="J961" s="2"/>
      <c r="K961" s="2"/>
      <c r="L961" s="2"/>
      <c r="M961" s="2"/>
    </row>
    <row r="962" spans="1:13" x14ac:dyDescent="0.2">
      <c r="A962" s="2"/>
      <c r="B962" s="2"/>
      <c r="C962" s="2"/>
      <c r="D962" s="2"/>
      <c r="E962" s="2"/>
      <c r="F962" s="2"/>
      <c r="G962" s="2"/>
      <c r="H962" s="2"/>
      <c r="I962" s="2"/>
      <c r="J962" s="2"/>
      <c r="K962" s="2"/>
      <c r="L962" s="2"/>
      <c r="M962" s="2"/>
    </row>
    <row r="963" spans="1:13" x14ac:dyDescent="0.2">
      <c r="A963" s="2"/>
      <c r="B963" s="2"/>
      <c r="C963" s="2"/>
      <c r="D963" s="2"/>
      <c r="E963" s="2"/>
      <c r="F963" s="2"/>
      <c r="G963" s="2"/>
      <c r="H963" s="2"/>
      <c r="I963" s="2"/>
      <c r="J963" s="2"/>
      <c r="K963" s="2"/>
      <c r="L963" s="2"/>
      <c r="M963" s="2"/>
    </row>
    <row r="964" spans="1:13" x14ac:dyDescent="0.2">
      <c r="A964" s="2"/>
      <c r="B964" s="2"/>
      <c r="C964" s="2"/>
      <c r="D964" s="2"/>
      <c r="E964" s="2"/>
      <c r="F964" s="2"/>
      <c r="G964" s="2"/>
      <c r="H964" s="2"/>
      <c r="I964" s="2"/>
      <c r="J964" s="2"/>
      <c r="K964" s="2"/>
      <c r="L964" s="2"/>
      <c r="M964" s="2"/>
    </row>
    <row r="965" spans="1:13" x14ac:dyDescent="0.2">
      <c r="A965" s="2"/>
      <c r="B965" s="2"/>
      <c r="C965" s="2"/>
      <c r="D965" s="2"/>
      <c r="E965" s="2"/>
      <c r="F965" s="2"/>
      <c r="G965" s="2"/>
      <c r="H965" s="2"/>
      <c r="I965" s="2"/>
      <c r="J965" s="2"/>
      <c r="K965" s="2"/>
      <c r="L965" s="2"/>
      <c r="M965" s="2"/>
    </row>
    <row r="966" spans="1:13" x14ac:dyDescent="0.2">
      <c r="A966" s="2"/>
      <c r="B966" s="2"/>
      <c r="C966" s="2"/>
      <c r="D966" s="2"/>
      <c r="E966" s="2"/>
      <c r="F966" s="2"/>
      <c r="G966" s="2"/>
      <c r="H966" s="2"/>
      <c r="I966" s="2"/>
      <c r="J966" s="2"/>
      <c r="K966" s="2"/>
      <c r="L966" s="2"/>
      <c r="M966" s="2"/>
    </row>
    <row r="967" spans="1:13" x14ac:dyDescent="0.2">
      <c r="A967" s="2"/>
      <c r="B967" s="2"/>
      <c r="C967" s="2"/>
      <c r="D967" s="2"/>
      <c r="E967" s="2"/>
      <c r="F967" s="2"/>
      <c r="G967" s="2"/>
      <c r="H967" s="2"/>
      <c r="I967" s="2"/>
      <c r="J967" s="2"/>
      <c r="K967" s="2"/>
      <c r="L967" s="2"/>
      <c r="M967" s="2"/>
    </row>
    <row r="968" spans="1:13" x14ac:dyDescent="0.2">
      <c r="A968" s="2"/>
      <c r="B968" s="2"/>
      <c r="C968" s="2"/>
      <c r="D968" s="2"/>
      <c r="E968" s="2"/>
      <c r="F968" s="2"/>
      <c r="G968" s="2"/>
      <c r="H968" s="2"/>
      <c r="I968" s="2"/>
      <c r="J968" s="2"/>
      <c r="K968" s="2"/>
      <c r="L968" s="2"/>
      <c r="M968" s="2"/>
    </row>
    <row r="969" spans="1:13" x14ac:dyDescent="0.2">
      <c r="A969" s="2"/>
      <c r="B969" s="2"/>
      <c r="C969" s="2"/>
      <c r="D969" s="2"/>
      <c r="E969" s="2"/>
      <c r="F969" s="2"/>
      <c r="G969" s="2"/>
      <c r="H969" s="2"/>
      <c r="I969" s="2"/>
      <c r="J969" s="2"/>
      <c r="K969" s="2"/>
      <c r="L969" s="2"/>
      <c r="M969" s="2"/>
    </row>
    <row r="970" spans="1:13" x14ac:dyDescent="0.2">
      <c r="A970" s="2"/>
      <c r="B970" s="2"/>
      <c r="C970" s="2"/>
      <c r="D970" s="2"/>
      <c r="E970" s="2"/>
      <c r="F970" s="2"/>
      <c r="G970" s="2"/>
      <c r="H970" s="2"/>
      <c r="I970" s="2"/>
      <c r="J970" s="2"/>
      <c r="K970" s="2"/>
      <c r="L970" s="2"/>
      <c r="M970" s="2"/>
    </row>
    <row r="971" spans="1:13" x14ac:dyDescent="0.2">
      <c r="A971" s="2"/>
      <c r="B971" s="2"/>
      <c r="C971" s="2"/>
      <c r="D971" s="2"/>
      <c r="E971" s="2"/>
      <c r="F971" s="2"/>
      <c r="G971" s="2"/>
      <c r="H971" s="2"/>
      <c r="I971" s="2"/>
      <c r="J971" s="2"/>
      <c r="K971" s="2"/>
      <c r="L971" s="2"/>
      <c r="M971" s="2"/>
    </row>
    <row r="972" spans="1:13" x14ac:dyDescent="0.2">
      <c r="A972" s="2"/>
      <c r="B972" s="2"/>
      <c r="C972" s="2"/>
      <c r="D972" s="2"/>
      <c r="E972" s="2"/>
      <c r="F972" s="2"/>
      <c r="G972" s="2"/>
      <c r="H972" s="2"/>
      <c r="I972" s="2"/>
      <c r="J972" s="2"/>
      <c r="K972" s="2"/>
      <c r="L972" s="2"/>
      <c r="M972" s="2"/>
    </row>
    <row r="973" spans="1:13" x14ac:dyDescent="0.2">
      <c r="A973" s="2"/>
      <c r="B973" s="2"/>
      <c r="C973" s="2"/>
      <c r="D973" s="2"/>
      <c r="E973" s="2"/>
      <c r="F973" s="2"/>
      <c r="G973" s="2"/>
      <c r="H973" s="2"/>
      <c r="I973" s="2"/>
      <c r="J973" s="2"/>
      <c r="K973" s="2"/>
      <c r="L973" s="2"/>
      <c r="M973" s="2"/>
    </row>
    <row r="974" spans="1:13" x14ac:dyDescent="0.2">
      <c r="A974" s="2"/>
      <c r="B974" s="2"/>
      <c r="C974" s="2"/>
      <c r="D974" s="2"/>
      <c r="E974" s="2"/>
      <c r="F974" s="2"/>
      <c r="G974" s="2"/>
      <c r="H974" s="2"/>
      <c r="I974" s="2"/>
      <c r="J974" s="2"/>
      <c r="K974" s="2"/>
      <c r="L974" s="2"/>
      <c r="M974" s="2"/>
    </row>
    <row r="975" spans="1:13" x14ac:dyDescent="0.2">
      <c r="A975" s="2"/>
      <c r="B975" s="2"/>
      <c r="C975" s="2"/>
      <c r="D975" s="2"/>
      <c r="E975" s="2"/>
      <c r="F975" s="2"/>
      <c r="G975" s="2"/>
      <c r="H975" s="2"/>
      <c r="I975" s="2"/>
      <c r="J975" s="2"/>
      <c r="K975" s="2"/>
      <c r="L975" s="2"/>
      <c r="M975" s="2"/>
    </row>
    <row r="976" spans="1:13" x14ac:dyDescent="0.2">
      <c r="A976" s="2"/>
      <c r="B976" s="2"/>
      <c r="C976" s="2"/>
      <c r="D976" s="2"/>
      <c r="E976" s="2"/>
      <c r="F976" s="2"/>
      <c r="G976" s="2"/>
      <c r="H976" s="2"/>
      <c r="I976" s="2"/>
      <c r="J976" s="2"/>
      <c r="K976" s="2"/>
      <c r="L976" s="2"/>
      <c r="M976" s="2"/>
    </row>
    <row r="977" spans="1:13" x14ac:dyDescent="0.2">
      <c r="A977" s="2"/>
      <c r="B977" s="2"/>
      <c r="C977" s="2"/>
      <c r="D977" s="2"/>
      <c r="E977" s="2"/>
      <c r="F977" s="2"/>
      <c r="G977" s="2"/>
      <c r="H977" s="2"/>
      <c r="I977" s="2"/>
      <c r="J977" s="2"/>
      <c r="K977" s="2"/>
      <c r="L977" s="2"/>
      <c r="M977" s="2"/>
    </row>
    <row r="978" spans="1:13" x14ac:dyDescent="0.2">
      <c r="A978" s="2"/>
      <c r="B978" s="2"/>
      <c r="C978" s="2"/>
      <c r="D978" s="2"/>
      <c r="E978" s="2"/>
      <c r="F978" s="2"/>
      <c r="G978" s="2"/>
      <c r="H978" s="2"/>
      <c r="I978" s="2"/>
      <c r="J978" s="2"/>
      <c r="K978" s="2"/>
      <c r="L978" s="2"/>
      <c r="M978" s="2"/>
    </row>
    <row r="979" spans="1:13" x14ac:dyDescent="0.2">
      <c r="A979" s="2"/>
      <c r="B979" s="2"/>
      <c r="C979" s="2"/>
      <c r="D979" s="2"/>
      <c r="E979" s="2"/>
      <c r="F979" s="2"/>
      <c r="G979" s="2"/>
      <c r="H979" s="2"/>
      <c r="I979" s="2"/>
      <c r="J979" s="2"/>
      <c r="K979" s="2"/>
      <c r="L979" s="2"/>
      <c r="M979" s="2"/>
    </row>
    <row r="980" spans="1:13" x14ac:dyDescent="0.2">
      <c r="A980" s="2"/>
      <c r="B980" s="2"/>
      <c r="C980" s="2"/>
      <c r="D980" s="2"/>
      <c r="E980" s="2"/>
      <c r="F980" s="2"/>
      <c r="G980" s="2"/>
      <c r="H980" s="2"/>
      <c r="I980" s="2"/>
      <c r="J980" s="2"/>
      <c r="K980" s="2"/>
      <c r="L980" s="2"/>
      <c r="M980" s="2"/>
    </row>
    <row r="981" spans="1:13" x14ac:dyDescent="0.2">
      <c r="A981" s="2"/>
      <c r="B981" s="2"/>
      <c r="C981" s="2"/>
      <c r="D981" s="2"/>
      <c r="E981" s="2"/>
      <c r="F981" s="2"/>
      <c r="G981" s="2"/>
      <c r="H981" s="2"/>
      <c r="I981" s="2"/>
      <c r="J981" s="2"/>
      <c r="K981" s="2"/>
      <c r="L981" s="2"/>
      <c r="M981" s="2"/>
    </row>
    <row r="982" spans="1:13" x14ac:dyDescent="0.2">
      <c r="A982" s="2"/>
      <c r="B982" s="2"/>
      <c r="C982" s="2"/>
      <c r="D982" s="2"/>
      <c r="E982" s="2"/>
      <c r="F982" s="2"/>
      <c r="G982" s="2"/>
      <c r="H982" s="2"/>
      <c r="I982" s="2"/>
      <c r="J982" s="2"/>
      <c r="K982" s="2"/>
      <c r="L982" s="2"/>
      <c r="M982" s="2"/>
    </row>
    <row r="983" spans="1:13" x14ac:dyDescent="0.2">
      <c r="A983" s="2"/>
      <c r="B983" s="2"/>
      <c r="C983" s="2"/>
      <c r="D983" s="2"/>
      <c r="E983" s="2"/>
      <c r="F983" s="2"/>
      <c r="G983" s="2"/>
      <c r="H983" s="2"/>
      <c r="I983" s="2"/>
      <c r="J983" s="2"/>
      <c r="K983" s="2"/>
      <c r="L983" s="2"/>
      <c r="M983" s="2"/>
    </row>
    <row r="984" spans="1:13" x14ac:dyDescent="0.2">
      <c r="A984" s="2"/>
      <c r="B984" s="2"/>
      <c r="C984" s="2"/>
      <c r="D984" s="2"/>
      <c r="E984" s="2"/>
      <c r="F984" s="2"/>
      <c r="G984" s="2"/>
      <c r="H984" s="2"/>
      <c r="I984" s="2"/>
      <c r="J984" s="2"/>
      <c r="K984" s="2"/>
      <c r="L984" s="2"/>
      <c r="M984" s="2"/>
    </row>
    <row r="985" spans="1:13" x14ac:dyDescent="0.2">
      <c r="A985" s="2"/>
      <c r="B985" s="2"/>
      <c r="C985" s="2"/>
      <c r="D985" s="2"/>
      <c r="E985" s="2"/>
      <c r="F985" s="2"/>
      <c r="G985" s="2"/>
      <c r="H985" s="2"/>
      <c r="I985" s="2"/>
      <c r="J985" s="2"/>
      <c r="K985" s="2"/>
      <c r="L985" s="2"/>
      <c r="M985" s="2"/>
    </row>
    <row r="986" spans="1:13" x14ac:dyDescent="0.2">
      <c r="A986" s="2"/>
      <c r="B986" s="2"/>
      <c r="C986" s="2"/>
      <c r="D986" s="2"/>
      <c r="E986" s="2"/>
      <c r="F986" s="2"/>
      <c r="G986" s="2"/>
      <c r="H986" s="2"/>
      <c r="I986" s="2"/>
      <c r="J986" s="2"/>
      <c r="K986" s="2"/>
      <c r="L986" s="2"/>
      <c r="M986" s="2"/>
    </row>
    <row r="987" spans="1:13" x14ac:dyDescent="0.2">
      <c r="A987" s="2"/>
      <c r="B987" s="2"/>
      <c r="C987" s="2"/>
      <c r="D987" s="2"/>
      <c r="E987" s="2"/>
      <c r="F987" s="2"/>
      <c r="G987" s="2"/>
      <c r="H987" s="2"/>
      <c r="I987" s="2"/>
      <c r="J987" s="2"/>
      <c r="K987" s="2"/>
      <c r="L987" s="2"/>
      <c r="M987" s="2"/>
    </row>
    <row r="988" spans="1:13" x14ac:dyDescent="0.2">
      <c r="A988" s="2"/>
      <c r="B988" s="2"/>
      <c r="C988" s="2"/>
      <c r="D988" s="2"/>
      <c r="E988" s="2"/>
      <c r="F988" s="2"/>
      <c r="G988" s="2"/>
      <c r="H988" s="2"/>
      <c r="I988" s="2"/>
      <c r="J988" s="2"/>
      <c r="K988" s="2"/>
      <c r="L988" s="2"/>
      <c r="M988" s="2"/>
    </row>
    <row r="989" spans="1:13" x14ac:dyDescent="0.2">
      <c r="A989" s="2"/>
      <c r="B989" s="2"/>
      <c r="C989" s="2"/>
      <c r="D989" s="2"/>
      <c r="E989" s="2"/>
      <c r="F989" s="2"/>
      <c r="G989" s="2"/>
      <c r="H989" s="2"/>
      <c r="I989" s="2"/>
      <c r="J989" s="2"/>
      <c r="K989" s="2"/>
      <c r="L989" s="2"/>
      <c r="M989" s="2"/>
    </row>
    <row r="990" spans="1:13" x14ac:dyDescent="0.2">
      <c r="A990" s="2"/>
      <c r="B990" s="2"/>
      <c r="C990" s="2"/>
      <c r="D990" s="2"/>
      <c r="E990" s="2"/>
      <c r="F990" s="2"/>
      <c r="G990" s="2"/>
      <c r="H990" s="2"/>
      <c r="I990" s="2"/>
      <c r="J990" s="2"/>
      <c r="K990" s="2"/>
      <c r="L990" s="2"/>
      <c r="M990" s="2"/>
    </row>
    <row r="991" spans="1:13" x14ac:dyDescent="0.2">
      <c r="A991" s="2"/>
      <c r="B991" s="2"/>
      <c r="C991" s="2"/>
      <c r="D991" s="2"/>
      <c r="E991" s="2"/>
      <c r="F991" s="2"/>
      <c r="G991" s="2"/>
      <c r="H991" s="2"/>
      <c r="I991" s="2"/>
      <c r="J991" s="2"/>
      <c r="K991" s="2"/>
      <c r="L991" s="2"/>
      <c r="M991" s="2"/>
    </row>
    <row r="992" spans="1:13" x14ac:dyDescent="0.2">
      <c r="A992" s="2"/>
      <c r="B992" s="2"/>
      <c r="C992" s="2"/>
      <c r="D992" s="2"/>
      <c r="E992" s="2"/>
      <c r="F992" s="2"/>
      <c r="G992" s="2"/>
      <c r="H992" s="2"/>
      <c r="I992" s="2"/>
      <c r="J992" s="2"/>
      <c r="K992" s="2"/>
      <c r="L992" s="2"/>
      <c r="M992" s="2"/>
    </row>
    <row r="993" spans="1:13" x14ac:dyDescent="0.2">
      <c r="A993" s="2"/>
      <c r="B993" s="2"/>
      <c r="C993" s="2"/>
      <c r="D993" s="2"/>
      <c r="E993" s="2"/>
      <c r="F993" s="2"/>
      <c r="G993" s="2"/>
      <c r="H993" s="2"/>
      <c r="I993" s="2"/>
      <c r="J993" s="2"/>
      <c r="K993" s="2"/>
      <c r="L993" s="2"/>
      <c r="M993" s="2"/>
    </row>
    <row r="994" spans="1:13" x14ac:dyDescent="0.2">
      <c r="A994" s="2"/>
      <c r="B994" s="2"/>
      <c r="C994" s="2"/>
      <c r="D994" s="2"/>
      <c r="E994" s="2"/>
      <c r="F994" s="2"/>
      <c r="G994" s="2"/>
      <c r="H994" s="2"/>
      <c r="I994" s="2"/>
      <c r="J994" s="2"/>
      <c r="K994" s="2"/>
      <c r="L994" s="2"/>
      <c r="M994" s="2"/>
    </row>
    <row r="995" spans="1:13" x14ac:dyDescent="0.2">
      <c r="A995" s="2"/>
      <c r="B995" s="2"/>
      <c r="C995" s="2"/>
      <c r="D995" s="2"/>
      <c r="E995" s="2"/>
      <c r="F995" s="2"/>
      <c r="G995" s="2"/>
      <c r="H995" s="2"/>
      <c r="I995" s="2"/>
      <c r="J995" s="2"/>
      <c r="K995" s="2"/>
      <c r="L995" s="2"/>
      <c r="M995" s="2"/>
    </row>
    <row r="996" spans="1:13" x14ac:dyDescent="0.2">
      <c r="A996" s="2"/>
      <c r="B996" s="2"/>
      <c r="C996" s="2"/>
      <c r="D996" s="2"/>
      <c r="E996" s="2"/>
      <c r="F996" s="2"/>
      <c r="G996" s="2"/>
      <c r="H996" s="2"/>
      <c r="I996" s="2"/>
      <c r="J996" s="2"/>
      <c r="K996" s="2"/>
      <c r="L996" s="2"/>
      <c r="M996" s="2"/>
    </row>
    <row r="997" spans="1:13" x14ac:dyDescent="0.2">
      <c r="A997" s="2"/>
      <c r="B997" s="2"/>
      <c r="C997" s="2"/>
      <c r="D997" s="2"/>
      <c r="E997" s="2"/>
      <c r="F997" s="2"/>
      <c r="G997" s="2"/>
      <c r="H997" s="2"/>
      <c r="I997" s="2"/>
      <c r="J997" s="2"/>
      <c r="K997" s="2"/>
      <c r="L997" s="2"/>
      <c r="M997" s="2"/>
    </row>
    <row r="998" spans="1:13" x14ac:dyDescent="0.2">
      <c r="A998" s="2"/>
      <c r="B998" s="2"/>
      <c r="C998" s="2"/>
      <c r="D998" s="2"/>
      <c r="E998" s="2"/>
      <c r="F998" s="2"/>
      <c r="G998" s="2"/>
      <c r="H998" s="2"/>
      <c r="I998" s="2"/>
      <c r="J998" s="2"/>
      <c r="K998" s="2"/>
      <c r="L998" s="2"/>
      <c r="M998" s="2"/>
    </row>
    <row r="999" spans="1:13" x14ac:dyDescent="0.2">
      <c r="A999" s="2"/>
      <c r="B999" s="2"/>
      <c r="C999" s="2"/>
      <c r="D999" s="2"/>
      <c r="E999" s="2"/>
      <c r="F999" s="2"/>
      <c r="G999" s="2"/>
      <c r="H999" s="2"/>
      <c r="I999" s="2"/>
      <c r="J999" s="2"/>
      <c r="K999" s="2"/>
      <c r="L999" s="2"/>
      <c r="M999" s="2"/>
    </row>
    <row r="1000" spans="1:13" x14ac:dyDescent="0.2">
      <c r="A1000" s="2"/>
      <c r="B1000" s="2"/>
      <c r="C1000" s="2"/>
      <c r="D1000" s="2"/>
      <c r="E1000" s="2"/>
      <c r="F1000" s="2"/>
      <c r="G1000" s="2"/>
      <c r="H1000" s="2"/>
      <c r="I1000" s="2"/>
      <c r="J1000" s="2"/>
      <c r="K1000" s="2"/>
      <c r="L1000" s="2"/>
      <c r="M1000" s="2"/>
    </row>
    <row r="1001" spans="1:13" x14ac:dyDescent="0.2">
      <c r="A1001" s="2"/>
      <c r="B1001" s="2"/>
      <c r="C1001" s="2"/>
      <c r="D1001" s="2"/>
      <c r="E1001" s="2"/>
      <c r="F1001" s="2"/>
      <c r="G1001" s="2"/>
      <c r="H1001" s="2"/>
      <c r="I1001" s="2"/>
      <c r="J1001" s="2"/>
      <c r="K1001" s="2"/>
      <c r="L1001" s="2"/>
      <c r="M1001" s="2"/>
    </row>
    <row r="1002" spans="1:13" x14ac:dyDescent="0.2">
      <c r="A1002" s="2"/>
      <c r="B1002" s="2"/>
      <c r="C1002" s="2"/>
      <c r="D1002" s="2"/>
      <c r="E1002" s="2"/>
      <c r="F1002" s="2"/>
      <c r="G1002" s="2"/>
      <c r="H1002" s="2"/>
      <c r="I1002" s="2"/>
      <c r="J1002" s="2"/>
      <c r="K1002" s="2"/>
      <c r="L1002" s="2"/>
      <c r="M1002" s="2"/>
    </row>
    <row r="1003" spans="1:13" x14ac:dyDescent="0.2">
      <c r="A1003" s="2"/>
      <c r="B1003" s="2"/>
      <c r="C1003" s="2"/>
      <c r="D1003" s="2"/>
      <c r="E1003" s="2"/>
      <c r="F1003" s="2"/>
      <c r="G1003" s="2"/>
      <c r="H1003" s="2"/>
      <c r="I1003" s="2"/>
      <c r="J1003" s="2"/>
      <c r="K1003" s="2"/>
      <c r="L1003" s="2"/>
      <c r="M1003" s="2"/>
    </row>
    <row r="1004" spans="1:13" x14ac:dyDescent="0.2">
      <c r="A1004" s="2"/>
      <c r="B1004" s="2"/>
      <c r="C1004" s="2"/>
      <c r="D1004" s="2"/>
      <c r="E1004" s="2"/>
      <c r="F1004" s="2"/>
      <c r="G1004" s="2"/>
      <c r="H1004" s="2"/>
      <c r="I1004" s="2"/>
      <c r="J1004" s="2"/>
      <c r="K1004" s="2"/>
      <c r="L1004" s="2"/>
      <c r="M1004" s="2"/>
    </row>
    <row r="1005" spans="1:13" x14ac:dyDescent="0.2">
      <c r="A1005" s="2"/>
      <c r="B1005" s="2"/>
      <c r="C1005" s="2"/>
      <c r="D1005" s="2"/>
      <c r="E1005" s="2"/>
      <c r="F1005" s="2"/>
      <c r="G1005" s="2"/>
      <c r="H1005" s="2"/>
      <c r="I1005" s="2"/>
      <c r="J1005" s="2"/>
      <c r="K1005" s="2"/>
      <c r="L1005" s="2"/>
      <c r="M1005" s="2"/>
    </row>
    <row r="1006" spans="1:13" x14ac:dyDescent="0.2">
      <c r="A1006" s="2"/>
      <c r="B1006" s="2"/>
      <c r="C1006" s="2"/>
      <c r="D1006" s="2"/>
      <c r="E1006" s="2"/>
      <c r="F1006" s="2"/>
      <c r="G1006" s="2"/>
      <c r="H1006" s="2"/>
      <c r="I1006" s="2"/>
      <c r="J1006" s="2"/>
      <c r="K1006" s="2"/>
      <c r="L1006" s="2"/>
      <c r="M1006" s="2"/>
    </row>
    <row r="1007" spans="1:13" x14ac:dyDescent="0.2">
      <c r="A1007" s="2"/>
      <c r="B1007" s="2"/>
      <c r="C1007" s="2"/>
      <c r="D1007" s="2"/>
      <c r="E1007" s="2"/>
      <c r="F1007" s="2"/>
      <c r="G1007" s="2"/>
      <c r="H1007" s="2"/>
      <c r="I1007" s="2"/>
      <c r="J1007" s="2"/>
      <c r="K1007" s="2"/>
      <c r="L1007" s="2"/>
      <c r="M1007" s="2"/>
    </row>
    <row r="1008" spans="1:13" x14ac:dyDescent="0.2">
      <c r="A1008" s="2"/>
      <c r="B1008" s="2"/>
      <c r="C1008" s="2"/>
      <c r="D1008" s="2"/>
      <c r="E1008" s="2"/>
      <c r="F1008" s="2"/>
      <c r="G1008" s="2"/>
      <c r="H1008" s="2"/>
      <c r="I1008" s="2"/>
      <c r="J1008" s="2"/>
      <c r="K1008" s="2"/>
      <c r="L1008" s="2"/>
      <c r="M1008" s="2"/>
    </row>
    <row r="1009" spans="1:13" x14ac:dyDescent="0.2">
      <c r="A1009" s="2"/>
      <c r="B1009" s="2"/>
      <c r="C1009" s="2"/>
      <c r="D1009" s="2"/>
      <c r="E1009" s="2"/>
      <c r="F1009" s="2"/>
      <c r="G1009" s="2"/>
      <c r="H1009" s="2"/>
      <c r="I1009" s="2"/>
      <c r="J1009" s="2"/>
      <c r="K1009" s="2"/>
      <c r="L1009" s="2"/>
      <c r="M1009" s="2"/>
    </row>
    <row r="1010" spans="1:13" x14ac:dyDescent="0.2">
      <c r="A1010" s="2"/>
      <c r="B1010" s="2"/>
      <c r="C1010" s="2"/>
      <c r="D1010" s="2"/>
      <c r="E1010" s="2"/>
      <c r="F1010" s="2"/>
      <c r="G1010" s="2"/>
      <c r="H1010" s="2"/>
      <c r="I1010" s="2"/>
      <c r="J1010" s="2"/>
      <c r="K1010" s="2"/>
      <c r="L1010" s="2"/>
      <c r="M1010" s="2"/>
    </row>
    <row r="1011" spans="1:13" x14ac:dyDescent="0.2">
      <c r="A1011" s="2"/>
      <c r="B1011" s="2"/>
      <c r="C1011" s="2"/>
      <c r="D1011" s="2"/>
      <c r="E1011" s="2"/>
      <c r="F1011" s="2"/>
      <c r="G1011" s="2"/>
      <c r="H1011" s="2"/>
      <c r="I1011" s="2"/>
      <c r="J1011" s="2"/>
      <c r="K1011" s="2"/>
      <c r="L1011" s="2"/>
      <c r="M1011" s="2"/>
    </row>
    <row r="1012" spans="1:13" x14ac:dyDescent="0.2">
      <c r="A1012" s="2"/>
      <c r="B1012" s="2"/>
      <c r="C1012" s="2"/>
      <c r="D1012" s="2"/>
      <c r="E1012" s="2"/>
      <c r="F1012" s="2"/>
      <c r="G1012" s="2"/>
      <c r="H1012" s="2"/>
      <c r="I1012" s="2"/>
      <c r="J1012" s="2"/>
      <c r="K1012" s="2"/>
      <c r="L1012" s="2"/>
      <c r="M1012" s="2"/>
    </row>
    <row r="1013" spans="1:13" x14ac:dyDescent="0.2">
      <c r="A1013" s="2"/>
      <c r="B1013" s="2"/>
      <c r="C1013" s="2"/>
      <c r="D1013" s="2"/>
      <c r="E1013" s="2"/>
      <c r="F1013" s="2"/>
      <c r="G1013" s="2"/>
      <c r="H1013" s="2"/>
      <c r="I1013" s="2"/>
      <c r="J1013" s="2"/>
      <c r="K1013" s="2"/>
      <c r="L1013" s="2"/>
      <c r="M1013" s="2"/>
    </row>
    <row r="1014" spans="1:13" x14ac:dyDescent="0.2">
      <c r="A1014" s="2"/>
      <c r="B1014" s="2"/>
      <c r="C1014" s="2"/>
      <c r="D1014" s="2"/>
      <c r="E1014" s="2"/>
      <c r="F1014" s="2"/>
      <c r="G1014" s="2"/>
      <c r="H1014" s="2"/>
      <c r="I1014" s="2"/>
      <c r="J1014" s="2"/>
      <c r="K1014" s="2"/>
      <c r="L1014" s="2"/>
      <c r="M1014" s="2"/>
    </row>
    <row r="1015" spans="1:13" x14ac:dyDescent="0.2">
      <c r="A1015" s="2"/>
      <c r="B1015" s="2"/>
      <c r="C1015" s="2"/>
      <c r="D1015" s="2"/>
      <c r="E1015" s="2"/>
      <c r="F1015" s="2"/>
      <c r="G1015" s="2"/>
      <c r="H1015" s="2"/>
      <c r="I1015" s="2"/>
      <c r="J1015" s="2"/>
      <c r="K1015" s="2"/>
      <c r="L1015" s="2"/>
      <c r="M1015" s="2"/>
    </row>
    <row r="1016" spans="1:13" x14ac:dyDescent="0.2">
      <c r="A1016" s="2"/>
      <c r="B1016" s="2"/>
      <c r="C1016" s="2"/>
      <c r="D1016" s="2"/>
      <c r="E1016" s="2"/>
      <c r="F1016" s="2"/>
      <c r="G1016" s="2"/>
      <c r="H1016" s="2"/>
      <c r="I1016" s="2"/>
      <c r="J1016" s="2"/>
      <c r="K1016" s="2"/>
      <c r="L1016" s="2"/>
      <c r="M1016" s="2"/>
    </row>
    <row r="1017" spans="1:13" x14ac:dyDescent="0.2">
      <c r="A1017" s="2"/>
      <c r="B1017" s="2"/>
      <c r="C1017" s="2"/>
      <c r="D1017" s="2"/>
      <c r="E1017" s="2"/>
      <c r="F1017" s="2"/>
      <c r="G1017" s="2"/>
      <c r="H1017" s="2"/>
      <c r="I1017" s="2"/>
      <c r="J1017" s="2"/>
      <c r="K1017" s="2"/>
      <c r="L1017" s="2"/>
      <c r="M1017" s="2"/>
    </row>
    <row r="1018" spans="1:13" x14ac:dyDescent="0.2">
      <c r="A1018" s="2"/>
      <c r="B1018" s="2"/>
      <c r="C1018" s="2"/>
      <c r="D1018" s="2"/>
      <c r="E1018" s="2"/>
      <c r="F1018" s="2"/>
      <c r="G1018" s="2"/>
      <c r="H1018" s="2"/>
      <c r="I1018" s="2"/>
      <c r="J1018" s="2"/>
      <c r="K1018" s="2"/>
      <c r="L1018" s="2"/>
      <c r="M1018" s="2"/>
    </row>
    <row r="1019" spans="1:13" x14ac:dyDescent="0.2">
      <c r="A1019" s="2"/>
      <c r="B1019" s="2"/>
      <c r="C1019" s="2"/>
      <c r="D1019" s="2"/>
      <c r="E1019" s="2"/>
      <c r="F1019" s="2"/>
      <c r="G1019" s="2"/>
      <c r="H1019" s="2"/>
      <c r="I1019" s="2"/>
      <c r="J1019" s="2"/>
      <c r="K1019" s="2"/>
      <c r="L1019" s="2"/>
      <c r="M1019" s="2"/>
    </row>
    <row r="1020" spans="1:13" x14ac:dyDescent="0.2">
      <c r="A1020" s="2"/>
      <c r="B1020" s="2"/>
      <c r="C1020" s="2"/>
      <c r="D1020" s="2"/>
      <c r="E1020" s="2"/>
      <c r="F1020" s="2"/>
      <c r="G1020" s="2"/>
      <c r="H1020" s="2"/>
      <c r="I1020" s="2"/>
      <c r="J1020" s="2"/>
      <c r="K1020" s="2"/>
      <c r="L1020" s="2"/>
      <c r="M1020" s="2"/>
    </row>
    <row r="1021" spans="1:13" x14ac:dyDescent="0.2">
      <c r="A1021" s="2"/>
      <c r="B1021" s="2"/>
      <c r="C1021" s="2"/>
      <c r="D1021" s="2"/>
      <c r="E1021" s="2"/>
      <c r="F1021" s="2"/>
      <c r="G1021" s="2"/>
      <c r="H1021" s="2"/>
      <c r="I1021" s="2"/>
      <c r="J1021" s="2"/>
      <c r="K1021" s="2"/>
      <c r="L1021" s="2"/>
      <c r="M1021" s="2"/>
    </row>
    <row r="1022" spans="1:13" x14ac:dyDescent="0.2">
      <c r="A1022" s="2"/>
      <c r="B1022" s="2"/>
      <c r="C1022" s="2"/>
      <c r="D1022" s="2"/>
      <c r="E1022" s="2"/>
      <c r="F1022" s="2"/>
      <c r="G1022" s="2"/>
      <c r="H1022" s="2"/>
      <c r="I1022" s="2"/>
      <c r="J1022" s="2"/>
      <c r="K1022" s="2"/>
      <c r="L1022" s="2"/>
      <c r="M1022" s="2"/>
    </row>
    <row r="1023" spans="1:13" x14ac:dyDescent="0.2">
      <c r="A1023" s="2"/>
      <c r="B1023" s="2"/>
      <c r="C1023" s="2"/>
      <c r="D1023" s="2"/>
      <c r="E1023" s="2"/>
      <c r="F1023" s="2"/>
      <c r="G1023" s="2"/>
      <c r="H1023" s="2"/>
      <c r="I1023" s="2"/>
      <c r="J1023" s="2"/>
      <c r="K1023" s="2"/>
      <c r="L1023" s="2"/>
      <c r="M1023" s="2"/>
    </row>
    <row r="1024" spans="1:13" x14ac:dyDescent="0.2">
      <c r="A1024" s="2"/>
      <c r="B1024" s="2"/>
      <c r="C1024" s="2"/>
      <c r="D1024" s="2"/>
      <c r="E1024" s="2"/>
      <c r="F1024" s="2"/>
      <c r="G1024" s="2"/>
      <c r="H1024" s="2"/>
      <c r="I1024" s="2"/>
      <c r="J1024" s="2"/>
      <c r="K1024" s="2"/>
      <c r="L1024" s="2"/>
      <c r="M1024" s="2"/>
    </row>
    <row r="1025" spans="1:13" x14ac:dyDescent="0.2">
      <c r="A1025" s="2"/>
      <c r="B1025" s="2"/>
      <c r="C1025" s="2"/>
      <c r="D1025" s="2"/>
      <c r="E1025" s="2"/>
      <c r="F1025" s="2"/>
      <c r="G1025" s="2"/>
      <c r="H1025" s="2"/>
      <c r="I1025" s="2"/>
      <c r="J1025" s="2"/>
      <c r="K1025" s="2"/>
      <c r="L1025" s="2"/>
      <c r="M1025" s="2"/>
    </row>
    <row r="1026" spans="1:13" x14ac:dyDescent="0.2">
      <c r="A1026" s="2"/>
      <c r="B1026" s="2"/>
      <c r="C1026" s="2"/>
      <c r="D1026" s="2"/>
      <c r="E1026" s="2"/>
      <c r="F1026" s="2"/>
      <c r="G1026" s="2"/>
      <c r="H1026" s="2"/>
      <c r="I1026" s="2"/>
      <c r="J1026" s="2"/>
      <c r="K1026" s="2"/>
      <c r="L1026" s="2"/>
      <c r="M1026" s="2"/>
    </row>
    <row r="1027" spans="1:13" x14ac:dyDescent="0.2">
      <c r="A1027" s="2"/>
      <c r="B1027" s="2"/>
      <c r="C1027" s="2"/>
      <c r="D1027" s="2"/>
      <c r="E1027" s="2"/>
      <c r="F1027" s="2"/>
      <c r="G1027" s="2"/>
      <c r="H1027" s="2"/>
      <c r="I1027" s="2"/>
      <c r="J1027" s="2"/>
      <c r="K1027" s="2"/>
      <c r="L1027" s="2"/>
      <c r="M1027" s="2"/>
    </row>
    <row r="1028" spans="1:13" x14ac:dyDescent="0.2">
      <c r="A1028" s="2"/>
      <c r="B1028" s="2"/>
      <c r="C1028" s="2"/>
      <c r="D1028" s="2"/>
      <c r="E1028" s="2"/>
      <c r="F1028" s="2"/>
      <c r="G1028" s="2"/>
      <c r="H1028" s="2"/>
      <c r="I1028" s="2"/>
      <c r="J1028" s="2"/>
      <c r="K1028" s="2"/>
      <c r="L1028" s="2"/>
      <c r="M1028" s="2"/>
    </row>
    <row r="1029" spans="1:13" x14ac:dyDescent="0.2">
      <c r="A1029" s="2"/>
      <c r="B1029" s="2"/>
      <c r="C1029" s="2"/>
      <c r="D1029" s="2"/>
      <c r="E1029" s="2"/>
      <c r="F1029" s="2"/>
      <c r="G1029" s="2"/>
      <c r="H1029" s="2"/>
      <c r="I1029" s="2"/>
      <c r="J1029" s="2"/>
      <c r="K1029" s="2"/>
      <c r="L1029" s="2"/>
      <c r="M1029" s="2"/>
    </row>
    <row r="1030" spans="1:13" x14ac:dyDescent="0.2">
      <c r="A1030" s="2"/>
      <c r="B1030" s="2"/>
      <c r="C1030" s="2"/>
      <c r="D1030" s="2"/>
      <c r="E1030" s="2"/>
      <c r="F1030" s="2"/>
      <c r="G1030" s="2"/>
      <c r="H1030" s="2"/>
      <c r="I1030" s="2"/>
      <c r="J1030" s="2"/>
      <c r="K1030" s="2"/>
      <c r="L1030" s="2"/>
      <c r="M1030" s="2"/>
    </row>
    <row r="1031" spans="1:13" x14ac:dyDescent="0.2">
      <c r="A1031" s="2"/>
      <c r="B1031" s="2"/>
      <c r="C1031" s="2"/>
      <c r="D1031" s="2"/>
      <c r="E1031" s="2"/>
      <c r="F1031" s="2"/>
      <c r="G1031" s="2"/>
      <c r="H1031" s="2"/>
      <c r="I1031" s="2"/>
      <c r="J1031" s="2"/>
      <c r="K1031" s="2"/>
      <c r="L1031" s="2"/>
      <c r="M1031" s="2"/>
    </row>
    <row r="1032" spans="1:13" x14ac:dyDescent="0.2">
      <c r="A1032" s="2"/>
      <c r="B1032" s="2"/>
      <c r="C1032" s="2"/>
      <c r="D1032" s="2"/>
      <c r="E1032" s="2"/>
      <c r="F1032" s="2"/>
      <c r="G1032" s="2"/>
      <c r="H1032" s="2"/>
      <c r="I1032" s="2"/>
      <c r="J1032" s="2"/>
      <c r="K1032" s="2"/>
      <c r="L1032" s="2"/>
      <c r="M1032" s="2"/>
    </row>
    <row r="1033" spans="1:13" x14ac:dyDescent="0.2">
      <c r="A1033" s="2"/>
      <c r="B1033" s="2"/>
      <c r="C1033" s="2"/>
      <c r="D1033" s="2"/>
      <c r="E1033" s="2"/>
      <c r="F1033" s="2"/>
      <c r="G1033" s="2"/>
      <c r="H1033" s="2"/>
      <c r="I1033" s="2"/>
      <c r="J1033" s="2"/>
      <c r="K1033" s="2"/>
      <c r="L1033" s="2"/>
      <c r="M1033" s="2"/>
    </row>
    <row r="1034" spans="1:13" x14ac:dyDescent="0.2">
      <c r="A1034" s="2"/>
      <c r="B1034" s="2"/>
      <c r="C1034" s="2"/>
      <c r="D1034" s="2"/>
      <c r="E1034" s="2"/>
      <c r="F1034" s="2"/>
      <c r="G1034" s="2"/>
      <c r="H1034" s="2"/>
      <c r="I1034" s="2"/>
      <c r="J1034" s="2"/>
      <c r="K1034" s="2"/>
      <c r="L1034" s="2"/>
      <c r="M1034" s="2"/>
    </row>
    <row r="1035" spans="1:13" x14ac:dyDescent="0.2">
      <c r="A1035" s="2"/>
      <c r="B1035" s="2"/>
      <c r="C1035" s="2"/>
      <c r="D1035" s="2"/>
      <c r="E1035" s="2"/>
      <c r="F1035" s="2"/>
      <c r="G1035" s="2"/>
      <c r="H1035" s="2"/>
      <c r="I1035" s="2"/>
      <c r="J1035" s="2"/>
      <c r="K1035" s="2"/>
      <c r="L1035" s="2"/>
      <c r="M1035" s="2"/>
    </row>
    <row r="1036" spans="1:13" x14ac:dyDescent="0.2">
      <c r="A1036" s="2"/>
      <c r="B1036" s="2"/>
      <c r="C1036" s="2"/>
      <c r="D1036" s="2"/>
      <c r="E1036" s="2"/>
      <c r="F1036" s="2"/>
      <c r="G1036" s="2"/>
      <c r="H1036" s="2"/>
      <c r="I1036" s="2"/>
      <c r="J1036" s="2"/>
      <c r="K1036" s="2"/>
      <c r="L1036" s="2"/>
      <c r="M1036" s="2"/>
    </row>
    <row r="1037" spans="1:13" x14ac:dyDescent="0.2">
      <c r="A1037" s="2"/>
      <c r="B1037" s="2"/>
      <c r="C1037" s="2"/>
      <c r="D1037" s="2"/>
      <c r="E1037" s="2"/>
      <c r="F1037" s="2"/>
      <c r="G1037" s="2"/>
      <c r="H1037" s="2"/>
      <c r="I1037" s="2"/>
      <c r="J1037" s="2"/>
      <c r="K1037" s="2"/>
      <c r="L1037" s="2"/>
      <c r="M1037" s="2"/>
    </row>
    <row r="1038" spans="1:13" x14ac:dyDescent="0.2">
      <c r="A1038" s="2"/>
      <c r="B1038" s="2"/>
      <c r="C1038" s="2"/>
      <c r="D1038" s="2"/>
      <c r="E1038" s="2"/>
      <c r="F1038" s="2"/>
      <c r="G1038" s="2"/>
      <c r="H1038" s="2"/>
      <c r="I1038" s="2"/>
      <c r="J1038" s="2"/>
      <c r="K1038" s="2"/>
      <c r="L1038" s="2"/>
      <c r="M1038" s="2"/>
    </row>
    <row r="1039" spans="1:13" x14ac:dyDescent="0.2">
      <c r="A1039" s="2"/>
      <c r="B1039" s="2"/>
      <c r="C1039" s="2"/>
      <c r="D1039" s="2"/>
      <c r="E1039" s="2"/>
      <c r="F1039" s="2"/>
      <c r="G1039" s="2"/>
      <c r="H1039" s="2"/>
      <c r="I1039" s="2"/>
      <c r="J1039" s="2"/>
      <c r="K1039" s="2"/>
      <c r="L1039" s="2"/>
      <c r="M1039" s="2"/>
    </row>
    <row r="1040" spans="1:13" x14ac:dyDescent="0.2">
      <c r="A1040" s="2"/>
      <c r="B1040" s="2"/>
      <c r="C1040" s="2"/>
      <c r="D1040" s="2"/>
      <c r="E1040" s="2"/>
      <c r="F1040" s="2"/>
      <c r="G1040" s="2"/>
      <c r="H1040" s="2"/>
      <c r="I1040" s="2"/>
      <c r="J1040" s="2"/>
      <c r="K1040" s="2"/>
      <c r="L1040" s="2"/>
      <c r="M1040" s="2"/>
    </row>
    <row r="1041" spans="1:13" x14ac:dyDescent="0.2">
      <c r="A1041" s="2"/>
      <c r="B1041" s="2"/>
      <c r="C1041" s="2"/>
      <c r="D1041" s="2"/>
      <c r="E1041" s="2"/>
      <c r="F1041" s="2"/>
      <c r="G1041" s="2"/>
      <c r="H1041" s="2"/>
      <c r="I1041" s="2"/>
      <c r="J1041" s="2"/>
      <c r="K1041" s="2"/>
      <c r="L1041" s="2"/>
      <c r="M1041" s="2"/>
    </row>
    <row r="1042" spans="1:13" x14ac:dyDescent="0.2">
      <c r="A1042" s="2"/>
      <c r="B1042" s="2"/>
      <c r="C1042" s="2"/>
      <c r="D1042" s="2"/>
      <c r="E1042" s="2"/>
      <c r="F1042" s="2"/>
      <c r="G1042" s="2"/>
      <c r="H1042" s="2"/>
      <c r="I1042" s="2"/>
      <c r="J1042" s="2"/>
      <c r="K1042" s="2"/>
      <c r="L1042" s="2"/>
      <c r="M1042" s="2"/>
    </row>
    <row r="1043" spans="1:13" x14ac:dyDescent="0.2">
      <c r="A1043" s="2"/>
      <c r="B1043" s="2"/>
      <c r="C1043" s="2"/>
      <c r="D1043" s="2"/>
      <c r="E1043" s="2"/>
      <c r="F1043" s="2"/>
      <c r="G1043" s="2"/>
      <c r="H1043" s="2"/>
      <c r="I1043" s="2"/>
      <c r="J1043" s="2"/>
      <c r="K1043" s="2"/>
      <c r="L1043" s="2"/>
      <c r="M1043" s="2"/>
    </row>
    <row r="1044" spans="1:13" x14ac:dyDescent="0.2">
      <c r="A1044" s="2"/>
      <c r="B1044" s="2"/>
      <c r="C1044" s="2"/>
      <c r="D1044" s="2"/>
      <c r="E1044" s="2"/>
      <c r="F1044" s="2"/>
      <c r="G1044" s="2"/>
      <c r="H1044" s="2"/>
      <c r="I1044" s="2"/>
      <c r="J1044" s="2"/>
      <c r="K1044" s="2"/>
      <c r="L1044" s="2"/>
      <c r="M1044" s="2"/>
    </row>
    <row r="1045" spans="1:13" x14ac:dyDescent="0.2">
      <c r="A1045" s="2"/>
      <c r="B1045" s="2"/>
      <c r="C1045" s="2"/>
      <c r="D1045" s="2"/>
      <c r="E1045" s="2"/>
      <c r="F1045" s="2"/>
      <c r="G1045" s="2"/>
      <c r="H1045" s="2"/>
      <c r="I1045" s="2"/>
      <c r="J1045" s="2"/>
      <c r="K1045" s="2"/>
      <c r="L1045" s="2"/>
      <c r="M1045" s="2"/>
    </row>
    <row r="1046" spans="1:13" x14ac:dyDescent="0.2">
      <c r="A1046" s="2"/>
      <c r="B1046" s="2"/>
      <c r="C1046" s="2"/>
      <c r="D1046" s="2"/>
      <c r="E1046" s="2"/>
      <c r="F1046" s="2"/>
      <c r="G1046" s="2"/>
      <c r="H1046" s="2"/>
      <c r="I1046" s="2"/>
      <c r="J1046" s="2"/>
      <c r="K1046" s="2"/>
      <c r="L1046" s="2"/>
      <c r="M1046" s="2"/>
    </row>
    <row r="1047" spans="1:13" x14ac:dyDescent="0.2">
      <c r="A1047" s="2"/>
      <c r="B1047" s="2"/>
      <c r="C1047" s="2"/>
      <c r="D1047" s="2"/>
      <c r="E1047" s="2"/>
      <c r="F1047" s="2"/>
      <c r="G1047" s="2"/>
      <c r="H1047" s="2"/>
      <c r="I1047" s="2"/>
      <c r="J1047" s="2"/>
      <c r="K1047" s="2"/>
      <c r="L1047" s="2"/>
      <c r="M1047" s="2"/>
    </row>
    <row r="1048" spans="1:13" x14ac:dyDescent="0.2">
      <c r="A1048" s="2"/>
      <c r="B1048" s="2"/>
      <c r="C1048" s="2"/>
      <c r="D1048" s="2"/>
      <c r="E1048" s="2"/>
      <c r="F1048" s="2"/>
      <c r="G1048" s="2"/>
      <c r="H1048" s="2"/>
      <c r="I1048" s="2"/>
      <c r="J1048" s="2"/>
      <c r="K1048" s="2"/>
      <c r="L1048" s="2"/>
      <c r="M1048" s="2"/>
    </row>
    <row r="1049" spans="1:13" x14ac:dyDescent="0.2">
      <c r="A1049" s="2"/>
      <c r="B1049" s="2"/>
      <c r="C1049" s="2"/>
      <c r="D1049" s="2"/>
      <c r="E1049" s="2"/>
      <c r="F1049" s="2"/>
      <c r="G1049" s="2"/>
      <c r="H1049" s="2"/>
      <c r="I1049" s="2"/>
      <c r="J1049" s="2"/>
      <c r="K1049" s="2"/>
      <c r="L1049" s="2"/>
      <c r="M1049" s="2"/>
    </row>
    <row r="1050" spans="1:13" x14ac:dyDescent="0.2">
      <c r="A1050" s="2"/>
      <c r="B1050" s="2"/>
      <c r="C1050" s="2"/>
      <c r="D1050" s="2"/>
      <c r="E1050" s="2"/>
      <c r="F1050" s="2"/>
      <c r="G1050" s="2"/>
      <c r="H1050" s="2"/>
      <c r="I1050" s="2"/>
      <c r="J1050" s="2"/>
      <c r="K1050" s="2"/>
      <c r="L1050" s="2"/>
      <c r="M1050" s="2"/>
    </row>
    <row r="1051" spans="1:13" x14ac:dyDescent="0.2">
      <c r="A1051" s="2"/>
      <c r="B1051" s="2"/>
      <c r="C1051" s="2"/>
      <c r="D1051" s="2"/>
      <c r="E1051" s="2"/>
      <c r="F1051" s="2"/>
      <c r="G1051" s="2"/>
      <c r="H1051" s="2"/>
      <c r="I1051" s="2"/>
      <c r="J1051" s="2"/>
      <c r="K1051" s="2"/>
      <c r="L1051" s="2"/>
      <c r="M1051" s="2"/>
    </row>
    <row r="1052" spans="1:13" x14ac:dyDescent="0.2">
      <c r="A1052" s="2"/>
      <c r="B1052" s="2"/>
      <c r="C1052" s="2"/>
      <c r="D1052" s="2"/>
      <c r="E1052" s="2"/>
      <c r="F1052" s="2"/>
      <c r="G1052" s="2"/>
      <c r="H1052" s="2"/>
      <c r="I1052" s="2"/>
      <c r="J1052" s="2"/>
      <c r="K1052" s="2"/>
      <c r="L1052" s="2"/>
      <c r="M1052" s="2"/>
    </row>
    <row r="1053" spans="1:13" x14ac:dyDescent="0.2">
      <c r="A1053" s="2"/>
      <c r="B1053" s="2"/>
      <c r="C1053" s="2"/>
      <c r="D1053" s="2"/>
      <c r="E1053" s="2"/>
      <c r="F1053" s="2"/>
      <c r="G1053" s="2"/>
      <c r="H1053" s="2"/>
      <c r="I1053" s="2"/>
      <c r="J1053" s="2"/>
      <c r="K1053" s="2"/>
      <c r="L1053" s="2"/>
      <c r="M1053" s="2"/>
    </row>
    <row r="1054" spans="1:13" x14ac:dyDescent="0.2">
      <c r="A1054" s="2"/>
      <c r="B1054" s="2"/>
      <c r="C1054" s="2"/>
      <c r="D1054" s="2"/>
      <c r="E1054" s="2"/>
      <c r="F1054" s="2"/>
      <c r="G1054" s="2"/>
      <c r="H1054" s="2"/>
      <c r="I1054" s="2"/>
      <c r="J1054" s="2"/>
      <c r="K1054" s="2"/>
      <c r="L1054" s="2"/>
      <c r="M1054" s="2"/>
    </row>
    <row r="1055" spans="1:13" x14ac:dyDescent="0.2">
      <c r="A1055" s="2"/>
      <c r="B1055" s="2"/>
      <c r="C1055" s="2"/>
      <c r="D1055" s="2"/>
      <c r="E1055" s="2"/>
      <c r="F1055" s="2"/>
      <c r="G1055" s="2"/>
      <c r="H1055" s="2"/>
      <c r="I1055" s="2"/>
      <c r="J1055" s="2"/>
      <c r="K1055" s="2"/>
      <c r="L1055" s="2"/>
      <c r="M1055" s="2"/>
    </row>
    <row r="1056" spans="1:13" x14ac:dyDescent="0.2">
      <c r="A1056" s="2"/>
      <c r="B1056" s="2"/>
      <c r="C1056" s="2"/>
      <c r="D1056" s="2"/>
      <c r="E1056" s="2"/>
      <c r="F1056" s="2"/>
      <c r="G1056" s="2"/>
      <c r="H1056" s="2"/>
      <c r="I1056" s="2"/>
      <c r="J1056" s="2"/>
      <c r="K1056" s="2"/>
      <c r="L1056" s="2"/>
      <c r="M1056" s="2"/>
    </row>
    <row r="1057" spans="1:13" x14ac:dyDescent="0.2">
      <c r="A1057" s="2"/>
      <c r="B1057" s="2"/>
      <c r="C1057" s="2"/>
      <c r="D1057" s="2"/>
      <c r="E1057" s="2"/>
      <c r="F1057" s="2"/>
      <c r="G1057" s="2"/>
      <c r="H1057" s="2"/>
      <c r="I1057" s="2"/>
      <c r="J1057" s="2"/>
      <c r="K1057" s="2"/>
      <c r="L1057" s="2"/>
      <c r="M1057" s="2"/>
    </row>
    <row r="1058" spans="1:13" x14ac:dyDescent="0.2">
      <c r="A1058" s="2"/>
      <c r="B1058" s="2"/>
      <c r="C1058" s="2"/>
      <c r="D1058" s="2"/>
      <c r="E1058" s="2"/>
      <c r="F1058" s="2"/>
      <c r="G1058" s="2"/>
      <c r="H1058" s="2"/>
      <c r="I1058" s="2"/>
      <c r="J1058" s="2"/>
      <c r="K1058" s="2"/>
      <c r="L1058" s="2"/>
      <c r="M1058" s="2"/>
    </row>
    <row r="1059" spans="1:13" x14ac:dyDescent="0.2">
      <c r="A1059" s="2"/>
      <c r="B1059" s="2"/>
      <c r="C1059" s="2"/>
      <c r="D1059" s="2"/>
      <c r="E1059" s="2"/>
      <c r="F1059" s="2"/>
      <c r="G1059" s="2"/>
      <c r="H1059" s="2"/>
      <c r="I1059" s="2"/>
      <c r="J1059" s="2"/>
      <c r="K1059" s="2"/>
      <c r="L1059" s="2"/>
      <c r="M1059" s="2"/>
    </row>
    <row r="1060" spans="1:13" x14ac:dyDescent="0.2">
      <c r="A1060" s="2"/>
      <c r="B1060" s="2"/>
      <c r="C1060" s="2"/>
      <c r="D1060" s="2"/>
      <c r="E1060" s="2"/>
      <c r="F1060" s="2"/>
      <c r="G1060" s="2"/>
      <c r="H1060" s="2"/>
      <c r="I1060" s="2"/>
      <c r="J1060" s="2"/>
      <c r="K1060" s="2"/>
      <c r="L1060" s="2"/>
      <c r="M1060" s="2"/>
    </row>
    <row r="1061" spans="1:13" x14ac:dyDescent="0.2">
      <c r="A1061" s="2"/>
      <c r="B1061" s="2"/>
      <c r="C1061" s="2"/>
      <c r="D1061" s="2"/>
      <c r="E1061" s="2"/>
      <c r="F1061" s="2"/>
      <c r="G1061" s="2"/>
      <c r="H1061" s="2"/>
      <c r="I1061" s="2"/>
      <c r="J1061" s="2"/>
      <c r="K1061" s="2"/>
      <c r="L1061" s="2"/>
      <c r="M1061" s="2"/>
    </row>
    <row r="1062" spans="1:13" x14ac:dyDescent="0.2">
      <c r="A1062" s="2"/>
      <c r="B1062" s="2"/>
      <c r="C1062" s="2"/>
      <c r="D1062" s="2"/>
      <c r="E1062" s="2"/>
      <c r="F1062" s="2"/>
      <c r="G1062" s="2"/>
      <c r="H1062" s="2"/>
      <c r="I1062" s="2"/>
      <c r="J1062" s="2"/>
      <c r="K1062" s="2"/>
      <c r="L1062" s="2"/>
      <c r="M1062" s="2"/>
    </row>
    <row r="1063" spans="1:13" x14ac:dyDescent="0.2">
      <c r="A1063" s="2"/>
      <c r="B1063" s="2"/>
      <c r="C1063" s="2"/>
      <c r="D1063" s="2"/>
      <c r="E1063" s="2"/>
      <c r="F1063" s="2"/>
      <c r="G1063" s="2"/>
      <c r="H1063" s="2"/>
      <c r="I1063" s="2"/>
      <c r="J1063" s="2"/>
      <c r="K1063" s="2"/>
      <c r="L1063" s="2"/>
      <c r="M1063" s="2"/>
    </row>
    <row r="1064" spans="1:13" x14ac:dyDescent="0.2">
      <c r="A1064" s="2"/>
      <c r="B1064" s="2"/>
      <c r="C1064" s="2"/>
      <c r="D1064" s="2"/>
      <c r="E1064" s="2"/>
      <c r="F1064" s="2"/>
      <c r="G1064" s="2"/>
      <c r="H1064" s="2"/>
      <c r="I1064" s="2"/>
      <c r="J1064" s="2"/>
      <c r="K1064" s="2"/>
      <c r="L1064" s="2"/>
      <c r="M1064" s="2"/>
    </row>
    <row r="1065" spans="1:13" x14ac:dyDescent="0.2">
      <c r="A1065" s="2"/>
      <c r="B1065" s="2"/>
      <c r="C1065" s="2"/>
      <c r="D1065" s="2"/>
      <c r="E1065" s="2"/>
      <c r="F1065" s="2"/>
      <c r="G1065" s="2"/>
      <c r="H1065" s="2"/>
      <c r="I1065" s="2"/>
      <c r="J1065" s="2"/>
      <c r="K1065" s="2"/>
      <c r="L1065" s="2"/>
      <c r="M1065" s="2"/>
    </row>
    <row r="1066" spans="1:13" x14ac:dyDescent="0.2">
      <c r="A1066" s="2"/>
      <c r="B1066" s="2"/>
      <c r="C1066" s="2"/>
      <c r="D1066" s="2"/>
      <c r="E1066" s="2"/>
      <c r="F1066" s="2"/>
      <c r="G1066" s="2"/>
      <c r="H1066" s="2"/>
      <c r="I1066" s="2"/>
      <c r="J1066" s="2"/>
      <c r="K1066" s="2"/>
      <c r="L1066" s="2"/>
      <c r="M1066" s="2"/>
    </row>
    <row r="1067" spans="1:13" x14ac:dyDescent="0.2">
      <c r="A1067" s="2"/>
      <c r="B1067" s="2"/>
      <c r="C1067" s="2"/>
      <c r="D1067" s="2"/>
      <c r="E1067" s="2"/>
      <c r="F1067" s="2"/>
      <c r="G1067" s="2"/>
      <c r="H1067" s="2"/>
      <c r="I1067" s="2"/>
      <c r="J1067" s="2"/>
      <c r="K1067" s="2"/>
      <c r="L1067" s="2"/>
      <c r="M1067" s="2"/>
    </row>
    <row r="1068" spans="1:13" x14ac:dyDescent="0.2">
      <c r="A1068" s="2"/>
      <c r="B1068" s="2"/>
      <c r="C1068" s="2"/>
      <c r="D1068" s="2"/>
      <c r="E1068" s="2"/>
      <c r="F1068" s="2"/>
      <c r="G1068" s="2"/>
      <c r="H1068" s="2"/>
      <c r="I1068" s="2"/>
      <c r="J1068" s="2"/>
      <c r="K1068" s="2"/>
      <c r="L1068" s="2"/>
      <c r="M1068" s="2"/>
    </row>
    <row r="1069" spans="1:13" x14ac:dyDescent="0.2">
      <c r="A1069" s="2"/>
      <c r="B1069" s="2"/>
      <c r="C1069" s="2"/>
      <c r="D1069" s="2"/>
      <c r="E1069" s="2"/>
      <c r="F1069" s="2"/>
      <c r="G1069" s="2"/>
      <c r="H1069" s="2"/>
      <c r="I1069" s="2"/>
      <c r="J1069" s="2"/>
      <c r="K1069" s="2"/>
      <c r="L1069" s="2"/>
      <c r="M1069" s="2"/>
    </row>
    <row r="1070" spans="1:13" x14ac:dyDescent="0.2">
      <c r="A1070" s="2"/>
      <c r="B1070" s="2"/>
      <c r="C1070" s="2"/>
      <c r="D1070" s="2"/>
      <c r="E1070" s="2"/>
      <c r="F1070" s="2"/>
      <c r="G1070" s="2"/>
      <c r="H1070" s="2"/>
      <c r="I1070" s="2"/>
      <c r="J1070" s="2"/>
      <c r="K1070" s="2"/>
      <c r="L1070" s="2"/>
      <c r="M1070" s="2"/>
    </row>
    <row r="1071" spans="1:13" x14ac:dyDescent="0.2">
      <c r="A1071" s="2"/>
      <c r="B1071" s="2"/>
      <c r="C1071" s="2"/>
      <c r="D1071" s="2"/>
      <c r="E1071" s="2"/>
      <c r="F1071" s="2"/>
      <c r="G1071" s="2"/>
      <c r="H1071" s="2"/>
      <c r="I1071" s="2"/>
      <c r="J1071" s="2"/>
      <c r="K1071" s="2"/>
      <c r="L1071" s="2"/>
      <c r="M1071" s="2"/>
    </row>
    <row r="1072" spans="1:13" x14ac:dyDescent="0.2">
      <c r="A1072" s="2"/>
      <c r="B1072" s="2"/>
      <c r="C1072" s="2"/>
      <c r="D1072" s="2"/>
      <c r="E1072" s="2"/>
      <c r="F1072" s="2"/>
      <c r="G1072" s="2"/>
      <c r="H1072" s="2"/>
      <c r="I1072" s="2"/>
      <c r="J1072" s="2"/>
      <c r="K1072" s="2"/>
      <c r="L1072" s="2"/>
      <c r="M1072" s="2"/>
    </row>
    <row r="1073" spans="1:13" x14ac:dyDescent="0.2">
      <c r="A1073" s="2"/>
      <c r="B1073" s="2"/>
      <c r="C1073" s="2"/>
      <c r="D1073" s="2"/>
      <c r="E1073" s="2"/>
      <c r="F1073" s="2"/>
      <c r="G1073" s="2"/>
      <c r="H1073" s="2"/>
      <c r="I1073" s="2"/>
      <c r="J1073" s="2"/>
      <c r="K1073" s="2"/>
      <c r="L1073" s="2"/>
      <c r="M1073" s="2"/>
    </row>
    <row r="1074" spans="1:13" x14ac:dyDescent="0.2">
      <c r="A1074" s="2"/>
      <c r="B1074" s="2"/>
      <c r="C1074" s="2"/>
      <c r="D1074" s="2"/>
      <c r="E1074" s="2"/>
      <c r="F1074" s="2"/>
      <c r="G1074" s="2"/>
      <c r="H1074" s="2"/>
      <c r="I1074" s="2"/>
      <c r="J1074" s="2"/>
      <c r="K1074" s="2"/>
      <c r="L1074" s="2"/>
      <c r="M1074" s="2"/>
    </row>
    <row r="1075" spans="1:13" x14ac:dyDescent="0.2">
      <c r="A1075" s="2"/>
      <c r="B1075" s="2"/>
      <c r="C1075" s="2"/>
      <c r="D1075" s="2"/>
      <c r="E1075" s="2"/>
      <c r="F1075" s="2"/>
      <c r="G1075" s="2"/>
      <c r="H1075" s="2"/>
      <c r="I1075" s="2"/>
      <c r="J1075" s="2"/>
      <c r="K1075" s="2"/>
      <c r="L1075" s="2"/>
      <c r="M1075" s="2"/>
    </row>
    <row r="1076" spans="1:13" x14ac:dyDescent="0.2">
      <c r="A1076" s="2"/>
      <c r="B1076" s="2"/>
      <c r="C1076" s="2"/>
      <c r="D1076" s="2"/>
      <c r="E1076" s="2"/>
      <c r="F1076" s="2"/>
      <c r="G1076" s="2"/>
      <c r="H1076" s="2"/>
      <c r="I1076" s="2"/>
      <c r="J1076" s="2"/>
      <c r="K1076" s="2"/>
      <c r="L1076" s="2"/>
      <c r="M1076" s="2"/>
    </row>
    <row r="1077" spans="1:13" x14ac:dyDescent="0.2">
      <c r="A1077" s="2"/>
      <c r="B1077" s="2"/>
      <c r="C1077" s="2"/>
      <c r="D1077" s="2"/>
      <c r="E1077" s="2"/>
      <c r="F1077" s="2"/>
      <c r="G1077" s="2"/>
      <c r="H1077" s="2"/>
      <c r="I1077" s="2"/>
      <c r="J1077" s="2"/>
      <c r="K1077" s="2"/>
      <c r="L1077" s="2"/>
      <c r="M1077" s="2"/>
    </row>
    <row r="1078" spans="1:13" x14ac:dyDescent="0.2">
      <c r="A1078" s="2"/>
      <c r="B1078" s="2"/>
      <c r="C1078" s="2"/>
      <c r="D1078" s="2"/>
      <c r="E1078" s="2"/>
      <c r="F1078" s="2"/>
      <c r="G1078" s="2"/>
      <c r="H1078" s="2"/>
      <c r="I1078" s="2"/>
      <c r="J1078" s="2"/>
      <c r="K1078" s="2"/>
      <c r="L1078" s="2"/>
      <c r="M1078" s="2"/>
    </row>
    <row r="1079" spans="1:13" x14ac:dyDescent="0.2">
      <c r="A1079" s="2"/>
      <c r="B1079" s="2"/>
      <c r="C1079" s="2"/>
      <c r="D1079" s="2"/>
      <c r="E1079" s="2"/>
      <c r="F1079" s="2"/>
      <c r="G1079" s="2"/>
      <c r="H1079" s="2"/>
      <c r="I1079" s="2"/>
      <c r="J1079" s="2"/>
      <c r="K1079" s="2"/>
      <c r="L1079" s="2"/>
      <c r="M1079" s="2"/>
    </row>
    <row r="1080" spans="1:13" x14ac:dyDescent="0.2">
      <c r="A1080" s="2"/>
      <c r="B1080" s="2"/>
      <c r="C1080" s="2"/>
      <c r="D1080" s="2"/>
      <c r="E1080" s="2"/>
      <c r="F1080" s="2"/>
      <c r="G1080" s="2"/>
      <c r="H1080" s="2"/>
      <c r="I1080" s="2"/>
      <c r="J1080" s="2"/>
      <c r="K1080" s="2"/>
      <c r="L1080" s="2"/>
      <c r="M1080" s="2"/>
    </row>
    <row r="1081" spans="1:13" x14ac:dyDescent="0.2">
      <c r="A1081" s="2"/>
      <c r="B1081" s="2"/>
      <c r="C1081" s="2"/>
      <c r="D1081" s="2"/>
      <c r="E1081" s="2"/>
      <c r="F1081" s="2"/>
      <c r="G1081" s="2"/>
      <c r="H1081" s="2"/>
      <c r="I1081" s="2"/>
      <c r="J1081" s="2"/>
      <c r="K1081" s="2"/>
      <c r="L1081" s="2"/>
      <c r="M1081" s="2"/>
    </row>
    <row r="1082" spans="1:13" x14ac:dyDescent="0.2">
      <c r="A1082" s="2"/>
      <c r="B1082" s="2"/>
      <c r="C1082" s="2"/>
      <c r="D1082" s="2"/>
      <c r="E1082" s="2"/>
      <c r="F1082" s="2"/>
      <c r="G1082" s="2"/>
      <c r="H1082" s="2"/>
      <c r="I1082" s="2"/>
      <c r="J1082" s="2"/>
      <c r="K1082" s="2"/>
      <c r="L1082" s="2"/>
      <c r="M1082" s="2"/>
    </row>
    <row r="1083" spans="1:13" x14ac:dyDescent="0.2">
      <c r="A1083" s="2"/>
      <c r="B1083" s="2"/>
      <c r="C1083" s="2"/>
      <c r="D1083" s="2"/>
      <c r="E1083" s="2"/>
      <c r="F1083" s="2"/>
      <c r="G1083" s="2"/>
      <c r="H1083" s="2"/>
      <c r="I1083" s="2"/>
      <c r="J1083" s="2"/>
      <c r="K1083" s="2"/>
      <c r="L1083" s="2"/>
      <c r="M1083" s="2"/>
    </row>
    <row r="1084" spans="1:13" x14ac:dyDescent="0.2">
      <c r="A1084" s="2"/>
      <c r="B1084" s="2"/>
      <c r="C1084" s="2"/>
      <c r="D1084" s="2"/>
      <c r="E1084" s="2"/>
      <c r="F1084" s="2"/>
      <c r="G1084" s="2"/>
      <c r="H1084" s="2"/>
      <c r="I1084" s="2"/>
      <c r="J1084" s="2"/>
      <c r="K1084" s="2"/>
      <c r="L1084" s="2"/>
      <c r="M1084" s="2"/>
    </row>
    <row r="1085" spans="1:13" x14ac:dyDescent="0.2">
      <c r="A1085" s="2"/>
      <c r="B1085" s="2"/>
      <c r="C1085" s="2"/>
      <c r="D1085" s="2"/>
      <c r="E1085" s="2"/>
      <c r="F1085" s="2"/>
      <c r="G1085" s="2"/>
      <c r="H1085" s="2"/>
      <c r="I1085" s="2"/>
      <c r="J1085" s="2"/>
      <c r="K1085" s="2"/>
      <c r="L1085" s="2"/>
      <c r="M1085" s="2"/>
    </row>
    <row r="1086" spans="1:13" x14ac:dyDescent="0.2">
      <c r="A1086" s="2"/>
      <c r="B1086" s="2"/>
      <c r="C1086" s="2"/>
      <c r="D1086" s="2"/>
      <c r="E1086" s="2"/>
      <c r="F1086" s="2"/>
      <c r="G1086" s="2"/>
      <c r="H1086" s="2"/>
      <c r="I1086" s="2"/>
      <c r="J1086" s="2"/>
      <c r="K1086" s="2"/>
      <c r="L1086" s="2"/>
      <c r="M1086" s="2"/>
    </row>
    <row r="1087" spans="1:13" x14ac:dyDescent="0.2">
      <c r="A1087" s="2"/>
      <c r="B1087" s="2"/>
      <c r="C1087" s="2"/>
      <c r="D1087" s="2"/>
      <c r="E1087" s="2"/>
      <c r="F1087" s="2"/>
      <c r="G1087" s="2"/>
      <c r="H1087" s="2"/>
      <c r="I1087" s="2"/>
      <c r="J1087" s="2"/>
      <c r="K1087" s="2"/>
      <c r="L1087" s="2"/>
      <c r="M1087" s="2"/>
    </row>
    <row r="1088" spans="1:13" x14ac:dyDescent="0.2">
      <c r="A1088" s="2"/>
      <c r="B1088" s="2"/>
      <c r="C1088" s="2"/>
      <c r="D1088" s="2"/>
      <c r="E1088" s="2"/>
      <c r="F1088" s="2"/>
      <c r="G1088" s="2"/>
      <c r="H1088" s="2"/>
      <c r="I1088" s="2"/>
      <c r="J1088" s="2"/>
      <c r="K1088" s="2"/>
      <c r="L1088" s="2"/>
      <c r="M1088" s="2"/>
    </row>
    <row r="1089" spans="1:13" x14ac:dyDescent="0.2">
      <c r="A1089" s="2"/>
      <c r="B1089" s="2"/>
      <c r="C1089" s="2"/>
      <c r="D1089" s="2"/>
      <c r="E1089" s="2"/>
      <c r="F1089" s="2"/>
      <c r="G1089" s="2"/>
      <c r="H1089" s="2"/>
      <c r="I1089" s="2"/>
      <c r="J1089" s="2"/>
      <c r="K1089" s="2"/>
      <c r="L1089" s="2"/>
      <c r="M1089" s="2"/>
    </row>
    <row r="1090" spans="1:13" x14ac:dyDescent="0.2">
      <c r="A1090" s="2"/>
      <c r="B1090" s="2"/>
      <c r="C1090" s="2"/>
      <c r="D1090" s="2"/>
      <c r="E1090" s="2"/>
      <c r="F1090" s="2"/>
      <c r="G1090" s="2"/>
      <c r="H1090" s="2"/>
      <c r="I1090" s="2"/>
      <c r="J1090" s="2"/>
      <c r="K1090" s="2"/>
      <c r="L1090" s="2"/>
      <c r="M1090" s="2"/>
    </row>
    <row r="1091" spans="1:13" x14ac:dyDescent="0.2">
      <c r="A1091" s="2"/>
      <c r="B1091" s="2"/>
      <c r="C1091" s="2"/>
      <c r="D1091" s="2"/>
      <c r="E1091" s="2"/>
      <c r="F1091" s="2"/>
      <c r="G1091" s="2"/>
      <c r="H1091" s="2"/>
      <c r="I1091" s="2"/>
      <c r="J1091" s="2"/>
      <c r="K1091" s="2"/>
      <c r="L1091" s="2"/>
      <c r="M1091" s="2"/>
    </row>
    <row r="1092" spans="1:13" x14ac:dyDescent="0.2">
      <c r="A1092" s="2"/>
      <c r="B1092" s="2"/>
      <c r="C1092" s="2"/>
      <c r="D1092" s="2"/>
      <c r="E1092" s="2"/>
      <c r="F1092" s="2"/>
      <c r="G1092" s="2"/>
      <c r="H1092" s="2"/>
      <c r="I1092" s="2"/>
      <c r="J1092" s="2"/>
      <c r="K1092" s="2"/>
      <c r="L1092" s="2"/>
      <c r="M1092" s="2"/>
    </row>
    <row r="1093" spans="1:13" x14ac:dyDescent="0.2">
      <c r="A1093" s="2"/>
      <c r="B1093" s="2"/>
      <c r="C1093" s="2"/>
      <c r="D1093" s="2"/>
      <c r="E1093" s="2"/>
      <c r="F1093" s="2"/>
      <c r="G1093" s="2"/>
      <c r="H1093" s="2"/>
      <c r="I1093" s="2"/>
      <c r="J1093" s="2"/>
      <c r="K1093" s="2"/>
      <c r="L1093" s="2"/>
      <c r="M1093" s="2"/>
    </row>
    <row r="1094" spans="1:13" x14ac:dyDescent="0.2">
      <c r="A1094" s="2"/>
      <c r="B1094" s="2"/>
      <c r="C1094" s="2"/>
      <c r="D1094" s="2"/>
      <c r="E1094" s="2"/>
      <c r="F1094" s="2"/>
      <c r="G1094" s="2"/>
      <c r="H1094" s="2"/>
      <c r="I1094" s="2"/>
      <c r="J1094" s="2"/>
      <c r="K1094" s="2"/>
      <c r="L1094" s="2"/>
      <c r="M1094" s="2"/>
    </row>
    <row r="1095" spans="1:13" x14ac:dyDescent="0.2">
      <c r="A1095" s="2"/>
      <c r="B1095" s="2"/>
      <c r="C1095" s="2"/>
      <c r="D1095" s="2"/>
      <c r="E1095" s="2"/>
      <c r="F1095" s="2"/>
      <c r="G1095" s="2"/>
      <c r="H1095" s="2"/>
      <c r="I1095" s="2"/>
      <c r="J1095" s="2"/>
      <c r="K1095" s="2"/>
      <c r="L1095" s="2"/>
      <c r="M1095" s="2"/>
    </row>
    <row r="1096" spans="1:13" x14ac:dyDescent="0.2">
      <c r="A1096" s="2"/>
      <c r="B1096" s="2"/>
      <c r="C1096" s="2"/>
      <c r="D1096" s="2"/>
      <c r="E1096" s="2"/>
      <c r="F1096" s="2"/>
      <c r="G1096" s="2"/>
      <c r="H1096" s="2"/>
      <c r="I1096" s="2"/>
      <c r="J1096" s="2"/>
      <c r="K1096" s="2"/>
      <c r="L1096" s="2"/>
      <c r="M1096" s="2"/>
    </row>
    <row r="1097" spans="1:13" x14ac:dyDescent="0.2">
      <c r="A1097" s="2"/>
      <c r="B1097" s="2"/>
      <c r="C1097" s="2"/>
      <c r="D1097" s="2"/>
      <c r="E1097" s="2"/>
      <c r="F1097" s="2"/>
      <c r="G1097" s="2"/>
      <c r="H1097" s="2"/>
      <c r="I1097" s="2"/>
      <c r="J1097" s="2"/>
      <c r="K1097" s="2"/>
      <c r="L1097" s="2"/>
      <c r="M1097" s="2"/>
    </row>
    <row r="1098" spans="1:13" x14ac:dyDescent="0.2">
      <c r="A1098" s="2"/>
      <c r="B1098" s="2"/>
      <c r="C1098" s="2"/>
      <c r="D1098" s="2"/>
      <c r="E1098" s="2"/>
      <c r="F1098" s="2"/>
      <c r="G1098" s="2"/>
      <c r="H1098" s="2"/>
      <c r="I1098" s="2"/>
      <c r="J1098" s="2"/>
      <c r="K1098" s="2"/>
      <c r="L1098" s="2"/>
      <c r="M1098" s="2"/>
    </row>
    <row r="1099" spans="1:13" x14ac:dyDescent="0.2">
      <c r="A1099" s="2"/>
      <c r="B1099" s="2"/>
      <c r="C1099" s="2"/>
      <c r="D1099" s="2"/>
      <c r="E1099" s="2"/>
      <c r="F1099" s="2"/>
      <c r="G1099" s="2"/>
      <c r="H1099" s="2"/>
      <c r="I1099" s="2"/>
      <c r="J1099" s="2"/>
      <c r="K1099" s="2"/>
      <c r="L1099" s="2"/>
      <c r="M1099" s="2"/>
    </row>
    <row r="1100" spans="1:13" x14ac:dyDescent="0.2">
      <c r="A1100" s="2"/>
      <c r="B1100" s="2"/>
      <c r="C1100" s="2"/>
      <c r="D1100" s="2"/>
      <c r="E1100" s="2"/>
      <c r="F1100" s="2"/>
      <c r="G1100" s="2"/>
      <c r="H1100" s="2"/>
      <c r="I1100" s="2"/>
      <c r="J1100" s="2"/>
      <c r="K1100" s="2"/>
      <c r="L1100" s="2"/>
      <c r="M1100" s="2"/>
    </row>
    <row r="1101" spans="1:13" x14ac:dyDescent="0.2">
      <c r="A1101" s="2"/>
      <c r="B1101" s="2"/>
      <c r="C1101" s="2"/>
      <c r="D1101" s="2"/>
      <c r="E1101" s="2"/>
      <c r="F1101" s="2"/>
      <c r="G1101" s="2"/>
      <c r="H1101" s="2"/>
      <c r="I1101" s="2"/>
      <c r="J1101" s="2"/>
      <c r="K1101" s="2"/>
      <c r="L1101" s="2"/>
      <c r="M1101" s="2"/>
    </row>
    <row r="1102" spans="1:13" x14ac:dyDescent="0.2">
      <c r="A1102" s="2"/>
      <c r="B1102" s="2"/>
      <c r="C1102" s="2"/>
      <c r="D1102" s="2"/>
      <c r="E1102" s="2"/>
      <c r="F1102" s="2"/>
      <c r="G1102" s="2"/>
      <c r="H1102" s="2"/>
      <c r="I1102" s="2"/>
      <c r="J1102" s="2"/>
      <c r="K1102" s="2"/>
      <c r="L1102" s="2"/>
      <c r="M1102" s="2"/>
    </row>
    <row r="1103" spans="1:13" x14ac:dyDescent="0.2">
      <c r="A1103" s="2"/>
      <c r="B1103" s="2"/>
      <c r="C1103" s="2"/>
      <c r="D1103" s="2"/>
      <c r="E1103" s="2"/>
      <c r="F1103" s="2"/>
      <c r="G1103" s="2"/>
      <c r="H1103" s="2"/>
      <c r="I1103" s="2"/>
      <c r="J1103" s="2"/>
      <c r="K1103" s="2"/>
      <c r="L1103" s="2"/>
      <c r="M1103" s="2"/>
    </row>
    <row r="1104" spans="1:13" x14ac:dyDescent="0.2">
      <c r="A1104" s="2"/>
      <c r="B1104" s="2"/>
      <c r="C1104" s="2"/>
      <c r="D1104" s="2"/>
      <c r="E1104" s="2"/>
      <c r="F1104" s="2"/>
      <c r="G1104" s="2"/>
      <c r="H1104" s="2"/>
      <c r="I1104" s="2"/>
      <c r="J1104" s="2"/>
      <c r="K1104" s="2"/>
      <c r="L1104" s="2"/>
      <c r="M1104" s="2"/>
    </row>
    <row r="1105" spans="1:13" x14ac:dyDescent="0.2">
      <c r="A1105" s="2"/>
      <c r="B1105" s="2"/>
      <c r="C1105" s="2"/>
      <c r="D1105" s="2"/>
      <c r="E1105" s="2"/>
      <c r="F1105" s="2"/>
      <c r="G1105" s="2"/>
      <c r="H1105" s="2"/>
      <c r="I1105" s="2"/>
      <c r="J1105" s="2"/>
      <c r="K1105" s="2"/>
      <c r="L1105" s="2"/>
      <c r="M1105" s="2"/>
    </row>
    <row r="1106" spans="1:13" x14ac:dyDescent="0.2">
      <c r="A1106" s="2"/>
      <c r="B1106" s="2"/>
      <c r="C1106" s="2"/>
      <c r="D1106" s="2"/>
      <c r="E1106" s="2"/>
      <c r="F1106" s="2"/>
      <c r="G1106" s="2"/>
      <c r="H1106" s="2"/>
      <c r="I1106" s="2"/>
      <c r="J1106" s="2"/>
      <c r="K1106" s="2"/>
      <c r="L1106" s="2"/>
      <c r="M1106" s="2"/>
    </row>
    <row r="1107" spans="1:13" x14ac:dyDescent="0.2">
      <c r="A1107" s="2"/>
      <c r="B1107" s="2"/>
      <c r="C1107" s="2"/>
      <c r="D1107" s="2"/>
      <c r="E1107" s="2"/>
      <c r="F1107" s="2"/>
      <c r="G1107" s="2"/>
      <c r="H1107" s="2"/>
      <c r="I1107" s="2"/>
      <c r="J1107" s="2"/>
      <c r="K1107" s="2"/>
      <c r="L1107" s="2"/>
      <c r="M1107" s="2"/>
    </row>
    <row r="1108" spans="1:13" x14ac:dyDescent="0.2">
      <c r="A1108" s="2"/>
      <c r="B1108" s="2"/>
      <c r="C1108" s="2"/>
      <c r="D1108" s="2"/>
      <c r="E1108" s="2"/>
      <c r="F1108" s="2"/>
      <c r="G1108" s="2"/>
      <c r="H1108" s="2"/>
      <c r="I1108" s="2"/>
      <c r="J1108" s="2"/>
      <c r="K1108" s="2"/>
      <c r="L1108" s="2"/>
      <c r="M1108" s="2"/>
    </row>
    <row r="1109" spans="1:13" x14ac:dyDescent="0.2">
      <c r="A1109" s="2"/>
      <c r="B1109" s="2"/>
      <c r="C1109" s="2"/>
      <c r="D1109" s="2"/>
      <c r="E1109" s="2"/>
      <c r="F1109" s="2"/>
      <c r="G1109" s="2"/>
      <c r="H1109" s="2"/>
      <c r="I1109" s="2"/>
      <c r="J1109" s="2"/>
      <c r="K1109" s="2"/>
      <c r="L1109" s="2"/>
      <c r="M1109" s="2"/>
    </row>
    <row r="1110" spans="1:13" x14ac:dyDescent="0.2">
      <c r="A1110" s="2"/>
      <c r="B1110" s="2"/>
      <c r="C1110" s="2"/>
      <c r="D1110" s="2"/>
      <c r="E1110" s="2"/>
      <c r="F1110" s="2"/>
      <c r="G1110" s="2"/>
      <c r="H1110" s="2"/>
      <c r="I1110" s="2"/>
      <c r="J1110" s="2"/>
      <c r="K1110" s="2"/>
      <c r="L1110" s="2"/>
      <c r="M1110" s="2"/>
    </row>
    <row r="1111" spans="1:13" x14ac:dyDescent="0.2">
      <c r="A1111" s="2"/>
      <c r="B1111" s="2"/>
      <c r="C1111" s="2"/>
      <c r="D1111" s="2"/>
      <c r="E1111" s="2"/>
      <c r="F1111" s="2"/>
      <c r="G1111" s="2"/>
      <c r="H1111" s="2"/>
      <c r="I1111" s="2"/>
      <c r="J1111" s="2"/>
      <c r="K1111" s="2"/>
      <c r="L1111" s="2"/>
      <c r="M1111" s="2"/>
    </row>
    <row r="1112" spans="1:13" x14ac:dyDescent="0.2">
      <c r="A1112" s="2"/>
      <c r="B1112" s="2"/>
      <c r="C1112" s="2"/>
      <c r="D1112" s="2"/>
      <c r="E1112" s="2"/>
      <c r="F1112" s="2"/>
      <c r="G1112" s="2"/>
      <c r="H1112" s="2"/>
      <c r="I1112" s="2"/>
      <c r="J1112" s="2"/>
      <c r="K1112" s="2"/>
      <c r="L1112" s="2"/>
      <c r="M1112" s="2"/>
    </row>
    <row r="1113" spans="1:13" x14ac:dyDescent="0.2">
      <c r="A1113" s="2"/>
      <c r="B1113" s="2"/>
      <c r="C1113" s="2"/>
      <c r="D1113" s="2"/>
      <c r="E1113" s="2"/>
      <c r="F1113" s="2"/>
      <c r="G1113" s="2"/>
      <c r="H1113" s="2"/>
      <c r="I1113" s="2"/>
      <c r="J1113" s="2"/>
      <c r="K1113" s="2"/>
      <c r="L1113" s="2"/>
      <c r="M1113" s="2"/>
    </row>
    <row r="1114" spans="1:13" x14ac:dyDescent="0.2">
      <c r="A1114" s="2"/>
      <c r="B1114" s="2"/>
      <c r="C1114" s="2"/>
      <c r="D1114" s="2"/>
      <c r="E1114" s="2"/>
      <c r="F1114" s="2"/>
      <c r="G1114" s="2"/>
      <c r="H1114" s="2"/>
      <c r="I1114" s="2"/>
      <c r="J1114" s="2"/>
      <c r="K1114" s="2"/>
      <c r="L1114" s="2"/>
      <c r="M1114" s="2"/>
    </row>
    <row r="1115" spans="1:13" x14ac:dyDescent="0.2">
      <c r="A1115" s="2"/>
      <c r="B1115" s="2"/>
      <c r="C1115" s="2"/>
      <c r="D1115" s="2"/>
      <c r="E1115" s="2"/>
      <c r="F1115" s="2"/>
      <c r="G1115" s="2"/>
      <c r="H1115" s="2"/>
      <c r="I1115" s="2"/>
      <c r="J1115" s="2"/>
      <c r="K1115" s="2"/>
      <c r="L1115" s="2"/>
      <c r="M1115" s="2"/>
    </row>
    <row r="1116" spans="1:13" x14ac:dyDescent="0.2">
      <c r="A1116" s="2"/>
      <c r="B1116" s="2"/>
      <c r="C1116" s="2"/>
      <c r="D1116" s="2"/>
      <c r="E1116" s="2"/>
      <c r="F1116" s="2"/>
      <c r="G1116" s="2"/>
      <c r="H1116" s="2"/>
      <c r="I1116" s="2"/>
      <c r="J1116" s="2"/>
      <c r="K1116" s="2"/>
      <c r="L1116" s="2"/>
      <c r="M1116" s="2"/>
    </row>
    <row r="1117" spans="1:13" x14ac:dyDescent="0.2">
      <c r="A1117" s="2"/>
      <c r="B1117" s="2"/>
      <c r="C1117" s="2"/>
      <c r="D1117" s="2"/>
      <c r="E1117" s="2"/>
      <c r="F1117" s="2"/>
      <c r="G1117" s="2"/>
      <c r="H1117" s="2"/>
      <c r="I1117" s="2"/>
      <c r="J1117" s="2"/>
      <c r="K1117" s="2"/>
      <c r="L1117" s="2"/>
      <c r="M1117" s="2"/>
    </row>
    <row r="1118" spans="1:13" x14ac:dyDescent="0.2">
      <c r="A1118" s="2"/>
      <c r="B1118" s="2"/>
      <c r="C1118" s="2"/>
      <c r="D1118" s="2"/>
      <c r="E1118" s="2"/>
      <c r="F1118" s="2"/>
      <c r="G1118" s="2"/>
      <c r="H1118" s="2"/>
      <c r="I1118" s="2"/>
      <c r="J1118" s="2"/>
      <c r="K1118" s="2"/>
      <c r="L1118" s="2"/>
      <c r="M1118" s="2"/>
    </row>
    <row r="1119" spans="1:13" x14ac:dyDescent="0.2">
      <c r="A1119" s="2"/>
      <c r="B1119" s="2"/>
      <c r="C1119" s="2"/>
      <c r="D1119" s="2"/>
      <c r="E1119" s="2"/>
      <c r="F1119" s="2"/>
      <c r="G1119" s="2"/>
      <c r="H1119" s="2"/>
      <c r="I1119" s="2"/>
      <c r="J1119" s="2"/>
      <c r="K1119" s="2"/>
      <c r="L1119" s="2"/>
      <c r="M1119" s="2"/>
    </row>
    <row r="1120" spans="1:13" x14ac:dyDescent="0.2">
      <c r="A1120" s="2"/>
      <c r="B1120" s="2"/>
      <c r="C1120" s="2"/>
      <c r="D1120" s="2"/>
      <c r="E1120" s="2"/>
      <c r="F1120" s="2"/>
      <c r="G1120" s="2"/>
      <c r="H1120" s="2"/>
      <c r="I1120" s="2"/>
      <c r="J1120" s="2"/>
      <c r="K1120" s="2"/>
      <c r="L1120" s="2"/>
      <c r="M1120" s="2"/>
    </row>
    <row r="1121" spans="1:13" x14ac:dyDescent="0.2">
      <c r="A1121" s="2"/>
      <c r="B1121" s="2"/>
      <c r="C1121" s="2"/>
      <c r="D1121" s="2"/>
      <c r="E1121" s="2"/>
      <c r="F1121" s="2"/>
      <c r="G1121" s="2"/>
      <c r="H1121" s="2"/>
      <c r="I1121" s="2"/>
      <c r="J1121" s="2"/>
      <c r="K1121" s="2"/>
      <c r="L1121" s="2"/>
      <c r="M1121" s="2"/>
    </row>
    <row r="1122" spans="1:13" x14ac:dyDescent="0.2">
      <c r="A1122" s="2"/>
      <c r="B1122" s="2"/>
      <c r="C1122" s="2"/>
      <c r="D1122" s="2"/>
      <c r="E1122" s="2"/>
      <c r="F1122" s="2"/>
      <c r="G1122" s="2"/>
      <c r="H1122" s="2"/>
      <c r="I1122" s="2"/>
      <c r="J1122" s="2"/>
      <c r="K1122" s="2"/>
      <c r="L1122" s="2"/>
      <c r="M1122" s="2"/>
    </row>
    <row r="1123" spans="1:13" x14ac:dyDescent="0.2">
      <c r="A1123" s="2"/>
      <c r="B1123" s="2"/>
      <c r="C1123" s="2"/>
      <c r="D1123" s="2"/>
      <c r="E1123" s="2"/>
      <c r="F1123" s="2"/>
      <c r="G1123" s="2"/>
      <c r="H1123" s="2"/>
      <c r="I1123" s="2"/>
      <c r="J1123" s="2"/>
      <c r="K1123" s="2"/>
      <c r="L1123" s="2"/>
      <c r="M1123" s="2"/>
    </row>
    <row r="1124" spans="1:13" x14ac:dyDescent="0.2">
      <c r="A1124" s="2"/>
      <c r="B1124" s="2"/>
      <c r="C1124" s="2"/>
      <c r="D1124" s="2"/>
      <c r="E1124" s="2"/>
      <c r="F1124" s="2"/>
      <c r="G1124" s="2"/>
      <c r="H1124" s="2"/>
      <c r="I1124" s="2"/>
      <c r="J1124" s="2"/>
      <c r="K1124" s="2"/>
      <c r="L1124" s="2"/>
      <c r="M1124" s="2"/>
    </row>
    <row r="1125" spans="1:13" x14ac:dyDescent="0.2">
      <c r="A1125" s="2"/>
      <c r="B1125" s="2"/>
      <c r="C1125" s="2"/>
      <c r="D1125" s="2"/>
      <c r="E1125" s="2"/>
      <c r="F1125" s="2"/>
      <c r="G1125" s="2"/>
      <c r="H1125" s="2"/>
      <c r="I1125" s="2"/>
      <c r="J1125" s="2"/>
      <c r="K1125" s="2"/>
      <c r="L1125" s="2"/>
      <c r="M1125" s="2"/>
    </row>
    <row r="1126" spans="1:13" x14ac:dyDescent="0.2">
      <c r="A1126" s="2"/>
      <c r="B1126" s="2"/>
      <c r="C1126" s="2"/>
      <c r="D1126" s="2"/>
      <c r="E1126" s="2"/>
      <c r="F1126" s="2"/>
      <c r="G1126" s="2"/>
      <c r="H1126" s="2"/>
      <c r="I1126" s="2"/>
      <c r="J1126" s="2"/>
      <c r="K1126" s="2"/>
      <c r="L1126" s="2"/>
      <c r="M1126" s="2"/>
    </row>
    <row r="1127" spans="1:13" x14ac:dyDescent="0.2">
      <c r="A1127" s="2"/>
      <c r="B1127" s="2"/>
      <c r="C1127" s="2"/>
      <c r="D1127" s="2"/>
      <c r="E1127" s="2"/>
      <c r="F1127" s="2"/>
      <c r="G1127" s="2"/>
      <c r="H1127" s="2"/>
      <c r="I1127" s="2"/>
      <c r="J1127" s="2"/>
      <c r="K1127" s="2"/>
      <c r="L1127" s="2"/>
      <c r="M1127" s="2"/>
    </row>
    <row r="1128" spans="1:13" x14ac:dyDescent="0.2">
      <c r="A1128" s="2"/>
      <c r="B1128" s="2"/>
      <c r="C1128" s="2"/>
      <c r="D1128" s="2"/>
      <c r="E1128" s="2"/>
      <c r="F1128" s="2"/>
      <c r="G1128" s="2"/>
      <c r="H1128" s="2"/>
      <c r="I1128" s="2"/>
      <c r="J1128" s="2"/>
      <c r="K1128" s="2"/>
      <c r="L1128" s="2"/>
      <c r="M1128" s="2"/>
    </row>
    <row r="1129" spans="1:13" x14ac:dyDescent="0.2">
      <c r="A1129" s="2"/>
      <c r="B1129" s="2"/>
      <c r="C1129" s="2"/>
      <c r="D1129" s="2"/>
      <c r="E1129" s="2"/>
      <c r="F1129" s="2"/>
      <c r="G1129" s="2"/>
      <c r="H1129" s="2"/>
      <c r="I1129" s="2"/>
      <c r="J1129" s="2"/>
      <c r="K1129" s="2"/>
      <c r="L1129" s="2"/>
      <c r="M1129" s="2"/>
    </row>
    <row r="1130" spans="1:13" x14ac:dyDescent="0.2">
      <c r="A1130" s="2"/>
      <c r="B1130" s="2"/>
      <c r="C1130" s="2"/>
      <c r="D1130" s="2"/>
      <c r="E1130" s="2"/>
      <c r="F1130" s="2"/>
      <c r="G1130" s="2"/>
      <c r="H1130" s="2"/>
      <c r="I1130" s="2"/>
      <c r="J1130" s="2"/>
      <c r="K1130" s="2"/>
      <c r="L1130" s="2"/>
      <c r="M1130" s="2"/>
    </row>
    <row r="1131" spans="1:13" x14ac:dyDescent="0.2">
      <c r="A1131" s="2"/>
      <c r="B1131" s="2"/>
      <c r="C1131" s="2"/>
      <c r="D1131" s="2"/>
      <c r="E1131" s="2"/>
      <c r="F1131" s="2"/>
      <c r="G1131" s="2"/>
      <c r="H1131" s="2"/>
      <c r="I1131" s="2"/>
      <c r="J1131" s="2"/>
      <c r="K1131" s="2"/>
      <c r="L1131" s="2"/>
      <c r="M1131" s="2"/>
    </row>
    <row r="1132" spans="1:13" x14ac:dyDescent="0.2">
      <c r="A1132" s="2"/>
      <c r="B1132" s="2"/>
      <c r="C1132" s="2"/>
      <c r="D1132" s="2"/>
      <c r="E1132" s="2"/>
      <c r="F1132" s="2"/>
      <c r="G1132" s="2"/>
      <c r="H1132" s="2"/>
      <c r="I1132" s="2"/>
      <c r="J1132" s="2"/>
      <c r="K1132" s="2"/>
      <c r="L1132" s="2"/>
      <c r="M1132" s="2"/>
    </row>
    <row r="1133" spans="1:13" x14ac:dyDescent="0.2">
      <c r="A1133" s="2"/>
      <c r="B1133" s="2"/>
      <c r="C1133" s="2"/>
      <c r="D1133" s="2"/>
      <c r="E1133" s="2"/>
      <c r="F1133" s="2"/>
      <c r="G1133" s="2"/>
      <c r="H1133" s="2"/>
      <c r="I1133" s="2"/>
      <c r="J1133" s="2"/>
      <c r="K1133" s="2"/>
      <c r="L1133" s="2"/>
      <c r="M1133" s="2"/>
    </row>
    <row r="1134" spans="1:13" x14ac:dyDescent="0.2">
      <c r="A1134" s="2"/>
      <c r="B1134" s="2"/>
      <c r="C1134" s="2"/>
      <c r="D1134" s="2"/>
      <c r="E1134" s="2"/>
      <c r="F1134" s="2"/>
      <c r="G1134" s="2"/>
      <c r="H1134" s="2"/>
      <c r="I1134" s="2"/>
      <c r="J1134" s="2"/>
      <c r="K1134" s="2"/>
      <c r="L1134" s="2"/>
      <c r="M1134" s="2"/>
    </row>
    <row r="1135" spans="1:13" x14ac:dyDescent="0.2">
      <c r="A1135" s="2"/>
      <c r="B1135" s="2"/>
      <c r="C1135" s="2"/>
      <c r="D1135" s="2"/>
      <c r="E1135" s="2"/>
      <c r="F1135" s="2"/>
      <c r="G1135" s="2"/>
      <c r="H1135" s="2"/>
      <c r="I1135" s="2"/>
      <c r="J1135" s="2"/>
      <c r="K1135" s="2"/>
      <c r="L1135" s="2"/>
      <c r="M1135" s="2"/>
    </row>
    <row r="1136" spans="1:13" x14ac:dyDescent="0.2">
      <c r="A1136" s="2"/>
      <c r="B1136" s="2"/>
      <c r="C1136" s="2"/>
      <c r="D1136" s="2"/>
      <c r="E1136" s="2"/>
      <c r="F1136" s="2"/>
      <c r="G1136" s="2"/>
      <c r="H1136" s="2"/>
      <c r="I1136" s="2"/>
      <c r="J1136" s="2"/>
      <c r="K1136" s="2"/>
      <c r="L1136" s="2"/>
      <c r="M1136" s="2"/>
    </row>
    <row r="1137" spans="1:13" x14ac:dyDescent="0.2">
      <c r="A1137" s="2"/>
      <c r="B1137" s="2"/>
      <c r="C1137" s="2"/>
      <c r="D1137" s="2"/>
      <c r="E1137" s="2"/>
      <c r="F1137" s="2"/>
      <c r="G1137" s="2"/>
      <c r="H1137" s="2"/>
      <c r="I1137" s="2"/>
      <c r="J1137" s="2"/>
      <c r="K1137" s="2"/>
      <c r="L1137" s="2"/>
      <c r="M1137" s="2"/>
    </row>
    <row r="1138" spans="1:13" x14ac:dyDescent="0.2">
      <c r="A1138" s="2"/>
      <c r="B1138" s="2"/>
      <c r="C1138" s="2"/>
      <c r="D1138" s="2"/>
      <c r="E1138" s="2"/>
      <c r="F1138" s="2"/>
      <c r="G1138" s="2"/>
      <c r="H1138" s="2"/>
      <c r="I1138" s="2"/>
      <c r="J1138" s="2"/>
      <c r="K1138" s="2"/>
      <c r="L1138" s="2"/>
      <c r="M1138" s="2"/>
    </row>
    <row r="1139" spans="1:13" x14ac:dyDescent="0.2">
      <c r="A1139" s="2"/>
      <c r="B1139" s="2"/>
      <c r="C1139" s="2"/>
      <c r="D1139" s="2"/>
      <c r="E1139" s="2"/>
      <c r="F1139" s="2"/>
      <c r="G1139" s="2"/>
      <c r="H1139" s="2"/>
      <c r="I1139" s="2"/>
      <c r="J1139" s="2"/>
      <c r="K1139" s="2"/>
      <c r="L1139" s="2"/>
      <c r="M1139" s="2"/>
    </row>
    <row r="1140" spans="1:13" x14ac:dyDescent="0.2">
      <c r="A1140" s="2"/>
      <c r="B1140" s="2"/>
      <c r="C1140" s="2"/>
      <c r="D1140" s="2"/>
      <c r="E1140" s="2"/>
      <c r="F1140" s="2"/>
      <c r="G1140" s="2"/>
      <c r="H1140" s="2"/>
      <c r="I1140" s="2"/>
      <c r="J1140" s="2"/>
      <c r="K1140" s="2"/>
      <c r="L1140" s="2"/>
      <c r="M1140" s="2"/>
    </row>
    <row r="1141" spans="1:13" x14ac:dyDescent="0.2">
      <c r="A1141" s="2"/>
      <c r="B1141" s="2"/>
      <c r="C1141" s="2"/>
      <c r="D1141" s="2"/>
      <c r="E1141" s="2"/>
      <c r="F1141" s="2"/>
      <c r="G1141" s="2"/>
      <c r="H1141" s="2"/>
      <c r="I1141" s="2"/>
      <c r="J1141" s="2"/>
      <c r="K1141" s="2"/>
      <c r="L1141" s="2"/>
      <c r="M1141" s="2"/>
    </row>
    <row r="1142" spans="1:13" x14ac:dyDescent="0.2">
      <c r="A1142" s="2"/>
      <c r="B1142" s="2"/>
      <c r="C1142" s="2"/>
      <c r="D1142" s="2"/>
      <c r="E1142" s="2"/>
      <c r="F1142" s="2"/>
      <c r="G1142" s="2"/>
      <c r="H1142" s="2"/>
      <c r="I1142" s="2"/>
      <c r="J1142" s="2"/>
      <c r="K1142" s="2"/>
      <c r="L1142" s="2"/>
      <c r="M1142" s="2"/>
    </row>
    <row r="1143" spans="1:13" x14ac:dyDescent="0.2">
      <c r="A1143" s="2"/>
      <c r="B1143" s="2"/>
      <c r="C1143" s="2"/>
      <c r="D1143" s="2"/>
      <c r="E1143" s="2"/>
      <c r="F1143" s="2"/>
      <c r="G1143" s="2"/>
      <c r="H1143" s="2"/>
      <c r="I1143" s="2"/>
      <c r="J1143" s="2"/>
      <c r="K1143" s="2"/>
      <c r="L1143" s="2"/>
      <c r="M1143" s="2"/>
    </row>
    <row r="1144" spans="1:13" x14ac:dyDescent="0.2">
      <c r="A1144" s="2"/>
      <c r="B1144" s="2"/>
      <c r="C1144" s="2"/>
      <c r="D1144" s="2"/>
      <c r="E1144" s="2"/>
      <c r="F1144" s="2"/>
      <c r="G1144" s="2"/>
      <c r="H1144" s="2"/>
      <c r="I1144" s="2"/>
      <c r="J1144" s="2"/>
      <c r="K1144" s="2"/>
      <c r="L1144" s="2"/>
      <c r="M1144" s="2"/>
    </row>
    <row r="1145" spans="1:13" x14ac:dyDescent="0.2">
      <c r="A1145" s="2"/>
      <c r="B1145" s="2"/>
      <c r="C1145" s="2"/>
      <c r="D1145" s="2"/>
      <c r="E1145" s="2"/>
      <c r="F1145" s="2"/>
      <c r="G1145" s="2"/>
      <c r="H1145" s="2"/>
      <c r="I1145" s="2"/>
      <c r="J1145" s="2"/>
      <c r="K1145" s="2"/>
      <c r="L1145" s="2"/>
      <c r="M1145" s="2"/>
    </row>
    <row r="1146" spans="1:13" x14ac:dyDescent="0.2">
      <c r="A1146" s="2"/>
      <c r="B1146" s="2"/>
      <c r="C1146" s="2"/>
      <c r="D1146" s="2"/>
      <c r="E1146" s="2"/>
      <c r="F1146" s="2"/>
      <c r="G1146" s="2"/>
      <c r="H1146" s="2"/>
      <c r="I1146" s="2"/>
      <c r="J1146" s="2"/>
      <c r="K1146" s="2"/>
      <c r="L1146" s="2"/>
      <c r="M1146" s="2"/>
    </row>
    <row r="1147" spans="1:13" x14ac:dyDescent="0.2">
      <c r="A1147" s="2"/>
      <c r="B1147" s="2"/>
      <c r="C1147" s="2"/>
      <c r="D1147" s="2"/>
      <c r="E1147" s="2"/>
      <c r="F1147" s="2"/>
      <c r="G1147" s="2"/>
      <c r="H1147" s="2"/>
      <c r="I1147" s="2"/>
      <c r="J1147" s="2"/>
      <c r="K1147" s="2"/>
      <c r="L1147" s="2"/>
      <c r="M1147" s="2"/>
    </row>
    <row r="1148" spans="1:13" x14ac:dyDescent="0.2">
      <c r="A1148" s="2"/>
      <c r="B1148" s="2"/>
      <c r="C1148" s="2"/>
      <c r="D1148" s="2"/>
      <c r="E1148" s="2"/>
      <c r="F1148" s="2"/>
      <c r="G1148" s="2"/>
      <c r="H1148" s="2"/>
      <c r="I1148" s="2"/>
      <c r="J1148" s="2"/>
      <c r="K1148" s="2"/>
      <c r="L1148" s="2"/>
      <c r="M1148" s="2"/>
    </row>
    <row r="1149" spans="1:13" x14ac:dyDescent="0.2">
      <c r="A1149" s="2"/>
      <c r="B1149" s="2"/>
      <c r="C1149" s="2"/>
      <c r="D1149" s="2"/>
      <c r="E1149" s="2"/>
      <c r="F1149" s="2"/>
      <c r="G1149" s="2"/>
      <c r="H1149" s="2"/>
      <c r="I1149" s="2"/>
      <c r="J1149" s="2"/>
      <c r="K1149" s="2"/>
      <c r="L1149" s="2"/>
      <c r="M1149" s="2"/>
    </row>
    <row r="1150" spans="1:13" x14ac:dyDescent="0.2">
      <c r="A1150" s="2"/>
      <c r="B1150" s="2"/>
      <c r="C1150" s="2"/>
      <c r="D1150" s="2"/>
      <c r="E1150" s="2"/>
      <c r="F1150" s="2"/>
      <c r="G1150" s="2"/>
      <c r="H1150" s="2"/>
      <c r="I1150" s="2"/>
      <c r="J1150" s="2"/>
      <c r="K1150" s="2"/>
      <c r="L1150" s="2"/>
      <c r="M1150" s="2"/>
    </row>
    <row r="1151" spans="1:13" x14ac:dyDescent="0.2">
      <c r="A1151" s="2"/>
      <c r="B1151" s="2"/>
      <c r="C1151" s="2"/>
      <c r="D1151" s="2"/>
      <c r="E1151" s="2"/>
      <c r="F1151" s="2"/>
      <c r="G1151" s="2"/>
      <c r="H1151" s="2"/>
      <c r="I1151" s="2"/>
      <c r="J1151" s="2"/>
      <c r="K1151" s="2"/>
      <c r="L1151" s="2"/>
      <c r="M1151" s="2"/>
    </row>
    <row r="1152" spans="1:13" x14ac:dyDescent="0.2">
      <c r="A1152" s="2"/>
      <c r="B1152" s="2"/>
      <c r="C1152" s="2"/>
      <c r="D1152" s="2"/>
      <c r="E1152" s="2"/>
      <c r="F1152" s="2"/>
      <c r="G1152" s="2"/>
      <c r="H1152" s="2"/>
      <c r="I1152" s="2"/>
      <c r="J1152" s="2"/>
      <c r="K1152" s="2"/>
      <c r="L1152" s="2"/>
      <c r="M1152" s="2"/>
    </row>
    <row r="1153" spans="1:13" x14ac:dyDescent="0.2">
      <c r="A1153" s="2"/>
      <c r="B1153" s="2"/>
      <c r="C1153" s="2"/>
      <c r="D1153" s="2"/>
      <c r="E1153" s="2"/>
      <c r="F1153" s="2"/>
      <c r="G1153" s="2"/>
      <c r="H1153" s="2"/>
      <c r="I1153" s="2"/>
      <c r="J1153" s="2"/>
      <c r="K1153" s="2"/>
      <c r="L1153" s="2"/>
      <c r="M1153" s="2"/>
    </row>
    <row r="1154" spans="1:13" x14ac:dyDescent="0.2">
      <c r="A1154" s="2"/>
      <c r="B1154" s="2"/>
      <c r="C1154" s="2"/>
      <c r="D1154" s="2"/>
      <c r="E1154" s="2"/>
      <c r="F1154" s="2"/>
      <c r="G1154" s="2"/>
      <c r="H1154" s="2"/>
      <c r="I1154" s="2"/>
      <c r="J1154" s="2"/>
      <c r="K1154" s="2"/>
      <c r="L1154" s="2"/>
      <c r="M1154" s="2"/>
    </row>
    <row r="1155" spans="1:13" x14ac:dyDescent="0.2">
      <c r="A1155" s="2"/>
      <c r="B1155" s="2"/>
      <c r="C1155" s="2"/>
      <c r="D1155" s="2"/>
      <c r="E1155" s="2"/>
      <c r="F1155" s="2"/>
      <c r="G1155" s="2"/>
      <c r="H1155" s="2"/>
      <c r="I1155" s="2"/>
      <c r="J1155" s="2"/>
      <c r="K1155" s="2"/>
      <c r="L1155" s="2"/>
      <c r="M1155" s="2"/>
    </row>
    <row r="1156" spans="1:13" x14ac:dyDescent="0.2">
      <c r="A1156" s="2"/>
      <c r="B1156" s="2"/>
      <c r="C1156" s="2"/>
      <c r="D1156" s="2"/>
      <c r="E1156" s="2"/>
      <c r="F1156" s="2"/>
      <c r="G1156" s="2"/>
      <c r="H1156" s="2"/>
      <c r="I1156" s="2"/>
      <c r="J1156" s="2"/>
      <c r="K1156" s="2"/>
      <c r="L1156" s="2"/>
      <c r="M1156" s="2"/>
    </row>
    <row r="1157" spans="1:13" x14ac:dyDescent="0.2">
      <c r="A1157" s="2"/>
      <c r="B1157" s="2"/>
      <c r="C1157" s="2"/>
      <c r="D1157" s="2"/>
      <c r="E1157" s="2"/>
      <c r="F1157" s="2"/>
      <c r="G1157" s="2"/>
      <c r="H1157" s="2"/>
      <c r="I1157" s="2"/>
      <c r="J1157" s="2"/>
      <c r="K1157" s="2"/>
      <c r="L1157" s="2"/>
      <c r="M1157" s="2"/>
    </row>
    <row r="1158" spans="1:13" x14ac:dyDescent="0.2">
      <c r="A1158" s="2"/>
      <c r="B1158" s="2"/>
      <c r="C1158" s="2"/>
      <c r="D1158" s="2"/>
      <c r="E1158" s="2"/>
      <c r="F1158" s="2"/>
      <c r="G1158" s="2"/>
      <c r="H1158" s="2"/>
      <c r="I1158" s="2"/>
      <c r="J1158" s="2"/>
      <c r="K1158" s="2"/>
      <c r="L1158" s="2"/>
      <c r="M1158" s="2"/>
    </row>
    <row r="1159" spans="1:13" x14ac:dyDescent="0.2">
      <c r="A1159" s="2"/>
      <c r="B1159" s="2"/>
      <c r="C1159" s="2"/>
      <c r="D1159" s="2"/>
      <c r="E1159" s="2"/>
      <c r="F1159" s="2"/>
      <c r="G1159" s="2"/>
      <c r="H1159" s="2"/>
      <c r="I1159" s="2"/>
      <c r="J1159" s="2"/>
      <c r="K1159" s="2"/>
      <c r="L1159" s="2"/>
      <c r="M1159" s="2"/>
    </row>
    <row r="1160" spans="1:13" x14ac:dyDescent="0.2">
      <c r="A1160" s="2"/>
      <c r="B1160" s="2"/>
      <c r="C1160" s="2"/>
      <c r="D1160" s="2"/>
      <c r="E1160" s="2"/>
      <c r="F1160" s="2"/>
      <c r="G1160" s="2"/>
      <c r="H1160" s="2"/>
      <c r="I1160" s="2"/>
      <c r="J1160" s="2"/>
      <c r="K1160" s="2"/>
      <c r="L1160" s="2"/>
      <c r="M1160" s="2"/>
    </row>
    <row r="1161" spans="1:13" x14ac:dyDescent="0.2">
      <c r="A1161" s="2"/>
      <c r="B1161" s="2"/>
      <c r="C1161" s="2"/>
      <c r="D1161" s="2"/>
      <c r="E1161" s="2"/>
      <c r="F1161" s="2"/>
      <c r="G1161" s="2"/>
      <c r="H1161" s="2"/>
      <c r="I1161" s="2"/>
      <c r="J1161" s="2"/>
      <c r="K1161" s="2"/>
      <c r="L1161" s="2"/>
      <c r="M1161" s="2"/>
    </row>
    <row r="1162" spans="1:13" x14ac:dyDescent="0.2">
      <c r="A1162" s="2"/>
      <c r="B1162" s="2"/>
      <c r="C1162" s="2"/>
      <c r="D1162" s="2"/>
      <c r="E1162" s="2"/>
      <c r="F1162" s="2"/>
      <c r="G1162" s="2"/>
      <c r="H1162" s="2"/>
      <c r="I1162" s="2"/>
      <c r="J1162" s="2"/>
      <c r="K1162" s="2"/>
      <c r="L1162" s="2"/>
      <c r="M1162" s="2"/>
    </row>
    <row r="1163" spans="1:13" x14ac:dyDescent="0.2">
      <c r="A1163" s="2"/>
      <c r="B1163" s="2"/>
      <c r="C1163" s="2"/>
      <c r="D1163" s="2"/>
      <c r="E1163" s="2"/>
      <c r="F1163" s="2"/>
      <c r="G1163" s="2"/>
      <c r="H1163" s="2"/>
      <c r="I1163" s="2"/>
      <c r="J1163" s="2"/>
      <c r="K1163" s="2"/>
      <c r="L1163" s="2"/>
      <c r="M1163" s="2"/>
    </row>
    <row r="1164" spans="1:13" x14ac:dyDescent="0.2">
      <c r="A1164" s="2"/>
      <c r="B1164" s="2"/>
      <c r="C1164" s="2"/>
      <c r="D1164" s="2"/>
      <c r="E1164" s="2"/>
      <c r="F1164" s="2"/>
      <c r="G1164" s="2"/>
      <c r="H1164" s="2"/>
      <c r="I1164" s="2"/>
      <c r="J1164" s="2"/>
      <c r="K1164" s="2"/>
      <c r="L1164" s="2"/>
      <c r="M1164" s="2"/>
    </row>
    <row r="1165" spans="1:13" x14ac:dyDescent="0.2">
      <c r="A1165" s="2"/>
      <c r="B1165" s="2"/>
      <c r="C1165" s="2"/>
      <c r="D1165" s="2"/>
      <c r="E1165" s="2"/>
      <c r="F1165" s="2"/>
      <c r="G1165" s="2"/>
      <c r="H1165" s="2"/>
      <c r="I1165" s="2"/>
      <c r="J1165" s="2"/>
      <c r="K1165" s="2"/>
      <c r="L1165" s="2"/>
      <c r="M1165" s="2"/>
    </row>
    <row r="1166" spans="1:13" x14ac:dyDescent="0.2">
      <c r="A1166" s="2"/>
      <c r="B1166" s="2"/>
      <c r="C1166" s="2"/>
      <c r="D1166" s="2"/>
      <c r="E1166" s="2"/>
      <c r="F1166" s="2"/>
      <c r="G1166" s="2"/>
      <c r="H1166" s="2"/>
      <c r="I1166" s="2"/>
      <c r="J1166" s="2"/>
      <c r="K1166" s="2"/>
      <c r="L1166" s="2"/>
      <c r="M1166" s="2"/>
    </row>
    <row r="1167" spans="1:13" x14ac:dyDescent="0.2">
      <c r="A1167" s="2"/>
      <c r="B1167" s="2"/>
      <c r="C1167" s="2"/>
      <c r="D1167" s="2"/>
      <c r="E1167" s="2"/>
      <c r="F1167" s="2"/>
      <c r="G1167" s="2"/>
      <c r="H1167" s="2"/>
      <c r="I1167" s="2"/>
      <c r="J1167" s="2"/>
      <c r="K1167" s="2"/>
      <c r="L1167" s="2"/>
      <c r="M1167" s="2"/>
    </row>
    <row r="1168" spans="1:13" x14ac:dyDescent="0.2">
      <c r="A1168" s="2"/>
      <c r="B1168" s="2"/>
      <c r="C1168" s="2"/>
      <c r="D1168" s="2"/>
      <c r="E1168" s="2"/>
      <c r="F1168" s="2"/>
      <c r="G1168" s="2"/>
      <c r="H1168" s="2"/>
      <c r="I1168" s="2"/>
      <c r="J1168" s="2"/>
      <c r="K1168" s="2"/>
      <c r="L1168" s="2"/>
      <c r="M1168" s="2"/>
    </row>
    <row r="1169" spans="1:13" x14ac:dyDescent="0.2">
      <c r="A1169" s="2"/>
      <c r="B1169" s="2"/>
      <c r="C1169" s="2"/>
      <c r="D1169" s="2"/>
      <c r="E1169" s="2"/>
      <c r="F1169" s="2"/>
      <c r="G1169" s="2"/>
      <c r="H1169" s="2"/>
      <c r="I1169" s="2"/>
      <c r="J1169" s="2"/>
      <c r="K1169" s="2"/>
      <c r="L1169" s="2"/>
      <c r="M1169" s="2"/>
    </row>
    <row r="1170" spans="1:13" x14ac:dyDescent="0.2">
      <c r="A1170" s="2"/>
      <c r="B1170" s="2"/>
      <c r="C1170" s="2"/>
      <c r="D1170" s="2"/>
      <c r="E1170" s="2"/>
      <c r="F1170" s="2"/>
      <c r="G1170" s="2"/>
      <c r="H1170" s="2"/>
      <c r="I1170" s="2"/>
      <c r="J1170" s="2"/>
      <c r="K1170" s="2"/>
      <c r="L1170" s="2"/>
      <c r="M1170" s="2"/>
    </row>
    <row r="1171" spans="1:13" x14ac:dyDescent="0.2">
      <c r="A1171" s="2"/>
      <c r="B1171" s="2"/>
      <c r="C1171" s="2"/>
      <c r="D1171" s="2"/>
      <c r="E1171" s="2"/>
      <c r="F1171" s="2"/>
      <c r="G1171" s="2"/>
      <c r="H1171" s="2"/>
      <c r="I1171" s="2"/>
      <c r="J1171" s="2"/>
      <c r="K1171" s="2"/>
      <c r="L1171" s="2"/>
      <c r="M1171" s="2"/>
    </row>
    <row r="1172" spans="1:13" x14ac:dyDescent="0.2">
      <c r="A1172" s="2"/>
      <c r="B1172" s="2"/>
      <c r="C1172" s="2"/>
      <c r="D1172" s="2"/>
      <c r="E1172" s="2"/>
      <c r="F1172" s="2"/>
      <c r="G1172" s="2"/>
      <c r="H1172" s="2"/>
      <c r="I1172" s="2"/>
      <c r="J1172" s="2"/>
      <c r="K1172" s="2"/>
      <c r="L1172" s="2"/>
      <c r="M1172" s="2"/>
    </row>
    <row r="1173" spans="1:13" x14ac:dyDescent="0.2">
      <c r="A1173" s="2"/>
      <c r="B1173" s="2"/>
      <c r="C1173" s="2"/>
      <c r="D1173" s="2"/>
      <c r="E1173" s="2"/>
      <c r="F1173" s="2"/>
      <c r="G1173" s="2"/>
      <c r="H1173" s="2"/>
      <c r="I1173" s="2"/>
      <c r="J1173" s="2"/>
      <c r="K1173" s="2"/>
      <c r="L1173" s="2"/>
      <c r="M1173" s="2"/>
    </row>
    <row r="1174" spans="1:13" x14ac:dyDescent="0.2">
      <c r="A1174" s="2"/>
      <c r="B1174" s="2"/>
      <c r="C1174" s="2"/>
      <c r="D1174" s="2"/>
      <c r="E1174" s="2"/>
      <c r="F1174" s="2"/>
      <c r="G1174" s="2"/>
      <c r="H1174" s="2"/>
      <c r="I1174" s="2"/>
      <c r="J1174" s="2"/>
      <c r="K1174" s="2"/>
      <c r="L1174" s="2"/>
      <c r="M1174" s="2"/>
    </row>
    <row r="1175" spans="1:13" x14ac:dyDescent="0.2">
      <c r="A1175" s="2"/>
      <c r="B1175" s="2"/>
      <c r="C1175" s="2"/>
      <c r="D1175" s="2"/>
      <c r="E1175" s="2"/>
      <c r="F1175" s="2"/>
      <c r="G1175" s="2"/>
      <c r="H1175" s="2"/>
      <c r="I1175" s="2"/>
      <c r="J1175" s="2"/>
      <c r="K1175" s="2"/>
      <c r="L1175" s="2"/>
      <c r="M1175" s="2"/>
    </row>
    <row r="1176" spans="1:13" x14ac:dyDescent="0.2">
      <c r="A1176" s="2"/>
      <c r="B1176" s="2"/>
      <c r="C1176" s="2"/>
      <c r="D1176" s="2"/>
      <c r="E1176" s="2"/>
      <c r="F1176" s="2"/>
      <c r="G1176" s="2"/>
      <c r="H1176" s="2"/>
      <c r="I1176" s="2"/>
      <c r="J1176" s="2"/>
      <c r="K1176" s="2"/>
      <c r="L1176" s="2"/>
      <c r="M1176" s="2"/>
    </row>
    <row r="1177" spans="1:13" x14ac:dyDescent="0.2">
      <c r="A1177" s="2"/>
      <c r="B1177" s="2"/>
      <c r="C1177" s="2"/>
      <c r="D1177" s="2"/>
      <c r="E1177" s="2"/>
      <c r="F1177" s="2"/>
      <c r="G1177" s="2"/>
      <c r="H1177" s="2"/>
      <c r="I1177" s="2"/>
      <c r="J1177" s="2"/>
      <c r="K1177" s="2"/>
      <c r="L1177" s="2"/>
      <c r="M1177" s="2"/>
    </row>
    <row r="1178" spans="1:13" x14ac:dyDescent="0.2">
      <c r="A1178" s="2"/>
      <c r="B1178" s="2"/>
      <c r="C1178" s="2"/>
      <c r="D1178" s="2"/>
      <c r="E1178" s="2"/>
      <c r="F1178" s="2"/>
      <c r="G1178" s="2"/>
      <c r="H1178" s="2"/>
      <c r="I1178" s="2"/>
      <c r="J1178" s="2"/>
      <c r="K1178" s="2"/>
      <c r="L1178" s="2"/>
      <c r="M1178" s="2"/>
    </row>
    <row r="1179" spans="1:13" x14ac:dyDescent="0.2">
      <c r="A1179" s="2"/>
      <c r="B1179" s="2"/>
      <c r="C1179" s="2"/>
      <c r="D1179" s="2"/>
      <c r="E1179" s="2"/>
      <c r="F1179" s="2"/>
      <c r="G1179" s="2"/>
      <c r="H1179" s="2"/>
      <c r="I1179" s="2"/>
      <c r="J1179" s="2"/>
      <c r="K1179" s="2"/>
      <c r="L1179" s="2"/>
      <c r="M1179" s="2"/>
    </row>
    <row r="1180" spans="1:13" x14ac:dyDescent="0.2">
      <c r="A1180" s="2"/>
      <c r="B1180" s="2"/>
      <c r="C1180" s="2"/>
      <c r="D1180" s="2"/>
      <c r="E1180" s="2"/>
      <c r="F1180" s="2"/>
      <c r="G1180" s="2"/>
      <c r="H1180" s="2"/>
      <c r="I1180" s="2"/>
      <c r="J1180" s="2"/>
      <c r="K1180" s="2"/>
      <c r="L1180" s="2"/>
      <c r="M1180" s="2"/>
    </row>
    <row r="1181" spans="1:13" x14ac:dyDescent="0.2">
      <c r="A1181" s="2"/>
      <c r="B1181" s="2"/>
      <c r="C1181" s="2"/>
      <c r="D1181" s="2"/>
      <c r="E1181" s="2"/>
      <c r="F1181" s="2"/>
      <c r="G1181" s="2"/>
      <c r="H1181" s="2"/>
      <c r="I1181" s="2"/>
      <c r="J1181" s="2"/>
      <c r="K1181" s="2"/>
      <c r="L1181" s="2"/>
      <c r="M1181" s="2"/>
    </row>
    <row r="1182" spans="1:13" x14ac:dyDescent="0.2">
      <c r="A1182" s="2"/>
      <c r="B1182" s="2"/>
      <c r="C1182" s="2"/>
      <c r="D1182" s="2"/>
      <c r="E1182" s="2"/>
      <c r="F1182" s="2"/>
      <c r="G1182" s="2"/>
      <c r="H1182" s="2"/>
      <c r="I1182" s="2"/>
      <c r="J1182" s="2"/>
      <c r="K1182" s="2"/>
      <c r="L1182" s="2"/>
      <c r="M1182" s="2"/>
    </row>
    <row r="1183" spans="1:13" x14ac:dyDescent="0.2">
      <c r="A1183" s="2"/>
      <c r="B1183" s="2"/>
      <c r="C1183" s="2"/>
      <c r="D1183" s="2"/>
      <c r="E1183" s="2"/>
      <c r="F1183" s="2"/>
      <c r="G1183" s="2"/>
      <c r="H1183" s="2"/>
      <c r="I1183" s="2"/>
      <c r="J1183" s="2"/>
      <c r="K1183" s="2"/>
      <c r="L1183" s="2"/>
      <c r="M1183" s="2"/>
    </row>
    <row r="1184" spans="1:13" x14ac:dyDescent="0.2">
      <c r="A1184" s="2"/>
      <c r="B1184" s="2"/>
      <c r="C1184" s="2"/>
      <c r="D1184" s="2"/>
      <c r="E1184" s="2"/>
      <c r="F1184" s="2"/>
      <c r="G1184" s="2"/>
      <c r="H1184" s="2"/>
      <c r="I1184" s="2"/>
      <c r="J1184" s="2"/>
      <c r="K1184" s="2"/>
      <c r="L1184" s="2"/>
      <c r="M1184" s="2"/>
    </row>
    <row r="1185" spans="1:13" x14ac:dyDescent="0.2">
      <c r="A1185" s="2"/>
      <c r="B1185" s="2"/>
      <c r="C1185" s="2"/>
      <c r="D1185" s="2"/>
      <c r="E1185" s="2"/>
      <c r="F1185" s="2"/>
      <c r="G1185" s="2"/>
      <c r="H1185" s="2"/>
      <c r="I1185" s="2"/>
      <c r="J1185" s="2"/>
      <c r="K1185" s="2"/>
      <c r="L1185" s="2"/>
      <c r="M1185" s="2"/>
    </row>
    <row r="1186" spans="1:13" x14ac:dyDescent="0.2">
      <c r="A1186" s="2"/>
      <c r="B1186" s="2"/>
      <c r="C1186" s="2"/>
      <c r="D1186" s="2"/>
      <c r="E1186" s="2"/>
      <c r="F1186" s="2"/>
      <c r="G1186" s="2"/>
      <c r="H1186" s="2"/>
      <c r="I1186" s="2"/>
      <c r="J1186" s="2"/>
      <c r="K1186" s="2"/>
      <c r="L1186" s="2"/>
      <c r="M1186" s="2"/>
    </row>
    <row r="1187" spans="1:13" x14ac:dyDescent="0.2">
      <c r="A1187" s="2"/>
      <c r="B1187" s="2"/>
      <c r="C1187" s="2"/>
      <c r="D1187" s="2"/>
      <c r="E1187" s="2"/>
      <c r="F1187" s="2"/>
      <c r="G1187" s="2"/>
      <c r="H1187" s="2"/>
      <c r="I1187" s="2"/>
      <c r="J1187" s="2"/>
      <c r="K1187" s="2"/>
      <c r="L1187" s="2"/>
      <c r="M1187" s="2"/>
    </row>
    <row r="1188" spans="1:13" x14ac:dyDescent="0.2">
      <c r="A1188" s="2"/>
      <c r="B1188" s="2"/>
      <c r="C1188" s="2"/>
      <c r="D1188" s="2"/>
      <c r="E1188" s="2"/>
      <c r="F1188" s="2"/>
      <c r="G1188" s="2"/>
      <c r="H1188" s="2"/>
      <c r="I1188" s="2"/>
      <c r="J1188" s="2"/>
      <c r="K1188" s="2"/>
      <c r="L1188" s="2"/>
      <c r="M1188" s="2"/>
    </row>
    <row r="1189" spans="1:13" x14ac:dyDescent="0.2">
      <c r="A1189" s="2"/>
      <c r="B1189" s="2"/>
      <c r="C1189" s="2"/>
      <c r="D1189" s="2"/>
      <c r="E1189" s="2"/>
      <c r="F1189" s="2"/>
      <c r="G1189" s="2"/>
      <c r="H1189" s="2"/>
      <c r="I1189" s="2"/>
      <c r="J1189" s="2"/>
      <c r="K1189" s="2"/>
      <c r="L1189" s="2"/>
      <c r="M1189" s="2"/>
    </row>
    <row r="1190" spans="1:13" x14ac:dyDescent="0.2">
      <c r="A1190" s="2"/>
      <c r="B1190" s="2"/>
      <c r="C1190" s="2"/>
      <c r="D1190" s="2"/>
      <c r="E1190" s="2"/>
      <c r="F1190" s="2"/>
      <c r="G1190" s="2"/>
      <c r="H1190" s="2"/>
      <c r="I1190" s="2"/>
      <c r="J1190" s="2"/>
      <c r="K1190" s="2"/>
      <c r="L1190" s="2"/>
      <c r="M1190" s="2"/>
    </row>
    <row r="1191" spans="1:13" x14ac:dyDescent="0.2">
      <c r="A1191" s="2"/>
      <c r="B1191" s="2"/>
      <c r="C1191" s="2"/>
      <c r="D1191" s="2"/>
      <c r="E1191" s="2"/>
      <c r="F1191" s="2"/>
      <c r="G1191" s="2"/>
      <c r="H1191" s="2"/>
      <c r="I1191" s="2"/>
      <c r="J1191" s="2"/>
      <c r="K1191" s="2"/>
      <c r="L1191" s="2"/>
      <c r="M1191" s="2"/>
    </row>
    <row r="1192" spans="1:13" x14ac:dyDescent="0.2">
      <c r="A1192" s="2"/>
      <c r="B1192" s="2"/>
      <c r="C1192" s="2"/>
      <c r="D1192" s="2"/>
      <c r="E1192" s="2"/>
      <c r="F1192" s="2"/>
      <c r="G1192" s="2"/>
      <c r="H1192" s="2"/>
      <c r="I1192" s="2"/>
      <c r="J1192" s="2"/>
      <c r="K1192" s="2"/>
      <c r="L1192" s="2"/>
      <c r="M1192" s="2"/>
    </row>
    <row r="1193" spans="1:13" x14ac:dyDescent="0.2">
      <c r="A1193" s="2"/>
      <c r="B1193" s="2"/>
      <c r="C1193" s="2"/>
      <c r="D1193" s="2"/>
      <c r="E1193" s="2"/>
      <c r="F1193" s="2"/>
      <c r="G1193" s="2"/>
      <c r="H1193" s="2"/>
      <c r="I1193" s="2"/>
      <c r="J1193" s="2"/>
      <c r="K1193" s="2"/>
      <c r="L1193" s="2"/>
      <c r="M1193" s="2"/>
    </row>
    <row r="1194" spans="1:13" x14ac:dyDescent="0.2">
      <c r="A1194" s="2"/>
      <c r="B1194" s="2"/>
      <c r="C1194" s="2"/>
      <c r="D1194" s="2"/>
      <c r="E1194" s="2"/>
      <c r="F1194" s="2"/>
      <c r="G1194" s="2"/>
      <c r="H1194" s="2"/>
      <c r="I1194" s="2"/>
      <c r="J1194" s="2"/>
      <c r="K1194" s="2"/>
      <c r="L1194" s="2"/>
      <c r="M1194" s="2"/>
    </row>
    <row r="1195" spans="1:13" x14ac:dyDescent="0.2">
      <c r="A1195" s="2"/>
      <c r="B1195" s="2"/>
      <c r="C1195" s="2"/>
      <c r="D1195" s="2"/>
      <c r="E1195" s="2"/>
      <c r="F1195" s="2"/>
      <c r="G1195" s="2"/>
      <c r="H1195" s="2"/>
      <c r="I1195" s="2"/>
      <c r="J1195" s="2"/>
      <c r="K1195" s="2"/>
      <c r="L1195" s="2"/>
      <c r="M1195" s="2"/>
    </row>
    <row r="1196" spans="1:13" x14ac:dyDescent="0.2">
      <c r="A1196" s="2"/>
      <c r="B1196" s="2"/>
      <c r="C1196" s="2"/>
      <c r="D1196" s="2"/>
      <c r="E1196" s="2"/>
      <c r="F1196" s="2"/>
      <c r="G1196" s="2"/>
      <c r="H1196" s="2"/>
      <c r="I1196" s="2"/>
      <c r="J1196" s="2"/>
      <c r="K1196" s="2"/>
      <c r="L1196" s="2"/>
      <c r="M1196" s="2"/>
    </row>
    <row r="1197" spans="1:13" x14ac:dyDescent="0.2">
      <c r="A1197" s="2"/>
      <c r="B1197" s="2"/>
      <c r="C1197" s="2"/>
      <c r="D1197" s="2"/>
      <c r="E1197" s="2"/>
      <c r="F1197" s="2"/>
      <c r="G1197" s="2"/>
      <c r="H1197" s="2"/>
      <c r="I1197" s="2"/>
      <c r="J1197" s="2"/>
      <c r="K1197" s="2"/>
      <c r="L1197" s="2"/>
      <c r="M1197" s="2"/>
    </row>
    <row r="1198" spans="1:13" x14ac:dyDescent="0.2">
      <c r="A1198" s="2"/>
      <c r="B1198" s="2"/>
      <c r="C1198" s="2"/>
      <c r="D1198" s="2"/>
      <c r="E1198" s="2"/>
      <c r="F1198" s="2"/>
      <c r="G1198" s="2"/>
      <c r="H1198" s="2"/>
      <c r="I1198" s="2"/>
      <c r="J1198" s="2"/>
      <c r="K1198" s="2"/>
      <c r="L1198" s="2"/>
      <c r="M1198" s="2"/>
    </row>
    <row r="1199" spans="1:13" x14ac:dyDescent="0.2">
      <c r="A1199" s="2"/>
      <c r="B1199" s="2"/>
      <c r="C1199" s="2"/>
      <c r="D1199" s="2"/>
      <c r="E1199" s="2"/>
      <c r="F1199" s="2"/>
      <c r="G1199" s="2"/>
      <c r="H1199" s="2"/>
      <c r="I1199" s="2"/>
      <c r="J1199" s="2"/>
      <c r="K1199" s="2"/>
      <c r="L1199" s="2"/>
      <c r="M1199" s="2"/>
    </row>
    <row r="1200" spans="1:13" x14ac:dyDescent="0.2">
      <c r="A1200" s="2"/>
      <c r="B1200" s="2"/>
      <c r="C1200" s="2"/>
      <c r="D1200" s="2"/>
      <c r="E1200" s="2"/>
      <c r="F1200" s="2"/>
      <c r="G1200" s="2"/>
      <c r="H1200" s="2"/>
      <c r="I1200" s="2"/>
      <c r="J1200" s="2"/>
      <c r="K1200" s="2"/>
      <c r="L1200" s="2"/>
      <c r="M1200" s="2"/>
    </row>
    <row r="1201" spans="1:13" x14ac:dyDescent="0.2">
      <c r="A1201" s="2"/>
      <c r="B1201" s="2"/>
      <c r="C1201" s="2"/>
      <c r="D1201" s="2"/>
      <c r="E1201" s="2"/>
      <c r="F1201" s="2"/>
      <c r="G1201" s="2"/>
      <c r="H1201" s="2"/>
      <c r="I1201" s="2"/>
      <c r="J1201" s="2"/>
      <c r="K1201" s="2"/>
      <c r="L1201" s="2"/>
      <c r="M1201" s="2"/>
    </row>
    <row r="1202" spans="1:13" x14ac:dyDescent="0.2">
      <c r="A1202" s="2"/>
      <c r="B1202" s="2"/>
      <c r="C1202" s="2"/>
      <c r="D1202" s="2"/>
      <c r="E1202" s="2"/>
      <c r="F1202" s="2"/>
      <c r="G1202" s="2"/>
      <c r="H1202" s="2"/>
      <c r="I1202" s="2"/>
      <c r="J1202" s="2"/>
      <c r="K1202" s="2"/>
      <c r="L1202" s="2"/>
      <c r="M1202" s="2"/>
    </row>
    <row r="1203" spans="1:13" x14ac:dyDescent="0.2">
      <c r="A1203" s="2"/>
      <c r="B1203" s="2"/>
      <c r="C1203" s="2"/>
      <c r="D1203" s="2"/>
      <c r="E1203" s="2"/>
      <c r="F1203" s="2"/>
      <c r="G1203" s="2"/>
      <c r="H1203" s="2"/>
      <c r="I1203" s="2"/>
      <c r="J1203" s="2"/>
      <c r="K1203" s="2"/>
      <c r="L1203" s="2"/>
      <c r="M1203" s="2"/>
    </row>
    <row r="1204" spans="1:13" x14ac:dyDescent="0.2">
      <c r="A1204" s="2"/>
      <c r="B1204" s="2"/>
      <c r="C1204" s="2"/>
      <c r="D1204" s="2"/>
      <c r="E1204" s="2"/>
      <c r="F1204" s="2"/>
      <c r="G1204" s="2"/>
      <c r="H1204" s="2"/>
      <c r="I1204" s="2"/>
      <c r="J1204" s="2"/>
      <c r="K1204" s="2"/>
      <c r="L1204" s="2"/>
      <c r="M1204" s="2"/>
    </row>
    <row r="1205" spans="1:13" x14ac:dyDescent="0.2">
      <c r="A1205" s="2"/>
      <c r="B1205" s="2"/>
      <c r="C1205" s="2"/>
      <c r="D1205" s="2"/>
      <c r="E1205" s="2"/>
      <c r="F1205" s="2"/>
      <c r="G1205" s="2"/>
      <c r="H1205" s="2"/>
      <c r="I1205" s="2"/>
      <c r="J1205" s="2"/>
      <c r="K1205" s="2"/>
      <c r="L1205" s="2"/>
      <c r="M1205" s="2"/>
    </row>
    <row r="1206" spans="1:13" x14ac:dyDescent="0.2">
      <c r="A1206" s="2"/>
      <c r="B1206" s="2"/>
      <c r="C1206" s="2"/>
      <c r="D1206" s="2"/>
      <c r="E1206" s="2"/>
      <c r="F1206" s="2"/>
      <c r="G1206" s="2"/>
      <c r="H1206" s="2"/>
      <c r="I1206" s="2"/>
      <c r="J1206" s="2"/>
      <c r="K1206" s="2"/>
      <c r="L1206" s="2"/>
      <c r="M1206" s="2"/>
    </row>
    <row r="1207" spans="1:13" x14ac:dyDescent="0.2">
      <c r="A1207" s="2"/>
      <c r="B1207" s="2"/>
      <c r="C1207" s="2"/>
      <c r="D1207" s="2"/>
      <c r="E1207" s="2"/>
      <c r="F1207" s="2"/>
      <c r="G1207" s="2"/>
      <c r="H1207" s="2"/>
      <c r="I1207" s="2"/>
      <c r="J1207" s="2"/>
      <c r="K1207" s="2"/>
      <c r="L1207" s="2"/>
      <c r="M1207" s="2"/>
    </row>
    <row r="1208" spans="1:13" x14ac:dyDescent="0.2">
      <c r="A1208" s="2"/>
      <c r="B1208" s="2"/>
      <c r="C1208" s="2"/>
      <c r="D1208" s="2"/>
      <c r="E1208" s="2"/>
      <c r="F1208" s="2"/>
      <c r="G1208" s="2"/>
      <c r="H1208" s="2"/>
      <c r="I1208" s="2"/>
      <c r="J1208" s="2"/>
      <c r="K1208" s="2"/>
      <c r="L1208" s="2"/>
      <c r="M1208" s="2"/>
    </row>
    <row r="1209" spans="1:13" x14ac:dyDescent="0.2">
      <c r="A1209" s="2"/>
      <c r="B1209" s="2"/>
      <c r="C1209" s="2"/>
      <c r="D1209" s="2"/>
      <c r="E1209" s="2"/>
      <c r="F1209" s="2"/>
      <c r="G1209" s="2"/>
      <c r="H1209" s="2"/>
      <c r="I1209" s="2"/>
      <c r="J1209" s="2"/>
      <c r="K1209" s="2"/>
      <c r="L1209" s="2"/>
      <c r="M1209" s="2"/>
    </row>
    <row r="1210" spans="1:13" x14ac:dyDescent="0.2">
      <c r="A1210" s="2"/>
      <c r="B1210" s="2"/>
      <c r="C1210" s="2"/>
      <c r="D1210" s="2"/>
      <c r="E1210" s="2"/>
      <c r="F1210" s="2"/>
      <c r="G1210" s="2"/>
      <c r="H1210" s="2"/>
      <c r="I1210" s="2"/>
      <c r="J1210" s="2"/>
      <c r="K1210" s="2"/>
      <c r="L1210" s="2"/>
      <c r="M1210" s="2"/>
    </row>
    <row r="1211" spans="1:13" x14ac:dyDescent="0.2">
      <c r="A1211" s="2"/>
      <c r="B1211" s="2"/>
      <c r="C1211" s="2"/>
      <c r="D1211" s="2"/>
      <c r="E1211" s="2"/>
      <c r="F1211" s="2"/>
      <c r="G1211" s="2"/>
      <c r="H1211" s="2"/>
      <c r="I1211" s="2"/>
      <c r="J1211" s="2"/>
      <c r="K1211" s="2"/>
      <c r="L1211" s="2"/>
      <c r="M1211" s="2"/>
    </row>
    <row r="1212" spans="1:13" x14ac:dyDescent="0.2">
      <c r="A1212" s="2"/>
      <c r="B1212" s="2"/>
      <c r="C1212" s="2"/>
      <c r="D1212" s="2"/>
      <c r="E1212" s="2"/>
      <c r="F1212" s="2"/>
      <c r="G1212" s="2"/>
      <c r="H1212" s="2"/>
      <c r="I1212" s="2"/>
      <c r="J1212" s="2"/>
      <c r="K1212" s="2"/>
      <c r="L1212" s="2"/>
      <c r="M1212" s="2"/>
    </row>
    <row r="1213" spans="1:13" x14ac:dyDescent="0.2">
      <c r="A1213" s="2"/>
      <c r="B1213" s="2"/>
      <c r="C1213" s="2"/>
      <c r="D1213" s="2"/>
      <c r="E1213" s="2"/>
      <c r="F1213" s="2"/>
      <c r="G1213" s="2"/>
      <c r="H1213" s="2"/>
      <c r="I1213" s="2"/>
      <c r="J1213" s="2"/>
      <c r="K1213" s="2"/>
      <c r="L1213" s="2"/>
      <c r="M1213" s="2"/>
    </row>
    <row r="1214" spans="1:13" x14ac:dyDescent="0.2">
      <c r="A1214" s="2"/>
      <c r="B1214" s="2"/>
      <c r="C1214" s="2"/>
      <c r="D1214" s="2"/>
      <c r="E1214" s="2"/>
      <c r="F1214" s="2"/>
      <c r="G1214" s="2"/>
      <c r="H1214" s="2"/>
      <c r="I1214" s="2"/>
      <c r="J1214" s="2"/>
      <c r="K1214" s="2"/>
      <c r="L1214" s="2"/>
      <c r="M1214" s="2"/>
    </row>
    <row r="1215" spans="1:13" x14ac:dyDescent="0.2">
      <c r="A1215" s="2"/>
      <c r="B1215" s="2"/>
      <c r="C1215" s="2"/>
      <c r="D1215" s="2"/>
      <c r="E1215" s="2"/>
      <c r="F1215" s="2"/>
      <c r="G1215" s="2"/>
      <c r="H1215" s="2"/>
      <c r="I1215" s="2"/>
      <c r="J1215" s="2"/>
      <c r="K1215" s="2"/>
      <c r="L1215" s="2"/>
      <c r="M1215" s="2"/>
    </row>
    <row r="1216" spans="1:13" x14ac:dyDescent="0.2">
      <c r="A1216" s="2"/>
      <c r="B1216" s="2"/>
      <c r="C1216" s="2"/>
      <c r="D1216" s="2"/>
      <c r="E1216" s="2"/>
      <c r="F1216" s="2"/>
      <c r="G1216" s="2"/>
      <c r="H1216" s="2"/>
      <c r="I1216" s="2"/>
      <c r="J1216" s="2"/>
      <c r="K1216" s="2"/>
      <c r="L1216" s="2"/>
      <c r="M1216" s="2"/>
    </row>
    <row r="1217" spans="1:13" x14ac:dyDescent="0.2">
      <c r="A1217" s="2"/>
      <c r="B1217" s="2"/>
      <c r="C1217" s="2"/>
      <c r="D1217" s="2"/>
      <c r="E1217" s="2"/>
      <c r="F1217" s="2"/>
      <c r="G1217" s="2"/>
      <c r="H1217" s="2"/>
      <c r="I1217" s="2"/>
      <c r="J1217" s="2"/>
      <c r="K1217" s="2"/>
      <c r="L1217" s="2"/>
      <c r="M1217" s="2"/>
    </row>
    <row r="1218" spans="1:13" x14ac:dyDescent="0.2">
      <c r="A1218" s="2"/>
      <c r="B1218" s="2"/>
      <c r="C1218" s="2"/>
      <c r="D1218" s="2"/>
      <c r="E1218" s="2"/>
      <c r="F1218" s="2"/>
      <c r="G1218" s="2"/>
      <c r="H1218" s="2"/>
      <c r="I1218" s="2"/>
      <c r="J1218" s="2"/>
      <c r="K1218" s="2"/>
      <c r="L1218" s="2"/>
      <c r="M1218" s="2"/>
    </row>
    <row r="1219" spans="1:13" x14ac:dyDescent="0.2">
      <c r="A1219" s="2"/>
      <c r="B1219" s="2"/>
      <c r="C1219" s="2"/>
      <c r="D1219" s="2"/>
      <c r="E1219" s="2"/>
      <c r="F1219" s="2"/>
      <c r="G1219" s="2"/>
      <c r="H1219" s="2"/>
      <c r="I1219" s="2"/>
      <c r="J1219" s="2"/>
      <c r="K1219" s="2"/>
      <c r="L1219" s="2"/>
      <c r="M1219" s="2"/>
    </row>
    <row r="1220" spans="1:13" x14ac:dyDescent="0.2">
      <c r="A1220" s="2"/>
      <c r="B1220" s="2"/>
      <c r="C1220" s="2"/>
      <c r="D1220" s="2"/>
      <c r="E1220" s="2"/>
      <c r="F1220" s="2"/>
      <c r="G1220" s="2"/>
      <c r="H1220" s="2"/>
      <c r="I1220" s="2"/>
      <c r="J1220" s="2"/>
      <c r="K1220" s="2"/>
      <c r="L1220" s="2"/>
      <c r="M1220" s="2"/>
    </row>
    <row r="1221" spans="1:13" x14ac:dyDescent="0.2">
      <c r="A1221" s="2"/>
      <c r="B1221" s="2"/>
      <c r="C1221" s="2"/>
      <c r="D1221" s="2"/>
      <c r="E1221" s="2"/>
      <c r="F1221" s="2"/>
      <c r="G1221" s="2"/>
      <c r="H1221" s="2"/>
      <c r="I1221" s="2"/>
      <c r="J1221" s="2"/>
      <c r="K1221" s="2"/>
      <c r="L1221" s="2"/>
      <c r="M1221" s="2"/>
    </row>
    <row r="1222" spans="1:13" x14ac:dyDescent="0.2">
      <c r="A1222" s="2"/>
      <c r="B1222" s="2"/>
      <c r="C1222" s="2"/>
      <c r="D1222" s="2"/>
      <c r="E1222" s="2"/>
      <c r="F1222" s="2"/>
      <c r="G1222" s="2"/>
      <c r="H1222" s="2"/>
      <c r="I1222" s="2"/>
      <c r="J1222" s="2"/>
      <c r="K1222" s="2"/>
      <c r="L1222" s="2"/>
      <c r="M1222" s="2"/>
    </row>
    <row r="1223" spans="1:13" x14ac:dyDescent="0.2">
      <c r="A1223" s="2"/>
      <c r="B1223" s="2"/>
      <c r="C1223" s="2"/>
      <c r="D1223" s="2"/>
      <c r="E1223" s="2"/>
      <c r="F1223" s="2"/>
      <c r="G1223" s="2"/>
      <c r="H1223" s="2"/>
      <c r="I1223" s="2"/>
      <c r="J1223" s="2"/>
      <c r="K1223" s="2"/>
      <c r="L1223" s="2"/>
      <c r="M1223" s="2"/>
    </row>
    <row r="1224" spans="1:13" x14ac:dyDescent="0.2">
      <c r="A1224" s="2"/>
      <c r="B1224" s="2"/>
      <c r="C1224" s="2"/>
      <c r="D1224" s="2"/>
      <c r="E1224" s="2"/>
      <c r="F1224" s="2"/>
      <c r="G1224" s="2"/>
      <c r="H1224" s="2"/>
      <c r="I1224" s="2"/>
      <c r="J1224" s="2"/>
      <c r="K1224" s="2"/>
      <c r="L1224" s="2"/>
      <c r="M1224" s="2"/>
    </row>
    <row r="1225" spans="1:13" x14ac:dyDescent="0.2">
      <c r="A1225" s="2"/>
      <c r="B1225" s="2"/>
      <c r="C1225" s="2"/>
      <c r="D1225" s="2"/>
      <c r="E1225" s="2"/>
      <c r="F1225" s="2"/>
      <c r="G1225" s="2"/>
      <c r="H1225" s="2"/>
      <c r="I1225" s="2"/>
      <c r="J1225" s="2"/>
      <c r="K1225" s="2"/>
      <c r="L1225" s="2"/>
      <c r="M1225" s="2"/>
    </row>
    <row r="1226" spans="1:13" x14ac:dyDescent="0.2">
      <c r="A1226" s="2"/>
      <c r="B1226" s="2"/>
      <c r="C1226" s="2"/>
      <c r="D1226" s="2"/>
      <c r="E1226" s="2"/>
      <c r="F1226" s="2"/>
      <c r="G1226" s="2"/>
      <c r="H1226" s="2"/>
      <c r="I1226" s="2"/>
      <c r="J1226" s="2"/>
      <c r="K1226" s="2"/>
      <c r="L1226" s="2"/>
      <c r="M1226" s="2"/>
    </row>
    <row r="1227" spans="1:13" x14ac:dyDescent="0.2">
      <c r="A1227" s="2"/>
      <c r="B1227" s="2"/>
      <c r="C1227" s="2"/>
      <c r="D1227" s="2"/>
      <c r="E1227" s="2"/>
      <c r="F1227" s="2"/>
      <c r="G1227" s="2"/>
      <c r="H1227" s="2"/>
      <c r="I1227" s="2"/>
      <c r="J1227" s="2"/>
      <c r="K1227" s="2"/>
      <c r="L1227" s="2"/>
      <c r="M1227" s="2"/>
    </row>
    <row r="1228" spans="1:13" x14ac:dyDescent="0.2">
      <c r="A1228" s="2"/>
      <c r="B1228" s="2"/>
      <c r="C1228" s="2"/>
      <c r="D1228" s="2"/>
      <c r="E1228" s="2"/>
      <c r="F1228" s="2"/>
      <c r="G1228" s="2"/>
      <c r="H1228" s="2"/>
      <c r="I1228" s="2"/>
      <c r="J1228" s="2"/>
      <c r="K1228" s="2"/>
      <c r="L1228" s="2"/>
      <c r="M1228" s="2"/>
    </row>
    <row r="1229" spans="1:13" x14ac:dyDescent="0.2">
      <c r="A1229" s="2"/>
      <c r="B1229" s="2"/>
      <c r="C1229" s="2"/>
      <c r="D1229" s="2"/>
      <c r="E1229" s="2"/>
      <c r="F1229" s="2"/>
      <c r="G1229" s="2"/>
      <c r="H1229" s="2"/>
      <c r="I1229" s="2"/>
      <c r="J1229" s="2"/>
      <c r="K1229" s="2"/>
      <c r="L1229" s="2"/>
      <c r="M1229" s="2"/>
    </row>
    <row r="1230" spans="1:13" x14ac:dyDescent="0.2">
      <c r="A1230" s="2"/>
      <c r="B1230" s="2"/>
      <c r="C1230" s="2"/>
      <c r="D1230" s="2"/>
      <c r="E1230" s="2"/>
      <c r="F1230" s="2"/>
      <c r="G1230" s="2"/>
      <c r="H1230" s="2"/>
      <c r="I1230" s="2"/>
      <c r="J1230" s="2"/>
      <c r="K1230" s="2"/>
      <c r="L1230" s="2"/>
      <c r="M1230" s="2"/>
    </row>
    <row r="1231" spans="1:13" x14ac:dyDescent="0.2">
      <c r="A1231" s="2"/>
      <c r="B1231" s="2"/>
      <c r="C1231" s="2"/>
      <c r="D1231" s="2"/>
      <c r="E1231" s="2"/>
      <c r="F1231" s="2"/>
      <c r="G1231" s="2"/>
      <c r="H1231" s="2"/>
      <c r="I1231" s="2"/>
      <c r="J1231" s="2"/>
      <c r="K1231" s="2"/>
      <c r="L1231" s="2"/>
      <c r="M1231" s="2"/>
    </row>
    <row r="1232" spans="1:13" x14ac:dyDescent="0.2">
      <c r="A1232" s="2"/>
      <c r="B1232" s="2"/>
      <c r="C1232" s="2"/>
      <c r="D1232" s="2"/>
      <c r="E1232" s="2"/>
      <c r="F1232" s="2"/>
      <c r="G1232" s="2"/>
      <c r="H1232" s="2"/>
      <c r="I1232" s="2"/>
      <c r="J1232" s="2"/>
      <c r="K1232" s="2"/>
      <c r="L1232" s="2"/>
      <c r="M1232" s="2"/>
    </row>
    <row r="1233" spans="1:13" x14ac:dyDescent="0.2">
      <c r="A1233" s="2"/>
      <c r="B1233" s="2"/>
      <c r="C1233" s="2"/>
      <c r="D1233" s="2"/>
      <c r="E1233" s="2"/>
      <c r="F1233" s="2"/>
      <c r="G1233" s="2"/>
      <c r="H1233" s="2"/>
      <c r="I1233" s="2"/>
      <c r="J1233" s="2"/>
      <c r="K1233" s="2"/>
      <c r="L1233" s="2"/>
      <c r="M1233" s="2"/>
    </row>
    <row r="1234" spans="1:13" x14ac:dyDescent="0.2">
      <c r="A1234" s="2"/>
      <c r="B1234" s="2"/>
      <c r="C1234" s="2"/>
      <c r="D1234" s="2"/>
      <c r="E1234" s="2"/>
      <c r="F1234" s="2"/>
      <c r="G1234" s="2"/>
      <c r="H1234" s="2"/>
      <c r="I1234" s="2"/>
      <c r="J1234" s="2"/>
      <c r="K1234" s="2"/>
      <c r="L1234" s="2"/>
      <c r="M1234" s="2"/>
    </row>
    <row r="1235" spans="1:13" x14ac:dyDescent="0.2">
      <c r="A1235" s="2"/>
      <c r="B1235" s="2"/>
      <c r="C1235" s="2"/>
      <c r="D1235" s="2"/>
      <c r="E1235" s="2"/>
      <c r="F1235" s="2"/>
      <c r="G1235" s="2"/>
      <c r="H1235" s="2"/>
      <c r="I1235" s="2"/>
      <c r="J1235" s="2"/>
      <c r="K1235" s="2"/>
      <c r="L1235" s="2"/>
      <c r="M1235" s="2"/>
    </row>
    <row r="1236" spans="1:13" x14ac:dyDescent="0.2">
      <c r="A1236" s="2"/>
      <c r="B1236" s="2"/>
      <c r="C1236" s="2"/>
      <c r="D1236" s="2"/>
      <c r="E1236" s="2"/>
      <c r="F1236" s="2"/>
      <c r="G1236" s="2"/>
      <c r="H1236" s="2"/>
      <c r="I1236" s="2"/>
      <c r="J1236" s="2"/>
      <c r="K1236" s="2"/>
      <c r="L1236" s="2"/>
      <c r="M1236" s="2"/>
    </row>
    <row r="1237" spans="1:13" x14ac:dyDescent="0.2">
      <c r="A1237" s="2"/>
      <c r="B1237" s="2"/>
      <c r="C1237" s="2"/>
      <c r="D1237" s="2"/>
      <c r="E1237" s="2"/>
      <c r="F1237" s="2"/>
      <c r="G1237" s="2"/>
      <c r="H1237" s="2"/>
      <c r="I1237" s="2"/>
      <c r="J1237" s="2"/>
      <c r="K1237" s="2"/>
      <c r="L1237" s="2"/>
      <c r="M1237" s="2"/>
    </row>
    <row r="1238" spans="1:13" x14ac:dyDescent="0.2">
      <c r="A1238" s="2"/>
      <c r="B1238" s="2"/>
      <c r="C1238" s="2"/>
      <c r="D1238" s="2"/>
      <c r="E1238" s="2"/>
      <c r="F1238" s="2"/>
      <c r="G1238" s="2"/>
      <c r="H1238" s="2"/>
      <c r="I1238" s="2"/>
      <c r="J1238" s="2"/>
      <c r="K1238" s="2"/>
      <c r="L1238" s="2"/>
      <c r="M1238" s="2"/>
    </row>
    <row r="1239" spans="1:13" x14ac:dyDescent="0.2">
      <c r="A1239" s="2"/>
      <c r="B1239" s="2"/>
      <c r="C1239" s="2"/>
      <c r="D1239" s="2"/>
      <c r="E1239" s="2"/>
      <c r="F1239" s="2"/>
      <c r="G1239" s="2"/>
      <c r="H1239" s="2"/>
      <c r="I1239" s="2"/>
      <c r="J1239" s="2"/>
      <c r="K1239" s="2"/>
      <c r="L1239" s="2"/>
      <c r="M1239" s="2"/>
    </row>
    <row r="1240" spans="1:13" x14ac:dyDescent="0.2">
      <c r="A1240" s="2"/>
      <c r="B1240" s="2"/>
      <c r="C1240" s="2"/>
      <c r="D1240" s="2"/>
      <c r="E1240" s="2"/>
      <c r="F1240" s="2"/>
      <c r="G1240" s="2"/>
      <c r="H1240" s="2"/>
      <c r="I1240" s="2"/>
      <c r="J1240" s="2"/>
      <c r="K1240" s="2"/>
      <c r="L1240" s="2"/>
      <c r="M1240" s="2"/>
    </row>
    <row r="1241" spans="1:13" x14ac:dyDescent="0.2">
      <c r="A1241" s="2"/>
      <c r="B1241" s="2"/>
      <c r="C1241" s="2"/>
      <c r="D1241" s="2"/>
      <c r="E1241" s="2"/>
      <c r="F1241" s="2"/>
      <c r="G1241" s="2"/>
      <c r="H1241" s="2"/>
      <c r="I1241" s="2"/>
      <c r="J1241" s="2"/>
      <c r="K1241" s="2"/>
      <c r="L1241" s="2"/>
      <c r="M1241" s="2"/>
    </row>
    <row r="1242" spans="1:13" x14ac:dyDescent="0.2">
      <c r="A1242" s="2"/>
      <c r="B1242" s="2"/>
      <c r="C1242" s="2"/>
      <c r="D1242" s="2"/>
      <c r="E1242" s="2"/>
      <c r="F1242" s="2"/>
      <c r="G1242" s="2"/>
      <c r="H1242" s="2"/>
      <c r="I1242" s="2"/>
      <c r="J1242" s="2"/>
      <c r="K1242" s="2"/>
      <c r="L1242" s="2"/>
      <c r="M1242" s="2"/>
    </row>
    <row r="1243" spans="1:13" x14ac:dyDescent="0.2">
      <c r="A1243" s="2"/>
      <c r="B1243" s="2"/>
      <c r="C1243" s="2"/>
      <c r="D1243" s="2"/>
      <c r="E1243" s="2"/>
      <c r="F1243" s="2"/>
      <c r="G1243" s="2"/>
      <c r="H1243" s="2"/>
      <c r="I1243" s="2"/>
      <c r="J1243" s="2"/>
      <c r="K1243" s="2"/>
      <c r="L1243" s="2"/>
      <c r="M1243" s="2"/>
    </row>
    <row r="1244" spans="1:13" x14ac:dyDescent="0.2">
      <c r="A1244" s="2"/>
      <c r="B1244" s="2"/>
      <c r="C1244" s="2"/>
      <c r="D1244" s="2"/>
      <c r="E1244" s="2"/>
      <c r="F1244" s="2"/>
      <c r="G1244" s="2"/>
      <c r="H1244" s="2"/>
      <c r="I1244" s="2"/>
      <c r="J1244" s="2"/>
      <c r="K1244" s="2"/>
      <c r="L1244" s="2"/>
      <c r="M1244" s="2"/>
    </row>
    <row r="1245" spans="1:13" x14ac:dyDescent="0.2">
      <c r="A1245" s="2"/>
      <c r="B1245" s="2"/>
      <c r="C1245" s="2"/>
      <c r="D1245" s="2"/>
      <c r="E1245" s="2"/>
      <c r="F1245" s="2"/>
      <c r="G1245" s="2"/>
      <c r="H1245" s="2"/>
      <c r="I1245" s="2"/>
      <c r="J1245" s="2"/>
      <c r="K1245" s="2"/>
      <c r="L1245" s="2"/>
      <c r="M1245" s="2"/>
    </row>
    <row r="1246" spans="1:13" x14ac:dyDescent="0.2">
      <c r="A1246" s="2"/>
      <c r="B1246" s="2"/>
      <c r="C1246" s="2"/>
      <c r="D1246" s="2"/>
      <c r="E1246" s="2"/>
      <c r="F1246" s="2"/>
      <c r="G1246" s="2"/>
      <c r="H1246" s="2"/>
      <c r="I1246" s="2"/>
      <c r="J1246" s="2"/>
      <c r="K1246" s="2"/>
      <c r="L1246" s="2"/>
      <c r="M1246" s="2"/>
    </row>
    <row r="1247" spans="1:13" x14ac:dyDescent="0.2">
      <c r="A1247" s="2"/>
      <c r="B1247" s="2"/>
      <c r="C1247" s="2"/>
      <c r="D1247" s="2"/>
      <c r="E1247" s="2"/>
      <c r="F1247" s="2"/>
      <c r="G1247" s="2"/>
      <c r="H1247" s="2"/>
      <c r="I1247" s="2"/>
      <c r="J1247" s="2"/>
      <c r="K1247" s="2"/>
      <c r="L1247" s="2"/>
      <c r="M1247" s="2"/>
    </row>
    <row r="1248" spans="1:13" x14ac:dyDescent="0.2">
      <c r="A1248" s="2"/>
      <c r="B1248" s="2"/>
      <c r="C1248" s="2"/>
      <c r="D1248" s="2"/>
      <c r="E1248" s="2"/>
      <c r="F1248" s="2"/>
      <c r="G1248" s="2"/>
      <c r="H1248" s="2"/>
      <c r="I1248" s="2"/>
      <c r="J1248" s="2"/>
      <c r="K1248" s="2"/>
      <c r="L1248" s="2"/>
      <c r="M1248" s="2"/>
    </row>
    <row r="1249" spans="1:13" x14ac:dyDescent="0.2">
      <c r="A1249" s="2"/>
      <c r="B1249" s="2"/>
      <c r="C1249" s="2"/>
      <c r="D1249" s="2"/>
      <c r="E1249" s="2"/>
      <c r="F1249" s="2"/>
      <c r="G1249" s="2"/>
      <c r="H1249" s="2"/>
      <c r="I1249" s="2"/>
      <c r="J1249" s="2"/>
      <c r="K1249" s="2"/>
      <c r="L1249" s="2"/>
      <c r="M1249" s="2"/>
    </row>
    <row r="1250" spans="1:13" x14ac:dyDescent="0.2">
      <c r="A1250" s="2"/>
      <c r="B1250" s="2"/>
      <c r="C1250" s="2"/>
      <c r="D1250" s="2"/>
      <c r="E1250" s="2"/>
      <c r="F1250" s="2"/>
      <c r="G1250" s="2"/>
      <c r="H1250" s="2"/>
      <c r="I1250" s="2"/>
      <c r="J1250" s="2"/>
      <c r="K1250" s="2"/>
      <c r="L1250" s="2"/>
      <c r="M1250" s="2"/>
    </row>
    <row r="1251" spans="1:13" x14ac:dyDescent="0.2">
      <c r="A1251" s="2"/>
      <c r="B1251" s="2"/>
      <c r="C1251" s="2"/>
      <c r="D1251" s="2"/>
      <c r="E1251" s="2"/>
      <c r="F1251" s="2"/>
      <c r="G1251" s="2"/>
      <c r="H1251" s="2"/>
      <c r="I1251" s="2"/>
      <c r="J1251" s="2"/>
      <c r="K1251" s="2"/>
      <c r="L1251" s="2"/>
      <c r="M1251" s="2"/>
    </row>
    <row r="1252" spans="1:13" x14ac:dyDescent="0.2">
      <c r="A1252" s="2"/>
      <c r="B1252" s="2"/>
      <c r="C1252" s="2"/>
      <c r="D1252" s="2"/>
      <c r="E1252" s="2"/>
      <c r="F1252" s="2"/>
      <c r="G1252" s="2"/>
      <c r="H1252" s="2"/>
      <c r="I1252" s="2"/>
      <c r="J1252" s="2"/>
      <c r="K1252" s="2"/>
      <c r="L1252" s="2"/>
      <c r="M1252" s="2"/>
    </row>
    <row r="1253" spans="1:13" x14ac:dyDescent="0.2">
      <c r="A1253" s="2"/>
      <c r="B1253" s="2"/>
      <c r="C1253" s="2"/>
      <c r="D1253" s="2"/>
      <c r="E1253" s="2"/>
      <c r="F1253" s="2"/>
      <c r="G1253" s="2"/>
      <c r="H1253" s="2"/>
      <c r="I1253" s="2"/>
      <c r="J1253" s="2"/>
      <c r="K1253" s="2"/>
      <c r="L1253" s="2"/>
      <c r="M1253" s="2"/>
    </row>
    <row r="1254" spans="1:13" x14ac:dyDescent="0.2">
      <c r="A1254" s="2"/>
      <c r="B1254" s="2"/>
      <c r="C1254" s="2"/>
      <c r="D1254" s="2"/>
      <c r="E1254" s="2"/>
      <c r="F1254" s="2"/>
      <c r="G1254" s="2"/>
      <c r="H1254" s="2"/>
      <c r="I1254" s="2"/>
      <c r="J1254" s="2"/>
      <c r="K1254" s="2"/>
      <c r="L1254" s="2"/>
      <c r="M1254" s="2"/>
    </row>
    <row r="1255" spans="1:13" x14ac:dyDescent="0.2">
      <c r="A1255" s="2"/>
      <c r="B1255" s="2"/>
      <c r="C1255" s="2"/>
      <c r="D1255" s="2"/>
      <c r="E1255" s="2"/>
      <c r="F1255" s="2"/>
      <c r="G1255" s="2"/>
      <c r="H1255" s="2"/>
      <c r="I1255" s="2"/>
      <c r="J1255" s="2"/>
      <c r="K1255" s="2"/>
      <c r="L1255" s="2"/>
      <c r="M1255" s="2"/>
    </row>
    <row r="1256" spans="1:13" x14ac:dyDescent="0.2">
      <c r="A1256" s="2"/>
      <c r="B1256" s="2"/>
      <c r="C1256" s="2"/>
      <c r="D1256" s="2"/>
      <c r="E1256" s="2"/>
      <c r="F1256" s="2"/>
      <c r="G1256" s="2"/>
      <c r="H1256" s="2"/>
      <c r="I1256" s="2"/>
      <c r="J1256" s="2"/>
      <c r="K1256" s="2"/>
      <c r="L1256" s="2"/>
      <c r="M1256" s="2"/>
    </row>
    <row r="1257" spans="1:13" x14ac:dyDescent="0.2">
      <c r="A1257" s="2"/>
      <c r="B1257" s="2"/>
      <c r="C1257" s="2"/>
      <c r="D1257" s="2"/>
      <c r="E1257" s="2"/>
      <c r="F1257" s="2"/>
      <c r="G1257" s="2"/>
      <c r="H1257" s="2"/>
      <c r="I1257" s="2"/>
      <c r="J1257" s="2"/>
      <c r="K1257" s="2"/>
      <c r="L1257" s="2"/>
      <c r="M1257" s="2"/>
    </row>
    <row r="1258" spans="1:13" x14ac:dyDescent="0.2">
      <c r="A1258" s="2"/>
      <c r="B1258" s="2"/>
      <c r="C1258" s="2"/>
      <c r="D1258" s="2"/>
      <c r="E1258" s="2"/>
      <c r="F1258" s="2"/>
      <c r="G1258" s="2"/>
      <c r="H1258" s="2"/>
      <c r="I1258" s="2"/>
      <c r="J1258" s="2"/>
      <c r="K1258" s="2"/>
      <c r="L1258" s="2"/>
      <c r="M1258" s="2"/>
    </row>
    <row r="1259" spans="1:13" x14ac:dyDescent="0.2">
      <c r="A1259" s="2"/>
      <c r="B1259" s="2"/>
      <c r="C1259" s="2"/>
      <c r="D1259" s="2"/>
      <c r="E1259" s="2"/>
      <c r="F1259" s="2"/>
      <c r="G1259" s="2"/>
      <c r="H1259" s="2"/>
      <c r="I1259" s="2"/>
      <c r="J1259" s="2"/>
      <c r="K1259" s="2"/>
      <c r="L1259" s="2"/>
      <c r="M1259" s="2"/>
    </row>
    <row r="1260" spans="1:13" x14ac:dyDescent="0.2">
      <c r="A1260" s="2"/>
      <c r="B1260" s="2"/>
      <c r="C1260" s="2"/>
      <c r="D1260" s="2"/>
      <c r="E1260" s="2"/>
      <c r="F1260" s="2"/>
      <c r="G1260" s="2"/>
      <c r="H1260" s="2"/>
      <c r="I1260" s="2"/>
      <c r="J1260" s="2"/>
      <c r="K1260" s="2"/>
      <c r="L1260" s="2"/>
      <c r="M1260" s="2"/>
    </row>
    <row r="1261" spans="1:13" x14ac:dyDescent="0.2">
      <c r="A1261" s="2"/>
      <c r="B1261" s="2"/>
      <c r="C1261" s="2"/>
      <c r="D1261" s="2"/>
      <c r="E1261" s="2"/>
      <c r="F1261" s="2"/>
      <c r="G1261" s="2"/>
      <c r="H1261" s="2"/>
      <c r="I1261" s="2"/>
      <c r="J1261" s="2"/>
      <c r="K1261" s="2"/>
      <c r="L1261" s="2"/>
      <c r="M1261" s="2"/>
    </row>
    <row r="1262" spans="1:13" x14ac:dyDescent="0.2">
      <c r="A1262" s="2"/>
      <c r="B1262" s="2"/>
      <c r="C1262" s="2"/>
      <c r="D1262" s="2"/>
      <c r="E1262" s="2"/>
      <c r="F1262" s="2"/>
      <c r="G1262" s="2"/>
      <c r="H1262" s="2"/>
      <c r="I1262" s="2"/>
      <c r="J1262" s="2"/>
      <c r="K1262" s="2"/>
      <c r="L1262" s="2"/>
      <c r="M1262" s="2"/>
    </row>
    <row r="1263" spans="1:13" x14ac:dyDescent="0.2">
      <c r="A1263" s="2"/>
      <c r="B1263" s="2"/>
      <c r="C1263" s="2"/>
      <c r="D1263" s="2"/>
      <c r="E1263" s="2"/>
      <c r="F1263" s="2"/>
      <c r="G1263" s="2"/>
      <c r="H1263" s="2"/>
      <c r="I1263" s="2"/>
      <c r="J1263" s="2"/>
      <c r="K1263" s="2"/>
      <c r="L1263" s="2"/>
      <c r="M1263" s="2"/>
    </row>
    <row r="1264" spans="1:13" x14ac:dyDescent="0.2">
      <c r="A1264" s="2"/>
      <c r="B1264" s="2"/>
      <c r="C1264" s="2"/>
      <c r="D1264" s="2"/>
      <c r="E1264" s="2"/>
      <c r="F1264" s="2"/>
      <c r="G1264" s="2"/>
      <c r="H1264" s="2"/>
      <c r="I1264" s="2"/>
      <c r="J1264" s="2"/>
      <c r="K1264" s="2"/>
      <c r="L1264" s="2"/>
      <c r="M1264" s="2"/>
    </row>
    <row r="1265" spans="1:13" x14ac:dyDescent="0.2">
      <c r="A1265" s="2"/>
      <c r="B1265" s="2"/>
      <c r="C1265" s="2"/>
      <c r="D1265" s="2"/>
      <c r="E1265" s="2"/>
      <c r="F1265" s="2"/>
      <c r="G1265" s="2"/>
      <c r="H1265" s="2"/>
      <c r="I1265" s="2"/>
      <c r="J1265" s="2"/>
      <c r="K1265" s="2"/>
      <c r="L1265" s="2"/>
      <c r="M1265" s="2"/>
    </row>
    <row r="1266" spans="1:13" x14ac:dyDescent="0.2">
      <c r="A1266" s="2"/>
      <c r="B1266" s="2"/>
      <c r="C1266" s="2"/>
      <c r="D1266" s="2"/>
      <c r="E1266" s="2"/>
      <c r="F1266" s="2"/>
      <c r="G1266" s="2"/>
      <c r="H1266" s="2"/>
      <c r="I1266" s="2"/>
      <c r="J1266" s="2"/>
      <c r="K1266" s="2"/>
      <c r="L1266" s="2"/>
      <c r="M1266" s="2"/>
    </row>
    <row r="1267" spans="1:13" x14ac:dyDescent="0.2">
      <c r="A1267" s="2"/>
      <c r="B1267" s="2"/>
      <c r="C1267" s="2"/>
      <c r="D1267" s="2"/>
      <c r="E1267" s="2"/>
      <c r="F1267" s="2"/>
      <c r="G1267" s="2"/>
      <c r="H1267" s="2"/>
      <c r="I1267" s="2"/>
      <c r="J1267" s="2"/>
      <c r="K1267" s="2"/>
      <c r="L1267" s="2"/>
      <c r="M1267" s="2"/>
    </row>
    <row r="1268" spans="1:13" x14ac:dyDescent="0.2">
      <c r="A1268" s="2"/>
      <c r="B1268" s="2"/>
      <c r="C1268" s="2"/>
      <c r="D1268" s="2"/>
      <c r="E1268" s="2"/>
      <c r="F1268" s="2"/>
      <c r="G1268" s="2"/>
      <c r="H1268" s="2"/>
      <c r="I1268" s="2"/>
      <c r="J1268" s="2"/>
      <c r="K1268" s="2"/>
      <c r="L1268" s="2"/>
      <c r="M1268" s="2"/>
    </row>
    <row r="1269" spans="1:13" x14ac:dyDescent="0.2">
      <c r="A1269" s="2"/>
      <c r="B1269" s="2"/>
      <c r="C1269" s="2"/>
      <c r="D1269" s="2"/>
      <c r="E1269" s="2"/>
      <c r="F1269" s="2"/>
      <c r="G1269" s="2"/>
      <c r="H1269" s="2"/>
      <c r="I1269" s="2"/>
      <c r="J1269" s="2"/>
      <c r="K1269" s="2"/>
      <c r="L1269" s="2"/>
      <c r="M1269" s="2"/>
    </row>
    <row r="1270" spans="1:13" x14ac:dyDescent="0.2">
      <c r="A1270" s="2"/>
      <c r="B1270" s="2"/>
      <c r="C1270" s="2"/>
      <c r="D1270" s="2"/>
      <c r="E1270" s="2"/>
      <c r="F1270" s="2"/>
      <c r="G1270" s="2"/>
      <c r="H1270" s="2"/>
      <c r="I1270" s="2"/>
      <c r="J1270" s="2"/>
      <c r="K1270" s="2"/>
      <c r="L1270" s="2"/>
      <c r="M1270" s="2"/>
    </row>
    <row r="1271" spans="1:13" x14ac:dyDescent="0.2">
      <c r="A1271" s="2"/>
      <c r="B1271" s="2"/>
      <c r="C1271" s="2"/>
      <c r="D1271" s="2"/>
      <c r="E1271" s="2"/>
      <c r="F1271" s="2"/>
      <c r="G1271" s="2"/>
      <c r="H1271" s="2"/>
      <c r="I1271" s="2"/>
      <c r="J1271" s="2"/>
      <c r="K1271" s="2"/>
      <c r="L1271" s="2"/>
      <c r="M1271" s="2"/>
    </row>
    <row r="1272" spans="1:13" x14ac:dyDescent="0.2">
      <c r="A1272" s="2"/>
      <c r="B1272" s="2"/>
      <c r="C1272" s="2"/>
      <c r="D1272" s="2"/>
      <c r="E1272" s="2"/>
      <c r="F1272" s="2"/>
      <c r="G1272" s="2"/>
      <c r="H1272" s="2"/>
      <c r="I1272" s="2"/>
      <c r="J1272" s="2"/>
      <c r="K1272" s="2"/>
      <c r="L1272" s="2"/>
      <c r="M1272" s="2"/>
    </row>
    <row r="1273" spans="1:13" x14ac:dyDescent="0.2">
      <c r="A1273" s="2"/>
      <c r="B1273" s="2"/>
      <c r="C1273" s="2"/>
      <c r="D1273" s="2"/>
      <c r="E1273" s="2"/>
      <c r="F1273" s="2"/>
      <c r="G1273" s="2"/>
      <c r="H1273" s="2"/>
      <c r="I1273" s="2"/>
      <c r="J1273" s="2"/>
      <c r="K1273" s="2"/>
      <c r="L1273" s="2"/>
      <c r="M1273" s="2"/>
    </row>
    <row r="1274" spans="1:13" x14ac:dyDescent="0.2">
      <c r="A1274" s="2"/>
      <c r="B1274" s="2"/>
      <c r="C1274" s="2"/>
      <c r="D1274" s="2"/>
      <c r="E1274" s="2"/>
      <c r="F1274" s="2"/>
      <c r="G1274" s="2"/>
      <c r="H1274" s="2"/>
      <c r="I1274" s="2"/>
      <c r="J1274" s="2"/>
      <c r="K1274" s="2"/>
      <c r="L1274" s="2"/>
      <c r="M1274" s="2"/>
    </row>
    <row r="1275" spans="1:13" x14ac:dyDescent="0.2">
      <c r="A1275" s="2"/>
      <c r="B1275" s="2"/>
      <c r="C1275" s="2"/>
      <c r="D1275" s="2"/>
      <c r="E1275" s="2"/>
      <c r="F1275" s="2"/>
      <c r="G1275" s="2"/>
      <c r="H1275" s="2"/>
      <c r="I1275" s="2"/>
      <c r="J1275" s="2"/>
      <c r="K1275" s="2"/>
      <c r="L1275" s="2"/>
      <c r="M1275" s="2"/>
    </row>
    <row r="1276" spans="1:13" x14ac:dyDescent="0.2">
      <c r="A1276" s="2"/>
      <c r="B1276" s="2"/>
      <c r="C1276" s="2"/>
      <c r="D1276" s="2"/>
      <c r="E1276" s="2"/>
      <c r="F1276" s="2"/>
      <c r="G1276" s="2"/>
      <c r="H1276" s="2"/>
      <c r="I1276" s="2"/>
      <c r="J1276" s="2"/>
      <c r="K1276" s="2"/>
      <c r="L1276" s="2"/>
      <c r="M1276" s="2"/>
    </row>
    <row r="1277" spans="1:13" x14ac:dyDescent="0.2">
      <c r="A1277" s="2"/>
      <c r="B1277" s="2"/>
      <c r="C1277" s="2"/>
      <c r="D1277" s="2"/>
      <c r="E1277" s="2"/>
      <c r="F1277" s="2"/>
      <c r="G1277" s="2"/>
      <c r="H1277" s="2"/>
      <c r="I1277" s="2"/>
      <c r="J1277" s="2"/>
      <c r="K1277" s="2"/>
      <c r="L1277" s="2"/>
      <c r="M1277" s="2"/>
    </row>
    <row r="1278" spans="1:13" x14ac:dyDescent="0.2">
      <c r="A1278" s="2"/>
      <c r="B1278" s="2"/>
      <c r="C1278" s="2"/>
      <c r="D1278" s="2"/>
      <c r="E1278" s="2"/>
      <c r="F1278" s="2"/>
      <c r="G1278" s="2"/>
      <c r="H1278" s="2"/>
      <c r="I1278" s="2"/>
      <c r="J1278" s="2"/>
      <c r="K1278" s="2"/>
      <c r="L1278" s="2"/>
      <c r="M1278" s="2"/>
    </row>
    <row r="1279" spans="1:13" x14ac:dyDescent="0.2">
      <c r="A1279" s="2"/>
      <c r="B1279" s="2"/>
      <c r="C1279" s="2"/>
      <c r="D1279" s="2"/>
      <c r="E1279" s="2"/>
      <c r="F1279" s="2"/>
      <c r="G1279" s="2"/>
      <c r="H1279" s="2"/>
      <c r="I1279" s="2"/>
      <c r="J1279" s="2"/>
      <c r="K1279" s="2"/>
      <c r="L1279" s="2"/>
      <c r="M1279" s="2"/>
    </row>
    <row r="1280" spans="1:13" x14ac:dyDescent="0.2">
      <c r="A1280" s="2"/>
      <c r="B1280" s="2"/>
      <c r="C1280" s="2"/>
      <c r="D1280" s="2"/>
      <c r="E1280" s="2"/>
      <c r="F1280" s="2"/>
      <c r="G1280" s="2"/>
      <c r="H1280" s="2"/>
      <c r="I1280" s="2"/>
      <c r="J1280" s="2"/>
      <c r="K1280" s="2"/>
      <c r="L1280" s="2"/>
      <c r="M1280" s="2"/>
    </row>
    <row r="1281" spans="1:13" x14ac:dyDescent="0.2">
      <c r="A1281" s="2"/>
      <c r="B1281" s="2"/>
      <c r="C1281" s="2"/>
      <c r="D1281" s="2"/>
      <c r="E1281" s="2"/>
      <c r="F1281" s="2"/>
      <c r="G1281" s="2"/>
      <c r="H1281" s="2"/>
      <c r="I1281" s="2"/>
      <c r="J1281" s="2"/>
      <c r="K1281" s="2"/>
      <c r="L1281" s="2"/>
      <c r="M1281" s="2"/>
    </row>
    <row r="1282" spans="1:13" x14ac:dyDescent="0.2">
      <c r="A1282" s="2"/>
      <c r="B1282" s="2"/>
      <c r="C1282" s="2"/>
      <c r="D1282" s="2"/>
      <c r="E1282" s="2"/>
      <c r="F1282" s="2"/>
      <c r="G1282" s="2"/>
      <c r="H1282" s="2"/>
      <c r="I1282" s="2"/>
      <c r="J1282" s="2"/>
      <c r="K1282" s="2"/>
      <c r="L1282" s="2"/>
      <c r="M1282" s="2"/>
    </row>
    <row r="1283" spans="1:13" x14ac:dyDescent="0.2">
      <c r="A1283" s="2"/>
      <c r="B1283" s="2"/>
      <c r="C1283" s="2"/>
      <c r="D1283" s="2"/>
      <c r="E1283" s="2"/>
      <c r="F1283" s="2"/>
      <c r="G1283" s="2"/>
      <c r="H1283" s="2"/>
      <c r="I1283" s="2"/>
      <c r="J1283" s="2"/>
      <c r="K1283" s="2"/>
      <c r="L1283" s="2"/>
      <c r="M1283" s="2"/>
    </row>
    <row r="1284" spans="1:13" x14ac:dyDescent="0.2">
      <c r="A1284" s="2"/>
      <c r="B1284" s="2"/>
      <c r="C1284" s="2"/>
      <c r="D1284" s="2"/>
      <c r="E1284" s="2"/>
      <c r="F1284" s="2"/>
      <c r="G1284" s="2"/>
      <c r="H1284" s="2"/>
      <c r="I1284" s="2"/>
      <c r="J1284" s="2"/>
      <c r="K1284" s="2"/>
      <c r="L1284" s="2"/>
      <c r="M1284" s="2"/>
    </row>
    <row r="1285" spans="1:13" x14ac:dyDescent="0.2">
      <c r="A1285" s="2"/>
      <c r="B1285" s="2"/>
      <c r="C1285" s="2"/>
      <c r="D1285" s="2"/>
      <c r="E1285" s="2"/>
      <c r="F1285" s="2"/>
      <c r="G1285" s="2"/>
      <c r="H1285" s="2"/>
      <c r="I1285" s="2"/>
      <c r="J1285" s="2"/>
      <c r="K1285" s="2"/>
      <c r="L1285" s="2"/>
      <c r="M1285" s="2"/>
    </row>
    <row r="1286" spans="1:13" x14ac:dyDescent="0.2">
      <c r="A1286" s="2"/>
      <c r="B1286" s="2"/>
      <c r="C1286" s="2"/>
      <c r="D1286" s="2"/>
      <c r="E1286" s="2"/>
      <c r="F1286" s="2"/>
      <c r="G1286" s="2"/>
      <c r="H1286" s="2"/>
      <c r="I1286" s="2"/>
      <c r="J1286" s="2"/>
      <c r="K1286" s="2"/>
      <c r="L1286" s="2"/>
      <c r="M1286" s="2"/>
    </row>
    <row r="1287" spans="1:13" x14ac:dyDescent="0.2">
      <c r="A1287" s="2"/>
      <c r="B1287" s="2"/>
      <c r="C1287" s="2"/>
      <c r="D1287" s="2"/>
      <c r="E1287" s="2"/>
      <c r="F1287" s="2"/>
      <c r="G1287" s="2"/>
      <c r="H1287" s="2"/>
      <c r="I1287" s="2"/>
      <c r="J1287" s="2"/>
      <c r="K1287" s="2"/>
      <c r="L1287" s="2"/>
      <c r="M1287" s="2"/>
    </row>
    <row r="1288" spans="1:13" x14ac:dyDescent="0.2">
      <c r="A1288" s="2"/>
      <c r="B1288" s="2"/>
      <c r="C1288" s="2"/>
      <c r="D1288" s="2"/>
      <c r="E1288" s="2"/>
      <c r="F1288" s="2"/>
      <c r="G1288" s="2"/>
      <c r="H1288" s="2"/>
      <c r="I1288" s="2"/>
      <c r="J1288" s="2"/>
      <c r="K1288" s="2"/>
      <c r="L1288" s="2"/>
      <c r="M1288" s="2"/>
    </row>
    <row r="1289" spans="1:13" x14ac:dyDescent="0.2">
      <c r="A1289" s="2"/>
      <c r="B1289" s="2"/>
      <c r="C1289" s="2"/>
      <c r="D1289" s="2"/>
      <c r="E1289" s="2"/>
      <c r="F1289" s="2"/>
      <c r="G1289" s="2"/>
      <c r="H1289" s="2"/>
      <c r="I1289" s="2"/>
      <c r="J1289" s="2"/>
      <c r="K1289" s="2"/>
      <c r="L1289" s="2"/>
      <c r="M1289" s="2"/>
    </row>
    <row r="1290" spans="1:13" x14ac:dyDescent="0.2">
      <c r="A1290" s="2"/>
      <c r="B1290" s="2"/>
      <c r="C1290" s="2"/>
      <c r="D1290" s="2"/>
      <c r="E1290" s="2"/>
      <c r="F1290" s="2"/>
      <c r="G1290" s="2"/>
      <c r="H1290" s="2"/>
      <c r="I1290" s="2"/>
      <c r="J1290" s="2"/>
      <c r="K1290" s="2"/>
      <c r="L1290" s="2"/>
      <c r="M1290" s="2"/>
    </row>
    <row r="1291" spans="1:13" x14ac:dyDescent="0.2">
      <c r="A1291" s="2"/>
      <c r="B1291" s="2"/>
      <c r="C1291" s="2"/>
      <c r="D1291" s="2"/>
      <c r="E1291" s="2"/>
      <c r="F1291" s="2"/>
      <c r="G1291" s="2"/>
      <c r="H1291" s="2"/>
      <c r="I1291" s="2"/>
      <c r="J1291" s="2"/>
      <c r="K1291" s="2"/>
      <c r="L1291" s="2"/>
      <c r="M1291" s="2"/>
    </row>
    <row r="1292" spans="1:13" x14ac:dyDescent="0.2">
      <c r="A1292" s="2"/>
      <c r="B1292" s="2"/>
      <c r="C1292" s="2"/>
      <c r="D1292" s="2"/>
      <c r="E1292" s="2"/>
      <c r="F1292" s="2"/>
      <c r="G1292" s="2"/>
      <c r="H1292" s="2"/>
      <c r="I1292" s="2"/>
      <c r="J1292" s="2"/>
      <c r="K1292" s="2"/>
      <c r="L1292" s="2"/>
      <c r="M1292" s="2"/>
    </row>
    <row r="1293" spans="1:13" x14ac:dyDescent="0.2">
      <c r="A1293" s="2"/>
      <c r="B1293" s="2"/>
      <c r="C1293" s="2"/>
      <c r="D1293" s="2"/>
      <c r="E1293" s="2"/>
      <c r="F1293" s="2"/>
      <c r="G1293" s="2"/>
      <c r="H1293" s="2"/>
      <c r="I1293" s="2"/>
      <c r="J1293" s="2"/>
      <c r="K1293" s="2"/>
      <c r="L1293" s="2"/>
      <c r="M1293" s="2"/>
    </row>
    <row r="1294" spans="1:13" x14ac:dyDescent="0.2">
      <c r="A1294" s="2"/>
      <c r="B1294" s="2"/>
      <c r="C1294" s="2"/>
      <c r="D1294" s="2"/>
      <c r="E1294" s="2"/>
      <c r="F1294" s="2"/>
      <c r="G1294" s="2"/>
      <c r="H1294" s="2"/>
      <c r="I1294" s="2"/>
      <c r="J1294" s="2"/>
      <c r="K1294" s="2"/>
      <c r="L1294" s="2"/>
      <c r="M1294" s="2"/>
    </row>
    <row r="1295" spans="1:13" x14ac:dyDescent="0.2">
      <c r="A1295" s="2"/>
      <c r="B1295" s="2"/>
      <c r="C1295" s="2"/>
      <c r="D1295" s="2"/>
      <c r="E1295" s="2"/>
      <c r="F1295" s="2"/>
      <c r="G1295" s="2"/>
      <c r="H1295" s="2"/>
      <c r="I1295" s="2"/>
      <c r="J1295" s="2"/>
      <c r="K1295" s="2"/>
      <c r="L1295" s="2"/>
      <c r="M1295" s="2"/>
    </row>
    <row r="1296" spans="1:13" x14ac:dyDescent="0.2">
      <c r="A1296" s="2"/>
      <c r="B1296" s="2"/>
      <c r="C1296" s="2"/>
      <c r="D1296" s="2"/>
      <c r="E1296" s="2"/>
      <c r="F1296" s="2"/>
      <c r="G1296" s="2"/>
      <c r="H1296" s="2"/>
      <c r="I1296" s="2"/>
      <c r="J1296" s="2"/>
      <c r="K1296" s="2"/>
      <c r="L1296" s="2"/>
      <c r="M1296" s="2"/>
    </row>
    <row r="1297" spans="1:13" x14ac:dyDescent="0.2">
      <c r="A1297" s="2"/>
      <c r="B1297" s="2"/>
      <c r="C1297" s="2"/>
      <c r="D1297" s="2"/>
      <c r="E1297" s="2"/>
      <c r="F1297" s="2"/>
      <c r="G1297" s="2"/>
      <c r="H1297" s="2"/>
      <c r="I1297" s="2"/>
      <c r="J1297" s="2"/>
      <c r="K1297" s="2"/>
      <c r="L1297" s="2"/>
      <c r="M1297" s="2"/>
    </row>
    <row r="1298" spans="1:13" x14ac:dyDescent="0.2">
      <c r="A1298" s="2"/>
      <c r="B1298" s="2"/>
      <c r="C1298" s="2"/>
      <c r="D1298" s="2"/>
      <c r="E1298" s="2"/>
      <c r="F1298" s="2"/>
      <c r="G1298" s="2"/>
      <c r="H1298" s="2"/>
      <c r="I1298" s="2"/>
      <c r="J1298" s="2"/>
      <c r="K1298" s="2"/>
      <c r="L1298" s="2"/>
      <c r="M1298" s="2"/>
    </row>
    <row r="1299" spans="1:13" x14ac:dyDescent="0.2">
      <c r="A1299" s="2"/>
      <c r="B1299" s="2"/>
      <c r="C1299" s="2"/>
      <c r="D1299" s="2"/>
      <c r="E1299" s="2"/>
      <c r="F1299" s="2"/>
      <c r="G1299" s="2"/>
      <c r="H1299" s="2"/>
      <c r="I1299" s="2"/>
      <c r="J1299" s="2"/>
      <c r="K1299" s="2"/>
      <c r="L1299" s="2"/>
      <c r="M1299" s="2"/>
    </row>
    <row r="1300" spans="1:13" x14ac:dyDescent="0.2">
      <c r="A1300" s="2"/>
      <c r="B1300" s="2"/>
      <c r="C1300" s="2"/>
      <c r="D1300" s="2"/>
      <c r="E1300" s="2"/>
      <c r="F1300" s="2"/>
      <c r="G1300" s="2"/>
      <c r="H1300" s="2"/>
      <c r="I1300" s="2"/>
      <c r="J1300" s="2"/>
      <c r="K1300" s="2"/>
      <c r="L1300" s="2"/>
      <c r="M1300" s="2"/>
    </row>
    <row r="1301" spans="1:13" x14ac:dyDescent="0.2">
      <c r="A1301" s="2"/>
      <c r="B1301" s="2"/>
      <c r="C1301" s="2"/>
      <c r="D1301" s="2"/>
      <c r="E1301" s="2"/>
      <c r="F1301" s="2"/>
      <c r="G1301" s="2"/>
      <c r="H1301" s="2"/>
      <c r="I1301" s="2"/>
      <c r="J1301" s="2"/>
      <c r="K1301" s="2"/>
      <c r="L1301" s="2"/>
      <c r="M1301" s="2"/>
    </row>
    <row r="1302" spans="1:13" x14ac:dyDescent="0.2">
      <c r="A1302" s="2"/>
      <c r="B1302" s="2"/>
      <c r="C1302" s="2"/>
      <c r="D1302" s="2"/>
      <c r="E1302" s="2"/>
      <c r="F1302" s="2"/>
      <c r="G1302" s="2"/>
      <c r="H1302" s="2"/>
      <c r="I1302" s="2"/>
      <c r="J1302" s="2"/>
      <c r="K1302" s="2"/>
      <c r="L1302" s="2"/>
      <c r="M1302" s="2"/>
    </row>
    <row r="1303" spans="1:13" x14ac:dyDescent="0.2">
      <c r="A1303" s="2"/>
      <c r="B1303" s="2"/>
      <c r="C1303" s="2"/>
      <c r="D1303" s="2"/>
      <c r="E1303" s="2"/>
      <c r="F1303" s="2"/>
      <c r="G1303" s="2"/>
      <c r="H1303" s="2"/>
      <c r="I1303" s="2"/>
      <c r="J1303" s="2"/>
      <c r="K1303" s="2"/>
      <c r="L1303" s="2"/>
      <c r="M1303" s="2"/>
    </row>
    <row r="1304" spans="1:13" x14ac:dyDescent="0.2">
      <c r="A1304" s="2"/>
      <c r="B1304" s="2"/>
      <c r="C1304" s="2"/>
      <c r="D1304" s="2"/>
      <c r="E1304" s="2"/>
      <c r="F1304" s="2"/>
      <c r="G1304" s="2"/>
      <c r="H1304" s="2"/>
      <c r="I1304" s="2"/>
      <c r="J1304" s="2"/>
      <c r="K1304" s="2"/>
      <c r="L1304" s="2"/>
      <c r="M1304" s="2"/>
    </row>
    <row r="1305" spans="1:13" x14ac:dyDescent="0.2">
      <c r="A1305" s="2"/>
      <c r="B1305" s="2"/>
      <c r="C1305" s="2"/>
      <c r="D1305" s="2"/>
      <c r="E1305" s="2"/>
      <c r="F1305" s="2"/>
      <c r="G1305" s="2"/>
      <c r="H1305" s="2"/>
      <c r="I1305" s="2"/>
      <c r="J1305" s="2"/>
      <c r="K1305" s="2"/>
      <c r="L1305" s="2"/>
      <c r="M1305" s="2"/>
    </row>
    <row r="1306" spans="1:13" x14ac:dyDescent="0.2">
      <c r="A1306" s="2"/>
      <c r="B1306" s="2"/>
      <c r="C1306" s="2"/>
      <c r="D1306" s="2"/>
      <c r="E1306" s="2"/>
      <c r="F1306" s="2"/>
      <c r="G1306" s="2"/>
      <c r="H1306" s="2"/>
      <c r="I1306" s="2"/>
      <c r="J1306" s="2"/>
      <c r="K1306" s="2"/>
      <c r="L1306" s="2"/>
      <c r="M1306" s="2"/>
    </row>
    <row r="1307" spans="1:13" x14ac:dyDescent="0.2">
      <c r="A1307" s="2"/>
      <c r="B1307" s="2"/>
      <c r="C1307" s="2"/>
      <c r="D1307" s="2"/>
      <c r="E1307" s="2"/>
      <c r="F1307" s="2"/>
      <c r="G1307" s="2"/>
      <c r="H1307" s="2"/>
      <c r="I1307" s="2"/>
      <c r="J1307" s="2"/>
      <c r="K1307" s="2"/>
      <c r="L1307" s="2"/>
      <c r="M1307" s="2"/>
    </row>
    <row r="1308" spans="1:13" x14ac:dyDescent="0.2">
      <c r="A1308" s="2"/>
      <c r="B1308" s="2"/>
      <c r="C1308" s="2"/>
      <c r="D1308" s="2"/>
      <c r="E1308" s="2"/>
      <c r="F1308" s="2"/>
      <c r="G1308" s="2"/>
      <c r="H1308" s="2"/>
      <c r="I1308" s="2"/>
      <c r="J1308" s="2"/>
      <c r="K1308" s="2"/>
      <c r="L1308" s="2"/>
      <c r="M1308" s="2"/>
    </row>
    <row r="1309" spans="1:13" x14ac:dyDescent="0.2">
      <c r="A1309" s="2"/>
      <c r="B1309" s="2"/>
      <c r="C1309" s="2"/>
      <c r="D1309" s="2"/>
      <c r="E1309" s="2"/>
      <c r="F1309" s="2"/>
      <c r="G1309" s="2"/>
      <c r="H1309" s="2"/>
      <c r="I1309" s="2"/>
      <c r="J1309" s="2"/>
      <c r="K1309" s="2"/>
      <c r="L1309" s="2"/>
      <c r="M1309" s="2"/>
    </row>
    <row r="1310" spans="1:13" x14ac:dyDescent="0.2">
      <c r="A1310" s="2"/>
      <c r="B1310" s="2"/>
      <c r="C1310" s="2"/>
      <c r="D1310" s="2"/>
      <c r="E1310" s="2"/>
      <c r="F1310" s="2"/>
      <c r="G1310" s="2"/>
      <c r="H1310" s="2"/>
      <c r="I1310" s="2"/>
      <c r="J1310" s="2"/>
      <c r="K1310" s="2"/>
      <c r="L1310" s="2"/>
      <c r="M1310" s="2"/>
    </row>
    <row r="1311" spans="1:13" x14ac:dyDescent="0.2">
      <c r="A1311" s="2"/>
      <c r="B1311" s="2"/>
      <c r="C1311" s="2"/>
      <c r="D1311" s="2"/>
      <c r="E1311" s="2"/>
      <c r="F1311" s="2"/>
      <c r="G1311" s="2"/>
      <c r="H1311" s="2"/>
      <c r="I1311" s="2"/>
      <c r="J1311" s="2"/>
      <c r="K1311" s="2"/>
      <c r="L1311" s="2"/>
      <c r="M1311" s="2"/>
    </row>
    <row r="1312" spans="1:13" x14ac:dyDescent="0.2">
      <c r="A1312" s="2"/>
      <c r="B1312" s="2"/>
      <c r="C1312" s="2"/>
      <c r="D1312" s="2"/>
      <c r="E1312" s="2"/>
      <c r="F1312" s="2"/>
      <c r="G1312" s="2"/>
      <c r="H1312" s="2"/>
      <c r="I1312" s="2"/>
      <c r="J1312" s="2"/>
      <c r="K1312" s="2"/>
      <c r="L1312" s="2"/>
      <c r="M1312" s="2"/>
    </row>
    <row r="1313" spans="1:13" x14ac:dyDescent="0.2">
      <c r="A1313" s="2"/>
      <c r="B1313" s="2"/>
      <c r="C1313" s="2"/>
      <c r="D1313" s="2"/>
      <c r="E1313" s="2"/>
      <c r="F1313" s="2"/>
      <c r="G1313" s="2"/>
      <c r="H1313" s="2"/>
      <c r="I1313" s="2"/>
      <c r="J1313" s="2"/>
      <c r="K1313" s="2"/>
      <c r="L1313" s="2"/>
      <c r="M1313" s="2"/>
    </row>
    <row r="1314" spans="1:13" x14ac:dyDescent="0.2">
      <c r="A1314" s="2"/>
      <c r="B1314" s="2"/>
      <c r="C1314" s="2"/>
      <c r="D1314" s="2"/>
      <c r="E1314" s="2"/>
      <c r="F1314" s="2"/>
      <c r="G1314" s="2"/>
      <c r="H1314" s="2"/>
      <c r="I1314" s="2"/>
      <c r="J1314" s="2"/>
      <c r="K1314" s="2"/>
      <c r="L1314" s="2"/>
      <c r="M1314" s="2"/>
    </row>
    <row r="1315" spans="1:13" x14ac:dyDescent="0.2">
      <c r="A1315" s="2"/>
      <c r="B1315" s="2"/>
      <c r="C1315" s="2"/>
      <c r="D1315" s="2"/>
      <c r="E1315" s="2"/>
      <c r="F1315" s="2"/>
      <c r="G1315" s="2"/>
      <c r="H1315" s="2"/>
      <c r="I1315" s="2"/>
      <c r="J1315" s="2"/>
      <c r="K1315" s="2"/>
      <c r="L1315" s="2"/>
      <c r="M1315" s="2"/>
    </row>
    <row r="1316" spans="1:13" x14ac:dyDescent="0.2">
      <c r="A1316" s="2"/>
      <c r="B1316" s="2"/>
      <c r="C1316" s="2"/>
      <c r="D1316" s="2"/>
      <c r="E1316" s="2"/>
      <c r="F1316" s="2"/>
      <c r="G1316" s="2"/>
      <c r="H1316" s="2"/>
      <c r="I1316" s="2"/>
      <c r="J1316" s="2"/>
      <c r="K1316" s="2"/>
      <c r="L1316" s="2"/>
      <c r="M1316" s="2"/>
    </row>
    <row r="1317" spans="1:13" x14ac:dyDescent="0.2">
      <c r="A1317" s="2"/>
      <c r="B1317" s="2"/>
      <c r="C1317" s="2"/>
      <c r="D1317" s="2"/>
      <c r="E1317" s="2"/>
      <c r="F1317" s="2"/>
      <c r="G1317" s="2"/>
      <c r="H1317" s="2"/>
      <c r="I1317" s="2"/>
      <c r="J1317" s="2"/>
      <c r="K1317" s="2"/>
      <c r="L1317" s="2"/>
      <c r="M1317" s="2"/>
    </row>
    <row r="1318" spans="1:13" x14ac:dyDescent="0.2">
      <c r="A1318" s="2"/>
      <c r="B1318" s="2"/>
      <c r="C1318" s="2"/>
      <c r="D1318" s="2"/>
      <c r="E1318" s="2"/>
      <c r="F1318" s="2"/>
      <c r="G1318" s="2"/>
      <c r="H1318" s="2"/>
      <c r="I1318" s="2"/>
      <c r="J1318" s="2"/>
      <c r="K1318" s="2"/>
      <c r="L1318" s="2"/>
      <c r="M1318" s="2"/>
    </row>
    <row r="1319" spans="1:13" x14ac:dyDescent="0.2">
      <c r="A1319" s="2"/>
      <c r="B1319" s="2"/>
      <c r="C1319" s="2"/>
      <c r="D1319" s="2"/>
      <c r="E1319" s="2"/>
      <c r="F1319" s="2"/>
      <c r="G1319" s="2"/>
      <c r="H1319" s="2"/>
      <c r="I1319" s="2"/>
      <c r="J1319" s="2"/>
      <c r="K1319" s="2"/>
      <c r="L1319" s="2"/>
      <c r="M1319" s="2"/>
    </row>
    <row r="1320" spans="1:13" x14ac:dyDescent="0.2">
      <c r="A1320" s="2"/>
      <c r="B1320" s="2"/>
      <c r="C1320" s="2"/>
      <c r="D1320" s="2"/>
      <c r="E1320" s="2"/>
      <c r="F1320" s="2"/>
      <c r="G1320" s="2"/>
      <c r="H1320" s="2"/>
      <c r="I1320" s="2"/>
      <c r="J1320" s="2"/>
      <c r="K1320" s="2"/>
      <c r="L1320" s="2"/>
      <c r="M1320" s="2"/>
    </row>
    <row r="1321" spans="1:13" x14ac:dyDescent="0.2">
      <c r="A1321" s="2"/>
      <c r="B1321" s="2"/>
      <c r="C1321" s="2"/>
      <c r="D1321" s="2"/>
      <c r="E1321" s="2"/>
      <c r="F1321" s="2"/>
      <c r="G1321" s="2"/>
      <c r="H1321" s="2"/>
      <c r="I1321" s="2"/>
      <c r="J1321" s="2"/>
      <c r="K1321" s="2"/>
      <c r="L1321" s="2"/>
      <c r="M1321" s="2"/>
    </row>
    <row r="1322" spans="1:13" x14ac:dyDescent="0.2">
      <c r="A1322" s="2"/>
      <c r="B1322" s="2"/>
      <c r="C1322" s="2"/>
      <c r="D1322" s="2"/>
      <c r="E1322" s="2"/>
      <c r="F1322" s="2"/>
      <c r="G1322" s="2"/>
      <c r="H1322" s="2"/>
      <c r="I1322" s="2"/>
      <c r="J1322" s="2"/>
      <c r="K1322" s="2"/>
      <c r="L1322" s="2"/>
      <c r="M1322" s="2"/>
    </row>
    <row r="1323" spans="1:13" x14ac:dyDescent="0.2">
      <c r="A1323" s="2"/>
      <c r="B1323" s="2"/>
      <c r="C1323" s="2"/>
      <c r="D1323" s="2"/>
      <c r="E1323" s="2"/>
      <c r="F1323" s="2"/>
      <c r="G1323" s="2"/>
      <c r="H1323" s="2"/>
      <c r="I1323" s="2"/>
      <c r="J1323" s="2"/>
      <c r="K1323" s="2"/>
      <c r="L1323" s="2"/>
      <c r="M1323" s="2"/>
    </row>
    <row r="1324" spans="1:13" x14ac:dyDescent="0.2">
      <c r="A1324" s="2"/>
      <c r="B1324" s="2"/>
      <c r="C1324" s="2"/>
      <c r="D1324" s="2"/>
      <c r="E1324" s="2"/>
      <c r="F1324" s="2"/>
      <c r="G1324" s="2"/>
      <c r="H1324" s="2"/>
      <c r="I1324" s="2"/>
      <c r="J1324" s="2"/>
      <c r="K1324" s="2"/>
      <c r="L1324" s="2"/>
      <c r="M1324" s="2"/>
    </row>
    <row r="1325" spans="1:13" x14ac:dyDescent="0.2">
      <c r="A1325" s="2"/>
      <c r="B1325" s="2"/>
      <c r="C1325" s="2"/>
      <c r="D1325" s="2"/>
      <c r="E1325" s="2"/>
      <c r="F1325" s="2"/>
      <c r="G1325" s="2"/>
      <c r="H1325" s="2"/>
      <c r="I1325" s="2"/>
      <c r="J1325" s="2"/>
      <c r="K1325" s="2"/>
      <c r="L1325" s="2"/>
      <c r="M1325" s="2"/>
    </row>
    <row r="1326" spans="1:13" x14ac:dyDescent="0.2">
      <c r="A1326" s="2"/>
      <c r="B1326" s="2"/>
      <c r="C1326" s="2"/>
      <c r="D1326" s="2"/>
      <c r="E1326" s="2"/>
      <c r="F1326" s="2"/>
      <c r="G1326" s="2"/>
      <c r="H1326" s="2"/>
      <c r="I1326" s="2"/>
      <c r="J1326" s="2"/>
      <c r="K1326" s="2"/>
      <c r="L1326" s="2"/>
      <c r="M1326" s="2"/>
    </row>
    <row r="1327" spans="1:13" x14ac:dyDescent="0.2">
      <c r="A1327" s="2"/>
      <c r="B1327" s="2"/>
      <c r="C1327" s="2"/>
      <c r="D1327" s="2"/>
      <c r="E1327" s="2"/>
      <c r="F1327" s="2"/>
      <c r="G1327" s="2"/>
      <c r="H1327" s="2"/>
      <c r="I1327" s="2"/>
      <c r="J1327" s="2"/>
      <c r="K1327" s="2"/>
      <c r="L1327" s="2"/>
      <c r="M1327" s="2"/>
    </row>
    <row r="1328" spans="1:13" x14ac:dyDescent="0.2">
      <c r="A1328" s="2"/>
      <c r="B1328" s="2"/>
      <c r="C1328" s="2"/>
      <c r="D1328" s="2"/>
      <c r="E1328" s="2"/>
      <c r="F1328" s="2"/>
      <c r="G1328" s="2"/>
      <c r="H1328" s="2"/>
      <c r="I1328" s="2"/>
      <c r="J1328" s="2"/>
      <c r="K1328" s="2"/>
      <c r="L1328" s="2"/>
      <c r="M1328" s="2"/>
    </row>
    <row r="1329" spans="1:13" x14ac:dyDescent="0.2">
      <c r="A1329" s="2"/>
      <c r="B1329" s="2"/>
      <c r="C1329" s="2"/>
      <c r="D1329" s="2"/>
      <c r="E1329" s="2"/>
      <c r="F1329" s="2"/>
      <c r="G1329" s="2"/>
      <c r="H1329" s="2"/>
      <c r="I1329" s="2"/>
      <c r="J1329" s="2"/>
      <c r="K1329" s="2"/>
      <c r="L1329" s="2"/>
      <c r="M1329" s="2"/>
    </row>
    <row r="1330" spans="1:13" x14ac:dyDescent="0.2">
      <c r="A1330" s="2"/>
      <c r="B1330" s="2"/>
      <c r="C1330" s="2"/>
      <c r="D1330" s="2"/>
      <c r="E1330" s="2"/>
      <c r="F1330" s="2"/>
      <c r="G1330" s="2"/>
      <c r="H1330" s="2"/>
      <c r="I1330" s="2"/>
      <c r="J1330" s="2"/>
      <c r="K1330" s="2"/>
      <c r="L1330" s="2"/>
      <c r="M1330" s="2"/>
    </row>
    <row r="1331" spans="1:13" x14ac:dyDescent="0.2">
      <c r="A1331" s="2"/>
      <c r="B1331" s="2"/>
      <c r="C1331" s="2"/>
      <c r="D1331" s="2"/>
      <c r="E1331" s="2"/>
      <c r="F1331" s="2"/>
      <c r="G1331" s="2"/>
      <c r="H1331" s="2"/>
      <c r="I1331" s="2"/>
      <c r="J1331" s="2"/>
      <c r="K1331" s="2"/>
      <c r="L1331" s="2"/>
      <c r="M1331" s="2"/>
    </row>
    <row r="1332" spans="1:13" x14ac:dyDescent="0.2">
      <c r="A1332" s="2"/>
      <c r="B1332" s="2"/>
      <c r="C1332" s="2"/>
      <c r="D1332" s="2"/>
      <c r="E1332" s="2"/>
      <c r="F1332" s="2"/>
      <c r="G1332" s="2"/>
      <c r="H1332" s="2"/>
      <c r="I1332" s="2"/>
      <c r="J1332" s="2"/>
      <c r="K1332" s="2"/>
      <c r="L1332" s="2"/>
      <c r="M1332" s="2"/>
    </row>
    <row r="1333" spans="1:13" x14ac:dyDescent="0.2">
      <c r="A1333" s="2"/>
      <c r="B1333" s="2"/>
      <c r="C1333" s="2"/>
      <c r="D1333" s="2"/>
      <c r="E1333" s="2"/>
      <c r="F1333" s="2"/>
      <c r="G1333" s="2"/>
      <c r="H1333" s="2"/>
      <c r="I1333" s="2"/>
      <c r="J1333" s="2"/>
      <c r="K1333" s="2"/>
      <c r="L1333" s="2"/>
      <c r="M1333" s="2"/>
    </row>
    <row r="1334" spans="1:13" x14ac:dyDescent="0.2">
      <c r="A1334" s="2"/>
      <c r="B1334" s="2"/>
      <c r="C1334" s="2"/>
      <c r="D1334" s="2"/>
      <c r="E1334" s="2"/>
      <c r="F1334" s="2"/>
      <c r="G1334" s="2"/>
      <c r="H1334" s="2"/>
      <c r="I1334" s="2"/>
      <c r="J1334" s="2"/>
      <c r="K1334" s="2"/>
      <c r="L1334" s="2"/>
      <c r="M1334" s="2"/>
    </row>
    <row r="1335" spans="1:13" x14ac:dyDescent="0.2">
      <c r="A1335" s="2"/>
      <c r="B1335" s="2"/>
      <c r="C1335" s="2"/>
      <c r="D1335" s="2"/>
      <c r="E1335" s="2"/>
      <c r="F1335" s="2"/>
      <c r="G1335" s="2"/>
      <c r="H1335" s="2"/>
      <c r="I1335" s="2"/>
      <c r="J1335" s="2"/>
      <c r="K1335" s="2"/>
      <c r="L1335" s="2"/>
      <c r="M1335" s="2"/>
    </row>
    <row r="1336" spans="1:13" x14ac:dyDescent="0.2">
      <c r="A1336" s="2"/>
      <c r="B1336" s="2"/>
      <c r="C1336" s="2"/>
      <c r="D1336" s="2"/>
      <c r="E1336" s="2"/>
      <c r="F1336" s="2"/>
      <c r="G1336" s="2"/>
      <c r="H1336" s="2"/>
      <c r="I1336" s="2"/>
      <c r="J1336" s="2"/>
      <c r="K1336" s="2"/>
      <c r="L1336" s="2"/>
      <c r="M1336" s="2"/>
    </row>
    <row r="1337" spans="1:13" x14ac:dyDescent="0.2">
      <c r="A1337" s="2"/>
      <c r="B1337" s="2"/>
      <c r="C1337" s="2"/>
      <c r="D1337" s="2"/>
      <c r="E1337" s="2"/>
      <c r="F1337" s="2"/>
      <c r="G1337" s="2"/>
      <c r="H1337" s="2"/>
      <c r="I1337" s="2"/>
      <c r="J1337" s="2"/>
      <c r="K1337" s="2"/>
      <c r="L1337" s="2"/>
      <c r="M1337" s="2"/>
    </row>
    <row r="1338" spans="1:13" x14ac:dyDescent="0.2">
      <c r="A1338" s="2"/>
      <c r="B1338" s="2"/>
      <c r="C1338" s="2"/>
      <c r="D1338" s="2"/>
      <c r="E1338" s="2"/>
      <c r="F1338" s="2"/>
      <c r="G1338" s="2"/>
      <c r="H1338" s="2"/>
      <c r="I1338" s="2"/>
      <c r="J1338" s="2"/>
      <c r="K1338" s="2"/>
      <c r="L1338" s="2"/>
      <c r="M1338" s="2"/>
    </row>
    <row r="1339" spans="1:13" x14ac:dyDescent="0.2">
      <c r="A1339" s="2"/>
      <c r="B1339" s="2"/>
      <c r="C1339" s="2"/>
      <c r="D1339" s="2"/>
      <c r="E1339" s="2"/>
      <c r="F1339" s="2"/>
      <c r="G1339" s="2"/>
      <c r="H1339" s="2"/>
      <c r="I1339" s="2"/>
      <c r="J1339" s="2"/>
      <c r="K1339" s="2"/>
      <c r="L1339" s="2"/>
      <c r="M1339" s="2"/>
    </row>
    <row r="1340" spans="1:13" x14ac:dyDescent="0.2">
      <c r="A1340" s="2"/>
      <c r="B1340" s="2"/>
      <c r="C1340" s="2"/>
      <c r="D1340" s="2"/>
      <c r="E1340" s="2"/>
      <c r="F1340" s="2"/>
      <c r="G1340" s="2"/>
      <c r="H1340" s="2"/>
      <c r="I1340" s="2"/>
      <c r="J1340" s="2"/>
      <c r="K1340" s="2"/>
      <c r="L1340" s="2"/>
      <c r="M1340" s="2"/>
    </row>
    <row r="1341" spans="1:13" x14ac:dyDescent="0.2">
      <c r="A1341" s="2"/>
      <c r="B1341" s="2"/>
      <c r="C1341" s="2"/>
      <c r="D1341" s="2"/>
      <c r="E1341" s="2"/>
      <c r="F1341" s="2"/>
      <c r="G1341" s="2"/>
      <c r="H1341" s="2"/>
      <c r="I1341" s="2"/>
      <c r="J1341" s="2"/>
      <c r="K1341" s="2"/>
      <c r="L1341" s="2"/>
      <c r="M1341" s="2"/>
    </row>
    <row r="1342" spans="1:13" x14ac:dyDescent="0.2">
      <c r="A1342" s="2"/>
      <c r="B1342" s="2"/>
      <c r="C1342" s="2"/>
      <c r="D1342" s="2"/>
      <c r="E1342" s="2"/>
      <c r="F1342" s="2"/>
      <c r="G1342" s="2"/>
      <c r="H1342" s="2"/>
      <c r="I1342" s="2"/>
      <c r="J1342" s="2"/>
      <c r="K1342" s="2"/>
      <c r="L1342" s="2"/>
      <c r="M1342" s="2"/>
    </row>
    <row r="1343" spans="1:13" x14ac:dyDescent="0.2">
      <c r="A1343" s="2"/>
      <c r="B1343" s="2"/>
      <c r="C1343" s="2"/>
      <c r="D1343" s="2"/>
      <c r="E1343" s="2"/>
      <c r="F1343" s="2"/>
      <c r="G1343" s="2"/>
      <c r="H1343" s="2"/>
      <c r="I1343" s="2"/>
      <c r="J1343" s="2"/>
      <c r="K1343" s="2"/>
      <c r="L1343" s="2"/>
      <c r="M1343" s="2"/>
    </row>
    <row r="1344" spans="1:13" x14ac:dyDescent="0.2">
      <c r="A1344" s="2"/>
      <c r="B1344" s="2"/>
      <c r="C1344" s="2"/>
      <c r="D1344" s="2"/>
      <c r="E1344" s="2"/>
      <c r="F1344" s="2"/>
      <c r="G1344" s="2"/>
      <c r="H1344" s="2"/>
      <c r="I1344" s="2"/>
      <c r="J1344" s="2"/>
      <c r="K1344" s="2"/>
      <c r="L1344" s="2"/>
      <c r="M1344" s="2"/>
    </row>
    <row r="1345" spans="1:13" x14ac:dyDescent="0.2">
      <c r="A1345" s="2"/>
      <c r="B1345" s="2"/>
      <c r="C1345" s="2"/>
      <c r="D1345" s="2"/>
      <c r="E1345" s="2"/>
      <c r="F1345" s="2"/>
      <c r="G1345" s="2"/>
      <c r="H1345" s="2"/>
      <c r="I1345" s="2"/>
      <c r="J1345" s="2"/>
      <c r="K1345" s="2"/>
      <c r="L1345" s="2"/>
      <c r="M1345" s="2"/>
    </row>
    <row r="1346" spans="1:13" x14ac:dyDescent="0.2">
      <c r="A1346" s="2"/>
      <c r="B1346" s="2"/>
      <c r="C1346" s="2"/>
      <c r="D1346" s="2"/>
      <c r="E1346" s="2"/>
      <c r="F1346" s="2"/>
      <c r="G1346" s="2"/>
      <c r="H1346" s="2"/>
      <c r="I1346" s="2"/>
      <c r="J1346" s="2"/>
      <c r="K1346" s="2"/>
      <c r="L1346" s="2"/>
      <c r="M1346" s="2"/>
    </row>
    <row r="1347" spans="1:13" x14ac:dyDescent="0.2">
      <c r="A1347" s="2"/>
      <c r="B1347" s="2"/>
      <c r="C1347" s="2"/>
      <c r="D1347" s="2"/>
      <c r="E1347" s="2"/>
      <c r="F1347" s="2"/>
      <c r="G1347" s="2"/>
      <c r="H1347" s="2"/>
      <c r="I1347" s="2"/>
      <c r="J1347" s="2"/>
      <c r="K1347" s="2"/>
      <c r="L1347" s="2"/>
      <c r="M1347" s="2"/>
    </row>
    <row r="1348" spans="1:13" x14ac:dyDescent="0.2">
      <c r="A1348" s="2"/>
      <c r="B1348" s="2"/>
      <c r="C1348" s="2"/>
      <c r="D1348" s="2"/>
      <c r="E1348" s="2"/>
      <c r="F1348" s="2"/>
      <c r="G1348" s="2"/>
      <c r="H1348" s="2"/>
      <c r="I1348" s="2"/>
      <c r="J1348" s="2"/>
      <c r="K1348" s="2"/>
      <c r="L1348" s="2"/>
      <c r="M1348" s="2"/>
    </row>
    <row r="1349" spans="1:13" x14ac:dyDescent="0.2">
      <c r="A1349" s="2"/>
      <c r="B1349" s="2"/>
      <c r="C1349" s="2"/>
      <c r="D1349" s="2"/>
      <c r="E1349" s="2"/>
      <c r="F1349" s="2"/>
      <c r="G1349" s="2"/>
      <c r="H1349" s="2"/>
      <c r="I1349" s="2"/>
      <c r="J1349" s="2"/>
      <c r="K1349" s="2"/>
      <c r="L1349" s="2"/>
      <c r="M1349" s="2"/>
    </row>
    <row r="1350" spans="1:13" x14ac:dyDescent="0.2">
      <c r="A1350" s="2"/>
      <c r="B1350" s="2"/>
      <c r="C1350" s="2"/>
      <c r="D1350" s="2"/>
      <c r="E1350" s="2"/>
      <c r="F1350" s="2"/>
      <c r="G1350" s="2"/>
      <c r="H1350" s="2"/>
      <c r="I1350" s="2"/>
      <c r="J1350" s="2"/>
      <c r="K1350" s="2"/>
      <c r="L1350" s="2"/>
      <c r="M1350" s="2"/>
    </row>
    <row r="1351" spans="1:13" x14ac:dyDescent="0.2">
      <c r="A1351" s="2"/>
      <c r="B1351" s="2"/>
      <c r="C1351" s="2"/>
      <c r="D1351" s="2"/>
      <c r="E1351" s="2"/>
      <c r="F1351" s="2"/>
      <c r="G1351" s="2"/>
      <c r="H1351" s="2"/>
      <c r="I1351" s="2"/>
      <c r="J1351" s="2"/>
      <c r="K1351" s="2"/>
      <c r="L1351" s="2"/>
      <c r="M1351" s="2"/>
    </row>
    <row r="1352" spans="1:13" x14ac:dyDescent="0.2">
      <c r="A1352" s="2"/>
      <c r="B1352" s="2"/>
      <c r="C1352" s="2"/>
      <c r="D1352" s="2"/>
      <c r="E1352" s="2"/>
      <c r="F1352" s="2"/>
      <c r="G1352" s="2"/>
      <c r="H1352" s="2"/>
      <c r="I1352" s="2"/>
      <c r="J1352" s="2"/>
      <c r="K1352" s="2"/>
      <c r="L1352" s="2"/>
      <c r="M1352" s="2"/>
    </row>
    <row r="1353" spans="1:13" x14ac:dyDescent="0.2">
      <c r="A1353" s="2"/>
      <c r="B1353" s="2"/>
      <c r="C1353" s="2"/>
      <c r="D1353" s="2"/>
      <c r="E1353" s="2"/>
      <c r="F1353" s="2"/>
      <c r="G1353" s="2"/>
      <c r="H1353" s="2"/>
      <c r="I1353" s="2"/>
      <c r="J1353" s="2"/>
      <c r="K1353" s="2"/>
      <c r="L1353" s="2"/>
      <c r="M1353" s="2"/>
    </row>
    <row r="1354" spans="1:13" x14ac:dyDescent="0.2">
      <c r="A1354" s="2"/>
      <c r="B1354" s="2"/>
      <c r="C1354" s="2"/>
      <c r="D1354" s="2"/>
      <c r="E1354" s="2"/>
      <c r="F1354" s="2"/>
      <c r="G1354" s="2"/>
      <c r="H1354" s="2"/>
      <c r="I1354" s="2"/>
      <c r="J1354" s="2"/>
      <c r="K1354" s="2"/>
      <c r="L1354" s="2"/>
      <c r="M1354" s="2"/>
    </row>
    <row r="1355" spans="1:13" x14ac:dyDescent="0.2">
      <c r="A1355" s="2"/>
      <c r="B1355" s="2"/>
      <c r="C1355" s="2"/>
      <c r="D1355" s="2"/>
      <c r="E1355" s="2"/>
      <c r="F1355" s="2"/>
      <c r="G1355" s="2"/>
      <c r="H1355" s="2"/>
      <c r="I1355" s="2"/>
      <c r="J1355" s="2"/>
      <c r="K1355" s="2"/>
      <c r="L1355" s="2"/>
      <c r="M1355" s="2"/>
    </row>
    <row r="1356" spans="1:13" x14ac:dyDescent="0.2">
      <c r="A1356" s="2"/>
      <c r="B1356" s="2"/>
      <c r="C1356" s="2"/>
      <c r="D1356" s="2"/>
      <c r="E1356" s="2"/>
      <c r="F1356" s="2"/>
      <c r="G1356" s="2"/>
      <c r="H1356" s="2"/>
      <c r="I1356" s="2"/>
      <c r="J1356" s="2"/>
      <c r="K1356" s="2"/>
      <c r="L1356" s="2"/>
      <c r="M1356" s="2"/>
    </row>
    <row r="1357" spans="1:13" x14ac:dyDescent="0.2">
      <c r="A1357" s="2"/>
      <c r="B1357" s="2"/>
      <c r="C1357" s="2"/>
      <c r="D1357" s="2"/>
      <c r="E1357" s="2"/>
      <c r="F1357" s="2"/>
      <c r="G1357" s="2"/>
      <c r="H1357" s="2"/>
      <c r="I1357" s="2"/>
      <c r="J1357" s="2"/>
      <c r="K1357" s="2"/>
      <c r="L1357" s="2"/>
      <c r="M1357" s="2"/>
    </row>
    <row r="1358" spans="1:13" x14ac:dyDescent="0.2">
      <c r="A1358" s="2"/>
      <c r="B1358" s="2"/>
      <c r="C1358" s="2"/>
      <c r="D1358" s="2"/>
      <c r="E1358" s="2"/>
      <c r="F1358" s="2"/>
      <c r="G1358" s="2"/>
      <c r="H1358" s="2"/>
      <c r="I1358" s="2"/>
      <c r="J1358" s="2"/>
      <c r="K1358" s="2"/>
      <c r="L1358" s="2"/>
      <c r="M1358" s="2"/>
    </row>
    <row r="1359" spans="1:13" x14ac:dyDescent="0.2">
      <c r="A1359" s="2"/>
      <c r="B1359" s="2"/>
      <c r="C1359" s="2"/>
      <c r="D1359" s="2"/>
      <c r="E1359" s="2"/>
      <c r="F1359" s="2"/>
      <c r="G1359" s="2"/>
      <c r="H1359" s="2"/>
      <c r="I1359" s="2"/>
      <c r="J1359" s="2"/>
      <c r="K1359" s="2"/>
      <c r="L1359" s="2"/>
      <c r="M1359" s="2"/>
    </row>
    <row r="1360" spans="1:13" x14ac:dyDescent="0.2">
      <c r="A1360" s="2"/>
      <c r="B1360" s="2"/>
      <c r="C1360" s="2"/>
      <c r="D1360" s="2"/>
      <c r="E1360" s="2"/>
      <c r="F1360" s="2"/>
      <c r="G1360" s="2"/>
      <c r="H1360" s="2"/>
      <c r="I1360" s="2"/>
      <c r="J1360" s="2"/>
      <c r="K1360" s="2"/>
      <c r="L1360" s="2"/>
      <c r="M1360" s="2"/>
    </row>
    <row r="1361" spans="1:13" x14ac:dyDescent="0.2">
      <c r="A1361" s="2"/>
      <c r="B1361" s="2"/>
      <c r="C1361" s="2"/>
      <c r="D1361" s="2"/>
      <c r="E1361" s="2"/>
      <c r="F1361" s="2"/>
      <c r="G1361" s="2"/>
      <c r="H1361" s="2"/>
      <c r="I1361" s="2"/>
      <c r="J1361" s="2"/>
      <c r="K1361" s="2"/>
      <c r="L1361" s="2"/>
      <c r="M1361" s="2"/>
    </row>
    <row r="1362" spans="1:13" x14ac:dyDescent="0.2">
      <c r="A1362" s="2"/>
      <c r="B1362" s="2"/>
      <c r="C1362" s="2"/>
      <c r="D1362" s="2"/>
      <c r="E1362" s="2"/>
      <c r="F1362" s="2"/>
      <c r="G1362" s="2"/>
      <c r="H1362" s="2"/>
      <c r="I1362" s="2"/>
      <c r="J1362" s="2"/>
      <c r="K1362" s="2"/>
      <c r="L1362" s="2"/>
      <c r="M1362" s="2"/>
    </row>
    <row r="1363" spans="1:13" x14ac:dyDescent="0.2">
      <c r="A1363" s="2"/>
      <c r="B1363" s="2"/>
      <c r="C1363" s="2"/>
      <c r="D1363" s="2"/>
      <c r="E1363" s="2"/>
      <c r="F1363" s="2"/>
      <c r="G1363" s="2"/>
      <c r="H1363" s="2"/>
      <c r="I1363" s="2"/>
      <c r="J1363" s="2"/>
      <c r="K1363" s="2"/>
      <c r="L1363" s="2"/>
      <c r="M1363" s="2"/>
    </row>
    <row r="1364" spans="1:13" x14ac:dyDescent="0.2">
      <c r="A1364" s="2"/>
      <c r="B1364" s="2"/>
      <c r="C1364" s="2"/>
      <c r="D1364" s="2"/>
      <c r="E1364" s="2"/>
      <c r="F1364" s="2"/>
      <c r="G1364" s="2"/>
      <c r="H1364" s="2"/>
      <c r="I1364" s="2"/>
      <c r="J1364" s="2"/>
      <c r="K1364" s="2"/>
      <c r="L1364" s="2"/>
      <c r="M1364" s="2"/>
    </row>
    <row r="1365" spans="1:13" x14ac:dyDescent="0.2">
      <c r="A1365" s="2"/>
      <c r="B1365" s="2"/>
      <c r="C1365" s="2"/>
      <c r="D1365" s="2"/>
      <c r="E1365" s="2"/>
      <c r="F1365" s="2"/>
      <c r="G1365" s="2"/>
      <c r="H1365" s="2"/>
      <c r="I1365" s="2"/>
      <c r="J1365" s="2"/>
      <c r="K1365" s="2"/>
      <c r="L1365" s="2"/>
      <c r="M1365" s="2"/>
    </row>
    <row r="1366" spans="1:13" x14ac:dyDescent="0.2">
      <c r="A1366" s="2"/>
      <c r="B1366" s="2"/>
      <c r="C1366" s="2"/>
      <c r="D1366" s="2"/>
      <c r="E1366" s="2"/>
      <c r="F1366" s="2"/>
      <c r="G1366" s="2"/>
      <c r="H1366" s="2"/>
      <c r="I1366" s="2"/>
      <c r="J1366" s="2"/>
      <c r="K1366" s="2"/>
      <c r="L1366" s="2"/>
      <c r="M1366" s="2"/>
    </row>
    <row r="1367" spans="1:13" x14ac:dyDescent="0.2">
      <c r="A1367" s="2"/>
      <c r="B1367" s="2"/>
      <c r="C1367" s="2"/>
      <c r="D1367" s="2"/>
      <c r="E1367" s="2"/>
      <c r="F1367" s="2"/>
      <c r="G1367" s="2"/>
      <c r="H1367" s="2"/>
      <c r="I1367" s="2"/>
      <c r="J1367" s="2"/>
      <c r="K1367" s="2"/>
      <c r="L1367" s="2"/>
      <c r="M1367" s="2"/>
    </row>
    <row r="1368" spans="1:13" x14ac:dyDescent="0.2">
      <c r="A1368" s="2"/>
      <c r="B1368" s="2"/>
      <c r="C1368" s="2"/>
      <c r="D1368" s="2"/>
      <c r="E1368" s="2"/>
      <c r="F1368" s="2"/>
      <c r="G1368" s="2"/>
      <c r="H1368" s="2"/>
      <c r="I1368" s="2"/>
      <c r="J1368" s="2"/>
      <c r="K1368" s="2"/>
      <c r="L1368" s="2"/>
      <c r="M1368" s="2"/>
    </row>
    <row r="1369" spans="1:13" x14ac:dyDescent="0.2">
      <c r="A1369" s="2"/>
      <c r="B1369" s="2"/>
      <c r="C1369" s="2"/>
      <c r="D1369" s="2"/>
      <c r="E1369" s="2"/>
      <c r="F1369" s="2"/>
      <c r="G1369" s="2"/>
      <c r="H1369" s="2"/>
      <c r="I1369" s="2"/>
      <c r="J1369" s="2"/>
      <c r="K1369" s="2"/>
      <c r="L1369" s="2"/>
      <c r="M1369" s="2"/>
    </row>
    <row r="1370" spans="1:13" x14ac:dyDescent="0.2">
      <c r="A1370" s="2"/>
      <c r="B1370" s="2"/>
      <c r="C1370" s="2"/>
      <c r="D1370" s="2"/>
      <c r="E1370" s="2"/>
      <c r="F1370" s="2"/>
      <c r="G1370" s="2"/>
      <c r="H1370" s="2"/>
      <c r="I1370" s="2"/>
      <c r="J1370" s="2"/>
      <c r="K1370" s="2"/>
      <c r="L1370" s="2"/>
      <c r="M1370" s="2"/>
    </row>
    <row r="1371" spans="1:13" x14ac:dyDescent="0.2">
      <c r="A1371" s="2"/>
      <c r="B1371" s="2"/>
      <c r="C1371" s="2"/>
      <c r="D1371" s="2"/>
      <c r="E1371" s="2"/>
      <c r="F1371" s="2"/>
      <c r="G1371" s="2"/>
      <c r="H1371" s="2"/>
      <c r="I1371" s="2"/>
      <c r="J1371" s="2"/>
      <c r="K1371" s="2"/>
      <c r="L1371" s="2"/>
      <c r="M1371" s="2"/>
    </row>
    <row r="1372" spans="1:13" x14ac:dyDescent="0.2">
      <c r="A1372" s="2"/>
      <c r="B1372" s="2"/>
      <c r="C1372" s="2"/>
      <c r="D1372" s="2"/>
      <c r="E1372" s="2"/>
      <c r="F1372" s="2"/>
      <c r="G1372" s="2"/>
      <c r="H1372" s="2"/>
      <c r="I1372" s="2"/>
      <c r="J1372" s="2"/>
      <c r="K1372" s="2"/>
      <c r="L1372" s="2"/>
      <c r="M1372" s="2"/>
    </row>
    <row r="1373" spans="1:13" x14ac:dyDescent="0.2">
      <c r="A1373" s="2"/>
      <c r="B1373" s="2"/>
      <c r="C1373" s="2"/>
      <c r="D1373" s="2"/>
      <c r="E1373" s="2"/>
      <c r="F1373" s="2"/>
      <c r="G1373" s="2"/>
      <c r="H1373" s="2"/>
      <c r="I1373" s="2"/>
      <c r="J1373" s="2"/>
      <c r="K1373" s="2"/>
      <c r="L1373" s="2"/>
      <c r="M1373" s="2"/>
    </row>
    <row r="1374" spans="1:13" x14ac:dyDescent="0.2">
      <c r="A1374" s="2"/>
      <c r="B1374" s="2"/>
      <c r="C1374" s="2"/>
      <c r="D1374" s="2"/>
      <c r="E1374" s="2"/>
      <c r="F1374" s="2"/>
      <c r="G1374" s="2"/>
      <c r="H1374" s="2"/>
      <c r="I1374" s="2"/>
      <c r="J1374" s="2"/>
      <c r="K1374" s="2"/>
      <c r="L1374" s="2"/>
      <c r="M1374" s="2"/>
    </row>
    <row r="1375" spans="1:13" x14ac:dyDescent="0.2">
      <c r="A1375" s="2"/>
      <c r="B1375" s="2"/>
      <c r="C1375" s="2"/>
      <c r="D1375" s="2"/>
      <c r="E1375" s="2"/>
      <c r="F1375" s="2"/>
      <c r="G1375" s="2"/>
      <c r="H1375" s="2"/>
      <c r="I1375" s="2"/>
      <c r="J1375" s="2"/>
      <c r="K1375" s="2"/>
      <c r="L1375" s="2"/>
      <c r="M1375" s="2"/>
    </row>
    <row r="1376" spans="1:13" x14ac:dyDescent="0.2">
      <c r="A1376" s="2"/>
      <c r="B1376" s="2"/>
      <c r="C1376" s="2"/>
      <c r="D1376" s="2"/>
      <c r="E1376" s="2"/>
      <c r="F1376" s="2"/>
      <c r="G1376" s="2"/>
      <c r="H1376" s="2"/>
      <c r="I1376" s="2"/>
      <c r="J1376" s="2"/>
      <c r="K1376" s="2"/>
      <c r="L1376" s="2"/>
      <c r="M1376" s="2"/>
    </row>
    <row r="1377" spans="1:13" x14ac:dyDescent="0.2">
      <c r="A1377" s="2"/>
      <c r="B1377" s="2"/>
      <c r="C1377" s="2"/>
      <c r="D1377" s="2"/>
      <c r="E1377" s="2"/>
      <c r="F1377" s="2"/>
      <c r="G1377" s="2"/>
      <c r="H1377" s="2"/>
      <c r="I1377" s="2"/>
      <c r="J1377" s="2"/>
      <c r="K1377" s="2"/>
      <c r="L1377" s="2"/>
      <c r="M1377" s="2"/>
    </row>
    <row r="1378" spans="1:13" x14ac:dyDescent="0.2">
      <c r="A1378" s="2"/>
      <c r="B1378" s="2"/>
      <c r="C1378" s="2"/>
      <c r="D1378" s="2"/>
      <c r="E1378" s="2"/>
      <c r="F1378" s="2"/>
      <c r="G1378" s="2"/>
      <c r="H1378" s="2"/>
      <c r="I1378" s="2"/>
      <c r="J1378" s="2"/>
      <c r="K1378" s="2"/>
      <c r="L1378" s="2"/>
      <c r="M1378" s="2"/>
    </row>
    <row r="1379" spans="1:13" x14ac:dyDescent="0.2">
      <c r="A1379" s="2"/>
      <c r="B1379" s="2"/>
      <c r="C1379" s="2"/>
      <c r="D1379" s="2"/>
      <c r="E1379" s="2"/>
      <c r="F1379" s="2"/>
      <c r="G1379" s="2"/>
      <c r="H1379" s="2"/>
      <c r="I1379" s="2"/>
      <c r="J1379" s="2"/>
      <c r="K1379" s="2"/>
      <c r="L1379" s="2"/>
      <c r="M1379" s="2"/>
    </row>
    <row r="1380" spans="1:13" x14ac:dyDescent="0.2">
      <c r="A1380" s="2"/>
      <c r="B1380" s="2"/>
      <c r="C1380" s="2"/>
      <c r="D1380" s="2"/>
      <c r="E1380" s="2"/>
      <c r="F1380" s="2"/>
      <c r="G1380" s="2"/>
      <c r="H1380" s="2"/>
      <c r="I1380" s="2"/>
      <c r="J1380" s="2"/>
      <c r="K1380" s="2"/>
      <c r="L1380" s="2"/>
      <c r="M1380" s="2"/>
    </row>
    <row r="1381" spans="1:13" x14ac:dyDescent="0.2">
      <c r="A1381" s="2"/>
      <c r="B1381" s="2"/>
      <c r="C1381" s="2"/>
      <c r="D1381" s="2"/>
      <c r="E1381" s="2"/>
      <c r="F1381" s="2"/>
      <c r="G1381" s="2"/>
      <c r="H1381" s="2"/>
      <c r="I1381" s="2"/>
      <c r="J1381" s="2"/>
      <c r="K1381" s="2"/>
      <c r="L1381" s="2"/>
      <c r="M1381" s="2"/>
    </row>
    <row r="1382" spans="1:13" x14ac:dyDescent="0.2">
      <c r="A1382" s="2"/>
      <c r="B1382" s="2"/>
      <c r="C1382" s="2"/>
      <c r="D1382" s="2"/>
      <c r="E1382" s="2"/>
      <c r="F1382" s="2"/>
      <c r="G1382" s="2"/>
      <c r="H1382" s="2"/>
      <c r="I1382" s="2"/>
      <c r="J1382" s="2"/>
      <c r="K1382" s="2"/>
      <c r="L1382" s="2"/>
      <c r="M1382" s="2"/>
    </row>
    <row r="1383" spans="1:13" x14ac:dyDescent="0.2">
      <c r="A1383" s="2"/>
      <c r="B1383" s="2"/>
      <c r="C1383" s="2"/>
      <c r="D1383" s="2"/>
      <c r="E1383" s="2"/>
      <c r="F1383" s="2"/>
      <c r="G1383" s="2"/>
      <c r="H1383" s="2"/>
      <c r="I1383" s="2"/>
      <c r="J1383" s="2"/>
      <c r="K1383" s="2"/>
      <c r="L1383" s="2"/>
      <c r="M1383" s="2"/>
    </row>
    <row r="1384" spans="1:13" x14ac:dyDescent="0.2">
      <c r="A1384" s="2"/>
      <c r="B1384" s="2"/>
      <c r="C1384" s="2"/>
      <c r="D1384" s="2"/>
      <c r="E1384" s="2"/>
      <c r="F1384" s="2"/>
      <c r="G1384" s="2"/>
      <c r="H1384" s="2"/>
      <c r="I1384" s="2"/>
      <c r="J1384" s="2"/>
      <c r="K1384" s="2"/>
      <c r="L1384" s="2"/>
      <c r="M1384" s="2"/>
    </row>
    <row r="1385" spans="1:13" x14ac:dyDescent="0.2">
      <c r="A1385" s="2"/>
      <c r="B1385" s="2"/>
      <c r="C1385" s="2"/>
      <c r="D1385" s="2"/>
      <c r="E1385" s="2"/>
      <c r="F1385" s="2"/>
      <c r="G1385" s="2"/>
      <c r="H1385" s="2"/>
      <c r="I1385" s="2"/>
      <c r="J1385" s="2"/>
      <c r="K1385" s="2"/>
      <c r="L1385" s="2"/>
      <c r="M1385" s="2"/>
    </row>
    <row r="1386" spans="1:13" x14ac:dyDescent="0.2">
      <c r="A1386" s="2"/>
      <c r="B1386" s="2"/>
      <c r="C1386" s="2"/>
      <c r="D1386" s="2"/>
      <c r="E1386" s="2"/>
      <c r="F1386" s="2"/>
      <c r="G1386" s="2"/>
      <c r="H1386" s="2"/>
      <c r="I1386" s="2"/>
      <c r="J1386" s="2"/>
      <c r="K1386" s="2"/>
      <c r="L1386" s="2"/>
      <c r="M1386" s="2"/>
    </row>
    <row r="1387" spans="1:13" x14ac:dyDescent="0.2">
      <c r="A1387" s="2"/>
      <c r="B1387" s="2"/>
      <c r="C1387" s="2"/>
      <c r="D1387" s="2"/>
      <c r="E1387" s="2"/>
      <c r="F1387" s="2"/>
      <c r="G1387" s="2"/>
      <c r="H1387" s="2"/>
      <c r="I1387" s="2"/>
      <c r="J1387" s="2"/>
      <c r="K1387" s="2"/>
      <c r="L1387" s="2"/>
      <c r="M1387" s="2"/>
    </row>
    <row r="1388" spans="1:13" x14ac:dyDescent="0.2">
      <c r="A1388" s="2"/>
      <c r="B1388" s="2"/>
      <c r="C1388" s="2"/>
      <c r="D1388" s="2"/>
      <c r="E1388" s="2"/>
      <c r="F1388" s="2"/>
      <c r="G1388" s="2"/>
      <c r="H1388" s="2"/>
      <c r="I1388" s="2"/>
      <c r="J1388" s="2"/>
      <c r="K1388" s="2"/>
      <c r="L1388" s="2"/>
      <c r="M1388" s="2"/>
    </row>
    <row r="1389" spans="1:13" x14ac:dyDescent="0.2">
      <c r="A1389" s="2"/>
      <c r="B1389" s="2"/>
      <c r="C1389" s="2"/>
      <c r="D1389" s="2"/>
      <c r="E1389" s="2"/>
      <c r="F1389" s="2"/>
      <c r="G1389" s="2"/>
      <c r="H1389" s="2"/>
      <c r="I1389" s="2"/>
      <c r="J1389" s="2"/>
      <c r="K1389" s="2"/>
      <c r="L1389" s="2"/>
      <c r="M1389" s="2"/>
    </row>
    <row r="1390" spans="1:13" x14ac:dyDescent="0.2">
      <c r="A1390" s="2"/>
      <c r="B1390" s="2"/>
      <c r="C1390" s="2"/>
      <c r="D1390" s="2"/>
      <c r="E1390" s="2"/>
      <c r="F1390" s="2"/>
      <c r="G1390" s="2"/>
      <c r="H1390" s="2"/>
      <c r="I1390" s="2"/>
      <c r="J1390" s="2"/>
      <c r="K1390" s="2"/>
      <c r="L1390" s="2"/>
      <c r="M1390" s="2"/>
    </row>
    <row r="1391" spans="1:13" x14ac:dyDescent="0.2">
      <c r="A1391" s="2"/>
      <c r="B1391" s="2"/>
      <c r="C1391" s="2"/>
      <c r="D1391" s="2"/>
      <c r="E1391" s="2"/>
      <c r="F1391" s="2"/>
      <c r="G1391" s="2"/>
      <c r="H1391" s="2"/>
      <c r="I1391" s="2"/>
      <c r="J1391" s="2"/>
      <c r="K1391" s="2"/>
      <c r="L1391" s="2"/>
      <c r="M1391" s="2"/>
    </row>
    <row r="1392" spans="1:13" x14ac:dyDescent="0.2">
      <c r="A1392" s="2"/>
      <c r="B1392" s="2"/>
      <c r="C1392" s="2"/>
      <c r="D1392" s="2"/>
      <c r="E1392" s="2"/>
      <c r="F1392" s="2"/>
      <c r="G1392" s="2"/>
      <c r="H1392" s="2"/>
      <c r="I1392" s="2"/>
      <c r="J1392" s="2"/>
      <c r="K1392" s="2"/>
      <c r="L1392" s="2"/>
      <c r="M1392" s="2"/>
    </row>
    <row r="1393" spans="1:13" x14ac:dyDescent="0.2">
      <c r="A1393" s="2"/>
      <c r="B1393" s="2"/>
      <c r="C1393" s="2"/>
      <c r="D1393" s="2"/>
      <c r="E1393" s="2"/>
      <c r="F1393" s="2"/>
      <c r="G1393" s="2"/>
      <c r="H1393" s="2"/>
      <c r="I1393" s="2"/>
      <c r="J1393" s="2"/>
      <c r="K1393" s="2"/>
      <c r="L1393" s="2"/>
      <c r="M1393" s="2"/>
    </row>
    <row r="1394" spans="1:13" x14ac:dyDescent="0.2">
      <c r="A1394" s="2"/>
      <c r="B1394" s="2"/>
      <c r="C1394" s="2"/>
      <c r="D1394" s="2"/>
      <c r="E1394" s="2"/>
      <c r="F1394" s="2"/>
      <c r="G1394" s="2"/>
      <c r="H1394" s="2"/>
      <c r="I1394" s="2"/>
      <c r="J1394" s="2"/>
      <c r="K1394" s="2"/>
      <c r="L1394" s="2"/>
      <c r="M1394" s="2"/>
    </row>
    <row r="1395" spans="1:13" x14ac:dyDescent="0.2">
      <c r="A1395" s="2"/>
      <c r="B1395" s="2"/>
      <c r="C1395" s="2"/>
      <c r="D1395" s="2"/>
      <c r="E1395" s="2"/>
      <c r="F1395" s="2"/>
      <c r="G1395" s="2"/>
      <c r="H1395" s="2"/>
      <c r="I1395" s="2"/>
      <c r="J1395" s="2"/>
      <c r="K1395" s="2"/>
      <c r="L1395" s="2"/>
      <c r="M1395" s="2"/>
    </row>
    <row r="1396" spans="1:13" x14ac:dyDescent="0.2">
      <c r="A1396" s="2"/>
      <c r="B1396" s="2"/>
      <c r="C1396" s="2"/>
      <c r="D1396" s="2"/>
      <c r="E1396" s="2"/>
      <c r="F1396" s="2"/>
      <c r="G1396" s="2"/>
      <c r="H1396" s="2"/>
      <c r="I1396" s="2"/>
      <c r="J1396" s="2"/>
      <c r="K1396" s="2"/>
      <c r="L1396" s="2"/>
      <c r="M1396" s="2"/>
    </row>
    <row r="1397" spans="1:13" x14ac:dyDescent="0.2">
      <c r="A1397" s="2"/>
      <c r="B1397" s="2"/>
      <c r="C1397" s="2"/>
      <c r="D1397" s="2"/>
      <c r="E1397" s="2"/>
      <c r="F1397" s="2"/>
      <c r="G1397" s="2"/>
      <c r="H1397" s="2"/>
      <c r="I1397" s="2"/>
      <c r="J1397" s="2"/>
      <c r="K1397" s="2"/>
      <c r="L1397" s="2"/>
      <c r="M1397" s="2"/>
    </row>
    <row r="1398" spans="1:13" x14ac:dyDescent="0.2">
      <c r="A1398" s="2"/>
      <c r="B1398" s="2"/>
      <c r="C1398" s="2"/>
      <c r="D1398" s="2"/>
      <c r="E1398" s="2"/>
      <c r="F1398" s="2"/>
      <c r="G1398" s="2"/>
      <c r="H1398" s="2"/>
      <c r="I1398" s="2"/>
      <c r="J1398" s="2"/>
      <c r="K1398" s="2"/>
      <c r="L1398" s="2"/>
      <c r="M1398" s="2"/>
    </row>
    <row r="1399" spans="1:13" x14ac:dyDescent="0.2">
      <c r="A1399" s="2"/>
      <c r="B1399" s="2"/>
      <c r="C1399" s="2"/>
      <c r="D1399" s="2"/>
      <c r="E1399" s="2"/>
      <c r="F1399" s="2"/>
      <c r="G1399" s="2"/>
      <c r="H1399" s="2"/>
      <c r="I1399" s="2"/>
      <c r="J1399" s="2"/>
      <c r="K1399" s="2"/>
      <c r="L1399" s="2"/>
      <c r="M1399" s="2"/>
    </row>
    <row r="1400" spans="1:13" x14ac:dyDescent="0.2">
      <c r="A1400" s="2"/>
      <c r="B1400" s="2"/>
      <c r="C1400" s="2"/>
      <c r="D1400" s="2"/>
      <c r="E1400" s="2"/>
      <c r="F1400" s="2"/>
      <c r="G1400" s="2"/>
      <c r="H1400" s="2"/>
      <c r="I1400" s="2"/>
      <c r="J1400" s="2"/>
      <c r="K1400" s="2"/>
      <c r="L1400" s="2"/>
      <c r="M1400" s="2"/>
    </row>
    <row r="1401" spans="1:13" x14ac:dyDescent="0.2">
      <c r="A1401" s="2"/>
      <c r="B1401" s="2"/>
      <c r="C1401" s="2"/>
      <c r="D1401" s="2"/>
      <c r="E1401" s="2"/>
      <c r="F1401" s="2"/>
      <c r="G1401" s="2"/>
      <c r="H1401" s="2"/>
      <c r="I1401" s="2"/>
      <c r="J1401" s="2"/>
      <c r="K1401" s="2"/>
      <c r="L1401" s="2"/>
      <c r="M1401" s="2"/>
    </row>
    <row r="1402" spans="1:13" x14ac:dyDescent="0.2">
      <c r="A1402" s="2"/>
      <c r="B1402" s="2"/>
      <c r="C1402" s="2"/>
      <c r="D1402" s="2"/>
      <c r="E1402" s="2"/>
      <c r="F1402" s="2"/>
      <c r="G1402" s="2"/>
      <c r="H1402" s="2"/>
      <c r="I1402" s="2"/>
      <c r="J1402" s="2"/>
      <c r="K1402" s="2"/>
      <c r="L1402" s="2"/>
      <c r="M1402" s="2"/>
    </row>
    <row r="1403" spans="1:13" x14ac:dyDescent="0.2">
      <c r="A1403" s="2"/>
      <c r="B1403" s="2"/>
      <c r="C1403" s="2"/>
      <c r="D1403" s="2"/>
      <c r="E1403" s="2"/>
      <c r="F1403" s="2"/>
      <c r="G1403" s="2"/>
      <c r="H1403" s="2"/>
      <c r="I1403" s="2"/>
      <c r="J1403" s="2"/>
      <c r="K1403" s="2"/>
      <c r="L1403" s="2"/>
      <c r="M1403" s="2"/>
    </row>
    <row r="1404" spans="1:13" x14ac:dyDescent="0.2">
      <c r="A1404" s="2"/>
      <c r="B1404" s="2"/>
      <c r="C1404" s="2"/>
      <c r="D1404" s="2"/>
      <c r="E1404" s="2"/>
      <c r="F1404" s="2"/>
      <c r="G1404" s="2"/>
      <c r="H1404" s="2"/>
      <c r="I1404" s="2"/>
      <c r="J1404" s="2"/>
      <c r="K1404" s="2"/>
      <c r="L1404" s="2"/>
      <c r="M1404" s="2"/>
    </row>
    <row r="1405" spans="1:13" x14ac:dyDescent="0.2">
      <c r="A1405" s="2"/>
      <c r="B1405" s="2"/>
      <c r="C1405" s="2"/>
      <c r="D1405" s="2"/>
      <c r="E1405" s="2"/>
      <c r="F1405" s="2"/>
      <c r="G1405" s="2"/>
      <c r="H1405" s="2"/>
      <c r="I1405" s="2"/>
      <c r="J1405" s="2"/>
      <c r="K1405" s="2"/>
      <c r="L1405" s="2"/>
      <c r="M1405" s="2"/>
    </row>
    <row r="1406" spans="1:13" x14ac:dyDescent="0.2">
      <c r="A1406" s="2"/>
      <c r="B1406" s="2"/>
      <c r="C1406" s="2"/>
      <c r="D1406" s="2"/>
      <c r="E1406" s="2"/>
      <c r="F1406" s="2"/>
      <c r="G1406" s="2"/>
      <c r="H1406" s="2"/>
      <c r="I1406" s="2"/>
      <c r="J1406" s="2"/>
      <c r="K1406" s="2"/>
      <c r="L1406" s="2"/>
      <c r="M1406" s="2"/>
    </row>
    <row r="1407" spans="1:13" x14ac:dyDescent="0.2">
      <c r="A1407" s="2"/>
      <c r="B1407" s="2"/>
      <c r="C1407" s="2"/>
      <c r="D1407" s="2"/>
      <c r="E1407" s="2"/>
      <c r="F1407" s="2"/>
      <c r="G1407" s="2"/>
      <c r="H1407" s="2"/>
      <c r="I1407" s="2"/>
      <c r="J1407" s="2"/>
      <c r="K1407" s="2"/>
      <c r="L1407" s="2"/>
      <c r="M1407" s="2"/>
    </row>
    <row r="1408" spans="1:13" x14ac:dyDescent="0.2">
      <c r="A1408" s="2"/>
      <c r="B1408" s="2"/>
      <c r="C1408" s="2"/>
      <c r="D1408" s="2"/>
      <c r="E1408" s="2"/>
      <c r="F1408" s="2"/>
      <c r="G1408" s="2"/>
      <c r="H1408" s="2"/>
      <c r="I1408" s="2"/>
      <c r="J1408" s="2"/>
      <c r="K1408" s="2"/>
      <c r="L1408" s="2"/>
      <c r="M1408" s="2"/>
    </row>
    <row r="1409" spans="1:13" x14ac:dyDescent="0.2">
      <c r="A1409" s="2"/>
      <c r="B1409" s="2"/>
      <c r="C1409" s="2"/>
      <c r="D1409" s="2"/>
      <c r="E1409" s="2"/>
      <c r="F1409" s="2"/>
      <c r="G1409" s="2"/>
      <c r="H1409" s="2"/>
      <c r="I1409" s="2"/>
      <c r="J1409" s="2"/>
      <c r="K1409" s="2"/>
      <c r="L1409" s="2"/>
      <c r="M1409" s="2"/>
    </row>
    <row r="1410" spans="1:13" x14ac:dyDescent="0.2">
      <c r="A1410" s="2"/>
      <c r="B1410" s="2"/>
      <c r="C1410" s="2"/>
      <c r="D1410" s="2"/>
      <c r="E1410" s="2"/>
      <c r="F1410" s="2"/>
      <c r="G1410" s="2"/>
      <c r="H1410" s="2"/>
      <c r="I1410" s="2"/>
      <c r="J1410" s="2"/>
      <c r="K1410" s="2"/>
      <c r="L1410" s="2"/>
      <c r="M1410" s="2"/>
    </row>
    <row r="1411" spans="1:13" x14ac:dyDescent="0.2">
      <c r="A1411" s="2"/>
      <c r="B1411" s="2"/>
      <c r="C1411" s="2"/>
      <c r="D1411" s="2"/>
      <c r="E1411" s="2"/>
      <c r="F1411" s="2"/>
      <c r="G1411" s="2"/>
      <c r="H1411" s="2"/>
      <c r="I1411" s="2"/>
      <c r="J1411" s="2"/>
      <c r="K1411" s="2"/>
      <c r="L1411" s="2"/>
      <c r="M1411" s="2"/>
    </row>
    <row r="1412" spans="1:13" x14ac:dyDescent="0.2">
      <c r="A1412" s="2"/>
      <c r="B1412" s="2"/>
      <c r="C1412" s="2"/>
      <c r="D1412" s="2"/>
      <c r="E1412" s="2"/>
      <c r="F1412" s="2"/>
      <c r="G1412" s="2"/>
      <c r="H1412" s="2"/>
      <c r="I1412" s="2"/>
      <c r="J1412" s="2"/>
      <c r="K1412" s="2"/>
      <c r="L1412" s="2"/>
      <c r="M1412" s="2"/>
    </row>
    <row r="1413" spans="1:13" x14ac:dyDescent="0.2">
      <c r="A1413" s="2"/>
      <c r="B1413" s="2"/>
      <c r="C1413" s="2"/>
      <c r="D1413" s="2"/>
      <c r="E1413" s="2"/>
      <c r="F1413" s="2"/>
      <c r="G1413" s="2"/>
      <c r="H1413" s="2"/>
      <c r="I1413" s="2"/>
      <c r="J1413" s="2"/>
      <c r="K1413" s="2"/>
      <c r="L1413" s="2"/>
      <c r="M1413" s="2"/>
    </row>
    <row r="1414" spans="1:13" x14ac:dyDescent="0.2">
      <c r="A1414" s="2"/>
      <c r="B1414" s="2"/>
      <c r="C1414" s="2"/>
      <c r="D1414" s="2"/>
      <c r="E1414" s="2"/>
      <c r="F1414" s="2"/>
      <c r="G1414" s="2"/>
      <c r="H1414" s="2"/>
      <c r="I1414" s="2"/>
      <c r="J1414" s="2"/>
      <c r="K1414" s="2"/>
      <c r="L1414" s="2"/>
      <c r="M1414" s="2"/>
    </row>
    <row r="1415" spans="1:13" x14ac:dyDescent="0.2">
      <c r="A1415" s="2"/>
      <c r="B1415" s="2"/>
      <c r="C1415" s="2"/>
      <c r="D1415" s="2"/>
      <c r="E1415" s="2"/>
      <c r="F1415" s="2"/>
      <c r="G1415" s="2"/>
      <c r="H1415" s="2"/>
      <c r="I1415" s="2"/>
      <c r="J1415" s="2"/>
      <c r="K1415" s="2"/>
      <c r="L1415" s="2"/>
      <c r="M1415" s="2"/>
    </row>
    <row r="1416" spans="1:13" x14ac:dyDescent="0.2">
      <c r="A1416" s="2"/>
      <c r="B1416" s="2"/>
      <c r="C1416" s="2"/>
      <c r="D1416" s="2"/>
      <c r="E1416" s="2"/>
      <c r="F1416" s="2"/>
      <c r="G1416" s="2"/>
      <c r="H1416" s="2"/>
      <c r="I1416" s="2"/>
      <c r="J1416" s="2"/>
      <c r="K1416" s="2"/>
      <c r="L1416" s="2"/>
      <c r="M1416" s="2"/>
    </row>
    <row r="1417" spans="1:13" x14ac:dyDescent="0.2">
      <c r="A1417" s="2"/>
      <c r="B1417" s="2"/>
      <c r="C1417" s="2"/>
      <c r="D1417" s="2"/>
      <c r="E1417" s="2"/>
      <c r="F1417" s="2"/>
      <c r="G1417" s="2"/>
      <c r="H1417" s="2"/>
      <c r="I1417" s="2"/>
      <c r="J1417" s="2"/>
      <c r="K1417" s="2"/>
      <c r="L1417" s="2"/>
      <c r="M1417" s="2"/>
    </row>
    <row r="1418" spans="1:13" x14ac:dyDescent="0.2">
      <c r="A1418" s="2"/>
      <c r="B1418" s="2"/>
      <c r="C1418" s="2"/>
      <c r="D1418" s="2"/>
      <c r="E1418" s="2"/>
      <c r="F1418" s="2"/>
      <c r="G1418" s="2"/>
      <c r="H1418" s="2"/>
      <c r="I1418" s="2"/>
      <c r="J1418" s="2"/>
      <c r="K1418" s="2"/>
      <c r="L1418" s="2"/>
      <c r="M1418" s="2"/>
    </row>
    <row r="1419" spans="1:13" x14ac:dyDescent="0.2">
      <c r="A1419" s="2"/>
      <c r="B1419" s="2"/>
      <c r="C1419" s="2"/>
      <c r="D1419" s="2"/>
      <c r="E1419" s="2"/>
      <c r="F1419" s="2"/>
      <c r="G1419" s="2"/>
      <c r="H1419" s="2"/>
      <c r="I1419" s="2"/>
      <c r="J1419" s="2"/>
      <c r="K1419" s="2"/>
      <c r="L1419" s="2"/>
      <c r="M1419" s="2"/>
    </row>
    <row r="1420" spans="1:13" x14ac:dyDescent="0.2">
      <c r="A1420" s="2"/>
      <c r="B1420" s="2"/>
      <c r="C1420" s="2"/>
      <c r="D1420" s="2"/>
      <c r="E1420" s="2"/>
      <c r="F1420" s="2"/>
      <c r="G1420" s="2"/>
      <c r="H1420" s="2"/>
      <c r="I1420" s="2"/>
      <c r="J1420" s="2"/>
      <c r="K1420" s="2"/>
      <c r="L1420" s="2"/>
      <c r="M1420" s="2"/>
    </row>
    <row r="1421" spans="1:13" x14ac:dyDescent="0.2">
      <c r="A1421" s="2"/>
      <c r="B1421" s="2"/>
      <c r="C1421" s="2"/>
      <c r="D1421" s="2"/>
      <c r="E1421" s="2"/>
      <c r="F1421" s="2"/>
      <c r="G1421" s="2"/>
      <c r="H1421" s="2"/>
      <c r="I1421" s="2"/>
      <c r="J1421" s="2"/>
      <c r="K1421" s="2"/>
      <c r="L1421" s="2"/>
      <c r="M1421" s="2"/>
    </row>
    <row r="1422" spans="1:13" x14ac:dyDescent="0.2">
      <c r="A1422" s="2"/>
      <c r="B1422" s="2"/>
      <c r="C1422" s="2"/>
      <c r="D1422" s="2"/>
      <c r="E1422" s="2"/>
      <c r="F1422" s="2"/>
      <c r="G1422" s="2"/>
      <c r="H1422" s="2"/>
      <c r="I1422" s="2"/>
      <c r="J1422" s="2"/>
      <c r="K1422" s="2"/>
      <c r="L1422" s="2"/>
      <c r="M1422" s="2"/>
    </row>
    <row r="1423" spans="1:13" x14ac:dyDescent="0.2">
      <c r="A1423" s="2"/>
      <c r="B1423" s="2"/>
      <c r="C1423" s="2"/>
      <c r="D1423" s="2"/>
      <c r="E1423" s="2"/>
      <c r="F1423" s="2"/>
      <c r="G1423" s="2"/>
      <c r="H1423" s="2"/>
      <c r="I1423" s="2"/>
      <c r="J1423" s="2"/>
      <c r="K1423" s="2"/>
      <c r="L1423" s="2"/>
      <c r="M1423" s="2"/>
    </row>
    <row r="1424" spans="1:13" x14ac:dyDescent="0.2">
      <c r="A1424" s="2"/>
      <c r="B1424" s="2"/>
      <c r="C1424" s="2"/>
      <c r="D1424" s="2"/>
      <c r="E1424" s="2"/>
      <c r="F1424" s="2"/>
      <c r="G1424" s="2"/>
      <c r="H1424" s="2"/>
      <c r="I1424" s="2"/>
      <c r="J1424" s="2"/>
      <c r="K1424" s="2"/>
      <c r="L1424" s="2"/>
      <c r="M1424" s="2"/>
    </row>
    <row r="1425" spans="1:13" x14ac:dyDescent="0.2">
      <c r="A1425" s="2"/>
      <c r="B1425" s="2"/>
      <c r="C1425" s="2"/>
      <c r="D1425" s="2"/>
      <c r="E1425" s="2"/>
      <c r="F1425" s="2"/>
      <c r="G1425" s="2"/>
      <c r="H1425" s="2"/>
      <c r="I1425" s="2"/>
      <c r="J1425" s="2"/>
      <c r="K1425" s="2"/>
      <c r="L1425" s="2"/>
      <c r="M1425" s="2"/>
    </row>
    <row r="1426" spans="1:13" x14ac:dyDescent="0.2">
      <c r="A1426" s="2"/>
      <c r="B1426" s="2"/>
      <c r="C1426" s="2"/>
      <c r="D1426" s="2"/>
      <c r="E1426" s="2"/>
      <c r="F1426" s="2"/>
      <c r="G1426" s="2"/>
      <c r="H1426" s="2"/>
      <c r="I1426" s="2"/>
      <c r="J1426" s="2"/>
      <c r="K1426" s="2"/>
      <c r="L1426" s="2"/>
      <c r="M1426" s="2"/>
    </row>
    <row r="1427" spans="1:13" x14ac:dyDescent="0.2">
      <c r="A1427" s="2"/>
      <c r="B1427" s="2"/>
      <c r="C1427" s="2"/>
      <c r="D1427" s="2"/>
      <c r="E1427" s="2"/>
      <c r="F1427" s="2"/>
      <c r="G1427" s="2"/>
      <c r="H1427" s="2"/>
      <c r="I1427" s="2"/>
      <c r="J1427" s="2"/>
      <c r="K1427" s="2"/>
      <c r="L1427" s="2"/>
      <c r="M1427" s="2"/>
    </row>
    <row r="1428" spans="1:13" x14ac:dyDescent="0.2">
      <c r="A1428" s="2"/>
      <c r="B1428" s="2"/>
      <c r="C1428" s="2"/>
      <c r="D1428" s="2"/>
      <c r="E1428" s="2"/>
      <c r="F1428" s="2"/>
      <c r="G1428" s="2"/>
      <c r="H1428" s="2"/>
      <c r="I1428" s="2"/>
      <c r="J1428" s="2"/>
      <c r="K1428" s="2"/>
      <c r="L1428" s="2"/>
      <c r="M1428" s="2"/>
    </row>
    <row r="1429" spans="1:13" x14ac:dyDescent="0.2">
      <c r="A1429" s="2"/>
      <c r="B1429" s="2"/>
      <c r="C1429" s="2"/>
      <c r="D1429" s="2"/>
      <c r="E1429" s="2"/>
      <c r="F1429" s="2"/>
      <c r="G1429" s="2"/>
      <c r="H1429" s="2"/>
      <c r="I1429" s="2"/>
      <c r="J1429" s="2"/>
      <c r="K1429" s="2"/>
      <c r="L1429" s="2"/>
      <c r="M1429" s="2"/>
    </row>
    <row r="1430" spans="1:13" x14ac:dyDescent="0.2">
      <c r="A1430" s="2"/>
      <c r="B1430" s="2"/>
      <c r="C1430" s="2"/>
      <c r="D1430" s="2"/>
      <c r="E1430" s="2"/>
      <c r="F1430" s="2"/>
      <c r="G1430" s="2"/>
      <c r="H1430" s="2"/>
      <c r="I1430" s="2"/>
      <c r="J1430" s="2"/>
      <c r="K1430" s="2"/>
      <c r="L1430" s="2"/>
      <c r="M1430" s="2"/>
    </row>
    <row r="1431" spans="1:13" x14ac:dyDescent="0.2">
      <c r="A1431" s="2"/>
      <c r="B1431" s="2"/>
      <c r="C1431" s="2"/>
      <c r="D1431" s="2"/>
      <c r="E1431" s="2"/>
      <c r="F1431" s="2"/>
      <c r="G1431" s="2"/>
      <c r="H1431" s="2"/>
      <c r="I1431" s="2"/>
      <c r="J1431" s="2"/>
      <c r="K1431" s="2"/>
      <c r="L1431" s="2"/>
      <c r="M1431" s="2"/>
    </row>
    <row r="1432" spans="1:13" x14ac:dyDescent="0.2">
      <c r="A1432" s="2"/>
      <c r="B1432" s="2"/>
      <c r="C1432" s="2"/>
      <c r="D1432" s="2"/>
      <c r="E1432" s="2"/>
      <c r="F1432" s="2"/>
      <c r="G1432" s="2"/>
      <c r="H1432" s="2"/>
      <c r="I1432" s="2"/>
      <c r="J1432" s="2"/>
      <c r="K1432" s="2"/>
      <c r="L1432" s="2"/>
      <c r="M1432" s="2"/>
    </row>
    <row r="1433" spans="1:13" x14ac:dyDescent="0.2">
      <c r="A1433" s="2"/>
      <c r="B1433" s="2"/>
      <c r="C1433" s="2"/>
      <c r="D1433" s="2"/>
      <c r="E1433" s="2"/>
      <c r="F1433" s="2"/>
      <c r="G1433" s="2"/>
      <c r="H1433" s="2"/>
      <c r="I1433" s="2"/>
      <c r="J1433" s="2"/>
      <c r="K1433" s="2"/>
      <c r="L1433" s="2"/>
      <c r="M1433" s="2"/>
    </row>
    <row r="1434" spans="1:13" x14ac:dyDescent="0.2">
      <c r="A1434" s="2"/>
      <c r="B1434" s="2"/>
      <c r="C1434" s="2"/>
      <c r="D1434" s="2"/>
      <c r="E1434" s="2"/>
      <c r="F1434" s="2"/>
      <c r="G1434" s="2"/>
      <c r="H1434" s="2"/>
      <c r="I1434" s="2"/>
      <c r="J1434" s="2"/>
      <c r="K1434" s="2"/>
      <c r="L1434" s="2"/>
      <c r="M1434" s="2"/>
    </row>
    <row r="1435" spans="1:13" x14ac:dyDescent="0.2">
      <c r="A1435" s="2"/>
      <c r="B1435" s="2"/>
      <c r="C1435" s="2"/>
      <c r="D1435" s="2"/>
      <c r="E1435" s="2"/>
      <c r="F1435" s="2"/>
      <c r="G1435" s="2"/>
      <c r="H1435" s="2"/>
      <c r="I1435" s="2"/>
      <c r="J1435" s="2"/>
      <c r="K1435" s="2"/>
      <c r="L1435" s="2"/>
      <c r="M1435" s="2"/>
    </row>
    <row r="1436" spans="1:13" x14ac:dyDescent="0.2">
      <c r="A1436" s="2"/>
      <c r="B1436" s="2"/>
      <c r="C1436" s="2"/>
      <c r="D1436" s="2"/>
      <c r="E1436" s="2"/>
      <c r="F1436" s="2"/>
      <c r="G1436" s="2"/>
      <c r="H1436" s="2"/>
      <c r="I1436" s="2"/>
      <c r="J1436" s="2"/>
      <c r="K1436" s="2"/>
      <c r="L1436" s="2"/>
      <c r="M1436" s="2"/>
    </row>
    <row r="1437" spans="1:13" x14ac:dyDescent="0.2">
      <c r="A1437" s="2"/>
      <c r="B1437" s="2"/>
      <c r="C1437" s="2"/>
      <c r="D1437" s="2"/>
      <c r="E1437" s="2"/>
      <c r="F1437" s="2"/>
      <c r="G1437" s="2"/>
      <c r="H1437" s="2"/>
      <c r="I1437" s="2"/>
      <c r="J1437" s="2"/>
      <c r="K1437" s="2"/>
      <c r="L1437" s="2"/>
      <c r="M1437" s="2"/>
    </row>
    <row r="1438" spans="1:13" x14ac:dyDescent="0.2">
      <c r="A1438" s="2"/>
      <c r="B1438" s="2"/>
      <c r="C1438" s="2"/>
      <c r="D1438" s="2"/>
      <c r="E1438" s="2"/>
      <c r="F1438" s="2"/>
      <c r="G1438" s="2"/>
      <c r="H1438" s="2"/>
      <c r="I1438" s="2"/>
      <c r="J1438" s="2"/>
      <c r="K1438" s="2"/>
      <c r="L1438" s="2"/>
      <c r="M1438" s="2"/>
    </row>
    <row r="1439" spans="1:13" x14ac:dyDescent="0.2">
      <c r="A1439" s="2"/>
      <c r="B1439" s="2"/>
      <c r="C1439" s="2"/>
      <c r="D1439" s="2"/>
      <c r="E1439" s="2"/>
      <c r="F1439" s="2"/>
      <c r="G1439" s="2"/>
      <c r="H1439" s="2"/>
      <c r="I1439" s="2"/>
      <c r="J1439" s="2"/>
      <c r="K1439" s="2"/>
      <c r="L1439" s="2"/>
      <c r="M1439" s="2"/>
    </row>
    <row r="1440" spans="1:13" x14ac:dyDescent="0.2">
      <c r="A1440" s="2"/>
      <c r="B1440" s="2"/>
      <c r="C1440" s="2"/>
      <c r="D1440" s="2"/>
      <c r="E1440" s="2"/>
      <c r="F1440" s="2"/>
      <c r="G1440" s="2"/>
      <c r="H1440" s="2"/>
      <c r="I1440" s="2"/>
      <c r="J1440" s="2"/>
      <c r="K1440" s="2"/>
      <c r="L1440" s="2"/>
      <c r="M1440" s="2"/>
    </row>
    <row r="1441" spans="1:13" x14ac:dyDescent="0.2">
      <c r="A1441" s="2"/>
      <c r="B1441" s="2"/>
      <c r="C1441" s="2"/>
      <c r="D1441" s="2"/>
      <c r="E1441" s="2"/>
      <c r="F1441" s="2"/>
      <c r="G1441" s="2"/>
      <c r="H1441" s="2"/>
      <c r="I1441" s="2"/>
      <c r="J1441" s="2"/>
      <c r="K1441" s="2"/>
      <c r="L1441" s="2"/>
      <c r="M1441" s="2"/>
    </row>
    <row r="1442" spans="1:13" x14ac:dyDescent="0.2">
      <c r="A1442" s="2"/>
      <c r="B1442" s="2"/>
      <c r="C1442" s="2"/>
      <c r="D1442" s="2"/>
      <c r="E1442" s="2"/>
      <c r="F1442" s="2"/>
      <c r="G1442" s="2"/>
      <c r="H1442" s="2"/>
      <c r="I1442" s="2"/>
      <c r="J1442" s="2"/>
      <c r="K1442" s="2"/>
      <c r="L1442" s="2"/>
      <c r="M1442" s="2"/>
    </row>
    <row r="1443" spans="1:13" x14ac:dyDescent="0.2">
      <c r="A1443" s="2"/>
      <c r="B1443" s="2"/>
      <c r="C1443" s="2"/>
      <c r="D1443" s="2"/>
      <c r="E1443" s="2"/>
      <c r="F1443" s="2"/>
      <c r="G1443" s="2"/>
      <c r="H1443" s="2"/>
      <c r="I1443" s="2"/>
      <c r="J1443" s="2"/>
      <c r="K1443" s="2"/>
      <c r="L1443" s="2"/>
      <c r="M1443" s="2"/>
    </row>
    <row r="1444" spans="1:13" x14ac:dyDescent="0.2">
      <c r="A1444" s="2"/>
      <c r="B1444" s="2"/>
      <c r="C1444" s="2"/>
      <c r="D1444" s="2"/>
      <c r="E1444" s="2"/>
      <c r="F1444" s="2"/>
      <c r="G1444" s="2"/>
      <c r="H1444" s="2"/>
      <c r="I1444" s="2"/>
      <c r="J1444" s="2"/>
      <c r="K1444" s="2"/>
      <c r="L1444" s="2"/>
      <c r="M1444" s="2"/>
    </row>
    <row r="1445" spans="1:13" x14ac:dyDescent="0.2">
      <c r="A1445" s="2"/>
      <c r="B1445" s="2"/>
      <c r="C1445" s="2"/>
      <c r="D1445" s="2"/>
      <c r="E1445" s="2"/>
      <c r="F1445" s="2"/>
      <c r="G1445" s="2"/>
      <c r="H1445" s="2"/>
      <c r="I1445" s="2"/>
      <c r="J1445" s="2"/>
      <c r="K1445" s="2"/>
      <c r="L1445" s="2"/>
      <c r="M1445" s="2"/>
    </row>
    <row r="1446" spans="1:13" x14ac:dyDescent="0.2">
      <c r="A1446" s="2"/>
      <c r="B1446" s="2"/>
      <c r="C1446" s="2"/>
      <c r="D1446" s="2"/>
      <c r="E1446" s="2"/>
      <c r="F1446" s="2"/>
      <c r="G1446" s="2"/>
      <c r="H1446" s="2"/>
      <c r="I1446" s="2"/>
      <c r="J1446" s="2"/>
      <c r="K1446" s="2"/>
      <c r="L1446" s="2"/>
      <c r="M1446" s="2"/>
    </row>
    <row r="1447" spans="1:13" x14ac:dyDescent="0.2">
      <c r="A1447" s="2"/>
      <c r="B1447" s="2"/>
      <c r="C1447" s="2"/>
      <c r="D1447" s="2"/>
      <c r="E1447" s="2"/>
      <c r="F1447" s="2"/>
      <c r="G1447" s="2"/>
      <c r="H1447" s="2"/>
      <c r="I1447" s="2"/>
      <c r="J1447" s="2"/>
      <c r="K1447" s="2"/>
      <c r="L1447" s="2"/>
      <c r="M1447" s="2"/>
    </row>
    <row r="1448" spans="1:13" x14ac:dyDescent="0.2">
      <c r="A1448" s="2"/>
      <c r="B1448" s="2"/>
      <c r="C1448" s="2"/>
      <c r="D1448" s="2"/>
      <c r="E1448" s="2"/>
      <c r="F1448" s="2"/>
      <c r="G1448" s="2"/>
      <c r="H1448" s="2"/>
      <c r="I1448" s="2"/>
      <c r="J1448" s="2"/>
      <c r="K1448" s="2"/>
      <c r="L1448" s="2"/>
      <c r="M1448" s="2"/>
    </row>
    <row r="1449" spans="1:13" x14ac:dyDescent="0.2">
      <c r="A1449" s="2"/>
      <c r="B1449" s="2"/>
      <c r="C1449" s="2"/>
      <c r="D1449" s="2"/>
      <c r="E1449" s="2"/>
      <c r="F1449" s="2"/>
      <c r="G1449" s="2"/>
      <c r="H1449" s="2"/>
      <c r="I1449" s="2"/>
      <c r="J1449" s="2"/>
      <c r="K1449" s="2"/>
      <c r="L1449" s="2"/>
      <c r="M1449" s="2"/>
    </row>
    <row r="1450" spans="1:13" x14ac:dyDescent="0.2">
      <c r="A1450" s="2"/>
      <c r="B1450" s="2"/>
      <c r="C1450" s="2"/>
      <c r="D1450" s="2"/>
      <c r="E1450" s="2"/>
      <c r="F1450" s="2"/>
      <c r="G1450" s="2"/>
      <c r="H1450" s="2"/>
      <c r="I1450" s="2"/>
      <c r="J1450" s="2"/>
      <c r="K1450" s="2"/>
      <c r="L1450" s="2"/>
      <c r="M1450" s="2"/>
    </row>
    <row r="1451" spans="1:13" x14ac:dyDescent="0.2">
      <c r="A1451" s="2"/>
      <c r="B1451" s="2"/>
      <c r="C1451" s="2"/>
      <c r="D1451" s="2"/>
      <c r="E1451" s="2"/>
      <c r="F1451" s="2"/>
      <c r="G1451" s="2"/>
      <c r="H1451" s="2"/>
      <c r="I1451" s="2"/>
      <c r="J1451" s="2"/>
      <c r="K1451" s="2"/>
      <c r="L1451" s="2"/>
      <c r="M1451" s="2"/>
    </row>
    <row r="1452" spans="1:13" x14ac:dyDescent="0.2">
      <c r="A1452" s="2"/>
      <c r="B1452" s="2"/>
      <c r="C1452" s="2"/>
      <c r="D1452" s="2"/>
      <c r="E1452" s="2"/>
      <c r="F1452" s="2"/>
      <c r="G1452" s="2"/>
      <c r="H1452" s="2"/>
      <c r="I1452" s="2"/>
      <c r="J1452" s="2"/>
      <c r="K1452" s="2"/>
      <c r="L1452" s="2"/>
      <c r="M1452" s="2"/>
    </row>
    <row r="1453" spans="1:13" x14ac:dyDescent="0.2">
      <c r="A1453" s="2"/>
      <c r="B1453" s="2"/>
      <c r="C1453" s="2"/>
      <c r="D1453" s="2"/>
      <c r="E1453" s="2"/>
      <c r="F1453" s="2"/>
      <c r="G1453" s="2"/>
      <c r="H1453" s="2"/>
      <c r="I1453" s="2"/>
      <c r="J1453" s="2"/>
      <c r="K1453" s="2"/>
      <c r="L1453" s="2"/>
      <c r="M1453" s="2"/>
    </row>
    <row r="1454" spans="1:13" x14ac:dyDescent="0.2">
      <c r="A1454" s="2"/>
      <c r="B1454" s="2"/>
      <c r="C1454" s="2"/>
      <c r="D1454" s="2"/>
      <c r="E1454" s="2"/>
      <c r="F1454" s="2"/>
      <c r="G1454" s="2"/>
      <c r="H1454" s="2"/>
      <c r="I1454" s="2"/>
      <c r="J1454" s="2"/>
      <c r="K1454" s="2"/>
      <c r="L1454" s="2"/>
      <c r="M1454" s="2"/>
    </row>
    <row r="1455" spans="1:13" x14ac:dyDescent="0.2">
      <c r="A1455" s="2"/>
      <c r="B1455" s="2"/>
      <c r="C1455" s="2"/>
      <c r="D1455" s="2"/>
      <c r="E1455" s="2"/>
      <c r="F1455" s="2"/>
      <c r="G1455" s="2"/>
      <c r="H1455" s="2"/>
      <c r="I1455" s="2"/>
      <c r="J1455" s="2"/>
      <c r="K1455" s="2"/>
      <c r="L1455" s="2"/>
      <c r="M1455" s="2"/>
    </row>
    <row r="1456" spans="1:13" x14ac:dyDescent="0.2">
      <c r="A1456" s="2"/>
      <c r="B1456" s="2"/>
      <c r="C1456" s="2"/>
      <c r="D1456" s="2"/>
      <c r="E1456" s="2"/>
      <c r="F1456" s="2"/>
      <c r="G1456" s="2"/>
      <c r="H1456" s="2"/>
      <c r="I1456" s="2"/>
      <c r="J1456" s="2"/>
      <c r="K1456" s="2"/>
      <c r="L1456" s="2"/>
      <c r="M1456" s="2"/>
    </row>
    <row r="1457" spans="1:13" x14ac:dyDescent="0.2">
      <c r="A1457" s="2"/>
      <c r="B1457" s="2"/>
      <c r="C1457" s="2"/>
      <c r="D1457" s="2"/>
      <c r="E1457" s="2"/>
      <c r="F1457" s="2"/>
      <c r="G1457" s="2"/>
      <c r="H1457" s="2"/>
      <c r="I1457" s="2"/>
      <c r="J1457" s="2"/>
      <c r="K1457" s="2"/>
      <c r="L1457" s="2"/>
      <c r="M1457" s="2"/>
    </row>
    <row r="1458" spans="1:13" x14ac:dyDescent="0.2">
      <c r="A1458" s="2"/>
      <c r="B1458" s="2"/>
      <c r="C1458" s="2"/>
      <c r="D1458" s="2"/>
      <c r="E1458" s="2"/>
      <c r="F1458" s="2"/>
      <c r="G1458" s="2"/>
      <c r="H1458" s="2"/>
      <c r="I1458" s="2"/>
      <c r="J1458" s="2"/>
      <c r="K1458" s="2"/>
      <c r="L1458" s="2"/>
      <c r="M1458" s="2"/>
    </row>
    <row r="1459" spans="1:13" x14ac:dyDescent="0.2">
      <c r="A1459" s="2"/>
      <c r="B1459" s="2"/>
      <c r="C1459" s="2"/>
      <c r="D1459" s="2"/>
      <c r="E1459" s="2"/>
      <c r="F1459" s="2"/>
      <c r="G1459" s="2"/>
      <c r="H1459" s="2"/>
      <c r="I1459" s="2"/>
      <c r="J1459" s="2"/>
      <c r="K1459" s="2"/>
      <c r="L1459" s="2"/>
      <c r="M1459" s="2"/>
    </row>
    <row r="1460" spans="1:13" x14ac:dyDescent="0.2">
      <c r="A1460" s="2"/>
      <c r="B1460" s="2"/>
      <c r="C1460" s="2"/>
      <c r="D1460" s="2"/>
      <c r="E1460" s="2"/>
      <c r="F1460" s="2"/>
      <c r="G1460" s="2"/>
      <c r="H1460" s="2"/>
      <c r="I1460" s="2"/>
      <c r="J1460" s="2"/>
      <c r="K1460" s="2"/>
      <c r="L1460" s="2"/>
      <c r="M1460" s="2"/>
    </row>
    <row r="1461" spans="1:13" x14ac:dyDescent="0.2">
      <c r="A1461" s="2"/>
      <c r="B1461" s="2"/>
      <c r="C1461" s="2"/>
      <c r="D1461" s="2"/>
      <c r="E1461" s="2"/>
      <c r="F1461" s="2"/>
      <c r="G1461" s="2"/>
      <c r="H1461" s="2"/>
      <c r="I1461" s="2"/>
      <c r="J1461" s="2"/>
      <c r="K1461" s="2"/>
      <c r="L1461" s="2"/>
      <c r="M1461" s="2"/>
    </row>
    <row r="1462" spans="1:13" x14ac:dyDescent="0.2">
      <c r="A1462" s="2"/>
      <c r="B1462" s="2"/>
      <c r="C1462" s="2"/>
      <c r="D1462" s="2"/>
      <c r="E1462" s="2"/>
      <c r="F1462" s="2"/>
      <c r="G1462" s="2"/>
      <c r="H1462" s="2"/>
      <c r="I1462" s="2"/>
      <c r="J1462" s="2"/>
      <c r="K1462" s="2"/>
      <c r="L1462" s="2"/>
      <c r="M1462" s="2"/>
    </row>
    <row r="1463" spans="1:13" x14ac:dyDescent="0.2">
      <c r="A1463" s="2"/>
      <c r="B1463" s="2"/>
      <c r="C1463" s="2"/>
      <c r="D1463" s="2"/>
      <c r="E1463" s="2"/>
      <c r="F1463" s="2"/>
      <c r="G1463" s="2"/>
      <c r="H1463" s="2"/>
      <c r="I1463" s="2"/>
      <c r="J1463" s="2"/>
      <c r="K1463" s="2"/>
      <c r="L1463" s="2"/>
      <c r="M1463" s="2"/>
    </row>
    <row r="1464" spans="1:13" x14ac:dyDescent="0.2">
      <c r="A1464" s="2"/>
      <c r="B1464" s="2"/>
      <c r="C1464" s="2"/>
      <c r="D1464" s="2"/>
      <c r="E1464" s="2"/>
      <c r="F1464" s="2"/>
      <c r="G1464" s="2"/>
      <c r="H1464" s="2"/>
      <c r="I1464" s="2"/>
      <c r="J1464" s="2"/>
      <c r="K1464" s="2"/>
      <c r="L1464" s="2"/>
      <c r="M1464" s="2"/>
    </row>
    <row r="1465" spans="1:13" x14ac:dyDescent="0.2">
      <c r="A1465" s="2"/>
      <c r="B1465" s="2"/>
      <c r="C1465" s="2"/>
      <c r="D1465" s="2"/>
      <c r="E1465" s="2"/>
      <c r="F1465" s="2"/>
      <c r="G1465" s="2"/>
      <c r="H1465" s="2"/>
      <c r="I1465" s="2"/>
      <c r="J1465" s="2"/>
      <c r="K1465" s="2"/>
      <c r="L1465" s="2"/>
      <c r="M1465" s="2"/>
    </row>
    <row r="1466" spans="1:13" x14ac:dyDescent="0.2">
      <c r="A1466" s="2"/>
      <c r="B1466" s="2"/>
      <c r="C1466" s="2"/>
      <c r="D1466" s="2"/>
      <c r="E1466" s="2"/>
      <c r="F1466" s="2"/>
      <c r="G1466" s="2"/>
      <c r="H1466" s="2"/>
      <c r="I1466" s="2"/>
      <c r="J1466" s="2"/>
      <c r="K1466" s="2"/>
      <c r="L1466" s="2"/>
      <c r="M1466" s="2"/>
    </row>
    <row r="1467" spans="1:13" x14ac:dyDescent="0.2">
      <c r="A1467" s="2"/>
      <c r="B1467" s="2"/>
      <c r="C1467" s="2"/>
      <c r="D1467" s="2"/>
      <c r="E1467" s="2"/>
      <c r="F1467" s="2"/>
      <c r="G1467" s="2"/>
      <c r="H1467" s="2"/>
      <c r="I1467" s="2"/>
      <c r="J1467" s="2"/>
      <c r="K1467" s="2"/>
      <c r="L1467" s="2"/>
      <c r="M1467" s="2"/>
    </row>
    <row r="1468" spans="1:13" x14ac:dyDescent="0.2">
      <c r="A1468" s="2"/>
      <c r="B1468" s="2"/>
      <c r="C1468" s="2"/>
      <c r="D1468" s="2"/>
      <c r="E1468" s="2"/>
      <c r="F1468" s="2"/>
      <c r="G1468" s="2"/>
      <c r="H1468" s="2"/>
      <c r="I1468" s="2"/>
      <c r="J1468" s="2"/>
      <c r="K1468" s="2"/>
      <c r="L1468" s="2"/>
      <c r="M1468" s="2"/>
    </row>
    <row r="1469" spans="1:13" x14ac:dyDescent="0.2">
      <c r="A1469" s="2"/>
      <c r="B1469" s="2"/>
      <c r="C1469" s="2"/>
      <c r="D1469" s="2"/>
      <c r="E1469" s="2"/>
      <c r="F1469" s="2"/>
      <c r="G1469" s="2"/>
      <c r="H1469" s="2"/>
      <c r="I1469" s="2"/>
      <c r="J1469" s="2"/>
      <c r="K1469" s="2"/>
      <c r="L1469" s="2"/>
      <c r="M1469" s="2"/>
    </row>
    <row r="1470" spans="1:13" x14ac:dyDescent="0.2">
      <c r="A1470" s="2"/>
      <c r="B1470" s="2"/>
      <c r="C1470" s="2"/>
      <c r="D1470" s="2"/>
      <c r="E1470" s="2"/>
      <c r="F1470" s="2"/>
      <c r="G1470" s="2"/>
      <c r="H1470" s="2"/>
      <c r="I1470" s="2"/>
      <c r="J1470" s="2"/>
      <c r="K1470" s="2"/>
      <c r="L1470" s="2"/>
      <c r="M1470" s="2"/>
    </row>
    <row r="1471" spans="1:13" x14ac:dyDescent="0.2">
      <c r="A1471" s="2"/>
      <c r="B1471" s="2"/>
      <c r="C1471" s="2"/>
      <c r="D1471" s="2"/>
      <c r="E1471" s="2"/>
      <c r="F1471" s="2"/>
      <c r="G1471" s="2"/>
      <c r="H1471" s="2"/>
      <c r="I1471" s="2"/>
      <c r="J1471" s="2"/>
      <c r="K1471" s="2"/>
      <c r="L1471" s="2"/>
      <c r="M1471" s="2"/>
    </row>
    <row r="1472" spans="1:13" x14ac:dyDescent="0.2">
      <c r="A1472" s="2"/>
      <c r="B1472" s="2"/>
      <c r="C1472" s="2"/>
      <c r="D1472" s="2"/>
      <c r="E1472" s="2"/>
      <c r="F1472" s="2"/>
      <c r="G1472" s="2"/>
      <c r="H1472" s="2"/>
      <c r="I1472" s="2"/>
      <c r="J1472" s="2"/>
      <c r="K1472" s="2"/>
      <c r="L1472" s="2"/>
      <c r="M1472" s="2"/>
    </row>
    <row r="1473" spans="1:13" x14ac:dyDescent="0.2">
      <c r="A1473" s="2"/>
      <c r="B1473" s="2"/>
      <c r="C1473" s="2"/>
      <c r="D1473" s="2"/>
      <c r="E1473" s="2"/>
      <c r="F1473" s="2"/>
      <c r="G1473" s="2"/>
      <c r="H1473" s="2"/>
      <c r="I1473" s="2"/>
      <c r="J1473" s="2"/>
      <c r="K1473" s="2"/>
      <c r="L1473" s="2"/>
      <c r="M1473" s="2"/>
    </row>
    <row r="1474" spans="1:13" x14ac:dyDescent="0.2">
      <c r="A1474" s="2"/>
      <c r="B1474" s="2"/>
      <c r="C1474" s="2"/>
      <c r="D1474" s="2"/>
      <c r="E1474" s="2"/>
      <c r="F1474" s="2"/>
      <c r="G1474" s="2"/>
      <c r="H1474" s="2"/>
      <c r="I1474" s="2"/>
      <c r="J1474" s="2"/>
      <c r="K1474" s="2"/>
      <c r="L1474" s="2"/>
      <c r="M1474" s="2"/>
    </row>
    <row r="1475" spans="1:13" x14ac:dyDescent="0.2">
      <c r="A1475" s="2"/>
      <c r="B1475" s="2"/>
      <c r="C1475" s="2"/>
      <c r="D1475" s="2"/>
      <c r="E1475" s="2"/>
      <c r="F1475" s="2"/>
      <c r="G1475" s="2"/>
      <c r="H1475" s="2"/>
      <c r="I1475" s="2"/>
      <c r="J1475" s="2"/>
      <c r="K1475" s="2"/>
      <c r="L1475" s="2"/>
      <c r="M1475" s="2"/>
    </row>
    <row r="1476" spans="1:13" x14ac:dyDescent="0.2">
      <c r="A1476" s="2"/>
      <c r="B1476" s="2"/>
      <c r="C1476" s="2"/>
      <c r="D1476" s="2"/>
      <c r="E1476" s="2"/>
      <c r="F1476" s="2"/>
      <c r="G1476" s="2"/>
      <c r="H1476" s="2"/>
      <c r="I1476" s="2"/>
      <c r="J1476" s="2"/>
      <c r="K1476" s="2"/>
      <c r="L1476" s="2"/>
      <c r="M1476" s="2"/>
    </row>
    <row r="1477" spans="1:13" x14ac:dyDescent="0.2">
      <c r="A1477" s="2"/>
      <c r="B1477" s="2"/>
      <c r="C1477" s="2"/>
      <c r="D1477" s="2"/>
      <c r="E1477" s="2"/>
      <c r="F1477" s="2"/>
      <c r="G1477" s="2"/>
      <c r="H1477" s="2"/>
      <c r="I1477" s="2"/>
      <c r="J1477" s="2"/>
      <c r="K1477" s="2"/>
      <c r="L1477" s="2"/>
      <c r="M1477" s="2"/>
    </row>
    <row r="1478" spans="1:13" x14ac:dyDescent="0.2">
      <c r="A1478" s="2"/>
      <c r="B1478" s="2"/>
      <c r="C1478" s="2"/>
      <c r="D1478" s="2"/>
      <c r="E1478" s="2"/>
      <c r="F1478" s="2"/>
      <c r="G1478" s="2"/>
      <c r="H1478" s="2"/>
      <c r="I1478" s="2"/>
      <c r="J1478" s="2"/>
      <c r="K1478" s="2"/>
      <c r="L1478" s="2"/>
      <c r="M1478" s="2"/>
    </row>
    <row r="1479" spans="1:13" x14ac:dyDescent="0.2">
      <c r="A1479" s="2"/>
      <c r="B1479" s="2"/>
      <c r="C1479" s="2"/>
      <c r="D1479" s="2"/>
      <c r="E1479" s="2"/>
      <c r="F1479" s="2"/>
      <c r="G1479" s="2"/>
      <c r="H1479" s="2"/>
      <c r="I1479" s="2"/>
      <c r="J1479" s="2"/>
      <c r="K1479" s="2"/>
      <c r="L1479" s="2"/>
      <c r="M1479" s="2"/>
    </row>
    <row r="1480" spans="1:13" x14ac:dyDescent="0.2">
      <c r="A1480" s="2"/>
      <c r="B1480" s="2"/>
      <c r="C1480" s="2"/>
      <c r="D1480" s="2"/>
      <c r="E1480" s="2"/>
      <c r="F1480" s="2"/>
      <c r="G1480" s="2"/>
      <c r="H1480" s="2"/>
      <c r="I1480" s="2"/>
      <c r="J1480" s="2"/>
      <c r="K1480" s="2"/>
      <c r="L1480" s="2"/>
      <c r="M1480" s="2"/>
    </row>
    <row r="1481" spans="1:13" x14ac:dyDescent="0.2">
      <c r="A1481" s="2"/>
      <c r="B1481" s="2"/>
      <c r="C1481" s="2"/>
      <c r="D1481" s="2"/>
      <c r="E1481" s="2"/>
      <c r="F1481" s="2"/>
      <c r="G1481" s="2"/>
      <c r="H1481" s="2"/>
      <c r="I1481" s="2"/>
      <c r="J1481" s="2"/>
      <c r="K1481" s="2"/>
      <c r="L1481" s="2"/>
      <c r="M1481" s="2"/>
    </row>
    <row r="1482" spans="1:13" x14ac:dyDescent="0.2">
      <c r="A1482" s="2"/>
      <c r="B1482" s="2"/>
      <c r="C1482" s="2"/>
      <c r="D1482" s="2"/>
      <c r="E1482" s="2"/>
      <c r="F1482" s="2"/>
      <c r="G1482" s="2"/>
      <c r="H1482" s="2"/>
      <c r="I1482" s="2"/>
      <c r="J1482" s="2"/>
      <c r="K1482" s="2"/>
      <c r="L1482" s="2"/>
      <c r="M1482" s="2"/>
    </row>
    <row r="1483" spans="1:13" x14ac:dyDescent="0.2">
      <c r="A1483" s="2"/>
      <c r="B1483" s="2"/>
      <c r="C1483" s="2"/>
      <c r="D1483" s="2"/>
      <c r="E1483" s="2"/>
      <c r="F1483" s="2"/>
      <c r="G1483" s="2"/>
      <c r="H1483" s="2"/>
      <c r="I1483" s="2"/>
      <c r="J1483" s="2"/>
      <c r="K1483" s="2"/>
      <c r="L1483" s="2"/>
      <c r="M1483" s="2"/>
    </row>
    <row r="1484" spans="1:13" x14ac:dyDescent="0.2">
      <c r="A1484" s="2"/>
      <c r="B1484" s="2"/>
      <c r="C1484" s="2"/>
      <c r="D1484" s="2"/>
      <c r="E1484" s="2"/>
      <c r="F1484" s="2"/>
      <c r="G1484" s="2"/>
      <c r="H1484" s="2"/>
      <c r="I1484" s="2"/>
      <c r="J1484" s="2"/>
      <c r="K1484" s="2"/>
      <c r="L1484" s="2"/>
      <c r="M1484" s="2"/>
    </row>
    <row r="1485" spans="1:13" x14ac:dyDescent="0.2">
      <c r="A1485" s="2"/>
      <c r="B1485" s="2"/>
      <c r="C1485" s="2"/>
      <c r="D1485" s="2"/>
      <c r="E1485" s="2"/>
      <c r="F1485" s="2"/>
      <c r="G1485" s="2"/>
      <c r="H1485" s="2"/>
      <c r="I1485" s="2"/>
      <c r="J1485" s="2"/>
      <c r="K1485" s="2"/>
      <c r="L1485" s="2"/>
      <c r="M1485" s="2"/>
    </row>
    <row r="1486" spans="1:13" x14ac:dyDescent="0.2">
      <c r="A1486" s="2"/>
      <c r="B1486" s="2"/>
      <c r="C1486" s="2"/>
      <c r="D1486" s="2"/>
      <c r="E1486" s="2"/>
      <c r="F1486" s="2"/>
      <c r="G1486" s="2"/>
      <c r="H1486" s="2"/>
      <c r="I1486" s="2"/>
      <c r="J1486" s="2"/>
      <c r="K1486" s="2"/>
      <c r="L1486" s="2"/>
      <c r="M1486" s="2"/>
    </row>
    <row r="1487" spans="1:13" x14ac:dyDescent="0.2">
      <c r="A1487" s="2"/>
      <c r="B1487" s="2"/>
      <c r="C1487" s="2"/>
      <c r="D1487" s="2"/>
      <c r="E1487" s="2"/>
      <c r="F1487" s="2"/>
      <c r="G1487" s="2"/>
      <c r="H1487" s="2"/>
      <c r="I1487" s="2"/>
      <c r="J1487" s="2"/>
      <c r="K1487" s="2"/>
      <c r="L1487" s="2"/>
      <c r="M1487" s="2"/>
    </row>
    <row r="1488" spans="1:13" x14ac:dyDescent="0.2">
      <c r="A1488" s="2"/>
      <c r="B1488" s="2"/>
      <c r="C1488" s="2"/>
      <c r="D1488" s="2"/>
      <c r="E1488" s="2"/>
      <c r="F1488" s="2"/>
      <c r="G1488" s="2"/>
      <c r="H1488" s="2"/>
      <c r="I1488" s="2"/>
      <c r="J1488" s="2"/>
      <c r="K1488" s="2"/>
      <c r="L1488" s="2"/>
      <c r="M1488" s="2"/>
    </row>
    <row r="1489" spans="1:13" x14ac:dyDescent="0.2">
      <c r="A1489" s="2"/>
      <c r="B1489" s="2"/>
      <c r="C1489" s="2"/>
      <c r="D1489" s="2"/>
      <c r="E1489" s="2"/>
      <c r="F1489" s="2"/>
      <c r="G1489" s="2"/>
      <c r="H1489" s="2"/>
      <c r="I1489" s="2"/>
      <c r="J1489" s="2"/>
      <c r="K1489" s="2"/>
      <c r="L1489" s="2"/>
      <c r="M1489" s="2"/>
    </row>
    <row r="1490" spans="1:13" x14ac:dyDescent="0.2">
      <c r="A1490" s="2"/>
      <c r="B1490" s="2"/>
      <c r="C1490" s="2"/>
      <c r="D1490" s="2"/>
      <c r="E1490" s="2"/>
      <c r="F1490" s="2"/>
      <c r="G1490" s="2"/>
      <c r="H1490" s="2"/>
      <c r="I1490" s="2"/>
      <c r="J1490" s="2"/>
      <c r="K1490" s="2"/>
      <c r="L1490" s="2"/>
      <c r="M1490" s="2"/>
    </row>
    <row r="1491" spans="1:13" x14ac:dyDescent="0.2">
      <c r="A1491" s="2"/>
      <c r="B1491" s="2"/>
      <c r="C1491" s="2"/>
      <c r="D1491" s="2"/>
      <c r="E1491" s="2"/>
      <c r="F1491" s="2"/>
      <c r="G1491" s="2"/>
      <c r="H1491" s="2"/>
      <c r="I1491" s="2"/>
      <c r="J1491" s="2"/>
      <c r="K1491" s="2"/>
      <c r="L1491" s="2"/>
      <c r="M1491" s="2"/>
    </row>
    <row r="1492" spans="1:13" x14ac:dyDescent="0.2">
      <c r="A1492" s="2"/>
      <c r="B1492" s="2"/>
      <c r="C1492" s="2"/>
      <c r="D1492" s="2"/>
      <c r="E1492" s="2"/>
      <c r="F1492" s="2"/>
      <c r="G1492" s="2"/>
      <c r="H1492" s="2"/>
      <c r="I1492" s="2"/>
      <c r="J1492" s="2"/>
      <c r="K1492" s="2"/>
      <c r="L1492" s="2"/>
      <c r="M1492" s="2"/>
    </row>
    <row r="1493" spans="1:13" x14ac:dyDescent="0.2">
      <c r="A1493" s="2"/>
      <c r="B1493" s="2"/>
      <c r="C1493" s="2"/>
      <c r="D1493" s="2"/>
      <c r="E1493" s="2"/>
      <c r="F1493" s="2"/>
      <c r="G1493" s="2"/>
      <c r="H1493" s="2"/>
      <c r="I1493" s="2"/>
      <c r="J1493" s="2"/>
      <c r="K1493" s="2"/>
      <c r="L1493" s="2"/>
      <c r="M1493" s="2"/>
    </row>
    <row r="1494" spans="1:13" x14ac:dyDescent="0.2">
      <c r="A1494" s="2"/>
      <c r="B1494" s="2"/>
      <c r="C1494" s="2"/>
      <c r="D1494" s="2"/>
      <c r="E1494" s="2"/>
      <c r="F1494" s="2"/>
      <c r="G1494" s="2"/>
      <c r="H1494" s="2"/>
      <c r="I1494" s="2"/>
      <c r="J1494" s="2"/>
      <c r="K1494" s="2"/>
      <c r="L1494" s="2"/>
      <c r="M1494" s="2"/>
    </row>
    <row r="1495" spans="1:13" x14ac:dyDescent="0.2">
      <c r="A1495" s="2"/>
      <c r="B1495" s="2"/>
      <c r="C1495" s="2"/>
      <c r="D1495" s="2"/>
      <c r="E1495" s="2"/>
      <c r="F1495" s="2"/>
      <c r="G1495" s="2"/>
      <c r="H1495" s="2"/>
      <c r="I1495" s="2"/>
      <c r="J1495" s="2"/>
      <c r="K1495" s="2"/>
      <c r="L1495" s="2"/>
      <c r="M1495" s="2"/>
    </row>
    <row r="1496" spans="1:13" x14ac:dyDescent="0.2">
      <c r="A1496" s="2"/>
      <c r="B1496" s="2"/>
      <c r="C1496" s="2"/>
      <c r="D1496" s="2"/>
      <c r="E1496" s="2"/>
      <c r="F1496" s="2"/>
      <c r="G1496" s="2"/>
      <c r="H1496" s="2"/>
      <c r="I1496" s="2"/>
      <c r="J1496" s="2"/>
      <c r="K1496" s="2"/>
      <c r="L1496" s="2"/>
      <c r="M1496" s="2"/>
    </row>
    <row r="1497" spans="1:13" x14ac:dyDescent="0.2">
      <c r="A1497" s="2"/>
      <c r="B1497" s="2"/>
      <c r="C1497" s="2"/>
      <c r="D1497" s="2"/>
      <c r="E1497" s="2"/>
      <c r="F1497" s="2"/>
      <c r="G1497" s="2"/>
      <c r="H1497" s="2"/>
      <c r="I1497" s="2"/>
      <c r="J1497" s="2"/>
      <c r="K1497" s="2"/>
      <c r="L1497" s="2"/>
      <c r="M1497" s="2"/>
    </row>
    <row r="1498" spans="1:13" x14ac:dyDescent="0.2">
      <c r="A1498" s="2"/>
      <c r="B1498" s="2"/>
      <c r="C1498" s="2"/>
      <c r="D1498" s="2"/>
      <c r="E1498" s="2"/>
      <c r="F1498" s="2"/>
      <c r="G1498" s="2"/>
      <c r="H1498" s="2"/>
      <c r="I1498" s="2"/>
      <c r="J1498" s="2"/>
      <c r="K1498" s="2"/>
      <c r="L1498" s="2"/>
      <c r="M1498" s="2"/>
    </row>
    <row r="1499" spans="1:13" x14ac:dyDescent="0.2">
      <c r="A1499" s="2"/>
      <c r="B1499" s="2"/>
      <c r="C1499" s="2"/>
      <c r="D1499" s="2"/>
      <c r="E1499" s="2"/>
      <c r="F1499" s="2"/>
      <c r="G1499" s="2"/>
      <c r="H1499" s="2"/>
      <c r="I1499" s="2"/>
      <c r="J1499" s="2"/>
      <c r="K1499" s="2"/>
      <c r="L1499" s="2"/>
      <c r="M1499" s="2"/>
    </row>
    <row r="1500" spans="1:13" x14ac:dyDescent="0.2">
      <c r="A1500" s="2"/>
      <c r="B1500" s="2"/>
      <c r="C1500" s="2"/>
      <c r="D1500" s="2"/>
      <c r="E1500" s="2"/>
      <c r="F1500" s="2"/>
      <c r="G1500" s="2"/>
      <c r="H1500" s="2"/>
      <c r="I1500" s="2"/>
      <c r="J1500" s="2"/>
      <c r="K1500" s="2"/>
      <c r="L1500" s="2"/>
      <c r="M1500" s="2"/>
    </row>
    <row r="1501" spans="1:13" x14ac:dyDescent="0.2">
      <c r="A1501" s="2"/>
      <c r="B1501" s="2"/>
      <c r="C1501" s="2"/>
      <c r="D1501" s="2"/>
      <c r="E1501" s="2"/>
      <c r="F1501" s="2"/>
      <c r="G1501" s="2"/>
      <c r="H1501" s="2"/>
      <c r="I1501" s="2"/>
      <c r="J1501" s="2"/>
      <c r="K1501" s="2"/>
      <c r="L1501" s="2"/>
      <c r="M1501" s="2"/>
    </row>
    <row r="1502" spans="1:13" x14ac:dyDescent="0.2">
      <c r="A1502" s="2"/>
      <c r="B1502" s="2"/>
      <c r="C1502" s="2"/>
      <c r="D1502" s="2"/>
      <c r="E1502" s="2"/>
      <c r="F1502" s="2"/>
      <c r="G1502" s="2"/>
      <c r="H1502" s="2"/>
      <c r="I1502" s="2"/>
      <c r="J1502" s="2"/>
      <c r="K1502" s="2"/>
      <c r="L1502" s="2"/>
      <c r="M1502" s="2"/>
    </row>
    <row r="1503" spans="1:13" x14ac:dyDescent="0.2">
      <c r="A1503" s="2"/>
      <c r="B1503" s="2"/>
      <c r="C1503" s="2"/>
      <c r="D1503" s="2"/>
      <c r="E1503" s="2"/>
      <c r="F1503" s="2"/>
      <c r="G1503" s="2"/>
      <c r="H1503" s="2"/>
      <c r="I1503" s="2"/>
      <c r="J1503" s="2"/>
      <c r="K1503" s="2"/>
      <c r="L1503" s="2"/>
      <c r="M1503" s="2"/>
    </row>
    <row r="1504" spans="1:13" x14ac:dyDescent="0.2">
      <c r="A1504" s="2"/>
      <c r="B1504" s="2"/>
      <c r="C1504" s="2"/>
      <c r="D1504" s="2"/>
      <c r="E1504" s="2"/>
      <c r="F1504" s="2"/>
      <c r="G1504" s="2"/>
      <c r="H1504" s="2"/>
      <c r="I1504" s="2"/>
      <c r="J1504" s="2"/>
      <c r="K1504" s="2"/>
      <c r="L1504" s="2"/>
      <c r="M1504" s="2"/>
    </row>
    <row r="1505" spans="1:13" x14ac:dyDescent="0.2">
      <c r="A1505" s="2"/>
      <c r="B1505" s="2"/>
      <c r="C1505" s="2"/>
      <c r="D1505" s="2"/>
      <c r="E1505" s="2"/>
      <c r="F1505" s="2"/>
      <c r="G1505" s="2"/>
      <c r="H1505" s="2"/>
      <c r="I1505" s="2"/>
      <c r="J1505" s="2"/>
      <c r="K1505" s="2"/>
      <c r="L1505" s="2"/>
      <c r="M1505" s="2"/>
    </row>
    <row r="1506" spans="1:13" x14ac:dyDescent="0.2">
      <c r="A1506" s="2"/>
      <c r="B1506" s="2"/>
      <c r="C1506" s="2"/>
      <c r="D1506" s="2"/>
      <c r="E1506" s="2"/>
      <c r="F1506" s="2"/>
      <c r="G1506" s="2"/>
      <c r="H1506" s="2"/>
      <c r="I1506" s="2"/>
      <c r="J1506" s="2"/>
      <c r="K1506" s="2"/>
      <c r="L1506" s="2"/>
      <c r="M1506" s="2"/>
    </row>
    <row r="1507" spans="1:13" x14ac:dyDescent="0.2">
      <c r="A1507" s="2"/>
      <c r="B1507" s="2"/>
      <c r="C1507" s="2"/>
      <c r="D1507" s="2"/>
      <c r="E1507" s="2"/>
      <c r="F1507" s="2"/>
      <c r="G1507" s="2"/>
      <c r="H1507" s="2"/>
      <c r="I1507" s="2"/>
      <c r="J1507" s="2"/>
      <c r="K1507" s="2"/>
      <c r="L1507" s="2"/>
      <c r="M1507" s="2"/>
    </row>
    <row r="1508" spans="1:13" x14ac:dyDescent="0.2">
      <c r="A1508" s="2"/>
      <c r="B1508" s="2"/>
      <c r="C1508" s="2"/>
      <c r="D1508" s="2"/>
      <c r="E1508" s="2"/>
      <c r="F1508" s="2"/>
      <c r="G1508" s="2"/>
      <c r="H1508" s="2"/>
      <c r="I1508" s="2"/>
      <c r="J1508" s="2"/>
      <c r="K1508" s="2"/>
      <c r="L1508" s="2"/>
      <c r="M1508" s="2"/>
    </row>
    <row r="1509" spans="1:13" x14ac:dyDescent="0.2">
      <c r="A1509" s="2"/>
      <c r="B1509" s="2"/>
      <c r="C1509" s="2"/>
      <c r="D1509" s="2"/>
      <c r="E1509" s="2"/>
      <c r="F1509" s="2"/>
      <c r="G1509" s="2"/>
      <c r="H1509" s="2"/>
      <c r="I1509" s="2"/>
      <c r="J1509" s="2"/>
      <c r="K1509" s="2"/>
      <c r="L1509" s="2"/>
      <c r="M1509" s="2"/>
    </row>
    <row r="1510" spans="1:13" x14ac:dyDescent="0.2">
      <c r="A1510" s="2"/>
      <c r="B1510" s="2"/>
      <c r="C1510" s="2"/>
      <c r="D1510" s="2"/>
      <c r="E1510" s="2"/>
      <c r="F1510" s="2"/>
      <c r="G1510" s="2"/>
      <c r="H1510" s="2"/>
      <c r="I1510" s="2"/>
      <c r="J1510" s="2"/>
      <c r="K1510" s="2"/>
      <c r="L1510" s="2"/>
      <c r="M1510" s="2"/>
    </row>
    <row r="1511" spans="1:13" x14ac:dyDescent="0.2">
      <c r="A1511" s="2"/>
      <c r="B1511" s="2"/>
      <c r="C1511" s="2"/>
      <c r="D1511" s="2"/>
      <c r="E1511" s="2"/>
      <c r="F1511" s="2"/>
      <c r="G1511" s="2"/>
      <c r="H1511" s="2"/>
      <c r="I1511" s="2"/>
      <c r="J1511" s="2"/>
      <c r="K1511" s="2"/>
      <c r="L1511" s="2"/>
      <c r="M1511" s="2"/>
    </row>
    <row r="1512" spans="1:13" x14ac:dyDescent="0.2">
      <c r="A1512" s="2"/>
      <c r="B1512" s="2"/>
      <c r="C1512" s="2"/>
      <c r="D1512" s="2"/>
      <c r="E1512" s="2"/>
      <c r="F1512" s="2"/>
      <c r="G1512" s="2"/>
      <c r="H1512" s="2"/>
      <c r="I1512" s="2"/>
      <c r="J1512" s="2"/>
      <c r="K1512" s="2"/>
      <c r="L1512" s="2"/>
      <c r="M1512" s="2"/>
    </row>
    <row r="1513" spans="1:13" x14ac:dyDescent="0.2">
      <c r="A1513" s="2"/>
      <c r="B1513" s="2"/>
      <c r="C1513" s="2"/>
      <c r="D1513" s="2"/>
      <c r="E1513" s="2"/>
      <c r="F1513" s="2"/>
      <c r="G1513" s="2"/>
      <c r="H1513" s="2"/>
      <c r="I1513" s="2"/>
      <c r="J1513" s="2"/>
      <c r="K1513" s="2"/>
      <c r="L1513" s="2"/>
      <c r="M1513" s="2"/>
    </row>
    <row r="1514" spans="1:13" x14ac:dyDescent="0.2">
      <c r="A1514" s="2"/>
      <c r="B1514" s="2"/>
      <c r="C1514" s="2"/>
      <c r="D1514" s="2"/>
      <c r="E1514" s="2"/>
      <c r="F1514" s="2"/>
      <c r="G1514" s="2"/>
      <c r="H1514" s="2"/>
      <c r="I1514" s="2"/>
      <c r="J1514" s="2"/>
      <c r="K1514" s="2"/>
      <c r="L1514" s="2"/>
      <c r="M1514" s="2"/>
    </row>
    <row r="1515" spans="1:13" x14ac:dyDescent="0.2">
      <c r="A1515" s="2"/>
      <c r="B1515" s="2"/>
      <c r="C1515" s="2"/>
      <c r="D1515" s="2"/>
      <c r="E1515" s="2"/>
      <c r="F1515" s="2"/>
      <c r="G1515" s="2"/>
      <c r="H1515" s="2"/>
      <c r="I1515" s="2"/>
      <c r="J1515" s="2"/>
      <c r="K1515" s="2"/>
      <c r="L1515" s="2"/>
      <c r="M1515" s="2"/>
    </row>
    <row r="1516" spans="1:13" x14ac:dyDescent="0.2">
      <c r="A1516" s="2"/>
      <c r="B1516" s="2"/>
      <c r="C1516" s="2"/>
      <c r="D1516" s="2"/>
      <c r="E1516" s="2"/>
      <c r="F1516" s="2"/>
      <c r="G1516" s="2"/>
      <c r="H1516" s="2"/>
      <c r="I1516" s="2"/>
      <c r="J1516" s="2"/>
      <c r="K1516" s="2"/>
      <c r="L1516" s="2"/>
      <c r="M1516" s="2"/>
    </row>
    <row r="1517" spans="1:13" x14ac:dyDescent="0.2">
      <c r="A1517" s="2"/>
      <c r="B1517" s="2"/>
      <c r="C1517" s="2"/>
      <c r="D1517" s="2"/>
      <c r="E1517" s="2"/>
      <c r="F1517" s="2"/>
      <c r="G1517" s="2"/>
      <c r="H1517" s="2"/>
      <c r="I1517" s="2"/>
      <c r="J1517" s="2"/>
      <c r="K1517" s="2"/>
      <c r="L1517" s="2"/>
      <c r="M1517" s="2"/>
    </row>
    <row r="1518" spans="1:13" x14ac:dyDescent="0.2">
      <c r="A1518" s="2"/>
      <c r="B1518" s="2"/>
      <c r="C1518" s="2"/>
      <c r="D1518" s="2"/>
      <c r="E1518" s="2"/>
      <c r="F1518" s="2"/>
      <c r="G1518" s="2"/>
      <c r="H1518" s="2"/>
      <c r="I1518" s="2"/>
      <c r="J1518" s="2"/>
      <c r="K1518" s="2"/>
      <c r="L1518" s="2"/>
      <c r="M1518" s="2"/>
    </row>
    <row r="1519" spans="1:13" x14ac:dyDescent="0.2">
      <c r="A1519" s="2"/>
      <c r="B1519" s="2"/>
      <c r="C1519" s="2"/>
      <c r="D1519" s="2"/>
      <c r="E1519" s="2"/>
      <c r="F1519" s="2"/>
      <c r="G1519" s="2"/>
      <c r="H1519" s="2"/>
      <c r="I1519" s="2"/>
      <c r="J1519" s="2"/>
      <c r="K1519" s="2"/>
      <c r="L1519" s="2"/>
      <c r="M1519" s="2"/>
    </row>
    <row r="1520" spans="1:13" x14ac:dyDescent="0.2">
      <c r="A1520" s="2"/>
      <c r="B1520" s="2"/>
      <c r="C1520" s="2"/>
      <c r="D1520" s="2"/>
      <c r="E1520" s="2"/>
      <c r="F1520" s="2"/>
      <c r="G1520" s="2"/>
      <c r="H1520" s="2"/>
      <c r="I1520" s="2"/>
      <c r="J1520" s="2"/>
      <c r="K1520" s="2"/>
      <c r="L1520" s="2"/>
      <c r="M1520" s="2"/>
    </row>
    <row r="1521" spans="1:13" x14ac:dyDescent="0.2">
      <c r="A1521" s="2"/>
      <c r="B1521" s="2"/>
      <c r="C1521" s="2"/>
      <c r="D1521" s="2"/>
      <c r="E1521" s="2"/>
      <c r="F1521" s="2"/>
      <c r="G1521" s="2"/>
      <c r="H1521" s="2"/>
      <c r="I1521" s="2"/>
      <c r="J1521" s="2"/>
      <c r="K1521" s="2"/>
      <c r="L1521" s="2"/>
      <c r="M1521" s="2"/>
    </row>
    <row r="1522" spans="1:13" x14ac:dyDescent="0.2">
      <c r="A1522" s="2"/>
      <c r="B1522" s="2"/>
      <c r="C1522" s="2"/>
      <c r="D1522" s="2"/>
      <c r="E1522" s="2"/>
      <c r="F1522" s="2"/>
      <c r="G1522" s="2"/>
      <c r="H1522" s="2"/>
      <c r="I1522" s="2"/>
      <c r="J1522" s="2"/>
      <c r="K1522" s="2"/>
      <c r="L1522" s="2"/>
      <c r="M1522" s="2"/>
    </row>
    <row r="1523" spans="1:13" x14ac:dyDescent="0.2">
      <c r="A1523" s="2"/>
      <c r="B1523" s="2"/>
      <c r="C1523" s="2"/>
      <c r="D1523" s="2"/>
      <c r="E1523" s="2"/>
      <c r="F1523" s="2"/>
      <c r="G1523" s="2"/>
      <c r="H1523" s="2"/>
      <c r="I1523" s="2"/>
      <c r="J1523" s="2"/>
      <c r="K1523" s="2"/>
      <c r="L1523" s="2"/>
      <c r="M1523" s="2"/>
    </row>
    <row r="1524" spans="1:13" x14ac:dyDescent="0.2">
      <c r="A1524" s="2"/>
      <c r="B1524" s="2"/>
      <c r="C1524" s="2"/>
      <c r="D1524" s="2"/>
      <c r="E1524" s="2"/>
      <c r="F1524" s="2"/>
      <c r="G1524" s="2"/>
      <c r="H1524" s="2"/>
      <c r="I1524" s="2"/>
      <c r="J1524" s="2"/>
      <c r="K1524" s="2"/>
      <c r="L1524" s="2"/>
      <c r="M1524" s="2"/>
    </row>
    <row r="1525" spans="1:13" x14ac:dyDescent="0.2">
      <c r="A1525" s="2"/>
      <c r="B1525" s="2"/>
      <c r="C1525" s="2"/>
      <c r="D1525" s="2"/>
      <c r="E1525" s="2"/>
      <c r="F1525" s="2"/>
      <c r="G1525" s="2"/>
      <c r="H1525" s="2"/>
      <c r="I1525" s="2"/>
      <c r="J1525" s="2"/>
      <c r="K1525" s="2"/>
      <c r="L1525" s="2"/>
      <c r="M1525" s="2"/>
    </row>
    <row r="1526" spans="1:13" x14ac:dyDescent="0.2">
      <c r="A1526" s="2"/>
      <c r="B1526" s="2"/>
      <c r="C1526" s="2"/>
      <c r="D1526" s="2"/>
      <c r="E1526" s="2"/>
      <c r="F1526" s="2"/>
      <c r="G1526" s="2"/>
      <c r="H1526" s="2"/>
      <c r="I1526" s="2"/>
      <c r="J1526" s="2"/>
      <c r="K1526" s="2"/>
      <c r="L1526" s="2"/>
      <c r="M1526" s="2"/>
    </row>
    <row r="1527" spans="1:13" x14ac:dyDescent="0.2">
      <c r="A1527" s="2"/>
      <c r="B1527" s="2"/>
      <c r="C1527" s="2"/>
      <c r="D1527" s="2"/>
      <c r="E1527" s="2"/>
      <c r="F1527" s="2"/>
      <c r="G1527" s="2"/>
      <c r="H1527" s="2"/>
      <c r="I1527" s="2"/>
      <c r="J1527" s="2"/>
      <c r="K1527" s="2"/>
      <c r="L1527" s="2"/>
      <c r="M1527" s="2"/>
    </row>
    <row r="1528" spans="1:13" x14ac:dyDescent="0.2">
      <c r="A1528" s="2"/>
      <c r="B1528" s="2"/>
      <c r="C1528" s="2"/>
      <c r="D1528" s="2"/>
      <c r="E1528" s="2"/>
      <c r="F1528" s="2"/>
      <c r="G1528" s="2"/>
      <c r="H1528" s="2"/>
      <c r="I1528" s="2"/>
      <c r="J1528" s="2"/>
      <c r="K1528" s="2"/>
      <c r="L1528" s="2"/>
      <c r="M1528" s="2"/>
    </row>
    <row r="1529" spans="1:13" x14ac:dyDescent="0.2">
      <c r="A1529" s="2"/>
      <c r="B1529" s="2"/>
      <c r="C1529" s="2"/>
      <c r="D1529" s="2"/>
      <c r="E1529" s="2"/>
      <c r="F1529" s="2"/>
      <c r="G1529" s="2"/>
      <c r="H1529" s="2"/>
      <c r="I1529" s="2"/>
      <c r="J1529" s="2"/>
      <c r="K1529" s="2"/>
      <c r="L1529" s="2"/>
      <c r="M1529" s="2"/>
    </row>
    <row r="1530" spans="1:13" x14ac:dyDescent="0.2">
      <c r="A1530" s="2"/>
      <c r="B1530" s="2"/>
      <c r="C1530" s="2"/>
      <c r="D1530" s="2"/>
      <c r="E1530" s="2"/>
      <c r="F1530" s="2"/>
      <c r="G1530" s="2"/>
      <c r="H1530" s="2"/>
      <c r="I1530" s="2"/>
      <c r="J1530" s="2"/>
      <c r="K1530" s="2"/>
      <c r="L1530" s="2"/>
      <c r="M1530" s="2"/>
    </row>
    <row r="1531" spans="1:13" x14ac:dyDescent="0.2">
      <c r="A1531" s="2"/>
      <c r="B1531" s="2"/>
      <c r="C1531" s="2"/>
      <c r="D1531" s="2"/>
      <c r="E1531" s="2"/>
      <c r="F1531" s="2"/>
      <c r="G1531" s="2"/>
      <c r="H1531" s="2"/>
      <c r="I1531" s="2"/>
      <c r="J1531" s="2"/>
      <c r="K1531" s="2"/>
      <c r="L1531" s="2"/>
      <c r="M1531" s="2"/>
    </row>
    <row r="1532" spans="1:13" x14ac:dyDescent="0.2">
      <c r="A1532" s="2"/>
      <c r="B1532" s="2"/>
      <c r="C1532" s="2"/>
      <c r="D1532" s="2"/>
      <c r="E1532" s="2"/>
      <c r="F1532" s="2"/>
      <c r="G1532" s="2"/>
      <c r="H1532" s="2"/>
      <c r="I1532" s="2"/>
      <c r="J1532" s="2"/>
      <c r="K1532" s="2"/>
      <c r="L1532" s="2"/>
      <c r="M1532" s="2"/>
    </row>
    <row r="1533" spans="1:13" x14ac:dyDescent="0.2">
      <c r="A1533" s="2"/>
      <c r="B1533" s="2"/>
      <c r="C1533" s="2"/>
      <c r="D1533" s="2"/>
      <c r="E1533" s="2"/>
      <c r="F1533" s="2"/>
      <c r="G1533" s="2"/>
      <c r="H1533" s="2"/>
      <c r="I1533" s="2"/>
      <c r="J1533" s="2"/>
      <c r="K1533" s="2"/>
      <c r="L1533" s="2"/>
      <c r="M1533" s="2"/>
    </row>
    <row r="1534" spans="1:13" x14ac:dyDescent="0.2">
      <c r="A1534" s="2"/>
      <c r="B1534" s="2"/>
      <c r="C1534" s="2"/>
      <c r="D1534" s="2"/>
      <c r="E1534" s="2"/>
      <c r="F1534" s="2"/>
      <c r="G1534" s="2"/>
      <c r="H1534" s="2"/>
      <c r="I1534" s="2"/>
      <c r="J1534" s="2"/>
      <c r="K1534" s="2"/>
      <c r="L1534" s="2"/>
      <c r="M1534" s="2"/>
    </row>
    <row r="1535" spans="1:13" x14ac:dyDescent="0.2">
      <c r="A1535" s="2"/>
      <c r="B1535" s="2"/>
      <c r="C1535" s="2"/>
      <c r="D1535" s="2"/>
      <c r="E1535" s="2"/>
      <c r="F1535" s="2"/>
      <c r="G1535" s="2"/>
      <c r="H1535" s="2"/>
      <c r="I1535" s="2"/>
      <c r="J1535" s="2"/>
      <c r="K1535" s="2"/>
      <c r="L1535" s="2"/>
      <c r="M1535" s="2"/>
    </row>
    <row r="1536" spans="1:13" x14ac:dyDescent="0.2">
      <c r="A1536" s="2"/>
      <c r="B1536" s="2"/>
      <c r="C1536" s="2"/>
      <c r="D1536" s="2"/>
      <c r="E1536" s="2"/>
      <c r="F1536" s="2"/>
      <c r="G1536" s="2"/>
      <c r="H1536" s="2"/>
      <c r="I1536" s="2"/>
      <c r="J1536" s="2"/>
      <c r="K1536" s="2"/>
      <c r="L1536" s="2"/>
      <c r="M1536" s="2"/>
    </row>
    <row r="1537" spans="1:13" x14ac:dyDescent="0.2">
      <c r="A1537" s="2"/>
      <c r="B1537" s="2"/>
      <c r="C1537" s="2"/>
      <c r="D1537" s="2"/>
      <c r="E1537" s="2"/>
      <c r="F1537" s="2"/>
      <c r="G1537" s="2"/>
      <c r="H1537" s="2"/>
      <c r="I1537" s="2"/>
      <c r="J1537" s="2"/>
      <c r="K1537" s="2"/>
      <c r="L1537" s="2"/>
      <c r="M1537" s="2"/>
    </row>
    <row r="1538" spans="1:13" x14ac:dyDescent="0.2">
      <c r="A1538" s="2"/>
      <c r="B1538" s="2"/>
      <c r="C1538" s="2"/>
      <c r="D1538" s="2"/>
      <c r="E1538" s="2"/>
      <c r="F1538" s="2"/>
      <c r="G1538" s="2"/>
      <c r="H1538" s="2"/>
      <c r="I1538" s="2"/>
      <c r="J1538" s="2"/>
      <c r="K1538" s="2"/>
      <c r="L1538" s="2"/>
      <c r="M1538" s="2"/>
    </row>
    <row r="1539" spans="1:13" x14ac:dyDescent="0.2">
      <c r="A1539" s="2"/>
      <c r="B1539" s="2"/>
      <c r="C1539" s="2"/>
      <c r="D1539" s="2"/>
      <c r="E1539" s="2"/>
      <c r="F1539" s="2"/>
      <c r="G1539" s="2"/>
      <c r="H1539" s="2"/>
      <c r="I1539" s="2"/>
      <c r="J1539" s="2"/>
      <c r="K1539" s="2"/>
      <c r="L1539" s="2"/>
      <c r="M1539" s="2"/>
    </row>
    <row r="1540" spans="1:13" x14ac:dyDescent="0.2">
      <c r="A1540" s="2"/>
      <c r="B1540" s="2"/>
      <c r="C1540" s="2"/>
      <c r="D1540" s="2"/>
      <c r="E1540" s="2"/>
      <c r="F1540" s="2"/>
      <c r="G1540" s="2"/>
      <c r="H1540" s="2"/>
      <c r="I1540" s="2"/>
      <c r="J1540" s="2"/>
      <c r="K1540" s="2"/>
      <c r="L1540" s="2"/>
      <c r="M1540" s="2"/>
    </row>
    <row r="1541" spans="1:13" x14ac:dyDescent="0.2">
      <c r="A1541" s="2"/>
      <c r="B1541" s="2"/>
      <c r="C1541" s="2"/>
      <c r="D1541" s="2"/>
      <c r="E1541" s="2"/>
      <c r="F1541" s="2"/>
      <c r="G1541" s="2"/>
      <c r="H1541" s="2"/>
      <c r="I1541" s="2"/>
      <c r="J1541" s="2"/>
      <c r="K1541" s="2"/>
      <c r="L1541" s="2"/>
      <c r="M1541" s="2"/>
    </row>
    <row r="1542" spans="1:13" x14ac:dyDescent="0.2">
      <c r="A1542" s="2"/>
      <c r="B1542" s="2"/>
      <c r="C1542" s="2"/>
      <c r="D1542" s="2"/>
      <c r="E1542" s="2"/>
      <c r="F1542" s="2"/>
      <c r="G1542" s="2"/>
      <c r="H1542" s="2"/>
      <c r="I1542" s="2"/>
      <c r="J1542" s="2"/>
      <c r="K1542" s="2"/>
      <c r="L1542" s="2"/>
      <c r="M1542" s="2"/>
    </row>
    <row r="1543" spans="1:13" x14ac:dyDescent="0.2">
      <c r="A1543" s="2"/>
      <c r="B1543" s="2"/>
      <c r="C1543" s="2"/>
      <c r="D1543" s="2"/>
      <c r="E1543" s="2"/>
      <c r="F1543" s="2"/>
      <c r="G1543" s="2"/>
      <c r="H1543" s="2"/>
      <c r="I1543" s="2"/>
      <c r="J1543" s="2"/>
      <c r="K1543" s="2"/>
      <c r="L1543" s="2"/>
      <c r="M1543" s="2"/>
    </row>
    <row r="1544" spans="1:13" x14ac:dyDescent="0.2">
      <c r="A1544" s="2"/>
      <c r="B1544" s="2"/>
      <c r="C1544" s="2"/>
      <c r="D1544" s="2"/>
      <c r="E1544" s="2"/>
      <c r="F1544" s="2"/>
      <c r="G1544" s="2"/>
      <c r="H1544" s="2"/>
      <c r="I1544" s="2"/>
      <c r="J1544" s="2"/>
      <c r="K1544" s="2"/>
      <c r="L1544" s="2"/>
      <c r="M1544" s="2"/>
    </row>
    <row r="1545" spans="1:13" x14ac:dyDescent="0.2">
      <c r="A1545" s="2"/>
      <c r="B1545" s="2"/>
      <c r="C1545" s="2"/>
      <c r="D1545" s="2"/>
      <c r="E1545" s="2"/>
      <c r="F1545" s="2"/>
      <c r="G1545" s="2"/>
      <c r="H1545" s="2"/>
      <c r="I1545" s="2"/>
      <c r="J1545" s="2"/>
      <c r="K1545" s="2"/>
      <c r="L1545" s="2"/>
      <c r="M1545" s="2"/>
    </row>
    <row r="1546" spans="1:13" x14ac:dyDescent="0.2">
      <c r="A1546" s="2"/>
      <c r="B1546" s="2"/>
      <c r="C1546" s="2"/>
      <c r="D1546" s="2"/>
      <c r="E1546" s="2"/>
      <c r="F1546" s="2"/>
      <c r="G1546" s="2"/>
      <c r="H1546" s="2"/>
      <c r="I1546" s="2"/>
      <c r="J1546" s="2"/>
      <c r="K1546" s="2"/>
      <c r="L1546" s="2"/>
      <c r="M1546" s="2"/>
    </row>
    <row r="1547" spans="1:13" x14ac:dyDescent="0.2">
      <c r="A1547" s="2"/>
      <c r="B1547" s="2"/>
      <c r="C1547" s="2"/>
      <c r="D1547" s="2"/>
      <c r="E1547" s="2"/>
      <c r="F1547" s="2"/>
      <c r="G1547" s="2"/>
      <c r="H1547" s="2"/>
      <c r="I1547" s="2"/>
      <c r="J1547" s="2"/>
      <c r="K1547" s="2"/>
      <c r="L1547" s="2"/>
      <c r="M1547" s="2"/>
    </row>
    <row r="1548" spans="1:13" x14ac:dyDescent="0.2">
      <c r="A1548" s="2"/>
      <c r="B1548" s="2"/>
      <c r="C1548" s="2"/>
      <c r="D1548" s="2"/>
      <c r="E1548" s="2"/>
      <c r="F1548" s="2"/>
      <c r="G1548" s="2"/>
      <c r="H1548" s="2"/>
      <c r="I1548" s="2"/>
      <c r="J1548" s="2"/>
      <c r="K1548" s="2"/>
      <c r="L1548" s="2"/>
      <c r="M1548" s="2"/>
    </row>
    <row r="1549" spans="1:13" x14ac:dyDescent="0.2">
      <c r="A1549" s="2"/>
      <c r="B1549" s="2"/>
      <c r="C1549" s="2"/>
      <c r="D1549" s="2"/>
      <c r="E1549" s="2"/>
      <c r="F1549" s="2"/>
      <c r="G1549" s="2"/>
      <c r="H1549" s="2"/>
      <c r="I1549" s="2"/>
      <c r="J1549" s="2"/>
      <c r="K1549" s="2"/>
      <c r="L1549" s="2"/>
      <c r="M1549" s="2"/>
    </row>
    <row r="1550" spans="1:13" x14ac:dyDescent="0.2">
      <c r="A1550" s="2"/>
      <c r="B1550" s="2"/>
      <c r="C1550" s="2"/>
      <c r="D1550" s="2"/>
      <c r="E1550" s="2"/>
      <c r="F1550" s="2"/>
      <c r="G1550" s="2"/>
      <c r="H1550" s="2"/>
      <c r="I1550" s="2"/>
      <c r="J1550" s="2"/>
      <c r="K1550" s="2"/>
      <c r="L1550" s="2"/>
      <c r="M1550" s="2"/>
    </row>
    <row r="1551" spans="1:13" x14ac:dyDescent="0.2">
      <c r="A1551" s="2"/>
      <c r="B1551" s="2"/>
      <c r="C1551" s="2"/>
      <c r="D1551" s="2"/>
      <c r="E1551" s="2"/>
      <c r="F1551" s="2"/>
      <c r="G1551" s="2"/>
      <c r="H1551" s="2"/>
      <c r="I1551" s="2"/>
      <c r="J1551" s="2"/>
      <c r="K1551" s="2"/>
      <c r="L1551" s="2"/>
      <c r="M1551" s="2"/>
    </row>
    <row r="1552" spans="1:13" x14ac:dyDescent="0.2">
      <c r="A1552" s="2"/>
      <c r="B1552" s="2"/>
      <c r="C1552" s="2"/>
      <c r="D1552" s="2"/>
      <c r="E1552" s="2"/>
      <c r="F1552" s="2"/>
      <c r="G1552" s="2"/>
      <c r="H1552" s="2"/>
      <c r="I1552" s="2"/>
      <c r="J1552" s="2"/>
      <c r="K1552" s="2"/>
      <c r="L1552" s="2"/>
      <c r="M1552" s="2"/>
    </row>
    <row r="1553" spans="1:13" x14ac:dyDescent="0.2">
      <c r="A1553" s="2"/>
      <c r="B1553" s="2"/>
      <c r="C1553" s="2"/>
      <c r="D1553" s="2"/>
      <c r="E1553" s="2"/>
      <c r="F1553" s="2"/>
      <c r="G1553" s="2"/>
      <c r="H1553" s="2"/>
      <c r="I1553" s="2"/>
      <c r="J1553" s="2"/>
      <c r="K1553" s="2"/>
      <c r="L1553" s="2"/>
      <c r="M1553" s="2"/>
    </row>
    <row r="1554" spans="1:13" x14ac:dyDescent="0.2">
      <c r="A1554" s="2"/>
      <c r="B1554" s="2"/>
      <c r="C1554" s="2"/>
      <c r="D1554" s="2"/>
      <c r="E1554" s="2"/>
      <c r="F1554" s="2"/>
      <c r="G1554" s="2"/>
      <c r="H1554" s="2"/>
      <c r="I1554" s="2"/>
      <c r="J1554" s="2"/>
      <c r="K1554" s="2"/>
      <c r="L1554" s="2"/>
      <c r="M1554" s="2"/>
    </row>
    <row r="1555" spans="1:13" x14ac:dyDescent="0.2">
      <c r="A1555" s="2"/>
      <c r="B1555" s="2"/>
      <c r="C1555" s="2"/>
      <c r="D1555" s="2"/>
      <c r="E1555" s="2"/>
      <c r="F1555" s="2"/>
      <c r="G1555" s="2"/>
      <c r="H1555" s="2"/>
      <c r="I1555" s="2"/>
      <c r="J1555" s="2"/>
      <c r="K1555" s="2"/>
      <c r="L1555" s="2"/>
      <c r="M1555" s="2"/>
    </row>
    <row r="1556" spans="1:13" x14ac:dyDescent="0.2">
      <c r="A1556" s="2"/>
      <c r="B1556" s="2"/>
      <c r="C1556" s="2"/>
      <c r="D1556" s="2"/>
      <c r="E1556" s="2"/>
      <c r="F1556" s="2"/>
      <c r="G1556" s="2"/>
      <c r="H1556" s="2"/>
      <c r="I1556" s="2"/>
      <c r="J1556" s="2"/>
      <c r="K1556" s="2"/>
      <c r="L1556" s="2"/>
      <c r="M1556" s="2"/>
    </row>
    <row r="1557" spans="1:13" x14ac:dyDescent="0.2">
      <c r="A1557" s="2"/>
      <c r="B1557" s="2"/>
      <c r="C1557" s="2"/>
      <c r="D1557" s="2"/>
      <c r="E1557" s="2"/>
      <c r="F1557" s="2"/>
      <c r="G1557" s="2"/>
      <c r="H1557" s="2"/>
      <c r="I1557" s="2"/>
      <c r="J1557" s="2"/>
      <c r="K1557" s="2"/>
      <c r="L1557" s="2"/>
      <c r="M1557" s="2"/>
    </row>
    <row r="1558" spans="1:13" x14ac:dyDescent="0.2">
      <c r="A1558" s="2"/>
      <c r="B1558" s="2"/>
      <c r="C1558" s="2"/>
      <c r="D1558" s="2"/>
      <c r="E1558" s="2"/>
      <c r="F1558" s="2"/>
      <c r="G1558" s="2"/>
      <c r="H1558" s="2"/>
      <c r="I1558" s="2"/>
      <c r="J1558" s="2"/>
      <c r="K1558" s="2"/>
      <c r="L1558" s="2"/>
      <c r="M1558" s="2"/>
    </row>
    <row r="1559" spans="1:13" x14ac:dyDescent="0.2">
      <c r="A1559" s="2"/>
      <c r="B1559" s="2"/>
      <c r="C1559" s="2"/>
      <c r="D1559" s="2"/>
      <c r="E1559" s="2"/>
      <c r="F1559" s="2"/>
      <c r="G1559" s="2"/>
      <c r="H1559" s="2"/>
      <c r="I1559" s="2"/>
      <c r="J1559" s="2"/>
      <c r="K1559" s="2"/>
      <c r="L1559" s="2"/>
      <c r="M1559" s="2"/>
    </row>
    <row r="1560" spans="1:13" x14ac:dyDescent="0.2">
      <c r="A1560" s="2"/>
      <c r="B1560" s="2"/>
      <c r="C1560" s="2"/>
      <c r="D1560" s="2"/>
      <c r="E1560" s="2"/>
      <c r="F1560" s="2"/>
      <c r="G1560" s="2"/>
      <c r="H1560" s="2"/>
      <c r="I1560" s="2"/>
      <c r="J1560" s="2"/>
      <c r="K1560" s="2"/>
      <c r="L1560" s="2"/>
      <c r="M1560" s="2"/>
    </row>
    <row r="1561" spans="1:13" x14ac:dyDescent="0.2">
      <c r="A1561" s="2"/>
      <c r="B1561" s="2"/>
      <c r="C1561" s="2"/>
      <c r="D1561" s="2"/>
      <c r="E1561" s="2"/>
      <c r="F1561" s="2"/>
      <c r="G1561" s="2"/>
      <c r="H1561" s="2"/>
      <c r="I1561" s="2"/>
      <c r="J1561" s="2"/>
      <c r="K1561" s="2"/>
      <c r="L1561" s="2"/>
      <c r="M1561" s="2"/>
    </row>
    <row r="1562" spans="1:13" x14ac:dyDescent="0.2">
      <c r="A1562" s="2"/>
      <c r="B1562" s="2"/>
      <c r="C1562" s="2"/>
      <c r="D1562" s="2"/>
      <c r="E1562" s="2"/>
      <c r="F1562" s="2"/>
      <c r="G1562" s="2"/>
      <c r="H1562" s="2"/>
      <c r="I1562" s="2"/>
      <c r="J1562" s="2"/>
      <c r="K1562" s="2"/>
      <c r="L1562" s="2"/>
      <c r="M1562" s="2"/>
    </row>
    <row r="1563" spans="1:13" x14ac:dyDescent="0.2">
      <c r="A1563" s="2"/>
      <c r="B1563" s="2"/>
      <c r="C1563" s="2"/>
      <c r="D1563" s="2"/>
      <c r="E1563" s="2"/>
      <c r="F1563" s="2"/>
      <c r="G1563" s="2"/>
      <c r="H1563" s="2"/>
      <c r="I1563" s="2"/>
      <c r="J1563" s="2"/>
      <c r="K1563" s="2"/>
      <c r="L1563" s="2"/>
      <c r="M1563" s="2"/>
    </row>
    <row r="1564" spans="1:13" x14ac:dyDescent="0.2">
      <c r="A1564" s="2"/>
      <c r="B1564" s="2"/>
      <c r="C1564" s="2"/>
      <c r="D1564" s="2"/>
      <c r="E1564" s="2"/>
      <c r="F1564" s="2"/>
      <c r="G1564" s="2"/>
      <c r="H1564" s="2"/>
      <c r="I1564" s="2"/>
      <c r="J1564" s="2"/>
      <c r="K1564" s="2"/>
      <c r="L1564" s="2"/>
      <c r="M1564" s="2"/>
    </row>
    <row r="1565" spans="1:13" x14ac:dyDescent="0.2">
      <c r="A1565" s="2"/>
      <c r="B1565" s="2"/>
      <c r="C1565" s="2"/>
      <c r="D1565" s="2"/>
      <c r="E1565" s="2"/>
      <c r="F1565" s="2"/>
      <c r="G1565" s="2"/>
      <c r="H1565" s="2"/>
      <c r="I1565" s="2"/>
      <c r="J1565" s="2"/>
      <c r="K1565" s="2"/>
      <c r="L1565" s="2"/>
      <c r="M1565" s="2"/>
    </row>
    <row r="1566" spans="1:13" x14ac:dyDescent="0.2">
      <c r="A1566" s="2"/>
      <c r="B1566" s="2"/>
      <c r="C1566" s="2"/>
      <c r="D1566" s="2"/>
      <c r="E1566" s="2"/>
      <c r="F1566" s="2"/>
      <c r="G1566" s="2"/>
      <c r="H1566" s="2"/>
      <c r="I1566" s="2"/>
      <c r="J1566" s="2"/>
      <c r="K1566" s="2"/>
      <c r="L1566" s="2"/>
      <c r="M1566" s="2"/>
    </row>
    <row r="1567" spans="1:13" x14ac:dyDescent="0.2">
      <c r="A1567" s="2"/>
      <c r="B1567" s="2"/>
      <c r="C1567" s="2"/>
      <c r="D1567" s="2"/>
      <c r="E1567" s="2"/>
      <c r="F1567" s="2"/>
      <c r="G1567" s="2"/>
      <c r="H1567" s="2"/>
      <c r="I1567" s="2"/>
      <c r="J1567" s="2"/>
      <c r="K1567" s="2"/>
      <c r="L1567" s="2"/>
      <c r="M1567" s="2"/>
    </row>
    <row r="1568" spans="1:13" x14ac:dyDescent="0.2">
      <c r="A1568" s="2"/>
      <c r="B1568" s="2"/>
      <c r="C1568" s="2"/>
      <c r="D1568" s="2"/>
      <c r="E1568" s="2"/>
      <c r="F1568" s="2"/>
      <c r="G1568" s="2"/>
      <c r="H1568" s="2"/>
      <c r="I1568" s="2"/>
      <c r="J1568" s="2"/>
      <c r="K1568" s="2"/>
      <c r="L1568" s="2"/>
      <c r="M1568" s="2"/>
    </row>
    <row r="1569" spans="1:13" x14ac:dyDescent="0.2">
      <c r="A1569" s="2"/>
      <c r="B1569" s="2"/>
      <c r="C1569" s="2"/>
      <c r="D1569" s="2"/>
      <c r="E1569" s="2"/>
      <c r="F1569" s="2"/>
      <c r="G1569" s="2"/>
      <c r="H1569" s="2"/>
      <c r="I1569" s="2"/>
      <c r="J1569" s="2"/>
      <c r="K1569" s="2"/>
      <c r="L1569" s="2"/>
      <c r="M1569" s="2"/>
    </row>
    <row r="1570" spans="1:13" x14ac:dyDescent="0.2">
      <c r="A1570" s="2"/>
      <c r="B1570" s="2"/>
      <c r="C1570" s="2"/>
      <c r="D1570" s="2"/>
      <c r="E1570" s="2"/>
      <c r="F1570" s="2"/>
      <c r="G1570" s="2"/>
      <c r="H1570" s="2"/>
      <c r="I1570" s="2"/>
      <c r="J1570" s="2"/>
      <c r="K1570" s="2"/>
      <c r="L1570" s="2"/>
      <c r="M1570" s="2"/>
    </row>
    <row r="1571" spans="1:13" x14ac:dyDescent="0.2">
      <c r="A1571" s="2"/>
      <c r="B1571" s="2"/>
      <c r="C1571" s="2"/>
      <c r="D1571" s="2"/>
      <c r="E1571" s="2"/>
      <c r="F1571" s="2"/>
      <c r="G1571" s="2"/>
      <c r="H1571" s="2"/>
      <c r="I1571" s="2"/>
      <c r="J1571" s="2"/>
      <c r="K1571" s="2"/>
      <c r="L1571" s="2"/>
      <c r="M1571" s="2"/>
    </row>
    <row r="1572" spans="1:13" x14ac:dyDescent="0.2">
      <c r="A1572" s="2"/>
      <c r="B1572" s="2"/>
      <c r="C1572" s="2"/>
      <c r="D1572" s="2"/>
      <c r="E1572" s="2"/>
      <c r="F1572" s="2"/>
      <c r="G1572" s="2"/>
      <c r="H1572" s="2"/>
      <c r="I1572" s="2"/>
      <c r="J1572" s="2"/>
      <c r="K1572" s="2"/>
      <c r="L1572" s="2"/>
      <c r="M1572" s="2"/>
    </row>
    <row r="1573" spans="1:13" x14ac:dyDescent="0.2">
      <c r="A1573" s="2"/>
      <c r="B1573" s="2"/>
      <c r="C1573" s="2"/>
      <c r="D1573" s="2"/>
      <c r="E1573" s="2"/>
      <c r="F1573" s="2"/>
      <c r="G1573" s="2"/>
      <c r="H1573" s="2"/>
      <c r="I1573" s="2"/>
      <c r="J1573" s="2"/>
      <c r="K1573" s="2"/>
      <c r="L1573" s="2"/>
      <c r="M1573" s="2"/>
    </row>
    <row r="1574" spans="1:13" x14ac:dyDescent="0.2">
      <c r="A1574" s="2"/>
      <c r="B1574" s="2"/>
      <c r="C1574" s="2"/>
      <c r="D1574" s="2"/>
      <c r="E1574" s="2"/>
      <c r="F1574" s="2"/>
      <c r="G1574" s="2"/>
      <c r="H1574" s="2"/>
      <c r="I1574" s="2"/>
      <c r="J1574" s="2"/>
      <c r="K1574" s="2"/>
      <c r="L1574" s="2"/>
      <c r="M1574" s="2"/>
    </row>
    <row r="1575" spans="1:13" x14ac:dyDescent="0.2">
      <c r="A1575" s="2"/>
      <c r="B1575" s="2"/>
      <c r="C1575" s="2"/>
      <c r="D1575" s="2"/>
      <c r="E1575" s="2"/>
      <c r="F1575" s="2"/>
      <c r="G1575" s="2"/>
      <c r="H1575" s="2"/>
      <c r="I1575" s="2"/>
      <c r="J1575" s="2"/>
      <c r="K1575" s="2"/>
      <c r="L1575" s="2"/>
      <c r="M1575" s="2"/>
    </row>
    <row r="1576" spans="1:13" x14ac:dyDescent="0.2">
      <c r="A1576" s="2"/>
      <c r="B1576" s="2"/>
      <c r="C1576" s="2"/>
      <c r="D1576" s="2"/>
      <c r="E1576" s="2"/>
      <c r="F1576" s="2"/>
      <c r="G1576" s="2"/>
      <c r="H1576" s="2"/>
      <c r="I1576" s="2"/>
      <c r="J1576" s="2"/>
      <c r="K1576" s="2"/>
      <c r="L1576" s="2"/>
      <c r="M1576" s="2"/>
    </row>
    <row r="1577" spans="1:13" x14ac:dyDescent="0.2">
      <c r="A1577" s="2"/>
      <c r="B1577" s="2"/>
      <c r="C1577" s="2"/>
      <c r="D1577" s="2"/>
      <c r="E1577" s="2"/>
      <c r="F1577" s="2"/>
      <c r="G1577" s="2"/>
      <c r="H1577" s="2"/>
      <c r="I1577" s="2"/>
      <c r="J1577" s="2"/>
      <c r="K1577" s="2"/>
      <c r="L1577" s="2"/>
      <c r="M1577" s="2"/>
    </row>
    <row r="1578" spans="1:13" x14ac:dyDescent="0.2">
      <c r="A1578" s="2"/>
      <c r="B1578" s="2"/>
      <c r="C1578" s="2"/>
      <c r="D1578" s="2"/>
      <c r="E1578" s="2"/>
      <c r="F1578" s="2"/>
      <c r="G1578" s="2"/>
      <c r="H1578" s="2"/>
      <c r="I1578" s="2"/>
      <c r="J1578" s="2"/>
      <c r="K1578" s="2"/>
      <c r="L1578" s="2"/>
      <c r="M1578" s="2"/>
    </row>
    <row r="1579" spans="1:13" x14ac:dyDescent="0.2">
      <c r="A1579" s="2"/>
      <c r="B1579" s="2"/>
      <c r="C1579" s="2"/>
      <c r="D1579" s="2"/>
      <c r="E1579" s="2"/>
      <c r="F1579" s="2"/>
      <c r="G1579" s="2"/>
      <c r="H1579" s="2"/>
      <c r="I1579" s="2"/>
      <c r="J1579" s="2"/>
      <c r="K1579" s="2"/>
      <c r="L1579" s="2"/>
      <c r="M1579" s="2"/>
    </row>
    <row r="1580" spans="1:13" x14ac:dyDescent="0.2">
      <c r="A1580" s="2"/>
      <c r="B1580" s="2"/>
      <c r="C1580" s="2"/>
      <c r="D1580" s="2"/>
      <c r="E1580" s="2"/>
      <c r="F1580" s="2"/>
      <c r="G1580" s="2"/>
      <c r="H1580" s="2"/>
      <c r="I1580" s="2"/>
      <c r="J1580" s="2"/>
      <c r="K1580" s="2"/>
      <c r="L1580" s="2"/>
      <c r="M1580" s="2"/>
    </row>
    <row r="1581" spans="1:13" x14ac:dyDescent="0.2">
      <c r="A1581" s="2"/>
      <c r="B1581" s="2"/>
      <c r="C1581" s="2"/>
      <c r="D1581" s="2"/>
      <c r="E1581" s="2"/>
      <c r="F1581" s="2"/>
      <c r="G1581" s="2"/>
      <c r="H1581" s="2"/>
      <c r="I1581" s="2"/>
      <c r="J1581" s="2"/>
      <c r="K1581" s="2"/>
      <c r="L1581" s="2"/>
      <c r="M1581" s="2"/>
    </row>
    <row r="1582" spans="1:13" x14ac:dyDescent="0.2">
      <c r="A1582" s="2"/>
      <c r="B1582" s="2"/>
      <c r="C1582" s="2"/>
      <c r="D1582" s="2"/>
      <c r="E1582" s="2"/>
      <c r="F1582" s="2"/>
      <c r="G1582" s="2"/>
      <c r="H1582" s="2"/>
      <c r="I1582" s="2"/>
      <c r="J1582" s="2"/>
      <c r="K1582" s="2"/>
      <c r="L1582" s="2"/>
      <c r="M1582" s="2"/>
    </row>
    <row r="1583" spans="1:13" x14ac:dyDescent="0.2">
      <c r="A1583" s="2"/>
      <c r="B1583" s="2"/>
      <c r="C1583" s="2"/>
      <c r="D1583" s="2"/>
      <c r="E1583" s="2"/>
      <c r="F1583" s="2"/>
      <c r="G1583" s="2"/>
      <c r="H1583" s="2"/>
      <c r="I1583" s="2"/>
      <c r="J1583" s="2"/>
      <c r="K1583" s="2"/>
      <c r="L1583" s="2"/>
      <c r="M1583" s="2"/>
    </row>
    <row r="1584" spans="1:13" x14ac:dyDescent="0.2">
      <c r="A1584" s="2"/>
      <c r="B1584" s="2"/>
      <c r="C1584" s="2"/>
      <c r="D1584" s="2"/>
      <c r="E1584" s="2"/>
      <c r="F1584" s="2"/>
      <c r="G1584" s="2"/>
      <c r="H1584" s="2"/>
      <c r="I1584" s="2"/>
      <c r="J1584" s="2"/>
      <c r="K1584" s="2"/>
      <c r="L1584" s="2"/>
      <c r="M1584" s="2"/>
    </row>
    <row r="1585" spans="1:13" x14ac:dyDescent="0.2">
      <c r="A1585" s="2"/>
      <c r="B1585" s="2"/>
      <c r="C1585" s="2"/>
      <c r="D1585" s="2"/>
      <c r="E1585" s="2"/>
      <c r="F1585" s="2"/>
      <c r="G1585" s="2"/>
      <c r="H1585" s="2"/>
      <c r="I1585" s="2"/>
      <c r="J1585" s="2"/>
      <c r="K1585" s="2"/>
      <c r="L1585" s="2"/>
      <c r="M1585" s="2"/>
    </row>
    <row r="1586" spans="1:13" x14ac:dyDescent="0.2">
      <c r="A1586" s="2"/>
      <c r="B1586" s="2"/>
      <c r="C1586" s="2"/>
      <c r="D1586" s="2"/>
      <c r="E1586" s="2"/>
      <c r="F1586" s="2"/>
      <c r="G1586" s="2"/>
      <c r="H1586" s="2"/>
      <c r="I1586" s="2"/>
      <c r="J1586" s="2"/>
      <c r="K1586" s="2"/>
      <c r="L1586" s="2"/>
      <c r="M1586" s="2"/>
    </row>
    <row r="1587" spans="1:13" x14ac:dyDescent="0.2">
      <c r="A1587" s="2"/>
      <c r="B1587" s="2"/>
      <c r="C1587" s="2"/>
      <c r="D1587" s="2"/>
      <c r="E1587" s="2"/>
      <c r="F1587" s="2"/>
      <c r="G1587" s="2"/>
      <c r="H1587" s="2"/>
      <c r="I1587" s="2"/>
      <c r="J1587" s="2"/>
      <c r="K1587" s="2"/>
      <c r="L1587" s="2"/>
      <c r="M1587" s="2"/>
    </row>
    <row r="1588" spans="1:13" x14ac:dyDescent="0.2">
      <c r="A1588" s="2"/>
      <c r="B1588" s="2"/>
      <c r="C1588" s="2"/>
      <c r="D1588" s="2"/>
      <c r="E1588" s="2"/>
      <c r="F1588" s="2"/>
      <c r="G1588" s="2"/>
      <c r="H1588" s="2"/>
      <c r="I1588" s="2"/>
      <c r="J1588" s="2"/>
      <c r="K1588" s="2"/>
      <c r="L1588" s="2"/>
      <c r="M1588" s="2"/>
    </row>
    <row r="1589" spans="1:13" x14ac:dyDescent="0.2">
      <c r="A1589" s="2"/>
      <c r="B1589" s="2"/>
      <c r="C1589" s="2"/>
      <c r="D1589" s="2"/>
      <c r="E1589" s="2"/>
      <c r="F1589" s="2"/>
      <c r="G1589" s="2"/>
      <c r="H1589" s="2"/>
      <c r="I1589" s="2"/>
      <c r="J1589" s="2"/>
      <c r="K1589" s="2"/>
      <c r="L1589" s="2"/>
      <c r="M1589" s="2"/>
    </row>
    <row r="1590" spans="1:13" x14ac:dyDescent="0.2">
      <c r="A1590" s="2"/>
      <c r="B1590" s="2"/>
      <c r="C1590" s="2"/>
      <c r="D1590" s="2"/>
      <c r="E1590" s="2"/>
      <c r="F1590" s="2"/>
      <c r="G1590" s="2"/>
      <c r="H1590" s="2"/>
      <c r="I1590" s="2"/>
      <c r="J1590" s="2"/>
      <c r="K1590" s="2"/>
      <c r="L1590" s="2"/>
      <c r="M1590" s="2"/>
    </row>
    <row r="1591" spans="1:13" x14ac:dyDescent="0.2">
      <c r="A1591" s="2"/>
      <c r="B1591" s="2"/>
      <c r="C1591" s="2"/>
      <c r="D1591" s="2"/>
      <c r="E1591" s="2"/>
      <c r="F1591" s="2"/>
      <c r="G1591" s="2"/>
      <c r="H1591" s="2"/>
      <c r="I1591" s="2"/>
      <c r="J1591" s="2"/>
      <c r="K1591" s="2"/>
      <c r="L1591" s="2"/>
      <c r="M1591" s="2"/>
    </row>
    <row r="1592" spans="1:13" x14ac:dyDescent="0.2">
      <c r="A1592" s="2"/>
      <c r="B1592" s="2"/>
      <c r="C1592" s="2"/>
      <c r="D1592" s="2"/>
      <c r="E1592" s="2"/>
      <c r="F1592" s="2"/>
      <c r="G1592" s="2"/>
      <c r="H1592" s="2"/>
      <c r="I1592" s="2"/>
      <c r="J1592" s="2"/>
      <c r="K1592" s="2"/>
      <c r="L1592" s="2"/>
      <c r="M1592" s="2"/>
    </row>
    <row r="1593" spans="1:13" x14ac:dyDescent="0.2">
      <c r="A1593" s="2"/>
      <c r="B1593" s="2"/>
      <c r="C1593" s="2"/>
      <c r="D1593" s="2"/>
      <c r="E1593" s="2"/>
      <c r="F1593" s="2"/>
      <c r="G1593" s="2"/>
      <c r="H1593" s="2"/>
      <c r="I1593" s="2"/>
      <c r="J1593" s="2"/>
      <c r="K1593" s="2"/>
      <c r="L1593" s="2"/>
      <c r="M1593" s="2"/>
    </row>
    <row r="1594" spans="1:13" x14ac:dyDescent="0.2">
      <c r="A1594" s="2"/>
      <c r="B1594" s="2"/>
      <c r="C1594" s="2"/>
      <c r="D1594" s="2"/>
      <c r="E1594" s="2"/>
      <c r="F1594" s="2"/>
      <c r="G1594" s="2"/>
      <c r="H1594" s="2"/>
      <c r="I1594" s="2"/>
      <c r="J1594" s="2"/>
      <c r="K1594" s="2"/>
      <c r="L1594" s="2"/>
      <c r="M1594" s="2"/>
    </row>
    <row r="1595" spans="1:13" x14ac:dyDescent="0.2">
      <c r="A1595" s="2"/>
      <c r="B1595" s="2"/>
      <c r="C1595" s="2"/>
      <c r="D1595" s="2"/>
      <c r="E1595" s="2"/>
      <c r="F1595" s="2"/>
      <c r="G1595" s="2"/>
      <c r="H1595" s="2"/>
      <c r="I1595" s="2"/>
      <c r="J1595" s="2"/>
      <c r="K1595" s="2"/>
      <c r="L1595" s="2"/>
      <c r="M1595" s="2"/>
    </row>
    <row r="1596" spans="1:13" x14ac:dyDescent="0.2">
      <c r="A1596" s="2"/>
      <c r="B1596" s="2"/>
      <c r="C1596" s="2"/>
      <c r="D1596" s="2"/>
      <c r="E1596" s="2"/>
      <c r="F1596" s="2"/>
      <c r="G1596" s="2"/>
      <c r="H1596" s="2"/>
      <c r="I1596" s="2"/>
      <c r="J1596" s="2"/>
      <c r="K1596" s="2"/>
      <c r="L1596" s="2"/>
      <c r="M1596" s="2"/>
    </row>
    <row r="1597" spans="1:13" x14ac:dyDescent="0.2">
      <c r="A1597" s="2"/>
      <c r="B1597" s="2"/>
      <c r="C1597" s="2"/>
      <c r="D1597" s="2"/>
      <c r="E1597" s="2"/>
      <c r="F1597" s="2"/>
      <c r="G1597" s="2"/>
      <c r="H1597" s="2"/>
      <c r="I1597" s="2"/>
      <c r="J1597" s="2"/>
      <c r="K1597" s="2"/>
      <c r="L1597" s="2"/>
      <c r="M1597" s="2"/>
    </row>
    <row r="1598" spans="1:13" x14ac:dyDescent="0.2">
      <c r="A1598" s="2"/>
      <c r="B1598" s="2"/>
      <c r="C1598" s="2"/>
      <c r="D1598" s="2"/>
      <c r="E1598" s="2"/>
      <c r="F1598" s="2"/>
      <c r="G1598" s="2"/>
      <c r="H1598" s="2"/>
      <c r="I1598" s="2"/>
      <c r="J1598" s="2"/>
      <c r="K1598" s="2"/>
      <c r="L1598" s="2"/>
      <c r="M1598" s="2"/>
    </row>
    <row r="1599" spans="1:13" x14ac:dyDescent="0.2">
      <c r="A1599" s="2"/>
      <c r="B1599" s="2"/>
      <c r="C1599" s="2"/>
      <c r="D1599" s="2"/>
      <c r="E1599" s="2"/>
      <c r="F1599" s="2"/>
      <c r="G1599" s="2"/>
      <c r="H1599" s="2"/>
      <c r="I1599" s="2"/>
      <c r="J1599" s="2"/>
      <c r="K1599" s="2"/>
      <c r="L1599" s="2"/>
      <c r="M1599" s="2"/>
    </row>
    <row r="1600" spans="1:13" x14ac:dyDescent="0.2">
      <c r="A1600" s="2"/>
      <c r="B1600" s="2"/>
      <c r="C1600" s="2"/>
      <c r="D1600" s="2"/>
      <c r="E1600" s="2"/>
      <c r="F1600" s="2"/>
      <c r="G1600" s="2"/>
      <c r="H1600" s="2"/>
      <c r="I1600" s="2"/>
      <c r="J1600" s="2"/>
      <c r="K1600" s="2"/>
      <c r="L1600" s="2"/>
      <c r="M1600" s="2"/>
    </row>
    <row r="1601" spans="1:13" x14ac:dyDescent="0.2">
      <c r="A1601" s="2"/>
      <c r="B1601" s="2"/>
      <c r="C1601" s="2"/>
      <c r="D1601" s="2"/>
      <c r="E1601" s="2"/>
      <c r="F1601" s="2"/>
      <c r="G1601" s="2"/>
      <c r="H1601" s="2"/>
      <c r="I1601" s="2"/>
      <c r="J1601" s="2"/>
      <c r="K1601" s="2"/>
      <c r="L1601" s="2"/>
      <c r="M1601" s="2"/>
    </row>
    <row r="1602" spans="1:13" x14ac:dyDescent="0.2">
      <c r="A1602" s="2"/>
      <c r="B1602" s="2"/>
      <c r="C1602" s="2"/>
      <c r="D1602" s="2"/>
      <c r="E1602" s="2"/>
      <c r="F1602" s="2"/>
      <c r="G1602" s="2"/>
      <c r="H1602" s="2"/>
      <c r="I1602" s="2"/>
      <c r="J1602" s="2"/>
      <c r="K1602" s="2"/>
      <c r="L1602" s="2"/>
      <c r="M1602" s="2"/>
    </row>
    <row r="1603" spans="1:13" x14ac:dyDescent="0.2">
      <c r="A1603" s="2"/>
      <c r="B1603" s="2"/>
      <c r="C1603" s="2"/>
      <c r="D1603" s="2"/>
      <c r="E1603" s="2"/>
      <c r="F1603" s="2"/>
      <c r="G1603" s="2"/>
      <c r="H1603" s="2"/>
      <c r="I1603" s="2"/>
      <c r="J1603" s="2"/>
      <c r="K1603" s="2"/>
      <c r="L1603" s="2"/>
      <c r="M1603" s="2"/>
    </row>
    <row r="1604" spans="1:13" x14ac:dyDescent="0.2">
      <c r="A1604" s="2"/>
      <c r="B1604" s="2"/>
      <c r="C1604" s="2"/>
      <c r="D1604" s="2"/>
      <c r="E1604" s="2"/>
      <c r="F1604" s="2"/>
      <c r="G1604" s="2"/>
      <c r="H1604" s="2"/>
      <c r="I1604" s="2"/>
      <c r="J1604" s="2"/>
      <c r="K1604" s="2"/>
      <c r="L1604" s="2"/>
      <c r="M1604" s="2"/>
    </row>
    <row r="1605" spans="1:13" x14ac:dyDescent="0.2">
      <c r="A1605" s="2"/>
      <c r="B1605" s="2"/>
      <c r="C1605" s="2"/>
      <c r="D1605" s="2"/>
      <c r="E1605" s="2"/>
      <c r="F1605" s="2"/>
      <c r="G1605" s="2"/>
      <c r="H1605" s="2"/>
      <c r="I1605" s="2"/>
      <c r="J1605" s="2"/>
      <c r="K1605" s="2"/>
      <c r="L1605" s="2"/>
      <c r="M1605" s="2"/>
    </row>
    <row r="1606" spans="1:13" x14ac:dyDescent="0.2">
      <c r="A1606" s="2"/>
      <c r="B1606" s="2"/>
      <c r="C1606" s="2"/>
      <c r="D1606" s="2"/>
      <c r="E1606" s="2"/>
      <c r="F1606" s="2"/>
      <c r="G1606" s="2"/>
      <c r="H1606" s="2"/>
      <c r="I1606" s="2"/>
      <c r="J1606" s="2"/>
      <c r="K1606" s="2"/>
      <c r="L1606" s="2"/>
      <c r="M1606" s="2"/>
    </row>
    <row r="1607" spans="1:13" x14ac:dyDescent="0.2">
      <c r="A1607" s="2"/>
      <c r="B1607" s="2"/>
      <c r="C1607" s="2"/>
      <c r="D1607" s="2"/>
      <c r="E1607" s="2"/>
      <c r="F1607" s="2"/>
      <c r="G1607" s="2"/>
      <c r="H1607" s="2"/>
      <c r="I1607" s="2"/>
      <c r="J1607" s="2"/>
      <c r="K1607" s="2"/>
      <c r="L1607" s="2"/>
      <c r="M1607" s="2"/>
    </row>
    <row r="1608" spans="1:13" x14ac:dyDescent="0.2">
      <c r="A1608" s="2"/>
      <c r="B1608" s="2"/>
      <c r="C1608" s="2"/>
      <c r="D1608" s="2"/>
      <c r="E1608" s="2"/>
      <c r="F1608" s="2"/>
      <c r="G1608" s="2"/>
      <c r="H1608" s="2"/>
      <c r="I1608" s="2"/>
      <c r="J1608" s="2"/>
      <c r="K1608" s="2"/>
      <c r="L1608" s="2"/>
      <c r="M1608" s="2"/>
    </row>
    <row r="1609" spans="1:13" x14ac:dyDescent="0.2">
      <c r="A1609" s="2"/>
      <c r="B1609" s="2"/>
      <c r="C1609" s="2"/>
      <c r="D1609" s="2"/>
      <c r="E1609" s="2"/>
      <c r="F1609" s="2"/>
      <c r="G1609" s="2"/>
      <c r="H1609" s="2"/>
      <c r="I1609" s="2"/>
      <c r="J1609" s="2"/>
      <c r="K1609" s="2"/>
      <c r="L1609" s="2"/>
      <c r="M1609" s="2"/>
    </row>
    <row r="1610" spans="1:13" x14ac:dyDescent="0.2">
      <c r="A1610" s="2"/>
      <c r="B1610" s="2"/>
      <c r="C1610" s="2"/>
      <c r="D1610" s="2"/>
      <c r="E1610" s="2"/>
      <c r="F1610" s="2"/>
      <c r="G1610" s="2"/>
      <c r="H1610" s="2"/>
      <c r="I1610" s="2"/>
      <c r="J1610" s="2"/>
      <c r="K1610" s="2"/>
      <c r="L1610" s="2"/>
      <c r="M1610" s="2"/>
    </row>
    <row r="1611" spans="1:13" x14ac:dyDescent="0.2">
      <c r="A1611" s="2"/>
      <c r="B1611" s="2"/>
      <c r="C1611" s="2"/>
      <c r="D1611" s="2"/>
      <c r="E1611" s="2"/>
      <c r="F1611" s="2"/>
      <c r="G1611" s="2"/>
      <c r="H1611" s="2"/>
      <c r="I1611" s="2"/>
      <c r="J1611" s="2"/>
      <c r="K1611" s="2"/>
      <c r="L1611" s="2"/>
      <c r="M1611" s="2"/>
    </row>
    <row r="1612" spans="1:13" x14ac:dyDescent="0.2">
      <c r="A1612" s="2"/>
      <c r="B1612" s="2"/>
      <c r="C1612" s="2"/>
      <c r="D1612" s="2"/>
      <c r="E1612" s="2"/>
      <c r="F1612" s="2"/>
      <c r="G1612" s="2"/>
      <c r="H1612" s="2"/>
      <c r="I1612" s="2"/>
      <c r="J1612" s="2"/>
      <c r="K1612" s="2"/>
      <c r="L1612" s="2"/>
      <c r="M1612" s="2"/>
    </row>
    <row r="1613" spans="1:13" x14ac:dyDescent="0.2">
      <c r="A1613" s="2"/>
      <c r="B1613" s="2"/>
      <c r="C1613" s="2"/>
      <c r="D1613" s="2"/>
      <c r="E1613" s="2"/>
      <c r="F1613" s="2"/>
      <c r="G1613" s="2"/>
      <c r="H1613" s="2"/>
      <c r="I1613" s="2"/>
      <c r="J1613" s="2"/>
      <c r="K1613" s="2"/>
      <c r="L1613" s="2"/>
      <c r="M1613" s="2"/>
    </row>
    <row r="1614" spans="1:13" x14ac:dyDescent="0.2">
      <c r="A1614" s="2"/>
      <c r="B1614" s="2"/>
      <c r="C1614" s="2"/>
      <c r="D1614" s="2"/>
      <c r="E1614" s="2"/>
      <c r="F1614" s="2"/>
      <c r="G1614" s="2"/>
      <c r="H1614" s="2"/>
      <c r="I1614" s="2"/>
      <c r="J1614" s="2"/>
      <c r="K1614" s="2"/>
      <c r="L1614" s="2"/>
      <c r="M1614" s="2"/>
    </row>
    <row r="1615" spans="1:13" x14ac:dyDescent="0.2">
      <c r="A1615" s="2"/>
      <c r="B1615" s="2"/>
      <c r="C1615" s="2"/>
      <c r="D1615" s="2"/>
      <c r="E1615" s="2"/>
      <c r="F1615" s="2"/>
      <c r="G1615" s="2"/>
      <c r="H1615" s="2"/>
      <c r="I1615" s="2"/>
      <c r="J1615" s="2"/>
      <c r="K1615" s="2"/>
      <c r="L1615" s="2"/>
      <c r="M1615" s="2"/>
    </row>
    <row r="1616" spans="1:13" x14ac:dyDescent="0.2">
      <c r="A1616" s="2"/>
      <c r="B1616" s="2"/>
      <c r="C1616" s="2"/>
      <c r="D1616" s="2"/>
      <c r="E1616" s="2"/>
      <c r="F1616" s="2"/>
      <c r="G1616" s="2"/>
      <c r="H1616" s="2"/>
      <c r="I1616" s="2"/>
      <c r="J1616" s="2"/>
      <c r="K1616" s="2"/>
      <c r="L1616" s="2"/>
      <c r="M1616" s="2"/>
    </row>
    <row r="1617" spans="1:13" x14ac:dyDescent="0.2">
      <c r="A1617" s="2"/>
      <c r="B1617" s="2"/>
      <c r="C1617" s="2"/>
      <c r="D1617" s="2"/>
      <c r="E1617" s="2"/>
      <c r="F1617" s="2"/>
      <c r="G1617" s="2"/>
      <c r="H1617" s="2"/>
      <c r="I1617" s="2"/>
      <c r="J1617" s="2"/>
      <c r="K1617" s="2"/>
      <c r="L1617" s="2"/>
      <c r="M1617" s="2"/>
    </row>
    <row r="1618" spans="1:13" x14ac:dyDescent="0.2">
      <c r="A1618" s="2"/>
      <c r="B1618" s="2"/>
      <c r="C1618" s="2"/>
      <c r="D1618" s="2"/>
      <c r="E1618" s="2"/>
      <c r="F1618" s="2"/>
      <c r="G1618" s="2"/>
      <c r="H1618" s="2"/>
      <c r="I1618" s="2"/>
      <c r="J1618" s="2"/>
      <c r="K1618" s="2"/>
      <c r="L1618" s="2"/>
      <c r="M1618" s="2"/>
    </row>
    <row r="1619" spans="1:13" x14ac:dyDescent="0.2">
      <c r="A1619" s="2"/>
      <c r="B1619" s="2"/>
      <c r="C1619" s="2"/>
      <c r="D1619" s="2"/>
      <c r="E1619" s="2"/>
      <c r="F1619" s="2"/>
      <c r="G1619" s="2"/>
      <c r="H1619" s="2"/>
      <c r="I1619" s="2"/>
      <c r="J1619" s="2"/>
      <c r="K1619" s="2"/>
      <c r="L1619" s="2"/>
      <c r="M1619" s="2"/>
    </row>
    <row r="1620" spans="1:13" x14ac:dyDescent="0.2">
      <c r="A1620" s="2"/>
      <c r="B1620" s="2"/>
      <c r="C1620" s="2"/>
      <c r="D1620" s="2"/>
      <c r="E1620" s="2"/>
      <c r="F1620" s="2"/>
      <c r="G1620" s="2"/>
      <c r="H1620" s="2"/>
      <c r="I1620" s="2"/>
      <c r="J1620" s="2"/>
      <c r="K1620" s="2"/>
      <c r="L1620" s="2"/>
      <c r="M1620" s="2"/>
    </row>
    <row r="1621" spans="1:13" x14ac:dyDescent="0.2">
      <c r="A1621" s="2"/>
      <c r="B1621" s="2"/>
      <c r="C1621" s="2"/>
      <c r="D1621" s="2"/>
      <c r="E1621" s="2"/>
      <c r="F1621" s="2"/>
      <c r="G1621" s="2"/>
      <c r="H1621" s="2"/>
      <c r="I1621" s="2"/>
      <c r="J1621" s="2"/>
      <c r="K1621" s="2"/>
      <c r="L1621" s="2"/>
      <c r="M1621" s="2"/>
    </row>
    <row r="1622" spans="1:13" x14ac:dyDescent="0.2">
      <c r="A1622" s="2"/>
      <c r="B1622" s="2"/>
      <c r="C1622" s="2"/>
      <c r="D1622" s="2"/>
      <c r="E1622" s="2"/>
      <c r="F1622" s="2"/>
      <c r="G1622" s="2"/>
      <c r="H1622" s="2"/>
      <c r="I1622" s="2"/>
      <c r="J1622" s="2"/>
      <c r="K1622" s="2"/>
      <c r="L1622" s="2"/>
      <c r="M1622" s="2"/>
    </row>
    <row r="1623" spans="1:13" x14ac:dyDescent="0.2">
      <c r="A1623" s="2"/>
      <c r="B1623" s="2"/>
      <c r="C1623" s="2"/>
      <c r="D1623" s="2"/>
      <c r="E1623" s="2"/>
      <c r="F1623" s="2"/>
      <c r="G1623" s="2"/>
      <c r="H1623" s="2"/>
      <c r="I1623" s="2"/>
      <c r="J1623" s="2"/>
      <c r="K1623" s="2"/>
      <c r="L1623" s="2"/>
      <c r="M1623" s="2"/>
    </row>
    <row r="1624" spans="1:13" x14ac:dyDescent="0.2">
      <c r="A1624" s="2"/>
      <c r="B1624" s="2"/>
      <c r="C1624" s="2"/>
      <c r="D1624" s="2"/>
      <c r="E1624" s="2"/>
      <c r="F1624" s="2"/>
      <c r="G1624" s="2"/>
      <c r="H1624" s="2"/>
      <c r="I1624" s="2"/>
      <c r="J1624" s="2"/>
      <c r="K1624" s="2"/>
      <c r="L1624" s="2"/>
      <c r="M1624" s="2"/>
    </row>
    <row r="1625" spans="1:13" x14ac:dyDescent="0.2">
      <c r="A1625" s="2"/>
      <c r="B1625" s="2"/>
      <c r="C1625" s="2"/>
      <c r="D1625" s="2"/>
      <c r="E1625" s="2"/>
      <c r="F1625" s="2"/>
      <c r="G1625" s="2"/>
      <c r="H1625" s="2"/>
      <c r="I1625" s="2"/>
      <c r="J1625" s="2"/>
      <c r="K1625" s="2"/>
      <c r="L1625" s="2"/>
      <c r="M1625" s="2"/>
    </row>
    <row r="1626" spans="1:13" x14ac:dyDescent="0.2">
      <c r="A1626" s="2"/>
      <c r="B1626" s="2"/>
      <c r="C1626" s="2"/>
      <c r="D1626" s="2"/>
      <c r="E1626" s="2"/>
      <c r="F1626" s="2"/>
      <c r="G1626" s="2"/>
      <c r="H1626" s="2"/>
      <c r="I1626" s="2"/>
      <c r="J1626" s="2"/>
      <c r="K1626" s="2"/>
      <c r="L1626" s="2"/>
      <c r="M1626" s="2"/>
    </row>
    <row r="1627" spans="1:13" x14ac:dyDescent="0.2">
      <c r="A1627" s="2"/>
      <c r="B1627" s="2"/>
      <c r="C1627" s="2"/>
      <c r="D1627" s="2"/>
      <c r="E1627" s="2"/>
      <c r="F1627" s="2"/>
      <c r="G1627" s="2"/>
      <c r="H1627" s="2"/>
      <c r="I1627" s="2"/>
      <c r="J1627" s="2"/>
      <c r="K1627" s="2"/>
      <c r="L1627" s="2"/>
      <c r="M1627" s="2"/>
    </row>
    <row r="1628" spans="1:13" x14ac:dyDescent="0.2">
      <c r="A1628" s="2"/>
      <c r="B1628" s="2"/>
      <c r="C1628" s="2"/>
      <c r="D1628" s="2"/>
      <c r="E1628" s="2"/>
      <c r="F1628" s="2"/>
      <c r="G1628" s="2"/>
      <c r="H1628" s="2"/>
      <c r="I1628" s="2"/>
      <c r="J1628" s="2"/>
      <c r="K1628" s="2"/>
      <c r="L1628" s="2"/>
      <c r="M1628" s="2"/>
    </row>
    <row r="1629" spans="1:13" x14ac:dyDescent="0.2">
      <c r="A1629" s="2"/>
      <c r="B1629" s="2"/>
      <c r="C1629" s="2"/>
      <c r="D1629" s="2"/>
      <c r="E1629" s="2"/>
      <c r="F1629" s="2"/>
      <c r="G1629" s="2"/>
      <c r="H1629" s="2"/>
      <c r="I1629" s="2"/>
      <c r="J1629" s="2"/>
      <c r="K1629" s="2"/>
      <c r="L1629" s="2"/>
      <c r="M1629" s="2"/>
    </row>
    <row r="1630" spans="1:13" x14ac:dyDescent="0.2">
      <c r="A1630" s="2"/>
      <c r="B1630" s="2"/>
      <c r="C1630" s="2"/>
      <c r="D1630" s="2"/>
      <c r="E1630" s="2"/>
      <c r="F1630" s="2"/>
      <c r="G1630" s="2"/>
      <c r="H1630" s="2"/>
      <c r="I1630" s="2"/>
      <c r="J1630" s="2"/>
      <c r="K1630" s="2"/>
      <c r="L1630" s="2"/>
      <c r="M1630" s="2"/>
    </row>
    <row r="1631" spans="1:13" x14ac:dyDescent="0.2">
      <c r="A1631" s="2"/>
      <c r="B1631" s="2"/>
      <c r="C1631" s="2"/>
      <c r="D1631" s="2"/>
      <c r="E1631" s="2"/>
      <c r="F1631" s="2"/>
      <c r="G1631" s="2"/>
      <c r="H1631" s="2"/>
      <c r="I1631" s="2"/>
      <c r="J1631" s="2"/>
      <c r="K1631" s="2"/>
      <c r="L1631" s="2"/>
      <c r="M1631" s="2"/>
    </row>
    <row r="1632" spans="1:13" x14ac:dyDescent="0.2">
      <c r="A1632" s="2"/>
      <c r="B1632" s="2"/>
      <c r="C1632" s="2"/>
      <c r="D1632" s="2"/>
      <c r="E1632" s="2"/>
      <c r="F1632" s="2"/>
      <c r="G1632" s="2"/>
      <c r="H1632" s="2"/>
      <c r="I1632" s="2"/>
      <c r="J1632" s="2"/>
      <c r="K1632" s="2"/>
      <c r="L1632" s="2"/>
      <c r="M1632" s="2"/>
    </row>
    <row r="1633" spans="1:13" x14ac:dyDescent="0.2">
      <c r="A1633" s="2"/>
      <c r="B1633" s="2"/>
      <c r="C1633" s="2"/>
      <c r="D1633" s="2"/>
      <c r="E1633" s="2"/>
      <c r="F1633" s="2"/>
      <c r="G1633" s="2"/>
      <c r="H1633" s="2"/>
      <c r="I1633" s="2"/>
      <c r="J1633" s="2"/>
      <c r="K1633" s="2"/>
      <c r="L1633" s="2"/>
      <c r="M1633" s="2"/>
    </row>
    <row r="1634" spans="1:13" x14ac:dyDescent="0.2">
      <c r="A1634" s="2"/>
      <c r="B1634" s="2"/>
      <c r="C1634" s="2"/>
      <c r="D1634" s="2"/>
      <c r="E1634" s="2"/>
      <c r="F1634" s="2"/>
      <c r="G1634" s="2"/>
      <c r="H1634" s="2"/>
      <c r="I1634" s="2"/>
      <c r="J1634" s="2"/>
      <c r="K1634" s="2"/>
      <c r="L1634" s="2"/>
      <c r="M1634" s="2"/>
    </row>
    <row r="1635" spans="1:13" x14ac:dyDescent="0.2">
      <c r="A1635" s="2"/>
      <c r="B1635" s="2"/>
      <c r="C1635" s="2"/>
      <c r="D1635" s="2"/>
      <c r="E1635" s="2"/>
      <c r="F1635" s="2"/>
      <c r="G1635" s="2"/>
      <c r="H1635" s="2"/>
      <c r="I1635" s="2"/>
      <c r="J1635" s="2"/>
      <c r="K1635" s="2"/>
      <c r="L1635" s="2"/>
      <c r="M1635" s="2"/>
    </row>
    <row r="1636" spans="1:13" x14ac:dyDescent="0.2">
      <c r="A1636" s="2"/>
      <c r="B1636" s="2"/>
      <c r="C1636" s="2"/>
      <c r="D1636" s="2"/>
      <c r="E1636" s="2"/>
      <c r="F1636" s="2"/>
      <c r="G1636" s="2"/>
      <c r="H1636" s="2"/>
      <c r="I1636" s="2"/>
      <c r="J1636" s="2"/>
      <c r="K1636" s="2"/>
      <c r="L1636" s="2"/>
      <c r="M1636" s="2"/>
    </row>
    <row r="1637" spans="1:13" x14ac:dyDescent="0.2">
      <c r="A1637" s="2"/>
      <c r="B1637" s="2"/>
      <c r="C1637" s="2"/>
      <c r="D1637" s="2"/>
      <c r="E1637" s="2"/>
      <c r="F1637" s="2"/>
      <c r="G1637" s="2"/>
      <c r="H1637" s="2"/>
      <c r="I1637" s="2"/>
      <c r="J1637" s="2"/>
      <c r="K1637" s="2"/>
      <c r="L1637" s="2"/>
      <c r="M1637" s="2"/>
    </row>
    <row r="1638" spans="1:13" x14ac:dyDescent="0.2">
      <c r="A1638" s="2"/>
      <c r="B1638" s="2"/>
      <c r="C1638" s="2"/>
      <c r="D1638" s="2"/>
      <c r="E1638" s="2"/>
      <c r="F1638" s="2"/>
      <c r="G1638" s="2"/>
      <c r="H1638" s="2"/>
      <c r="I1638" s="2"/>
      <c r="J1638" s="2"/>
      <c r="K1638" s="2"/>
      <c r="L1638" s="2"/>
      <c r="M1638" s="2"/>
    </row>
    <row r="1639" spans="1:13" x14ac:dyDescent="0.2">
      <c r="A1639" s="2"/>
      <c r="B1639" s="2"/>
      <c r="C1639" s="2"/>
      <c r="D1639" s="2"/>
      <c r="E1639" s="2"/>
      <c r="F1639" s="2"/>
      <c r="G1639" s="2"/>
      <c r="H1639" s="2"/>
      <c r="I1639" s="2"/>
      <c r="J1639" s="2"/>
      <c r="K1639" s="2"/>
      <c r="L1639" s="2"/>
      <c r="M1639" s="2"/>
    </row>
    <row r="1640" spans="1:13" x14ac:dyDescent="0.2">
      <c r="A1640" s="2"/>
      <c r="B1640" s="2"/>
      <c r="C1640" s="2"/>
      <c r="D1640" s="2"/>
      <c r="E1640" s="2"/>
      <c r="F1640" s="2"/>
      <c r="G1640" s="2"/>
      <c r="H1640" s="2"/>
      <c r="I1640" s="2"/>
      <c r="J1640" s="2"/>
      <c r="K1640" s="2"/>
      <c r="L1640" s="2"/>
      <c r="M1640" s="2"/>
    </row>
    <row r="1641" spans="1:13" x14ac:dyDescent="0.2">
      <c r="A1641" s="2"/>
      <c r="B1641" s="2"/>
      <c r="C1641" s="2"/>
      <c r="D1641" s="2"/>
      <c r="E1641" s="2"/>
      <c r="F1641" s="2"/>
      <c r="G1641" s="2"/>
      <c r="H1641" s="2"/>
      <c r="I1641" s="2"/>
      <c r="J1641" s="2"/>
      <c r="K1641" s="2"/>
      <c r="L1641" s="2"/>
      <c r="M1641" s="2"/>
    </row>
    <row r="1642" spans="1:13" x14ac:dyDescent="0.2">
      <c r="A1642" s="2"/>
      <c r="B1642" s="2"/>
      <c r="C1642" s="2"/>
      <c r="D1642" s="2"/>
      <c r="E1642" s="2"/>
      <c r="F1642" s="2"/>
      <c r="G1642" s="2"/>
      <c r="H1642" s="2"/>
      <c r="I1642" s="2"/>
      <c r="J1642" s="2"/>
      <c r="K1642" s="2"/>
      <c r="L1642" s="2"/>
      <c r="M1642" s="2"/>
    </row>
    <row r="1643" spans="1:13" x14ac:dyDescent="0.2">
      <c r="A1643" s="2"/>
      <c r="B1643" s="2"/>
      <c r="C1643" s="2"/>
      <c r="D1643" s="2"/>
      <c r="E1643" s="2"/>
      <c r="F1643" s="2"/>
      <c r="G1643" s="2"/>
      <c r="H1643" s="2"/>
      <c r="I1643" s="2"/>
      <c r="J1643" s="2"/>
      <c r="K1643" s="2"/>
      <c r="L1643" s="2"/>
      <c r="M1643" s="2"/>
    </row>
    <row r="1644" spans="1:13" x14ac:dyDescent="0.2">
      <c r="A1644" s="2"/>
      <c r="B1644" s="2"/>
      <c r="C1644" s="2"/>
      <c r="D1644" s="2"/>
      <c r="E1644" s="2"/>
      <c r="F1644" s="2"/>
      <c r="G1644" s="2"/>
      <c r="H1644" s="2"/>
      <c r="I1644" s="2"/>
      <c r="J1644" s="2"/>
      <c r="K1644" s="2"/>
      <c r="L1644" s="2"/>
      <c r="M1644" s="2"/>
    </row>
    <row r="1645" spans="1:13" x14ac:dyDescent="0.2">
      <c r="A1645" s="2"/>
      <c r="B1645" s="2"/>
      <c r="C1645" s="2"/>
      <c r="D1645" s="2"/>
      <c r="E1645" s="2"/>
      <c r="F1645" s="2"/>
      <c r="G1645" s="2"/>
      <c r="H1645" s="2"/>
      <c r="I1645" s="2"/>
      <c r="J1645" s="2"/>
      <c r="K1645" s="2"/>
      <c r="L1645" s="2"/>
      <c r="M1645" s="2"/>
    </row>
    <row r="1646" spans="1:13" x14ac:dyDescent="0.2">
      <c r="A1646" s="2"/>
      <c r="B1646" s="2"/>
      <c r="C1646" s="2"/>
      <c r="D1646" s="2"/>
      <c r="E1646" s="2"/>
      <c r="F1646" s="2"/>
      <c r="G1646" s="2"/>
      <c r="H1646" s="2"/>
      <c r="I1646" s="2"/>
      <c r="J1646" s="2"/>
      <c r="K1646" s="2"/>
      <c r="L1646" s="2"/>
      <c r="M1646" s="2"/>
    </row>
    <row r="1647" spans="1:13" x14ac:dyDescent="0.2">
      <c r="A1647" s="2"/>
      <c r="B1647" s="2"/>
      <c r="C1647" s="2"/>
      <c r="D1647" s="2"/>
      <c r="E1647" s="2"/>
      <c r="F1647" s="2"/>
      <c r="G1647" s="2"/>
      <c r="H1647" s="2"/>
      <c r="I1647" s="2"/>
      <c r="J1647" s="2"/>
      <c r="K1647" s="2"/>
      <c r="L1647" s="2"/>
      <c r="M1647" s="2"/>
    </row>
    <row r="1648" spans="1:13" x14ac:dyDescent="0.2">
      <c r="A1648" s="2"/>
      <c r="B1648" s="2"/>
      <c r="C1648" s="2"/>
      <c r="D1648" s="2"/>
      <c r="E1648" s="2"/>
      <c r="F1648" s="2"/>
      <c r="G1648" s="2"/>
      <c r="H1648" s="2"/>
      <c r="I1648" s="2"/>
      <c r="J1648" s="2"/>
      <c r="K1648" s="2"/>
      <c r="L1648" s="2"/>
      <c r="M1648" s="2"/>
    </row>
    <row r="1649" spans="1:13" x14ac:dyDescent="0.2">
      <c r="A1649" s="2"/>
      <c r="B1649" s="2"/>
      <c r="C1649" s="2"/>
      <c r="D1649" s="2"/>
      <c r="E1649" s="2"/>
      <c r="F1649" s="2"/>
      <c r="G1649" s="2"/>
      <c r="H1649" s="2"/>
      <c r="I1649" s="2"/>
      <c r="J1649" s="2"/>
      <c r="K1649" s="2"/>
      <c r="L1649" s="2"/>
      <c r="M1649" s="2"/>
    </row>
    <row r="1650" spans="1:13" x14ac:dyDescent="0.2">
      <c r="A1650" s="2"/>
      <c r="B1650" s="2"/>
      <c r="C1650" s="2"/>
      <c r="D1650" s="2"/>
      <c r="E1650" s="2"/>
      <c r="F1650" s="2"/>
      <c r="G1650" s="2"/>
      <c r="H1650" s="2"/>
      <c r="I1650" s="2"/>
      <c r="J1650" s="2"/>
      <c r="K1650" s="2"/>
      <c r="L1650" s="2"/>
      <c r="M1650" s="2"/>
    </row>
    <row r="1651" spans="1:13" x14ac:dyDescent="0.2">
      <c r="A1651" s="2"/>
      <c r="B1651" s="2"/>
      <c r="C1651" s="2"/>
      <c r="D1651" s="2"/>
      <c r="E1651" s="2"/>
      <c r="F1651" s="2"/>
      <c r="G1651" s="2"/>
      <c r="H1651" s="2"/>
      <c r="I1651" s="2"/>
      <c r="J1651" s="2"/>
      <c r="K1651" s="2"/>
      <c r="L1651" s="2"/>
      <c r="M1651" s="2"/>
    </row>
    <row r="1652" spans="1:13" x14ac:dyDescent="0.2">
      <c r="A1652" s="2"/>
      <c r="B1652" s="2"/>
      <c r="C1652" s="2"/>
      <c r="D1652" s="2"/>
      <c r="E1652" s="2"/>
      <c r="F1652" s="2"/>
      <c r="G1652" s="2"/>
      <c r="H1652" s="2"/>
      <c r="I1652" s="2"/>
      <c r="J1652" s="2"/>
      <c r="K1652" s="2"/>
      <c r="L1652" s="2"/>
      <c r="M1652" s="2"/>
    </row>
    <row r="1653" spans="1:13" x14ac:dyDescent="0.2">
      <c r="A1653" s="2"/>
      <c r="B1653" s="2"/>
      <c r="C1653" s="2"/>
      <c r="D1653" s="2"/>
      <c r="E1653" s="2"/>
      <c r="F1653" s="2"/>
      <c r="G1653" s="2"/>
      <c r="H1653" s="2"/>
      <c r="I1653" s="2"/>
      <c r="J1653" s="2"/>
      <c r="K1653" s="2"/>
      <c r="L1653" s="2"/>
      <c r="M1653" s="2"/>
    </row>
    <row r="1654" spans="1:13" x14ac:dyDescent="0.2">
      <c r="A1654" s="2"/>
      <c r="B1654" s="2"/>
      <c r="C1654" s="2"/>
      <c r="D1654" s="2"/>
      <c r="E1654" s="2"/>
      <c r="F1654" s="2"/>
      <c r="G1654" s="2"/>
      <c r="H1654" s="2"/>
      <c r="I1654" s="2"/>
      <c r="J1654" s="2"/>
      <c r="K1654" s="2"/>
      <c r="L1654" s="2"/>
      <c r="M1654" s="2"/>
    </row>
    <row r="1655" spans="1:13" x14ac:dyDescent="0.2">
      <c r="A1655" s="2"/>
      <c r="B1655" s="2"/>
      <c r="C1655" s="2"/>
      <c r="D1655" s="2"/>
      <c r="E1655" s="2"/>
      <c r="F1655" s="2"/>
      <c r="G1655" s="2"/>
      <c r="H1655" s="2"/>
      <c r="I1655" s="2"/>
      <c r="J1655" s="2"/>
      <c r="K1655" s="2"/>
      <c r="L1655" s="2"/>
      <c r="M1655" s="2"/>
    </row>
    <row r="1656" spans="1:13" x14ac:dyDescent="0.2">
      <c r="A1656" s="2"/>
      <c r="B1656" s="2"/>
      <c r="C1656" s="2"/>
      <c r="D1656" s="2"/>
      <c r="E1656" s="2"/>
      <c r="F1656" s="2"/>
      <c r="G1656" s="2"/>
      <c r="H1656" s="2"/>
      <c r="I1656" s="2"/>
      <c r="J1656" s="2"/>
      <c r="K1656" s="2"/>
      <c r="L1656" s="2"/>
      <c r="M1656" s="2"/>
    </row>
    <row r="1657" spans="1:13" x14ac:dyDescent="0.2">
      <c r="A1657" s="2"/>
      <c r="B1657" s="2"/>
      <c r="C1657" s="2"/>
      <c r="D1657" s="2"/>
      <c r="E1657" s="2"/>
      <c r="F1657" s="2"/>
      <c r="G1657" s="2"/>
      <c r="H1657" s="2"/>
      <c r="I1657" s="2"/>
      <c r="J1657" s="2"/>
      <c r="K1657" s="2"/>
      <c r="L1657" s="2"/>
      <c r="M1657" s="2"/>
    </row>
    <row r="1658" spans="1:13" x14ac:dyDescent="0.2">
      <c r="A1658" s="2"/>
      <c r="B1658" s="2"/>
      <c r="C1658" s="2"/>
      <c r="D1658" s="2"/>
      <c r="E1658" s="2"/>
      <c r="F1658" s="2"/>
      <c r="G1658" s="2"/>
      <c r="H1658" s="2"/>
      <c r="I1658" s="2"/>
      <c r="J1658" s="2"/>
      <c r="K1658" s="2"/>
      <c r="L1658" s="2"/>
      <c r="M1658" s="2"/>
    </row>
    <row r="1659" spans="1:13" x14ac:dyDescent="0.2">
      <c r="A1659" s="2"/>
      <c r="B1659" s="2"/>
      <c r="C1659" s="2"/>
      <c r="D1659" s="2"/>
      <c r="E1659" s="2"/>
      <c r="F1659" s="2"/>
      <c r="G1659" s="2"/>
      <c r="H1659" s="2"/>
      <c r="I1659" s="2"/>
      <c r="J1659" s="2"/>
      <c r="K1659" s="2"/>
      <c r="L1659" s="2"/>
      <c r="M1659" s="2"/>
    </row>
    <row r="1660" spans="1:13" x14ac:dyDescent="0.2">
      <c r="A1660" s="2"/>
      <c r="B1660" s="2"/>
      <c r="C1660" s="2"/>
      <c r="D1660" s="2"/>
      <c r="E1660" s="2"/>
      <c r="F1660" s="2"/>
      <c r="G1660" s="2"/>
      <c r="H1660" s="2"/>
      <c r="I1660" s="2"/>
      <c r="J1660" s="2"/>
      <c r="K1660" s="2"/>
      <c r="L1660" s="2"/>
      <c r="M1660" s="2"/>
    </row>
    <row r="1661" spans="1:13" x14ac:dyDescent="0.2">
      <c r="A1661" s="2"/>
      <c r="B1661" s="2"/>
      <c r="C1661" s="2"/>
      <c r="D1661" s="2"/>
      <c r="E1661" s="2"/>
      <c r="F1661" s="2"/>
      <c r="G1661" s="2"/>
      <c r="H1661" s="2"/>
      <c r="I1661" s="2"/>
      <c r="J1661" s="2"/>
      <c r="K1661" s="2"/>
      <c r="L1661" s="2"/>
      <c r="M1661" s="2"/>
    </row>
    <row r="1662" spans="1:13" x14ac:dyDescent="0.2">
      <c r="A1662" s="2"/>
      <c r="B1662" s="2"/>
      <c r="C1662" s="2"/>
      <c r="D1662" s="2"/>
      <c r="E1662" s="2"/>
      <c r="F1662" s="2"/>
      <c r="G1662" s="2"/>
      <c r="H1662" s="2"/>
      <c r="I1662" s="2"/>
      <c r="J1662" s="2"/>
      <c r="K1662" s="2"/>
      <c r="L1662" s="2"/>
      <c r="M1662" s="2"/>
    </row>
    <row r="1663" spans="1:13" x14ac:dyDescent="0.2">
      <c r="A1663" s="2"/>
      <c r="B1663" s="2"/>
      <c r="C1663" s="2"/>
      <c r="D1663" s="2"/>
      <c r="E1663" s="2"/>
      <c r="F1663" s="2"/>
      <c r="G1663" s="2"/>
      <c r="H1663" s="2"/>
      <c r="I1663" s="2"/>
      <c r="J1663" s="2"/>
      <c r="K1663" s="2"/>
      <c r="L1663" s="2"/>
      <c r="M1663" s="2"/>
    </row>
    <row r="1664" spans="1:13" x14ac:dyDescent="0.2">
      <c r="A1664" s="2"/>
      <c r="B1664" s="2"/>
      <c r="C1664" s="2"/>
      <c r="D1664" s="2"/>
      <c r="E1664" s="2"/>
      <c r="F1664" s="2"/>
      <c r="G1664" s="2"/>
      <c r="H1664" s="2"/>
      <c r="I1664" s="2"/>
      <c r="J1664" s="2"/>
      <c r="K1664" s="2"/>
      <c r="L1664" s="2"/>
      <c r="M1664" s="2"/>
    </row>
    <row r="1665" spans="1:13" x14ac:dyDescent="0.2">
      <c r="A1665" s="2"/>
      <c r="B1665" s="2"/>
      <c r="C1665" s="2"/>
      <c r="D1665" s="2"/>
      <c r="E1665" s="2"/>
      <c r="F1665" s="2"/>
      <c r="G1665" s="2"/>
      <c r="H1665" s="2"/>
      <c r="I1665" s="2"/>
      <c r="J1665" s="2"/>
      <c r="K1665" s="2"/>
      <c r="L1665" s="2"/>
      <c r="M1665" s="2"/>
    </row>
    <row r="1666" spans="1:13" x14ac:dyDescent="0.2">
      <c r="A1666" s="2"/>
      <c r="B1666" s="2"/>
      <c r="C1666" s="2"/>
      <c r="D1666" s="2"/>
      <c r="E1666" s="2"/>
      <c r="F1666" s="2"/>
      <c r="G1666" s="2"/>
      <c r="H1666" s="2"/>
      <c r="I1666" s="2"/>
      <c r="J1666" s="2"/>
      <c r="K1666" s="2"/>
      <c r="L1666" s="2"/>
      <c r="M1666" s="2"/>
    </row>
    <row r="1667" spans="1:13" x14ac:dyDescent="0.2">
      <c r="A1667" s="2"/>
      <c r="B1667" s="2"/>
      <c r="C1667" s="2"/>
      <c r="D1667" s="2"/>
      <c r="E1667" s="2"/>
      <c r="F1667" s="2"/>
      <c r="G1667" s="2"/>
      <c r="H1667" s="2"/>
      <c r="I1667" s="2"/>
      <c r="J1667" s="2"/>
      <c r="K1667" s="2"/>
      <c r="L1667" s="2"/>
      <c r="M1667" s="2"/>
    </row>
    <row r="1668" spans="1:13" x14ac:dyDescent="0.2">
      <c r="A1668" s="2"/>
      <c r="B1668" s="2"/>
      <c r="C1668" s="2"/>
      <c r="D1668" s="2"/>
      <c r="E1668" s="2"/>
      <c r="F1668" s="2"/>
      <c r="G1668" s="2"/>
      <c r="H1668" s="2"/>
      <c r="I1668" s="2"/>
      <c r="J1668" s="2"/>
      <c r="K1668" s="2"/>
      <c r="L1668" s="2"/>
      <c r="M1668" s="2"/>
    </row>
    <row r="1669" spans="1:13" x14ac:dyDescent="0.2">
      <c r="A1669" s="2"/>
      <c r="B1669" s="2"/>
      <c r="C1669" s="2"/>
      <c r="D1669" s="2"/>
      <c r="E1669" s="2"/>
      <c r="F1669" s="2"/>
      <c r="G1669" s="2"/>
      <c r="H1669" s="2"/>
      <c r="I1669" s="2"/>
      <c r="J1669" s="2"/>
      <c r="K1669" s="2"/>
      <c r="L1669" s="2"/>
      <c r="M1669" s="2"/>
    </row>
    <row r="1670" spans="1:13" x14ac:dyDescent="0.2">
      <c r="A1670" s="2"/>
      <c r="B1670" s="2"/>
      <c r="C1670" s="2"/>
      <c r="D1670" s="2"/>
      <c r="E1670" s="2"/>
      <c r="F1670" s="2"/>
      <c r="G1670" s="2"/>
      <c r="H1670" s="2"/>
      <c r="I1670" s="2"/>
      <c r="J1670" s="2"/>
      <c r="K1670" s="2"/>
      <c r="L1670" s="2"/>
      <c r="M1670" s="2"/>
    </row>
    <row r="1671" spans="1:13" x14ac:dyDescent="0.2">
      <c r="A1671" s="2"/>
      <c r="B1671" s="2"/>
      <c r="C1671" s="2"/>
      <c r="D1671" s="2"/>
      <c r="E1671" s="2"/>
      <c r="F1671" s="2"/>
      <c r="G1671" s="2"/>
      <c r="H1671" s="2"/>
      <c r="I1671" s="2"/>
      <c r="J1671" s="2"/>
      <c r="K1671" s="2"/>
      <c r="L1671" s="2"/>
      <c r="M1671" s="2"/>
    </row>
    <row r="1672" spans="1:13" x14ac:dyDescent="0.2">
      <c r="A1672" s="2"/>
      <c r="B1672" s="2"/>
      <c r="C1672" s="2"/>
      <c r="D1672" s="2"/>
      <c r="E1672" s="2"/>
      <c r="F1672" s="2"/>
      <c r="G1672" s="2"/>
      <c r="H1672" s="2"/>
      <c r="I1672" s="2"/>
      <c r="J1672" s="2"/>
      <c r="K1672" s="2"/>
      <c r="L1672" s="2"/>
      <c r="M1672" s="2"/>
    </row>
    <row r="1673" spans="1:13" x14ac:dyDescent="0.2">
      <c r="A1673" s="2"/>
      <c r="B1673" s="2"/>
      <c r="C1673" s="2"/>
      <c r="D1673" s="2"/>
      <c r="E1673" s="2"/>
      <c r="F1673" s="2"/>
      <c r="G1673" s="2"/>
      <c r="H1673" s="2"/>
      <c r="I1673" s="2"/>
      <c r="J1673" s="2"/>
      <c r="K1673" s="2"/>
      <c r="L1673" s="2"/>
      <c r="M1673" s="2"/>
    </row>
    <row r="1674" spans="1:13" x14ac:dyDescent="0.2">
      <c r="A1674" s="2"/>
      <c r="B1674" s="2"/>
      <c r="C1674" s="2"/>
      <c r="D1674" s="2"/>
      <c r="E1674" s="2"/>
      <c r="F1674" s="2"/>
      <c r="G1674" s="2"/>
      <c r="H1674" s="2"/>
      <c r="I1674" s="2"/>
      <c r="J1674" s="2"/>
      <c r="K1674" s="2"/>
      <c r="L1674" s="2"/>
      <c r="M1674" s="2"/>
    </row>
    <row r="1675" spans="1:13" x14ac:dyDescent="0.2">
      <c r="A1675" s="2"/>
      <c r="B1675" s="2"/>
      <c r="C1675" s="2"/>
      <c r="D1675" s="2"/>
      <c r="E1675" s="2"/>
      <c r="F1675" s="2"/>
      <c r="G1675" s="2"/>
      <c r="H1675" s="2"/>
      <c r="I1675" s="2"/>
      <c r="J1675" s="2"/>
      <c r="K1675" s="2"/>
      <c r="L1675" s="2"/>
      <c r="M1675" s="2"/>
    </row>
    <row r="1676" spans="1:13" x14ac:dyDescent="0.2">
      <c r="A1676" s="2"/>
      <c r="B1676" s="2"/>
      <c r="C1676" s="2"/>
      <c r="D1676" s="2"/>
      <c r="E1676" s="2"/>
      <c r="F1676" s="2"/>
      <c r="G1676" s="2"/>
      <c r="H1676" s="2"/>
      <c r="I1676" s="2"/>
      <c r="J1676" s="2"/>
      <c r="K1676" s="2"/>
      <c r="L1676" s="2"/>
      <c r="M1676" s="2"/>
    </row>
    <row r="1677" spans="1:13" x14ac:dyDescent="0.2">
      <c r="A1677" s="2"/>
      <c r="B1677" s="2"/>
      <c r="C1677" s="2"/>
      <c r="D1677" s="2"/>
      <c r="E1677" s="2"/>
      <c r="F1677" s="2"/>
      <c r="G1677" s="2"/>
      <c r="H1677" s="2"/>
      <c r="I1677" s="2"/>
      <c r="J1677" s="2"/>
      <c r="K1677" s="2"/>
      <c r="L1677" s="2"/>
      <c r="M1677" s="2"/>
    </row>
    <row r="1678" spans="1:13" x14ac:dyDescent="0.2">
      <c r="A1678" s="2"/>
      <c r="B1678" s="2"/>
      <c r="C1678" s="2"/>
      <c r="D1678" s="2"/>
      <c r="E1678" s="2"/>
      <c r="F1678" s="2"/>
      <c r="G1678" s="2"/>
      <c r="H1678" s="2"/>
      <c r="I1678" s="2"/>
      <c r="J1678" s="2"/>
      <c r="K1678" s="2"/>
      <c r="L1678" s="2"/>
      <c r="M1678" s="2"/>
    </row>
    <row r="1679" spans="1:13" x14ac:dyDescent="0.2">
      <c r="A1679" s="2"/>
      <c r="B1679" s="2"/>
      <c r="C1679" s="2"/>
      <c r="D1679" s="2"/>
      <c r="E1679" s="2"/>
      <c r="F1679" s="2"/>
      <c r="G1679" s="2"/>
      <c r="H1679" s="2"/>
      <c r="I1679" s="2"/>
      <c r="J1679" s="2"/>
      <c r="K1679" s="2"/>
      <c r="L1679" s="2"/>
      <c r="M1679" s="2"/>
    </row>
    <row r="1680" spans="1:13" x14ac:dyDescent="0.2">
      <c r="A1680" s="2"/>
      <c r="B1680" s="2"/>
      <c r="C1680" s="2"/>
      <c r="D1680" s="2"/>
      <c r="E1680" s="2"/>
      <c r="F1680" s="2"/>
      <c r="G1680" s="2"/>
      <c r="H1680" s="2"/>
      <c r="I1680" s="2"/>
      <c r="J1680" s="2"/>
      <c r="K1680" s="2"/>
      <c r="L1680" s="2"/>
      <c r="M1680" s="2"/>
    </row>
    <row r="1681" spans="1:13" x14ac:dyDescent="0.2">
      <c r="A1681" s="2"/>
      <c r="B1681" s="2"/>
      <c r="C1681" s="2"/>
      <c r="D1681" s="2"/>
      <c r="E1681" s="2"/>
      <c r="F1681" s="2"/>
      <c r="G1681" s="2"/>
      <c r="H1681" s="2"/>
      <c r="I1681" s="2"/>
      <c r="J1681" s="2"/>
      <c r="K1681" s="2"/>
      <c r="L1681" s="2"/>
      <c r="M1681" s="2"/>
    </row>
    <row r="1682" spans="1:13" x14ac:dyDescent="0.2">
      <c r="A1682" s="2"/>
      <c r="B1682" s="2"/>
      <c r="C1682" s="2"/>
      <c r="D1682" s="2"/>
      <c r="E1682" s="2"/>
      <c r="F1682" s="2"/>
      <c r="G1682" s="2"/>
      <c r="H1682" s="2"/>
      <c r="I1682" s="2"/>
      <c r="J1682" s="2"/>
      <c r="K1682" s="2"/>
      <c r="L1682" s="2"/>
      <c r="M1682" s="2"/>
    </row>
    <row r="1683" spans="1:13" x14ac:dyDescent="0.2">
      <c r="A1683" s="2"/>
      <c r="B1683" s="2"/>
      <c r="C1683" s="2"/>
      <c r="D1683" s="2"/>
      <c r="E1683" s="2"/>
      <c r="F1683" s="2"/>
      <c r="G1683" s="2"/>
      <c r="H1683" s="2"/>
      <c r="I1683" s="2"/>
      <c r="J1683" s="2"/>
      <c r="K1683" s="2"/>
      <c r="L1683" s="2"/>
      <c r="M1683" s="2"/>
    </row>
    <row r="1684" spans="1:13" x14ac:dyDescent="0.2">
      <c r="A1684" s="2"/>
      <c r="B1684" s="2"/>
      <c r="C1684" s="2"/>
      <c r="D1684" s="2"/>
      <c r="E1684" s="2"/>
      <c r="F1684" s="2"/>
      <c r="G1684" s="2"/>
      <c r="H1684" s="2"/>
      <c r="I1684" s="2"/>
      <c r="J1684" s="2"/>
      <c r="K1684" s="2"/>
      <c r="L1684" s="2"/>
      <c r="M1684" s="2"/>
    </row>
    <row r="1685" spans="1:13" x14ac:dyDescent="0.2">
      <c r="A1685" s="2"/>
      <c r="B1685" s="2"/>
      <c r="C1685" s="2"/>
      <c r="D1685" s="2"/>
      <c r="E1685" s="2"/>
      <c r="F1685" s="2"/>
      <c r="G1685" s="2"/>
      <c r="H1685" s="2"/>
      <c r="I1685" s="2"/>
      <c r="J1685" s="2"/>
      <c r="K1685" s="2"/>
      <c r="L1685" s="2"/>
      <c r="M1685" s="2"/>
    </row>
    <row r="1686" spans="1:13" x14ac:dyDescent="0.2">
      <c r="A1686" s="2"/>
      <c r="B1686" s="2"/>
      <c r="C1686" s="2"/>
      <c r="D1686" s="2"/>
      <c r="E1686" s="2"/>
      <c r="F1686" s="2"/>
      <c r="G1686" s="2"/>
      <c r="H1686" s="2"/>
      <c r="I1686" s="2"/>
      <c r="J1686" s="2"/>
      <c r="K1686" s="2"/>
      <c r="L1686" s="2"/>
      <c r="M1686" s="2"/>
    </row>
    <row r="1687" spans="1:13" x14ac:dyDescent="0.2">
      <c r="A1687" s="2"/>
      <c r="B1687" s="2"/>
      <c r="C1687" s="2"/>
      <c r="D1687" s="2"/>
      <c r="E1687" s="2"/>
      <c r="F1687" s="2"/>
      <c r="G1687" s="2"/>
      <c r="H1687" s="2"/>
      <c r="I1687" s="2"/>
      <c r="J1687" s="2"/>
      <c r="K1687" s="2"/>
      <c r="L1687" s="2"/>
      <c r="M1687" s="2"/>
    </row>
    <row r="1688" spans="1:13" x14ac:dyDescent="0.2">
      <c r="A1688" s="2"/>
      <c r="B1688" s="2"/>
      <c r="C1688" s="2"/>
      <c r="D1688" s="2"/>
      <c r="E1688" s="2"/>
      <c r="F1688" s="2"/>
      <c r="G1688" s="2"/>
      <c r="H1688" s="2"/>
      <c r="I1688" s="2"/>
      <c r="J1688" s="2"/>
      <c r="K1688" s="2"/>
      <c r="L1688" s="2"/>
      <c r="M1688" s="2"/>
    </row>
    <row r="1689" spans="1:13" x14ac:dyDescent="0.2">
      <c r="A1689" s="2"/>
      <c r="B1689" s="2"/>
      <c r="C1689" s="2"/>
      <c r="D1689" s="2"/>
      <c r="E1689" s="2"/>
      <c r="F1689" s="2"/>
      <c r="G1689" s="2"/>
      <c r="H1689" s="2"/>
      <c r="I1689" s="2"/>
      <c r="J1689" s="2"/>
      <c r="K1689" s="2"/>
      <c r="L1689" s="2"/>
      <c r="M1689" s="2"/>
    </row>
    <row r="1690" spans="1:13" x14ac:dyDescent="0.2">
      <c r="A1690" s="2"/>
      <c r="B1690" s="2"/>
      <c r="C1690" s="2"/>
      <c r="D1690" s="2"/>
      <c r="E1690" s="2"/>
      <c r="F1690" s="2"/>
      <c r="G1690" s="2"/>
      <c r="H1690" s="2"/>
      <c r="I1690" s="2"/>
      <c r="J1690" s="2"/>
      <c r="K1690" s="2"/>
      <c r="L1690" s="2"/>
      <c r="M1690" s="2"/>
    </row>
    <row r="1691" spans="1:13" x14ac:dyDescent="0.2">
      <c r="A1691" s="2"/>
      <c r="B1691" s="2"/>
      <c r="C1691" s="2"/>
      <c r="D1691" s="2"/>
      <c r="E1691" s="2"/>
      <c r="F1691" s="2"/>
      <c r="G1691" s="2"/>
      <c r="H1691" s="2"/>
      <c r="I1691" s="2"/>
      <c r="J1691" s="2"/>
      <c r="K1691" s="2"/>
      <c r="L1691" s="2"/>
      <c r="M1691" s="2"/>
    </row>
    <row r="1692" spans="1:13" x14ac:dyDescent="0.2">
      <c r="A1692" s="2"/>
      <c r="B1692" s="2"/>
      <c r="C1692" s="2"/>
      <c r="D1692" s="2"/>
      <c r="E1692" s="2"/>
      <c r="F1692" s="2"/>
      <c r="G1692" s="2"/>
      <c r="H1692" s="2"/>
      <c r="I1692" s="2"/>
      <c r="J1692" s="2"/>
      <c r="K1692" s="2"/>
      <c r="L1692" s="2"/>
      <c r="M1692" s="2"/>
    </row>
    <row r="1693" spans="1:13" x14ac:dyDescent="0.2">
      <c r="A1693" s="2"/>
      <c r="B1693" s="2"/>
      <c r="C1693" s="2"/>
      <c r="D1693" s="2"/>
      <c r="E1693" s="2"/>
      <c r="F1693" s="2"/>
      <c r="G1693" s="2"/>
      <c r="H1693" s="2"/>
      <c r="I1693" s="2"/>
      <c r="J1693" s="2"/>
      <c r="K1693" s="2"/>
      <c r="L1693" s="2"/>
      <c r="M1693" s="2"/>
    </row>
    <row r="1694" spans="1:13" x14ac:dyDescent="0.2">
      <c r="A1694" s="2"/>
      <c r="B1694" s="2"/>
      <c r="C1694" s="2"/>
      <c r="D1694" s="2"/>
      <c r="E1694" s="2"/>
      <c r="F1694" s="2"/>
      <c r="G1694" s="2"/>
      <c r="H1694" s="2"/>
      <c r="I1694" s="2"/>
      <c r="J1694" s="2"/>
      <c r="K1694" s="2"/>
      <c r="L1694" s="2"/>
      <c r="M1694" s="2"/>
    </row>
    <row r="1695" spans="1:13" x14ac:dyDescent="0.2">
      <c r="A1695" s="2"/>
      <c r="B1695" s="2"/>
      <c r="C1695" s="2"/>
      <c r="D1695" s="2"/>
      <c r="E1695" s="2"/>
      <c r="F1695" s="2"/>
      <c r="G1695" s="2"/>
      <c r="H1695" s="2"/>
      <c r="I1695" s="2"/>
      <c r="J1695" s="2"/>
      <c r="K1695" s="2"/>
      <c r="L1695" s="2"/>
      <c r="M1695" s="2"/>
    </row>
    <row r="1696" spans="1:13" x14ac:dyDescent="0.2">
      <c r="A1696" s="2"/>
      <c r="B1696" s="2"/>
      <c r="C1696" s="2"/>
      <c r="D1696" s="2"/>
      <c r="E1696" s="2"/>
      <c r="F1696" s="2"/>
      <c r="G1696" s="2"/>
      <c r="H1696" s="2"/>
      <c r="I1696" s="2"/>
      <c r="J1696" s="2"/>
      <c r="K1696" s="2"/>
      <c r="L1696" s="2"/>
      <c r="M1696" s="2"/>
    </row>
    <row r="1697" spans="1:13" x14ac:dyDescent="0.2">
      <c r="A1697" s="2"/>
      <c r="B1697" s="2"/>
      <c r="C1697" s="2"/>
      <c r="D1697" s="2"/>
      <c r="E1697" s="2"/>
      <c r="F1697" s="2"/>
      <c r="G1697" s="2"/>
      <c r="H1697" s="2"/>
      <c r="I1697" s="2"/>
      <c r="J1697" s="2"/>
      <c r="K1697" s="2"/>
      <c r="L1697" s="2"/>
      <c r="M1697" s="2"/>
    </row>
    <row r="1698" spans="1:13" x14ac:dyDescent="0.2">
      <c r="A1698" s="2"/>
      <c r="B1698" s="2"/>
      <c r="C1698" s="2"/>
      <c r="D1698" s="2"/>
      <c r="E1698" s="2"/>
      <c r="F1698" s="2"/>
      <c r="G1698" s="2"/>
      <c r="H1698" s="2"/>
      <c r="I1698" s="2"/>
      <c r="J1698" s="2"/>
      <c r="K1698" s="2"/>
      <c r="L1698" s="2"/>
      <c r="M1698" s="2"/>
    </row>
    <row r="1699" spans="1:13" x14ac:dyDescent="0.2">
      <c r="A1699" s="2"/>
      <c r="B1699" s="2"/>
      <c r="C1699" s="2"/>
      <c r="D1699" s="2"/>
      <c r="E1699" s="2"/>
      <c r="F1699" s="2"/>
      <c r="G1699" s="2"/>
      <c r="H1699" s="2"/>
      <c r="I1699" s="2"/>
      <c r="J1699" s="2"/>
      <c r="K1699" s="2"/>
      <c r="L1699" s="2"/>
      <c r="M1699" s="2"/>
    </row>
    <row r="1700" spans="1:13" x14ac:dyDescent="0.2">
      <c r="A1700" s="2"/>
      <c r="B1700" s="2"/>
      <c r="C1700" s="2"/>
      <c r="D1700" s="2"/>
      <c r="E1700" s="2"/>
      <c r="F1700" s="2"/>
      <c r="G1700" s="2"/>
      <c r="H1700" s="2"/>
      <c r="I1700" s="2"/>
      <c r="J1700" s="2"/>
      <c r="K1700" s="2"/>
      <c r="L1700" s="2"/>
      <c r="M1700" s="2"/>
    </row>
    <row r="1701" spans="1:13" x14ac:dyDescent="0.2">
      <c r="A1701" s="2"/>
      <c r="B1701" s="2"/>
      <c r="C1701" s="2"/>
      <c r="D1701" s="2"/>
      <c r="E1701" s="2"/>
      <c r="F1701" s="2"/>
      <c r="G1701" s="2"/>
      <c r="H1701" s="2"/>
      <c r="I1701" s="2"/>
      <c r="J1701" s="2"/>
      <c r="K1701" s="2"/>
      <c r="L1701" s="2"/>
      <c r="M1701" s="2"/>
    </row>
    <row r="1702" spans="1:13" x14ac:dyDescent="0.2">
      <c r="A1702" s="2"/>
      <c r="B1702" s="2"/>
      <c r="C1702" s="2"/>
      <c r="D1702" s="2"/>
      <c r="E1702" s="2"/>
      <c r="F1702" s="2"/>
      <c r="G1702" s="2"/>
      <c r="H1702" s="2"/>
      <c r="I1702" s="2"/>
      <c r="J1702" s="2"/>
      <c r="K1702" s="2"/>
      <c r="L1702" s="2"/>
      <c r="M1702" s="2"/>
    </row>
    <row r="1703" spans="1:13" x14ac:dyDescent="0.2">
      <c r="A1703" s="2"/>
      <c r="B1703" s="2"/>
      <c r="C1703" s="2"/>
      <c r="D1703" s="2"/>
      <c r="E1703" s="2"/>
      <c r="F1703" s="2"/>
      <c r="G1703" s="2"/>
      <c r="H1703" s="2"/>
      <c r="I1703" s="2"/>
      <c r="J1703" s="2"/>
      <c r="K1703" s="2"/>
      <c r="L1703" s="2"/>
      <c r="M1703" s="2"/>
    </row>
    <row r="1704" spans="1:13" x14ac:dyDescent="0.2">
      <c r="A1704" s="2"/>
      <c r="B1704" s="2"/>
      <c r="C1704" s="2"/>
      <c r="D1704" s="2"/>
      <c r="E1704" s="2"/>
      <c r="F1704" s="2"/>
      <c r="G1704" s="2"/>
      <c r="H1704" s="2"/>
      <c r="I1704" s="2"/>
      <c r="J1704" s="2"/>
      <c r="K1704" s="2"/>
      <c r="L1704" s="2"/>
      <c r="M1704" s="2"/>
    </row>
    <row r="1705" spans="1:13" x14ac:dyDescent="0.2">
      <c r="A1705" s="2"/>
      <c r="B1705" s="2"/>
      <c r="C1705" s="2"/>
      <c r="D1705" s="2"/>
      <c r="E1705" s="2"/>
      <c r="F1705" s="2"/>
      <c r="G1705" s="2"/>
      <c r="H1705" s="2"/>
      <c r="I1705" s="2"/>
      <c r="J1705" s="2"/>
      <c r="K1705" s="2"/>
      <c r="L1705" s="2"/>
      <c r="M1705" s="2"/>
    </row>
    <row r="1706" spans="1:13" x14ac:dyDescent="0.2">
      <c r="A1706" s="2"/>
      <c r="B1706" s="2"/>
      <c r="C1706" s="2"/>
      <c r="D1706" s="2"/>
      <c r="E1706" s="2"/>
      <c r="F1706" s="2"/>
      <c r="G1706" s="2"/>
      <c r="H1706" s="2"/>
      <c r="I1706" s="2"/>
      <c r="J1706" s="2"/>
      <c r="K1706" s="2"/>
      <c r="L1706" s="2"/>
      <c r="M1706" s="2"/>
    </row>
    <row r="1707" spans="1:13" x14ac:dyDescent="0.2">
      <c r="A1707" s="2"/>
      <c r="B1707" s="2"/>
      <c r="C1707" s="2"/>
      <c r="D1707" s="2"/>
      <c r="E1707" s="2"/>
      <c r="F1707" s="2"/>
      <c r="G1707" s="2"/>
      <c r="H1707" s="2"/>
      <c r="I1707" s="2"/>
      <c r="J1707" s="2"/>
      <c r="K1707" s="2"/>
      <c r="L1707" s="2"/>
      <c r="M1707" s="2"/>
    </row>
    <row r="1708" spans="1:13" x14ac:dyDescent="0.2">
      <c r="A1708" s="2"/>
      <c r="B1708" s="2"/>
      <c r="C1708" s="2"/>
      <c r="D1708" s="2"/>
      <c r="E1708" s="2"/>
      <c r="F1708" s="2"/>
      <c r="G1708" s="2"/>
      <c r="H1708" s="2"/>
      <c r="I1708" s="2"/>
      <c r="J1708" s="2"/>
      <c r="K1708" s="2"/>
      <c r="L1708" s="2"/>
      <c r="M1708" s="2"/>
    </row>
    <row r="1709" spans="1:13" x14ac:dyDescent="0.2">
      <c r="A1709" s="2"/>
      <c r="B1709" s="2"/>
      <c r="C1709" s="2"/>
      <c r="D1709" s="2"/>
      <c r="E1709" s="2"/>
      <c r="F1709" s="2"/>
      <c r="G1709" s="2"/>
      <c r="H1709" s="2"/>
      <c r="I1709" s="2"/>
      <c r="J1709" s="2"/>
      <c r="K1709" s="2"/>
      <c r="L1709" s="2"/>
      <c r="M1709" s="2"/>
    </row>
    <row r="1710" spans="1:13" x14ac:dyDescent="0.2">
      <c r="A1710" s="2"/>
      <c r="B1710" s="2"/>
      <c r="C1710" s="2"/>
      <c r="D1710" s="2"/>
      <c r="E1710" s="2"/>
      <c r="F1710" s="2"/>
      <c r="G1710" s="2"/>
      <c r="H1710" s="2"/>
      <c r="I1710" s="2"/>
      <c r="J1710" s="2"/>
      <c r="K1710" s="2"/>
      <c r="L1710" s="2"/>
      <c r="M1710" s="2"/>
    </row>
    <row r="1711" spans="1:13" x14ac:dyDescent="0.2">
      <c r="A1711" s="2"/>
      <c r="B1711" s="2"/>
      <c r="C1711" s="2"/>
      <c r="D1711" s="2"/>
      <c r="E1711" s="2"/>
      <c r="F1711" s="2"/>
      <c r="G1711" s="2"/>
      <c r="H1711" s="2"/>
      <c r="I1711" s="2"/>
      <c r="J1711" s="2"/>
      <c r="K1711" s="2"/>
      <c r="L1711" s="2"/>
      <c r="M1711" s="2"/>
    </row>
    <row r="1712" spans="1:13" x14ac:dyDescent="0.2">
      <c r="A1712" s="2"/>
      <c r="B1712" s="2"/>
      <c r="C1712" s="2"/>
      <c r="D1712" s="2"/>
      <c r="E1712" s="2"/>
      <c r="F1712" s="2"/>
      <c r="G1712" s="2"/>
      <c r="H1712" s="2"/>
      <c r="I1712" s="2"/>
      <c r="J1712" s="2"/>
      <c r="K1712" s="2"/>
      <c r="L1712" s="2"/>
      <c r="M1712" s="2"/>
    </row>
    <row r="1713" spans="1:13" x14ac:dyDescent="0.2">
      <c r="A1713" s="2"/>
      <c r="B1713" s="2"/>
      <c r="C1713" s="2"/>
      <c r="D1713" s="2"/>
      <c r="E1713" s="2"/>
      <c r="F1713" s="2"/>
      <c r="G1713" s="2"/>
      <c r="H1713" s="2"/>
      <c r="I1713" s="2"/>
      <c r="J1713" s="2"/>
      <c r="K1713" s="2"/>
      <c r="L1713" s="2"/>
      <c r="M1713" s="2"/>
    </row>
    <row r="1714" spans="1:13" x14ac:dyDescent="0.2">
      <c r="A1714" s="2"/>
      <c r="B1714" s="2"/>
      <c r="C1714" s="2"/>
      <c r="D1714" s="2"/>
      <c r="E1714" s="2"/>
      <c r="F1714" s="2"/>
      <c r="G1714" s="2"/>
      <c r="H1714" s="2"/>
      <c r="I1714" s="2"/>
      <c r="J1714" s="2"/>
      <c r="K1714" s="2"/>
      <c r="L1714" s="2"/>
      <c r="M1714" s="2"/>
    </row>
    <row r="1715" spans="1:13" x14ac:dyDescent="0.2">
      <c r="A1715" s="2"/>
      <c r="B1715" s="2"/>
      <c r="C1715" s="2"/>
      <c r="D1715" s="2"/>
      <c r="E1715" s="2"/>
      <c r="F1715" s="2"/>
      <c r="G1715" s="2"/>
      <c r="H1715" s="2"/>
      <c r="I1715" s="2"/>
      <c r="J1715" s="2"/>
      <c r="K1715" s="2"/>
      <c r="L1715" s="2"/>
      <c r="M1715" s="2"/>
    </row>
    <row r="1716" spans="1:13" x14ac:dyDescent="0.2">
      <c r="A1716" s="2"/>
      <c r="B1716" s="2"/>
      <c r="C1716" s="2"/>
      <c r="D1716" s="2"/>
      <c r="E1716" s="2"/>
      <c r="F1716" s="2"/>
      <c r="G1716" s="2"/>
      <c r="H1716" s="2"/>
      <c r="I1716" s="2"/>
      <c r="J1716" s="2"/>
      <c r="K1716" s="2"/>
      <c r="L1716" s="2"/>
      <c r="M1716" s="2"/>
    </row>
    <row r="1717" spans="1:13" x14ac:dyDescent="0.2">
      <c r="A1717" s="2"/>
      <c r="B1717" s="2"/>
      <c r="C1717" s="2"/>
      <c r="D1717" s="2"/>
      <c r="E1717" s="2"/>
      <c r="F1717" s="2"/>
      <c r="G1717" s="2"/>
      <c r="H1717" s="2"/>
      <c r="I1717" s="2"/>
      <c r="J1717" s="2"/>
      <c r="K1717" s="2"/>
      <c r="L1717" s="2"/>
      <c r="M1717" s="2"/>
    </row>
    <row r="1718" spans="1:13" x14ac:dyDescent="0.2">
      <c r="A1718" s="2"/>
      <c r="B1718" s="2"/>
      <c r="C1718" s="2"/>
      <c r="D1718" s="2"/>
      <c r="E1718" s="2"/>
      <c r="F1718" s="2"/>
      <c r="G1718" s="2"/>
      <c r="H1718" s="2"/>
      <c r="I1718" s="2"/>
      <c r="J1718" s="2"/>
      <c r="K1718" s="2"/>
      <c r="L1718" s="2"/>
      <c r="M1718" s="2"/>
    </row>
    <row r="1719" spans="1:13" x14ac:dyDescent="0.2">
      <c r="A1719" s="2"/>
      <c r="B1719" s="2"/>
      <c r="C1719" s="2"/>
      <c r="D1719" s="2"/>
      <c r="E1719" s="2"/>
      <c r="F1719" s="2"/>
      <c r="G1719" s="2"/>
      <c r="H1719" s="2"/>
      <c r="I1719" s="2"/>
      <c r="J1719" s="2"/>
      <c r="K1719" s="2"/>
      <c r="L1719" s="2"/>
      <c r="M1719" s="2"/>
    </row>
    <row r="1720" spans="1:13" x14ac:dyDescent="0.2">
      <c r="A1720" s="2"/>
      <c r="B1720" s="2"/>
      <c r="C1720" s="2"/>
      <c r="D1720" s="2"/>
      <c r="E1720" s="2"/>
      <c r="F1720" s="2"/>
      <c r="G1720" s="2"/>
      <c r="H1720" s="2"/>
      <c r="I1720" s="2"/>
      <c r="J1720" s="2"/>
      <c r="K1720" s="2"/>
      <c r="L1720" s="2"/>
      <c r="M1720" s="2"/>
    </row>
    <row r="1721" spans="1:13" x14ac:dyDescent="0.2">
      <c r="A1721" s="2"/>
      <c r="B1721" s="2"/>
      <c r="C1721" s="2"/>
      <c r="D1721" s="2"/>
      <c r="E1721" s="2"/>
      <c r="F1721" s="2"/>
      <c r="G1721" s="2"/>
      <c r="H1721" s="2"/>
      <c r="I1721" s="2"/>
      <c r="J1721" s="2"/>
      <c r="K1721" s="2"/>
      <c r="L1721" s="2"/>
      <c r="M1721" s="2"/>
    </row>
    <row r="1722" spans="1:13" x14ac:dyDescent="0.2">
      <c r="A1722" s="2"/>
      <c r="B1722" s="2"/>
      <c r="C1722" s="2"/>
      <c r="D1722" s="2"/>
      <c r="E1722" s="2"/>
      <c r="F1722" s="2"/>
      <c r="G1722" s="2"/>
      <c r="H1722" s="2"/>
      <c r="I1722" s="2"/>
      <c r="J1722" s="2"/>
      <c r="K1722" s="2"/>
      <c r="L1722" s="2"/>
      <c r="M1722" s="2"/>
    </row>
    <row r="1723" spans="1:13" x14ac:dyDescent="0.2">
      <c r="A1723" s="2"/>
      <c r="B1723" s="2"/>
      <c r="C1723" s="2"/>
      <c r="D1723" s="2"/>
      <c r="E1723" s="2"/>
      <c r="F1723" s="2"/>
      <c r="G1723" s="2"/>
      <c r="H1723" s="2"/>
      <c r="I1723" s="2"/>
      <c r="J1723" s="2"/>
      <c r="K1723" s="2"/>
      <c r="L1723" s="2"/>
      <c r="M1723" s="2"/>
    </row>
    <row r="1724" spans="1:13" x14ac:dyDescent="0.2">
      <c r="A1724" s="2"/>
      <c r="B1724" s="2"/>
      <c r="C1724" s="2"/>
      <c r="D1724" s="2"/>
      <c r="E1724" s="2"/>
      <c r="F1724" s="2"/>
      <c r="G1724" s="2"/>
      <c r="H1724" s="2"/>
      <c r="I1724" s="2"/>
      <c r="J1724" s="2"/>
      <c r="K1724" s="2"/>
      <c r="L1724" s="2"/>
      <c r="M1724" s="2"/>
    </row>
    <row r="1725" spans="1:13" x14ac:dyDescent="0.2">
      <c r="A1725" s="2"/>
      <c r="B1725" s="2"/>
      <c r="C1725" s="2"/>
      <c r="D1725" s="2"/>
      <c r="E1725" s="2"/>
      <c r="F1725" s="2"/>
      <c r="G1725" s="2"/>
      <c r="H1725" s="2"/>
      <c r="I1725" s="2"/>
      <c r="J1725" s="2"/>
      <c r="K1725" s="2"/>
      <c r="L1725" s="2"/>
      <c r="M1725" s="2"/>
    </row>
    <row r="1726" spans="1:13" x14ac:dyDescent="0.2">
      <c r="A1726" s="2"/>
      <c r="B1726" s="2"/>
      <c r="C1726" s="2"/>
      <c r="D1726" s="2"/>
      <c r="E1726" s="2"/>
      <c r="F1726" s="2"/>
      <c r="G1726" s="2"/>
      <c r="H1726" s="2"/>
      <c r="I1726" s="2"/>
      <c r="J1726" s="2"/>
      <c r="K1726" s="2"/>
      <c r="L1726" s="2"/>
      <c r="M1726" s="2"/>
    </row>
    <row r="1727" spans="1:13" x14ac:dyDescent="0.2">
      <c r="A1727" s="2"/>
      <c r="B1727" s="2"/>
      <c r="C1727" s="2"/>
      <c r="D1727" s="2"/>
      <c r="E1727" s="2"/>
      <c r="F1727" s="2"/>
      <c r="G1727" s="2"/>
      <c r="H1727" s="2"/>
      <c r="I1727" s="2"/>
      <c r="J1727" s="2"/>
      <c r="K1727" s="2"/>
      <c r="L1727" s="2"/>
      <c r="M1727" s="2"/>
    </row>
    <row r="1728" spans="1:13" x14ac:dyDescent="0.2">
      <c r="A1728" s="2"/>
      <c r="B1728" s="2"/>
      <c r="C1728" s="2"/>
      <c r="D1728" s="2"/>
      <c r="E1728" s="2"/>
      <c r="F1728" s="2"/>
      <c r="G1728" s="2"/>
      <c r="H1728" s="2"/>
      <c r="I1728" s="2"/>
      <c r="J1728" s="2"/>
      <c r="K1728" s="2"/>
      <c r="L1728" s="2"/>
      <c r="M1728" s="2"/>
    </row>
    <row r="1729" spans="1:13" x14ac:dyDescent="0.2">
      <c r="A1729" s="2"/>
      <c r="B1729" s="2"/>
      <c r="C1729" s="2"/>
      <c r="D1729" s="2"/>
      <c r="E1729" s="2"/>
      <c r="F1729" s="2"/>
      <c r="G1729" s="2"/>
      <c r="H1729" s="2"/>
      <c r="I1729" s="2"/>
      <c r="J1729" s="2"/>
      <c r="K1729" s="2"/>
      <c r="L1729" s="2"/>
      <c r="M1729" s="2"/>
    </row>
    <row r="1730" spans="1:13" x14ac:dyDescent="0.2">
      <c r="A1730" s="2"/>
      <c r="B1730" s="2"/>
      <c r="C1730" s="2"/>
      <c r="D1730" s="2"/>
      <c r="E1730" s="2"/>
      <c r="F1730" s="2"/>
      <c r="G1730" s="2"/>
      <c r="H1730" s="2"/>
      <c r="I1730" s="2"/>
      <c r="J1730" s="2"/>
      <c r="K1730" s="2"/>
      <c r="L1730" s="2"/>
      <c r="M1730" s="2"/>
    </row>
    <row r="1731" spans="1:13" x14ac:dyDescent="0.2">
      <c r="A1731" s="2"/>
      <c r="B1731" s="2"/>
      <c r="C1731" s="2"/>
      <c r="D1731" s="2"/>
      <c r="E1731" s="2"/>
      <c r="F1731" s="2"/>
      <c r="G1731" s="2"/>
      <c r="H1731" s="2"/>
      <c r="I1731" s="2"/>
      <c r="J1731" s="2"/>
      <c r="K1731" s="2"/>
      <c r="L1731" s="2"/>
      <c r="M1731" s="2"/>
    </row>
    <row r="1732" spans="1:13" x14ac:dyDescent="0.2">
      <c r="A1732" s="2"/>
      <c r="B1732" s="2"/>
      <c r="C1732" s="2"/>
      <c r="D1732" s="2"/>
      <c r="E1732" s="2"/>
      <c r="F1732" s="2"/>
      <c r="G1732" s="2"/>
      <c r="H1732" s="2"/>
      <c r="I1732" s="2"/>
      <c r="J1732" s="2"/>
      <c r="K1732" s="2"/>
      <c r="L1732" s="2"/>
      <c r="M1732" s="2"/>
    </row>
    <row r="1733" spans="1:13" x14ac:dyDescent="0.2">
      <c r="A1733" s="2"/>
      <c r="B1733" s="2"/>
      <c r="C1733" s="2"/>
      <c r="D1733" s="2"/>
      <c r="E1733" s="2"/>
      <c r="F1733" s="2"/>
      <c r="G1733" s="2"/>
      <c r="H1733" s="2"/>
      <c r="I1733" s="2"/>
      <c r="J1733" s="2"/>
      <c r="K1733" s="2"/>
      <c r="L1733" s="2"/>
      <c r="M1733" s="2"/>
    </row>
    <row r="1734" spans="1:13" x14ac:dyDescent="0.2">
      <c r="A1734" s="2"/>
      <c r="B1734" s="2"/>
      <c r="C1734" s="2"/>
      <c r="D1734" s="2"/>
      <c r="E1734" s="2"/>
      <c r="F1734" s="2"/>
      <c r="G1734" s="2"/>
      <c r="H1734" s="2"/>
      <c r="I1734" s="2"/>
      <c r="J1734" s="2"/>
      <c r="K1734" s="2"/>
      <c r="L1734" s="2"/>
      <c r="M1734" s="2"/>
    </row>
    <row r="1735" spans="1:13" x14ac:dyDescent="0.2">
      <c r="A1735" s="2"/>
      <c r="B1735" s="2"/>
      <c r="C1735" s="2"/>
      <c r="D1735" s="2"/>
      <c r="E1735" s="2"/>
      <c r="F1735" s="2"/>
      <c r="G1735" s="2"/>
      <c r="H1735" s="2"/>
      <c r="I1735" s="2"/>
      <c r="J1735" s="2"/>
      <c r="K1735" s="2"/>
      <c r="L1735" s="2"/>
      <c r="M1735" s="2"/>
    </row>
    <row r="1736" spans="1:13" x14ac:dyDescent="0.2">
      <c r="A1736" s="2"/>
      <c r="B1736" s="2"/>
      <c r="C1736" s="2"/>
      <c r="D1736" s="2"/>
      <c r="E1736" s="2"/>
      <c r="F1736" s="2"/>
      <c r="G1736" s="2"/>
      <c r="H1736" s="2"/>
      <c r="I1736" s="2"/>
      <c r="J1736" s="2"/>
      <c r="K1736" s="2"/>
      <c r="L1736" s="2"/>
      <c r="M1736" s="2"/>
    </row>
    <row r="1737" spans="1:13" x14ac:dyDescent="0.2">
      <c r="A1737" s="2"/>
      <c r="B1737" s="2"/>
      <c r="C1737" s="2"/>
      <c r="D1737" s="2"/>
      <c r="E1737" s="2"/>
      <c r="F1737" s="2"/>
      <c r="G1737" s="2"/>
      <c r="H1737" s="2"/>
      <c r="I1737" s="2"/>
      <c r="J1737" s="2"/>
      <c r="K1737" s="2"/>
      <c r="L1737" s="2"/>
      <c r="M1737" s="2"/>
    </row>
    <row r="1738" spans="1:13" x14ac:dyDescent="0.2">
      <c r="A1738" s="2"/>
      <c r="B1738" s="2"/>
      <c r="C1738" s="2"/>
      <c r="D1738" s="2"/>
      <c r="E1738" s="2"/>
      <c r="F1738" s="2"/>
      <c r="G1738" s="2"/>
      <c r="H1738" s="2"/>
      <c r="I1738" s="2"/>
      <c r="J1738" s="2"/>
      <c r="K1738" s="2"/>
      <c r="L1738" s="2"/>
      <c r="M1738" s="2"/>
    </row>
    <row r="1739" spans="1:13" x14ac:dyDescent="0.2">
      <c r="A1739" s="2"/>
      <c r="B1739" s="2"/>
      <c r="C1739" s="2"/>
      <c r="D1739" s="2"/>
      <c r="E1739" s="2"/>
      <c r="F1739" s="2"/>
      <c r="G1739" s="2"/>
      <c r="H1739" s="2"/>
      <c r="I1739" s="2"/>
      <c r="J1739" s="2"/>
      <c r="K1739" s="2"/>
      <c r="L1739" s="2"/>
      <c r="M1739" s="2"/>
    </row>
    <row r="1740" spans="1:13" x14ac:dyDescent="0.2">
      <c r="A1740" s="2"/>
      <c r="B1740" s="2"/>
      <c r="C1740" s="2"/>
      <c r="D1740" s="2"/>
      <c r="E1740" s="2"/>
      <c r="F1740" s="2"/>
      <c r="G1740" s="2"/>
      <c r="H1740" s="2"/>
      <c r="I1740" s="2"/>
      <c r="J1740" s="2"/>
      <c r="K1740" s="2"/>
      <c r="L1740" s="2"/>
      <c r="M1740" s="2"/>
    </row>
    <row r="1741" spans="1:13" x14ac:dyDescent="0.2">
      <c r="A1741" s="2"/>
      <c r="B1741" s="2"/>
      <c r="C1741" s="2"/>
      <c r="D1741" s="2"/>
      <c r="E1741" s="2"/>
      <c r="F1741" s="2"/>
      <c r="G1741" s="2"/>
      <c r="H1741" s="2"/>
      <c r="I1741" s="2"/>
      <c r="J1741" s="2"/>
      <c r="K1741" s="2"/>
      <c r="L1741" s="2"/>
      <c r="M1741" s="2"/>
    </row>
    <row r="1742" spans="1:13" x14ac:dyDescent="0.2">
      <c r="A1742" s="2"/>
      <c r="B1742" s="2"/>
      <c r="C1742" s="2"/>
      <c r="D1742" s="2"/>
      <c r="E1742" s="2"/>
      <c r="F1742" s="2"/>
      <c r="G1742" s="2"/>
      <c r="H1742" s="2"/>
      <c r="I1742" s="2"/>
      <c r="J1742" s="2"/>
      <c r="K1742" s="2"/>
      <c r="L1742" s="2"/>
      <c r="M1742" s="2"/>
    </row>
    <row r="1743" spans="1:13" x14ac:dyDescent="0.2">
      <c r="A1743" s="2"/>
      <c r="B1743" s="2"/>
      <c r="C1743" s="2"/>
      <c r="D1743" s="2"/>
      <c r="E1743" s="2"/>
      <c r="F1743" s="2"/>
      <c r="G1743" s="2"/>
      <c r="H1743" s="2"/>
      <c r="I1743" s="2"/>
      <c r="J1743" s="2"/>
      <c r="K1743" s="2"/>
      <c r="L1743" s="2"/>
      <c r="M1743" s="2"/>
    </row>
    <row r="1744" spans="1:13" x14ac:dyDescent="0.2">
      <c r="A1744" s="2"/>
      <c r="B1744" s="2"/>
      <c r="C1744" s="2"/>
      <c r="D1744" s="2"/>
      <c r="E1744" s="2"/>
      <c r="F1744" s="2"/>
      <c r="G1744" s="2"/>
      <c r="H1744" s="2"/>
      <c r="I1744" s="2"/>
      <c r="J1744" s="2"/>
      <c r="K1744" s="2"/>
      <c r="L1744" s="2"/>
      <c r="M1744" s="2"/>
    </row>
    <row r="1745" spans="1:13" x14ac:dyDescent="0.2">
      <c r="A1745" s="2"/>
      <c r="B1745" s="2"/>
      <c r="C1745" s="2"/>
      <c r="D1745" s="2"/>
      <c r="E1745" s="2"/>
      <c r="F1745" s="2"/>
      <c r="G1745" s="2"/>
      <c r="H1745" s="2"/>
      <c r="I1745" s="2"/>
      <c r="J1745" s="2"/>
      <c r="K1745" s="2"/>
      <c r="L1745" s="2"/>
      <c r="M1745" s="2"/>
    </row>
    <row r="1746" spans="1:13" x14ac:dyDescent="0.2">
      <c r="A1746" s="2"/>
      <c r="B1746" s="2"/>
      <c r="C1746" s="2"/>
      <c r="D1746" s="2"/>
      <c r="E1746" s="2"/>
      <c r="F1746" s="2"/>
      <c r="G1746" s="2"/>
      <c r="H1746" s="2"/>
      <c r="I1746" s="2"/>
      <c r="J1746" s="2"/>
      <c r="K1746" s="2"/>
      <c r="L1746" s="2"/>
      <c r="M1746" s="2"/>
    </row>
    <row r="1747" spans="1:13" x14ac:dyDescent="0.2">
      <c r="A1747" s="2"/>
      <c r="B1747" s="2"/>
      <c r="C1747" s="2"/>
      <c r="D1747" s="2"/>
      <c r="E1747" s="2"/>
      <c r="F1747" s="2"/>
      <c r="G1747" s="2"/>
      <c r="H1747" s="2"/>
      <c r="I1747" s="2"/>
      <c r="J1747" s="2"/>
      <c r="K1747" s="2"/>
      <c r="L1747" s="2"/>
      <c r="M1747" s="2"/>
    </row>
    <row r="1748" spans="1:13" x14ac:dyDescent="0.2">
      <c r="A1748" s="2"/>
      <c r="B1748" s="2"/>
      <c r="C1748" s="2"/>
      <c r="D1748" s="2"/>
      <c r="E1748" s="2"/>
      <c r="F1748" s="2"/>
      <c r="G1748" s="2"/>
      <c r="H1748" s="2"/>
      <c r="I1748" s="2"/>
      <c r="J1748" s="2"/>
      <c r="K1748" s="2"/>
      <c r="L1748" s="2"/>
      <c r="M1748" s="2"/>
    </row>
    <row r="1749" spans="1:13" x14ac:dyDescent="0.2">
      <c r="A1749" s="2"/>
      <c r="B1749" s="2"/>
      <c r="C1749" s="2"/>
      <c r="D1749" s="2"/>
      <c r="E1749" s="2"/>
      <c r="F1749" s="2"/>
      <c r="G1749" s="2"/>
      <c r="H1749" s="2"/>
      <c r="I1749" s="2"/>
      <c r="J1749" s="2"/>
      <c r="K1749" s="2"/>
      <c r="L1749" s="2"/>
      <c r="M1749" s="2"/>
    </row>
    <row r="1750" spans="1:13" x14ac:dyDescent="0.2">
      <c r="A1750" s="2"/>
      <c r="B1750" s="2"/>
      <c r="C1750" s="2"/>
      <c r="D1750" s="2"/>
      <c r="E1750" s="2"/>
      <c r="F1750" s="2"/>
      <c r="G1750" s="2"/>
      <c r="H1750" s="2"/>
      <c r="I1750" s="2"/>
      <c r="J1750" s="2"/>
      <c r="K1750" s="2"/>
      <c r="L1750" s="2"/>
      <c r="M1750" s="2"/>
    </row>
    <row r="1751" spans="1:13" x14ac:dyDescent="0.2">
      <c r="A1751" s="2"/>
      <c r="B1751" s="2"/>
      <c r="C1751" s="2"/>
      <c r="D1751" s="2"/>
      <c r="E1751" s="2"/>
      <c r="F1751" s="2"/>
      <c r="G1751" s="2"/>
      <c r="H1751" s="2"/>
      <c r="I1751" s="2"/>
      <c r="J1751" s="2"/>
      <c r="K1751" s="2"/>
      <c r="L1751" s="2"/>
      <c r="M1751" s="2"/>
    </row>
    <row r="1752" spans="1:13" x14ac:dyDescent="0.2">
      <c r="A1752" s="2"/>
      <c r="B1752" s="2"/>
      <c r="C1752" s="2"/>
      <c r="D1752" s="2"/>
      <c r="E1752" s="2"/>
      <c r="F1752" s="2"/>
      <c r="G1752" s="2"/>
      <c r="H1752" s="2"/>
      <c r="I1752" s="2"/>
      <c r="J1752" s="2"/>
      <c r="K1752" s="2"/>
      <c r="L1752" s="2"/>
      <c r="M1752" s="2"/>
    </row>
    <row r="1753" spans="1:13" x14ac:dyDescent="0.2">
      <c r="A1753" s="2"/>
      <c r="B1753" s="2"/>
      <c r="C1753" s="2"/>
      <c r="D1753" s="2"/>
      <c r="E1753" s="2"/>
      <c r="F1753" s="2"/>
      <c r="G1753" s="2"/>
      <c r="H1753" s="2"/>
      <c r="I1753" s="2"/>
      <c r="J1753" s="2"/>
      <c r="K1753" s="2"/>
      <c r="L1753" s="2"/>
      <c r="M1753" s="2"/>
    </row>
    <row r="1754" spans="1:13" x14ac:dyDescent="0.2">
      <c r="A1754" s="2"/>
      <c r="B1754" s="2"/>
      <c r="C1754" s="2"/>
      <c r="D1754" s="2"/>
      <c r="E1754" s="2"/>
      <c r="F1754" s="2"/>
      <c r="G1754" s="2"/>
      <c r="H1754" s="2"/>
      <c r="I1754" s="2"/>
      <c r="J1754" s="2"/>
      <c r="K1754" s="2"/>
      <c r="L1754" s="2"/>
      <c r="M1754" s="2"/>
    </row>
    <row r="1755" spans="1:13" x14ac:dyDescent="0.2">
      <c r="A1755" s="2"/>
      <c r="B1755" s="2"/>
      <c r="C1755" s="2"/>
      <c r="D1755" s="2"/>
      <c r="E1755" s="2"/>
      <c r="F1755" s="2"/>
      <c r="G1755" s="2"/>
      <c r="H1755" s="2"/>
      <c r="I1755" s="2"/>
      <c r="J1755" s="2"/>
      <c r="K1755" s="2"/>
      <c r="L1755" s="2"/>
      <c r="M1755" s="2"/>
    </row>
    <row r="1756" spans="1:13" x14ac:dyDescent="0.2">
      <c r="A1756" s="2"/>
      <c r="B1756" s="2"/>
      <c r="C1756" s="2"/>
      <c r="D1756" s="2"/>
      <c r="E1756" s="2"/>
      <c r="F1756" s="2"/>
      <c r="G1756" s="2"/>
      <c r="H1756" s="2"/>
      <c r="I1756" s="2"/>
      <c r="J1756" s="2"/>
      <c r="K1756" s="2"/>
      <c r="L1756" s="2"/>
      <c r="M1756" s="2"/>
    </row>
    <row r="1757" spans="1:13" x14ac:dyDescent="0.2">
      <c r="A1757" s="2"/>
      <c r="B1757" s="2"/>
      <c r="C1757" s="2"/>
      <c r="D1757" s="2"/>
      <c r="E1757" s="2"/>
      <c r="F1757" s="2"/>
      <c r="G1757" s="2"/>
      <c r="H1757" s="2"/>
      <c r="I1757" s="2"/>
      <c r="J1757" s="2"/>
      <c r="K1757" s="2"/>
      <c r="L1757" s="2"/>
      <c r="M1757" s="2"/>
    </row>
    <row r="1758" spans="1:13" x14ac:dyDescent="0.2">
      <c r="A1758" s="2"/>
      <c r="B1758" s="2"/>
      <c r="C1758" s="2"/>
      <c r="D1758" s="2"/>
      <c r="E1758" s="2"/>
      <c r="F1758" s="2"/>
      <c r="G1758" s="2"/>
      <c r="H1758" s="2"/>
      <c r="I1758" s="2"/>
      <c r="J1758" s="2"/>
      <c r="K1758" s="2"/>
      <c r="L1758" s="2"/>
      <c r="M1758" s="2"/>
    </row>
    <row r="1759" spans="1:13" x14ac:dyDescent="0.2">
      <c r="A1759" s="2"/>
      <c r="B1759" s="2"/>
      <c r="C1759" s="2"/>
      <c r="D1759" s="2"/>
      <c r="E1759" s="2"/>
      <c r="F1759" s="2"/>
      <c r="G1759" s="2"/>
      <c r="H1759" s="2"/>
      <c r="I1759" s="2"/>
      <c r="J1759" s="2"/>
      <c r="K1759" s="2"/>
      <c r="L1759" s="2"/>
      <c r="M1759" s="2"/>
    </row>
    <row r="1760" spans="1:13" x14ac:dyDescent="0.2">
      <c r="A1760" s="2"/>
      <c r="B1760" s="2"/>
      <c r="C1760" s="2"/>
      <c r="D1760" s="2"/>
      <c r="E1760" s="2"/>
      <c r="F1760" s="2"/>
      <c r="G1760" s="2"/>
      <c r="H1760" s="2"/>
      <c r="I1760" s="2"/>
      <c r="J1760" s="2"/>
      <c r="K1760" s="2"/>
      <c r="L1760" s="2"/>
      <c r="M1760" s="2"/>
    </row>
    <row r="1761" spans="1:13" x14ac:dyDescent="0.2">
      <c r="A1761" s="2"/>
      <c r="B1761" s="2"/>
      <c r="C1761" s="2"/>
      <c r="D1761" s="2"/>
      <c r="E1761" s="2"/>
      <c r="F1761" s="2"/>
      <c r="G1761" s="2"/>
      <c r="H1761" s="2"/>
      <c r="I1761" s="2"/>
      <c r="J1761" s="2"/>
      <c r="K1761" s="2"/>
      <c r="L1761" s="2"/>
      <c r="M1761" s="2"/>
    </row>
    <row r="1762" spans="1:13" x14ac:dyDescent="0.2">
      <c r="A1762" s="2"/>
      <c r="B1762" s="2"/>
      <c r="C1762" s="2"/>
      <c r="D1762" s="2"/>
      <c r="E1762" s="2"/>
      <c r="F1762" s="2"/>
      <c r="G1762" s="2"/>
      <c r="H1762" s="2"/>
      <c r="I1762" s="2"/>
      <c r="J1762" s="2"/>
      <c r="K1762" s="2"/>
      <c r="L1762" s="2"/>
      <c r="M1762" s="2"/>
    </row>
    <row r="1763" spans="1:13" x14ac:dyDescent="0.2">
      <c r="A1763" s="2"/>
      <c r="B1763" s="2"/>
      <c r="C1763" s="2"/>
      <c r="D1763" s="2"/>
      <c r="E1763" s="2"/>
      <c r="F1763" s="2"/>
      <c r="G1763" s="2"/>
      <c r="H1763" s="2"/>
      <c r="I1763" s="2"/>
      <c r="J1763" s="2"/>
      <c r="K1763" s="2"/>
      <c r="L1763" s="2"/>
      <c r="M1763" s="2"/>
    </row>
    <row r="1764" spans="1:13" x14ac:dyDescent="0.2">
      <c r="A1764" s="2"/>
      <c r="B1764" s="2"/>
      <c r="C1764" s="2"/>
      <c r="D1764" s="2"/>
      <c r="E1764" s="2"/>
      <c r="F1764" s="2"/>
      <c r="G1764" s="2"/>
      <c r="H1764" s="2"/>
      <c r="I1764" s="2"/>
      <c r="J1764" s="2"/>
      <c r="K1764" s="2"/>
      <c r="L1764" s="2"/>
      <c r="M1764" s="2"/>
    </row>
    <row r="1765" spans="1:13" x14ac:dyDescent="0.2">
      <c r="A1765" s="2"/>
      <c r="B1765" s="2"/>
      <c r="C1765" s="2"/>
      <c r="D1765" s="2"/>
      <c r="E1765" s="2"/>
      <c r="F1765" s="2"/>
      <c r="G1765" s="2"/>
      <c r="H1765" s="2"/>
      <c r="I1765" s="2"/>
      <c r="J1765" s="2"/>
      <c r="K1765" s="2"/>
      <c r="L1765" s="2"/>
      <c r="M1765" s="2"/>
    </row>
    <row r="1766" spans="1:13" x14ac:dyDescent="0.2">
      <c r="A1766" s="2"/>
      <c r="B1766" s="2"/>
      <c r="C1766" s="2"/>
      <c r="D1766" s="2"/>
      <c r="E1766" s="2"/>
      <c r="F1766" s="2"/>
      <c r="G1766" s="2"/>
      <c r="H1766" s="2"/>
      <c r="I1766" s="2"/>
      <c r="J1766" s="2"/>
      <c r="K1766" s="2"/>
      <c r="L1766" s="2"/>
      <c r="M1766" s="2"/>
    </row>
    <row r="1767" spans="1:13" x14ac:dyDescent="0.2">
      <c r="A1767" s="2"/>
      <c r="B1767" s="2"/>
      <c r="C1767" s="2"/>
      <c r="D1767" s="2"/>
      <c r="E1767" s="2"/>
      <c r="F1767" s="2"/>
      <c r="G1767" s="2"/>
      <c r="H1767" s="2"/>
      <c r="I1767" s="2"/>
      <c r="J1767" s="2"/>
      <c r="K1767" s="2"/>
      <c r="L1767" s="2"/>
      <c r="M1767" s="2"/>
    </row>
    <row r="1768" spans="1:13" x14ac:dyDescent="0.2">
      <c r="A1768" s="2"/>
      <c r="B1768" s="2"/>
      <c r="C1768" s="2"/>
      <c r="D1768" s="2"/>
      <c r="E1768" s="2"/>
      <c r="F1768" s="2"/>
      <c r="G1768" s="2"/>
      <c r="H1768" s="2"/>
      <c r="I1768" s="2"/>
      <c r="J1768" s="2"/>
      <c r="K1768" s="2"/>
      <c r="L1768" s="2"/>
      <c r="M1768" s="2"/>
    </row>
    <row r="1769" spans="1:13" x14ac:dyDescent="0.2">
      <c r="A1769" s="2"/>
      <c r="B1769" s="2"/>
      <c r="C1769" s="2"/>
      <c r="D1769" s="2"/>
      <c r="E1769" s="2"/>
      <c r="F1769" s="2"/>
      <c r="G1769" s="2"/>
      <c r="H1769" s="2"/>
      <c r="I1769" s="2"/>
      <c r="J1769" s="2"/>
      <c r="K1769" s="2"/>
      <c r="L1769" s="2"/>
      <c r="M1769" s="2"/>
    </row>
    <row r="1770" spans="1:13" x14ac:dyDescent="0.2">
      <c r="A1770" s="2"/>
      <c r="B1770" s="2"/>
      <c r="C1770" s="2"/>
      <c r="D1770" s="2"/>
      <c r="E1770" s="2"/>
      <c r="F1770" s="2"/>
      <c r="G1770" s="2"/>
      <c r="H1770" s="2"/>
      <c r="I1770" s="2"/>
      <c r="J1770" s="2"/>
      <c r="K1770" s="2"/>
      <c r="L1770" s="2"/>
      <c r="M1770" s="2"/>
    </row>
    <row r="1771" spans="1:13" x14ac:dyDescent="0.2">
      <c r="A1771" s="2"/>
      <c r="B1771" s="2"/>
      <c r="C1771" s="2"/>
      <c r="D1771" s="2"/>
      <c r="E1771" s="2"/>
      <c r="F1771" s="2"/>
      <c r="G1771" s="2"/>
      <c r="H1771" s="2"/>
      <c r="I1771" s="2"/>
      <c r="J1771" s="2"/>
      <c r="K1771" s="2"/>
      <c r="L1771" s="2"/>
      <c r="M1771" s="2"/>
    </row>
    <row r="1772" spans="1:13" x14ac:dyDescent="0.2">
      <c r="A1772" s="2"/>
      <c r="B1772" s="2"/>
      <c r="C1772" s="2"/>
      <c r="D1772" s="2"/>
      <c r="E1772" s="2"/>
      <c r="F1772" s="2"/>
      <c r="G1772" s="2"/>
      <c r="H1772" s="2"/>
      <c r="I1772" s="2"/>
      <c r="J1772" s="2"/>
      <c r="K1772" s="2"/>
      <c r="L1772" s="2"/>
      <c r="M1772" s="2"/>
    </row>
    <row r="1773" spans="1:13" x14ac:dyDescent="0.2">
      <c r="A1773" s="2"/>
      <c r="B1773" s="2"/>
      <c r="C1773" s="2"/>
      <c r="D1773" s="2"/>
      <c r="E1773" s="2"/>
      <c r="F1773" s="2"/>
      <c r="G1773" s="2"/>
      <c r="H1773" s="2"/>
      <c r="I1773" s="2"/>
      <c r="J1773" s="2"/>
      <c r="K1773" s="2"/>
      <c r="L1773" s="2"/>
      <c r="M1773" s="2"/>
    </row>
    <row r="1774" spans="1:13" x14ac:dyDescent="0.2">
      <c r="A1774" s="2"/>
      <c r="B1774" s="2"/>
      <c r="C1774" s="2"/>
      <c r="D1774" s="2"/>
      <c r="E1774" s="2"/>
      <c r="F1774" s="2"/>
      <c r="G1774" s="2"/>
      <c r="H1774" s="2"/>
      <c r="I1774" s="2"/>
      <c r="J1774" s="2"/>
      <c r="K1774" s="2"/>
      <c r="L1774" s="2"/>
      <c r="M1774" s="2"/>
    </row>
    <row r="1775" spans="1:13" x14ac:dyDescent="0.2">
      <c r="A1775" s="2"/>
      <c r="B1775" s="2"/>
      <c r="C1775" s="2"/>
      <c r="D1775" s="2"/>
      <c r="E1775" s="2"/>
      <c r="F1775" s="2"/>
      <c r="G1775" s="2"/>
      <c r="H1775" s="2"/>
      <c r="I1775" s="2"/>
      <c r="J1775" s="2"/>
      <c r="K1775" s="2"/>
      <c r="L1775" s="2"/>
      <c r="M1775" s="2"/>
    </row>
    <row r="1776" spans="1:13" x14ac:dyDescent="0.2">
      <c r="A1776" s="2"/>
      <c r="B1776" s="2"/>
      <c r="C1776" s="2"/>
      <c r="D1776" s="2"/>
      <c r="E1776" s="2"/>
      <c r="F1776" s="2"/>
      <c r="G1776" s="2"/>
      <c r="H1776" s="2"/>
      <c r="I1776" s="2"/>
      <c r="J1776" s="2"/>
      <c r="K1776" s="2"/>
      <c r="L1776" s="2"/>
      <c r="M1776" s="2"/>
    </row>
    <row r="1777" spans="1:13" x14ac:dyDescent="0.2">
      <c r="A1777" s="2"/>
      <c r="B1777" s="2"/>
      <c r="C1777" s="2"/>
      <c r="D1777" s="2"/>
      <c r="E1777" s="2"/>
      <c r="F1777" s="2"/>
      <c r="G1777" s="2"/>
      <c r="H1777" s="2"/>
      <c r="I1777" s="2"/>
      <c r="J1777" s="2"/>
      <c r="K1777" s="2"/>
      <c r="L1777" s="2"/>
      <c r="M1777" s="2"/>
    </row>
    <row r="1778" spans="1:13" x14ac:dyDescent="0.2">
      <c r="A1778" s="2"/>
      <c r="B1778" s="2"/>
      <c r="C1778" s="2"/>
      <c r="D1778" s="2"/>
      <c r="E1778" s="2"/>
      <c r="F1778" s="2"/>
      <c r="G1778" s="2"/>
      <c r="H1778" s="2"/>
      <c r="I1778" s="2"/>
      <c r="J1778" s="2"/>
      <c r="K1778" s="2"/>
      <c r="L1778" s="2"/>
      <c r="M1778" s="2"/>
    </row>
    <row r="1779" spans="1:13" x14ac:dyDescent="0.2">
      <c r="A1779" s="2"/>
      <c r="B1779" s="2"/>
      <c r="C1779" s="2"/>
      <c r="D1779" s="2"/>
      <c r="E1779" s="2"/>
      <c r="F1779" s="2"/>
      <c r="G1779" s="2"/>
      <c r="H1779" s="2"/>
      <c r="I1779" s="2"/>
      <c r="J1779" s="2"/>
      <c r="K1779" s="2"/>
      <c r="L1779" s="2"/>
      <c r="M1779" s="2"/>
    </row>
    <row r="1780" spans="1:13" x14ac:dyDescent="0.2">
      <c r="A1780" s="2"/>
      <c r="B1780" s="2"/>
      <c r="C1780" s="2"/>
      <c r="D1780" s="2"/>
      <c r="E1780" s="2"/>
      <c r="F1780" s="2"/>
      <c r="G1780" s="2"/>
      <c r="H1780" s="2"/>
      <c r="I1780" s="2"/>
      <c r="J1780" s="2"/>
      <c r="K1780" s="2"/>
      <c r="L1780" s="2"/>
      <c r="M1780" s="2"/>
    </row>
    <row r="1781" spans="1:13" x14ac:dyDescent="0.2">
      <c r="A1781" s="2"/>
      <c r="B1781" s="2"/>
      <c r="C1781" s="2"/>
      <c r="D1781" s="2"/>
      <c r="E1781" s="2"/>
      <c r="F1781" s="2"/>
      <c r="G1781" s="2"/>
      <c r="H1781" s="2"/>
      <c r="I1781" s="2"/>
      <c r="J1781" s="2"/>
      <c r="K1781" s="2"/>
      <c r="L1781" s="2"/>
      <c r="M1781" s="2"/>
    </row>
    <row r="1782" spans="1:13" x14ac:dyDescent="0.2">
      <c r="A1782" s="2"/>
      <c r="B1782" s="2"/>
      <c r="C1782" s="2"/>
      <c r="D1782" s="2"/>
      <c r="E1782" s="2"/>
      <c r="F1782" s="2"/>
      <c r="G1782" s="2"/>
      <c r="H1782" s="2"/>
      <c r="I1782" s="2"/>
      <c r="J1782" s="2"/>
      <c r="K1782" s="2"/>
      <c r="L1782" s="2"/>
      <c r="M1782" s="2"/>
    </row>
    <row r="1783" spans="1:13" x14ac:dyDescent="0.2">
      <c r="A1783" s="2"/>
      <c r="B1783" s="2"/>
      <c r="C1783" s="2"/>
      <c r="D1783" s="2"/>
      <c r="E1783" s="2"/>
      <c r="F1783" s="2"/>
      <c r="G1783" s="2"/>
      <c r="H1783" s="2"/>
      <c r="I1783" s="2"/>
      <c r="J1783" s="2"/>
      <c r="K1783" s="2"/>
      <c r="L1783" s="2"/>
      <c r="M1783" s="2"/>
    </row>
    <row r="1784" spans="1:13" x14ac:dyDescent="0.2">
      <c r="A1784" s="2"/>
      <c r="B1784" s="2"/>
      <c r="C1784" s="2"/>
      <c r="D1784" s="2"/>
      <c r="E1784" s="2"/>
      <c r="F1784" s="2"/>
      <c r="G1784" s="2"/>
      <c r="H1784" s="2"/>
      <c r="I1784" s="2"/>
      <c r="J1784" s="2"/>
      <c r="K1784" s="2"/>
      <c r="L1784" s="2"/>
      <c r="M1784" s="2"/>
    </row>
    <row r="1785" spans="1:13" x14ac:dyDescent="0.2">
      <c r="A1785" s="2"/>
      <c r="B1785" s="2"/>
      <c r="C1785" s="2"/>
      <c r="D1785" s="2"/>
      <c r="E1785" s="2"/>
      <c r="F1785" s="2"/>
      <c r="G1785" s="2"/>
      <c r="H1785" s="2"/>
      <c r="I1785" s="2"/>
      <c r="J1785" s="2"/>
      <c r="K1785" s="2"/>
      <c r="L1785" s="2"/>
      <c r="M1785" s="2"/>
    </row>
    <row r="1786" spans="1:13" x14ac:dyDescent="0.2">
      <c r="A1786" s="2"/>
      <c r="B1786" s="2"/>
      <c r="C1786" s="2"/>
      <c r="D1786" s="2"/>
      <c r="E1786" s="2"/>
      <c r="F1786" s="2"/>
      <c r="G1786" s="2"/>
      <c r="H1786" s="2"/>
      <c r="I1786" s="2"/>
      <c r="J1786" s="2"/>
      <c r="K1786" s="2"/>
      <c r="L1786" s="2"/>
      <c r="M1786" s="2"/>
    </row>
    <row r="1787" spans="1:13" x14ac:dyDescent="0.2">
      <c r="A1787" s="2"/>
      <c r="B1787" s="2"/>
      <c r="C1787" s="2"/>
      <c r="D1787" s="2"/>
      <c r="E1787" s="2"/>
      <c r="F1787" s="2"/>
      <c r="G1787" s="2"/>
      <c r="H1787" s="2"/>
      <c r="I1787" s="2"/>
      <c r="J1787" s="2"/>
      <c r="K1787" s="2"/>
      <c r="L1787" s="2"/>
      <c r="M1787" s="2"/>
    </row>
    <row r="1788" spans="1:13" x14ac:dyDescent="0.2">
      <c r="A1788" s="2"/>
      <c r="B1788" s="2"/>
      <c r="C1788" s="2"/>
      <c r="D1788" s="2"/>
      <c r="E1788" s="2"/>
      <c r="F1788" s="2"/>
      <c r="G1788" s="2"/>
      <c r="H1788" s="2"/>
      <c r="I1788" s="2"/>
      <c r="J1788" s="2"/>
      <c r="K1788" s="2"/>
      <c r="L1788" s="2"/>
      <c r="M1788" s="2"/>
    </row>
    <row r="1789" spans="1:13" x14ac:dyDescent="0.2">
      <c r="A1789" s="2"/>
      <c r="B1789" s="2"/>
      <c r="C1789" s="2"/>
      <c r="D1789" s="2"/>
      <c r="E1789" s="2"/>
      <c r="F1789" s="2"/>
      <c r="G1789" s="2"/>
      <c r="H1789" s="2"/>
      <c r="I1789" s="2"/>
      <c r="J1789" s="2"/>
      <c r="K1789" s="2"/>
      <c r="L1789" s="2"/>
      <c r="M1789" s="2"/>
    </row>
    <row r="1790" spans="1:13" x14ac:dyDescent="0.2">
      <c r="A1790" s="2"/>
      <c r="B1790" s="2"/>
      <c r="C1790" s="2"/>
      <c r="D1790" s="2"/>
      <c r="E1790" s="2"/>
      <c r="F1790" s="2"/>
      <c r="G1790" s="2"/>
      <c r="H1790" s="2"/>
      <c r="I1790" s="2"/>
      <c r="J1790" s="2"/>
      <c r="K1790" s="2"/>
      <c r="L1790" s="2"/>
      <c r="M1790" s="2"/>
    </row>
    <row r="1791" spans="1:13" x14ac:dyDescent="0.2">
      <c r="A1791" s="2"/>
      <c r="B1791" s="2"/>
      <c r="C1791" s="2"/>
      <c r="D1791" s="2"/>
      <c r="E1791" s="2"/>
      <c r="F1791" s="2"/>
      <c r="G1791" s="2"/>
      <c r="H1791" s="2"/>
      <c r="I1791" s="2"/>
      <c r="J1791" s="2"/>
      <c r="K1791" s="2"/>
      <c r="L1791" s="2"/>
      <c r="M1791" s="2"/>
    </row>
    <row r="1792" spans="1:13" x14ac:dyDescent="0.2">
      <c r="A1792" s="2"/>
      <c r="B1792" s="2"/>
      <c r="C1792" s="2"/>
      <c r="D1792" s="2"/>
      <c r="E1792" s="2"/>
      <c r="F1792" s="2"/>
      <c r="G1792" s="2"/>
      <c r="H1792" s="2"/>
      <c r="I1792" s="2"/>
      <c r="J1792" s="2"/>
      <c r="K1792" s="2"/>
      <c r="L1792" s="2"/>
      <c r="M1792" s="2"/>
    </row>
    <row r="1793" spans="1:13" x14ac:dyDescent="0.2">
      <c r="A1793" s="2"/>
      <c r="B1793" s="2"/>
      <c r="C1793" s="2"/>
      <c r="D1793" s="2"/>
      <c r="E1793" s="2"/>
      <c r="F1793" s="2"/>
      <c r="G1793" s="2"/>
      <c r="H1793" s="2"/>
      <c r="I1793" s="2"/>
      <c r="J1793" s="2"/>
      <c r="K1793" s="2"/>
      <c r="L1793" s="2"/>
      <c r="M1793" s="2"/>
    </row>
    <row r="1794" spans="1:13" x14ac:dyDescent="0.2">
      <c r="A1794" s="2"/>
      <c r="B1794" s="2"/>
      <c r="C1794" s="2"/>
      <c r="D1794" s="2"/>
      <c r="E1794" s="2"/>
      <c r="F1794" s="2"/>
      <c r="G1794" s="2"/>
      <c r="H1794" s="2"/>
      <c r="I1794" s="2"/>
      <c r="J1794" s="2"/>
      <c r="K1794" s="2"/>
      <c r="L1794" s="2"/>
      <c r="M1794" s="2"/>
    </row>
    <row r="1795" spans="1:13" x14ac:dyDescent="0.2">
      <c r="A1795" s="2"/>
      <c r="B1795" s="2"/>
      <c r="C1795" s="2"/>
      <c r="D1795" s="2"/>
      <c r="E1795" s="2"/>
      <c r="F1795" s="2"/>
      <c r="G1795" s="2"/>
      <c r="H1795" s="2"/>
      <c r="I1795" s="2"/>
      <c r="J1795" s="2"/>
      <c r="K1795" s="2"/>
      <c r="L1795" s="2"/>
      <c r="M1795" s="2"/>
    </row>
    <row r="1796" spans="1:13" x14ac:dyDescent="0.2">
      <c r="A1796" s="2"/>
      <c r="B1796" s="2"/>
      <c r="C1796" s="2"/>
      <c r="D1796" s="2"/>
      <c r="E1796" s="2"/>
      <c r="F1796" s="2"/>
      <c r="G1796" s="2"/>
      <c r="H1796" s="2"/>
      <c r="I1796" s="2"/>
      <c r="J1796" s="2"/>
      <c r="K1796" s="2"/>
      <c r="L1796" s="2"/>
      <c r="M1796" s="2"/>
    </row>
    <row r="1797" spans="1:13" x14ac:dyDescent="0.2">
      <c r="A1797" s="2"/>
      <c r="B1797" s="2"/>
      <c r="C1797" s="2"/>
      <c r="D1797" s="2"/>
      <c r="E1797" s="2"/>
      <c r="F1797" s="2"/>
      <c r="G1797" s="2"/>
      <c r="H1797" s="2"/>
      <c r="I1797" s="2"/>
      <c r="J1797" s="2"/>
      <c r="K1797" s="2"/>
      <c r="L1797" s="2"/>
      <c r="M1797" s="2"/>
    </row>
    <row r="1798" spans="1:13" x14ac:dyDescent="0.2">
      <c r="A1798" s="2"/>
      <c r="B1798" s="2"/>
      <c r="C1798" s="2"/>
      <c r="D1798" s="2"/>
      <c r="E1798" s="2"/>
      <c r="F1798" s="2"/>
      <c r="G1798" s="2"/>
      <c r="H1798" s="2"/>
      <c r="I1798" s="2"/>
      <c r="J1798" s="2"/>
      <c r="K1798" s="2"/>
      <c r="L1798" s="2"/>
      <c r="M1798" s="2"/>
    </row>
    <row r="1799" spans="1:13" x14ac:dyDescent="0.2">
      <c r="A1799" s="2"/>
      <c r="B1799" s="2"/>
      <c r="C1799" s="2"/>
      <c r="D1799" s="2"/>
      <c r="E1799" s="2"/>
      <c r="F1799" s="2"/>
      <c r="G1799" s="2"/>
      <c r="H1799" s="2"/>
      <c r="I1799" s="2"/>
      <c r="J1799" s="2"/>
      <c r="K1799" s="2"/>
      <c r="L1799" s="2"/>
      <c r="M1799" s="2"/>
    </row>
    <row r="1800" spans="1:13" x14ac:dyDescent="0.2">
      <c r="A1800" s="2"/>
      <c r="B1800" s="2"/>
      <c r="C1800" s="2"/>
      <c r="D1800" s="2"/>
      <c r="E1800" s="2"/>
      <c r="F1800" s="2"/>
      <c r="G1800" s="2"/>
      <c r="H1800" s="2"/>
      <c r="I1800" s="2"/>
      <c r="J1800" s="2"/>
      <c r="K1800" s="2"/>
      <c r="L1800" s="2"/>
      <c r="M1800" s="2"/>
    </row>
    <row r="1801" spans="1:13" x14ac:dyDescent="0.2">
      <c r="A1801" s="2"/>
      <c r="B1801" s="2"/>
      <c r="C1801" s="2"/>
      <c r="D1801" s="2"/>
      <c r="E1801" s="2"/>
      <c r="F1801" s="2"/>
      <c r="G1801" s="2"/>
      <c r="H1801" s="2"/>
      <c r="I1801" s="2"/>
      <c r="J1801" s="2"/>
      <c r="K1801" s="2"/>
      <c r="L1801" s="2"/>
      <c r="M1801" s="2"/>
    </row>
    <row r="1802" spans="1:13" x14ac:dyDescent="0.2">
      <c r="A1802" s="2"/>
      <c r="B1802" s="2"/>
      <c r="C1802" s="2"/>
      <c r="D1802" s="2"/>
      <c r="E1802" s="2"/>
      <c r="F1802" s="2"/>
      <c r="G1802" s="2"/>
      <c r="H1802" s="2"/>
      <c r="I1802" s="2"/>
      <c r="J1802" s="2"/>
      <c r="K1802" s="2"/>
      <c r="L1802" s="2"/>
      <c r="M1802" s="2"/>
    </row>
    <row r="1803" spans="1:13" x14ac:dyDescent="0.2">
      <c r="A1803" s="2"/>
      <c r="B1803" s="2"/>
      <c r="C1803" s="2"/>
      <c r="D1803" s="2"/>
      <c r="E1803" s="2"/>
      <c r="F1803" s="2"/>
      <c r="G1803" s="2"/>
      <c r="H1803" s="2"/>
      <c r="I1803" s="2"/>
      <c r="J1803" s="2"/>
      <c r="K1803" s="2"/>
      <c r="L1803" s="2"/>
      <c r="M1803" s="2"/>
    </row>
    <row r="1804" spans="1:13" x14ac:dyDescent="0.2">
      <c r="A1804" s="2"/>
      <c r="B1804" s="2"/>
      <c r="C1804" s="2"/>
      <c r="D1804" s="2"/>
      <c r="E1804" s="2"/>
      <c r="F1804" s="2"/>
      <c r="G1804" s="2"/>
      <c r="H1804" s="2"/>
      <c r="I1804" s="2"/>
      <c r="J1804" s="2"/>
      <c r="K1804" s="2"/>
      <c r="L1804" s="2"/>
      <c r="M1804" s="2"/>
    </row>
    <row r="1805" spans="1:13" x14ac:dyDescent="0.2">
      <c r="A1805" s="2"/>
      <c r="B1805" s="2"/>
      <c r="C1805" s="2"/>
      <c r="D1805" s="2"/>
      <c r="E1805" s="2"/>
      <c r="F1805" s="2"/>
      <c r="G1805" s="2"/>
      <c r="H1805" s="2"/>
      <c r="I1805" s="2"/>
      <c r="J1805" s="2"/>
      <c r="K1805" s="2"/>
      <c r="L1805" s="2"/>
      <c r="M1805" s="2"/>
    </row>
    <row r="1806" spans="1:13" x14ac:dyDescent="0.2">
      <c r="A1806" s="2"/>
      <c r="B1806" s="2"/>
      <c r="C1806" s="2"/>
      <c r="D1806" s="2"/>
      <c r="E1806" s="2"/>
      <c r="F1806" s="2"/>
      <c r="G1806" s="2"/>
      <c r="H1806" s="2"/>
      <c r="I1806" s="2"/>
      <c r="J1806" s="2"/>
      <c r="K1806" s="2"/>
      <c r="L1806" s="2"/>
      <c r="M1806" s="2"/>
    </row>
    <row r="1807" spans="1:13" x14ac:dyDescent="0.2">
      <c r="A1807" s="2"/>
      <c r="B1807" s="2"/>
      <c r="C1807" s="2"/>
      <c r="D1807" s="2"/>
      <c r="E1807" s="2"/>
      <c r="F1807" s="2"/>
      <c r="G1807" s="2"/>
      <c r="H1807" s="2"/>
      <c r="I1807" s="2"/>
      <c r="J1807" s="2"/>
      <c r="K1807" s="2"/>
      <c r="L1807" s="2"/>
      <c r="M1807" s="2"/>
    </row>
    <row r="1808" spans="1:13" x14ac:dyDescent="0.2">
      <c r="A1808" s="2"/>
      <c r="B1808" s="2"/>
      <c r="C1808" s="2"/>
      <c r="D1808" s="2"/>
      <c r="E1808" s="2"/>
      <c r="F1808" s="2"/>
      <c r="G1808" s="2"/>
      <c r="H1808" s="2"/>
      <c r="I1808" s="2"/>
      <c r="J1808" s="2"/>
      <c r="K1808" s="2"/>
      <c r="L1808" s="2"/>
      <c r="M1808" s="2"/>
    </row>
    <row r="1809" spans="1:13" x14ac:dyDescent="0.2">
      <c r="A1809" s="2"/>
      <c r="B1809" s="2"/>
      <c r="C1809" s="2"/>
      <c r="D1809" s="2"/>
      <c r="E1809" s="2"/>
      <c r="F1809" s="2"/>
      <c r="G1809" s="2"/>
      <c r="H1809" s="2"/>
      <c r="I1809" s="2"/>
      <c r="J1809" s="2"/>
      <c r="K1809" s="2"/>
      <c r="L1809" s="2"/>
      <c r="M1809" s="2"/>
    </row>
    <row r="1810" spans="1:13" x14ac:dyDescent="0.2">
      <c r="A1810" s="2"/>
      <c r="B1810" s="2"/>
      <c r="C1810" s="2"/>
      <c r="D1810" s="2"/>
      <c r="E1810" s="2"/>
      <c r="F1810" s="2"/>
      <c r="G1810" s="2"/>
      <c r="H1810" s="2"/>
      <c r="I1810" s="2"/>
      <c r="J1810" s="2"/>
      <c r="K1810" s="2"/>
      <c r="L1810" s="2"/>
      <c r="M1810" s="2"/>
    </row>
    <row r="1811" spans="1:13" x14ac:dyDescent="0.2">
      <c r="A1811" s="2"/>
      <c r="B1811" s="2"/>
      <c r="C1811" s="2"/>
      <c r="D1811" s="2"/>
      <c r="E1811" s="2"/>
      <c r="F1811" s="2"/>
      <c r="G1811" s="2"/>
      <c r="H1811" s="2"/>
      <c r="I1811" s="2"/>
      <c r="J1811" s="2"/>
      <c r="K1811" s="2"/>
      <c r="L1811" s="2"/>
      <c r="M1811" s="2"/>
    </row>
    <row r="1812" spans="1:13" x14ac:dyDescent="0.2">
      <c r="A1812" s="2"/>
      <c r="B1812" s="2"/>
      <c r="C1812" s="2"/>
      <c r="D1812" s="2"/>
      <c r="E1812" s="2"/>
      <c r="F1812" s="2"/>
      <c r="G1812" s="2"/>
      <c r="H1812" s="2"/>
      <c r="I1812" s="2"/>
      <c r="J1812" s="2"/>
      <c r="K1812" s="2"/>
      <c r="L1812" s="2"/>
      <c r="M1812" s="2"/>
    </row>
    <row r="1813" spans="1:13" x14ac:dyDescent="0.2">
      <c r="A1813" s="2"/>
      <c r="B1813" s="2"/>
      <c r="C1813" s="2"/>
      <c r="D1813" s="2"/>
      <c r="E1813" s="2"/>
      <c r="F1813" s="2"/>
      <c r="G1813" s="2"/>
      <c r="H1813" s="2"/>
      <c r="I1813" s="2"/>
      <c r="J1813" s="2"/>
      <c r="K1813" s="2"/>
      <c r="L1813" s="2"/>
      <c r="M1813" s="2"/>
    </row>
    <row r="1814" spans="1:13" x14ac:dyDescent="0.2">
      <c r="A1814" s="2"/>
      <c r="B1814" s="2"/>
      <c r="C1814" s="2"/>
      <c r="D1814" s="2"/>
      <c r="E1814" s="2"/>
      <c r="F1814" s="2"/>
      <c r="G1814" s="2"/>
      <c r="H1814" s="2"/>
      <c r="I1814" s="2"/>
      <c r="J1814" s="2"/>
      <c r="K1814" s="2"/>
      <c r="L1814" s="2"/>
      <c r="M1814" s="2"/>
    </row>
    <row r="1815" spans="1:13" x14ac:dyDescent="0.2">
      <c r="A1815" s="2"/>
      <c r="B1815" s="2"/>
      <c r="C1815" s="2"/>
      <c r="D1815" s="2"/>
      <c r="E1815" s="2"/>
      <c r="F1815" s="2"/>
      <c r="G1815" s="2"/>
      <c r="H1815" s="2"/>
      <c r="I1815" s="2"/>
      <c r="J1815" s="2"/>
      <c r="K1815" s="2"/>
      <c r="L1815" s="2"/>
      <c r="M1815" s="2"/>
    </row>
    <row r="1816" spans="1:13" x14ac:dyDescent="0.2">
      <c r="A1816" s="2"/>
      <c r="B1816" s="2"/>
      <c r="C1816" s="2"/>
      <c r="D1816" s="2"/>
      <c r="E1816" s="2"/>
      <c r="F1816" s="2"/>
      <c r="G1816" s="2"/>
      <c r="H1816" s="2"/>
      <c r="I1816" s="2"/>
      <c r="J1816" s="2"/>
      <c r="K1816" s="2"/>
      <c r="L1816" s="2"/>
      <c r="M1816" s="2"/>
    </row>
    <row r="1817" spans="1:13" x14ac:dyDescent="0.2">
      <c r="A1817" s="2"/>
      <c r="B1817" s="2"/>
      <c r="C1817" s="2"/>
      <c r="D1817" s="2"/>
      <c r="E1817" s="2"/>
      <c r="F1817" s="2"/>
      <c r="G1817" s="2"/>
      <c r="H1817" s="2"/>
      <c r="I1817" s="2"/>
      <c r="J1817" s="2"/>
      <c r="K1817" s="2"/>
      <c r="L1817" s="2"/>
      <c r="M1817" s="2"/>
    </row>
    <row r="1818" spans="1:13" x14ac:dyDescent="0.2">
      <c r="A1818" s="2"/>
      <c r="B1818" s="2"/>
      <c r="C1818" s="2"/>
      <c r="D1818" s="2"/>
      <c r="E1818" s="2"/>
      <c r="F1818" s="2"/>
      <c r="G1818" s="2"/>
      <c r="H1818" s="2"/>
      <c r="I1818" s="2"/>
      <c r="J1818" s="2"/>
      <c r="K1818" s="2"/>
      <c r="L1818" s="2"/>
      <c r="M1818" s="2"/>
    </row>
    <row r="1819" spans="1:13" x14ac:dyDescent="0.2">
      <c r="A1819" s="2"/>
      <c r="B1819" s="2"/>
      <c r="C1819" s="2"/>
      <c r="D1819" s="2"/>
      <c r="E1819" s="2"/>
      <c r="F1819" s="2"/>
      <c r="G1819" s="2"/>
      <c r="H1819" s="2"/>
      <c r="I1819" s="2"/>
      <c r="J1819" s="2"/>
      <c r="K1819" s="2"/>
      <c r="L1819" s="2"/>
      <c r="M1819" s="2"/>
    </row>
    <row r="1820" spans="1:13" x14ac:dyDescent="0.2">
      <c r="A1820" s="2"/>
      <c r="B1820" s="2"/>
      <c r="C1820" s="2"/>
      <c r="D1820" s="2"/>
      <c r="E1820" s="2"/>
      <c r="F1820" s="2"/>
      <c r="G1820" s="2"/>
      <c r="H1820" s="2"/>
      <c r="I1820" s="2"/>
      <c r="J1820" s="2"/>
      <c r="K1820" s="2"/>
      <c r="L1820" s="2"/>
      <c r="M1820" s="2"/>
    </row>
    <row r="1821" spans="1:13" x14ac:dyDescent="0.2">
      <c r="A1821" s="2"/>
      <c r="B1821" s="2"/>
      <c r="C1821" s="2"/>
      <c r="D1821" s="2"/>
      <c r="E1821" s="2"/>
      <c r="F1821" s="2"/>
      <c r="G1821" s="2"/>
      <c r="H1821" s="2"/>
      <c r="I1821" s="2"/>
      <c r="J1821" s="2"/>
      <c r="K1821" s="2"/>
      <c r="L1821" s="2"/>
      <c r="M1821" s="2"/>
    </row>
    <row r="1822" spans="1:13" x14ac:dyDescent="0.2">
      <c r="A1822" s="2"/>
      <c r="B1822" s="2"/>
      <c r="C1822" s="2"/>
      <c r="D1822" s="2"/>
      <c r="E1822" s="2"/>
      <c r="F1822" s="2"/>
      <c r="G1822" s="2"/>
      <c r="H1822" s="2"/>
      <c r="I1822" s="2"/>
      <c r="J1822" s="2"/>
      <c r="K1822" s="2"/>
      <c r="L1822" s="2"/>
      <c r="M1822" s="2"/>
    </row>
    <row r="1823" spans="1:13" x14ac:dyDescent="0.2">
      <c r="A1823" s="2"/>
      <c r="B1823" s="2"/>
      <c r="C1823" s="2"/>
      <c r="D1823" s="2"/>
      <c r="E1823" s="2"/>
      <c r="F1823" s="2"/>
      <c r="G1823" s="2"/>
      <c r="H1823" s="2"/>
      <c r="I1823" s="2"/>
      <c r="J1823" s="2"/>
      <c r="K1823" s="2"/>
      <c r="L1823" s="2"/>
      <c r="M1823" s="2"/>
    </row>
    <row r="1824" spans="1:13" x14ac:dyDescent="0.2">
      <c r="A1824" s="2"/>
      <c r="B1824" s="2"/>
      <c r="C1824" s="2"/>
      <c r="D1824" s="2"/>
      <c r="E1824" s="2"/>
      <c r="F1824" s="2"/>
      <c r="G1824" s="2"/>
      <c r="H1824" s="2"/>
      <c r="I1824" s="2"/>
      <c r="J1824" s="2"/>
      <c r="K1824" s="2"/>
      <c r="L1824" s="2"/>
      <c r="M1824" s="2"/>
    </row>
    <row r="1825" spans="1:13" x14ac:dyDescent="0.2">
      <c r="A1825" s="2"/>
      <c r="B1825" s="2"/>
      <c r="C1825" s="2"/>
      <c r="D1825" s="2"/>
      <c r="E1825" s="2"/>
      <c r="F1825" s="2"/>
      <c r="G1825" s="2"/>
      <c r="H1825" s="2"/>
      <c r="I1825" s="2"/>
      <c r="J1825" s="2"/>
      <c r="K1825" s="2"/>
      <c r="L1825" s="2"/>
      <c r="M1825" s="2"/>
    </row>
    <row r="1826" spans="1:13" x14ac:dyDescent="0.2">
      <c r="A1826" s="2"/>
      <c r="B1826" s="2"/>
      <c r="C1826" s="2"/>
      <c r="D1826" s="2"/>
      <c r="E1826" s="2"/>
      <c r="F1826" s="2"/>
      <c r="G1826" s="2"/>
      <c r="H1826" s="2"/>
      <c r="I1826" s="2"/>
      <c r="J1826" s="2"/>
      <c r="K1826" s="2"/>
      <c r="L1826" s="2"/>
      <c r="M1826" s="2"/>
    </row>
    <row r="1827" spans="1:13" x14ac:dyDescent="0.2">
      <c r="A1827" s="2"/>
      <c r="B1827" s="2"/>
      <c r="C1827" s="2"/>
      <c r="D1827" s="2"/>
      <c r="E1827" s="2"/>
      <c r="F1827" s="2"/>
      <c r="G1827" s="2"/>
      <c r="H1827" s="2"/>
      <c r="I1827" s="2"/>
      <c r="J1827" s="2"/>
      <c r="K1827" s="2"/>
      <c r="L1827" s="2"/>
      <c r="M1827" s="2"/>
    </row>
    <row r="1828" spans="1:13" x14ac:dyDescent="0.2">
      <c r="A1828" s="2"/>
      <c r="B1828" s="2"/>
      <c r="C1828" s="2"/>
      <c r="D1828" s="2"/>
      <c r="E1828" s="2"/>
      <c r="F1828" s="2"/>
      <c r="G1828" s="2"/>
      <c r="H1828" s="2"/>
      <c r="I1828" s="2"/>
      <c r="J1828" s="2"/>
      <c r="K1828" s="2"/>
      <c r="L1828" s="2"/>
      <c r="M1828" s="2"/>
    </row>
    <row r="1829" spans="1:13" x14ac:dyDescent="0.2">
      <c r="A1829" s="2"/>
      <c r="B1829" s="2"/>
      <c r="C1829" s="2"/>
      <c r="D1829" s="2"/>
      <c r="E1829" s="2"/>
      <c r="F1829" s="2"/>
      <c r="G1829" s="2"/>
      <c r="H1829" s="2"/>
      <c r="I1829" s="2"/>
      <c r="J1829" s="2"/>
      <c r="K1829" s="2"/>
      <c r="L1829" s="2"/>
      <c r="M1829" s="2"/>
    </row>
    <row r="1830" spans="1:13" x14ac:dyDescent="0.2">
      <c r="A1830" s="2"/>
      <c r="B1830" s="2"/>
      <c r="C1830" s="2"/>
      <c r="D1830" s="2"/>
      <c r="E1830" s="2"/>
      <c r="F1830" s="2"/>
      <c r="G1830" s="2"/>
      <c r="H1830" s="2"/>
      <c r="I1830" s="2"/>
      <c r="J1830" s="2"/>
      <c r="K1830" s="2"/>
      <c r="L1830" s="2"/>
      <c r="M1830" s="2"/>
    </row>
    <row r="1831" spans="1:13" x14ac:dyDescent="0.2">
      <c r="A1831" s="2"/>
      <c r="B1831" s="2"/>
      <c r="C1831" s="2"/>
      <c r="D1831" s="2"/>
      <c r="E1831" s="2"/>
      <c r="F1831" s="2"/>
      <c r="G1831" s="2"/>
      <c r="H1831" s="2"/>
      <c r="I1831" s="2"/>
      <c r="J1831" s="2"/>
      <c r="K1831" s="2"/>
      <c r="L1831" s="2"/>
      <c r="M1831" s="2"/>
    </row>
    <row r="1832" spans="1:13" x14ac:dyDescent="0.2">
      <c r="A1832" s="2"/>
      <c r="B1832" s="2"/>
      <c r="C1832" s="2"/>
      <c r="D1832" s="2"/>
      <c r="E1832" s="2"/>
      <c r="F1832" s="2"/>
      <c r="G1832" s="2"/>
      <c r="H1832" s="2"/>
      <c r="I1832" s="2"/>
      <c r="J1832" s="2"/>
      <c r="K1832" s="2"/>
      <c r="L1832" s="2"/>
      <c r="M1832" s="2"/>
    </row>
    <row r="1833" spans="1:13" x14ac:dyDescent="0.2">
      <c r="A1833" s="2"/>
      <c r="B1833" s="2"/>
      <c r="C1833" s="2"/>
      <c r="D1833" s="2"/>
      <c r="E1833" s="2"/>
      <c r="F1833" s="2"/>
      <c r="G1833" s="2"/>
      <c r="H1833" s="2"/>
      <c r="I1833" s="2"/>
      <c r="J1833" s="2"/>
      <c r="K1833" s="2"/>
      <c r="L1833" s="2"/>
      <c r="M1833" s="2"/>
    </row>
    <row r="1834" spans="1:13" x14ac:dyDescent="0.2">
      <c r="A1834" s="2"/>
      <c r="B1834" s="2"/>
      <c r="C1834" s="2"/>
      <c r="D1834" s="2"/>
      <c r="E1834" s="2"/>
      <c r="F1834" s="2"/>
      <c r="G1834" s="2"/>
      <c r="H1834" s="2"/>
      <c r="I1834" s="2"/>
      <c r="J1834" s="2"/>
      <c r="K1834" s="2"/>
      <c r="L1834" s="2"/>
      <c r="M1834" s="2"/>
    </row>
    <row r="1835" spans="1:13" x14ac:dyDescent="0.2">
      <c r="A1835" s="2"/>
      <c r="B1835" s="2"/>
      <c r="C1835" s="2"/>
      <c r="D1835" s="2"/>
      <c r="E1835" s="2"/>
      <c r="F1835" s="2"/>
      <c r="G1835" s="2"/>
      <c r="H1835" s="2"/>
      <c r="I1835" s="2"/>
      <c r="J1835" s="2"/>
      <c r="K1835" s="2"/>
      <c r="L1835" s="2"/>
      <c r="M1835" s="2"/>
    </row>
    <row r="1836" spans="1:13" x14ac:dyDescent="0.2">
      <c r="A1836" s="2"/>
      <c r="B1836" s="2"/>
      <c r="C1836" s="2"/>
      <c r="D1836" s="2"/>
      <c r="E1836" s="2"/>
      <c r="F1836" s="2"/>
      <c r="G1836" s="2"/>
      <c r="H1836" s="2"/>
      <c r="I1836" s="2"/>
      <c r="J1836" s="2"/>
      <c r="K1836" s="2"/>
      <c r="L1836" s="2"/>
      <c r="M1836" s="2"/>
    </row>
    <row r="1837" spans="1:13" x14ac:dyDescent="0.2">
      <c r="A1837" s="2"/>
      <c r="B1837" s="2"/>
      <c r="C1837" s="2"/>
      <c r="D1837" s="2"/>
      <c r="E1837" s="2"/>
      <c r="F1837" s="2"/>
      <c r="G1837" s="2"/>
      <c r="H1837" s="2"/>
      <c r="I1837" s="2"/>
      <c r="J1837" s="2"/>
      <c r="K1837" s="2"/>
      <c r="L1837" s="2"/>
      <c r="M1837" s="2"/>
    </row>
    <row r="1838" spans="1:13" x14ac:dyDescent="0.2">
      <c r="A1838" s="2"/>
      <c r="B1838" s="2"/>
      <c r="C1838" s="2"/>
      <c r="D1838" s="2"/>
      <c r="E1838" s="2"/>
      <c r="F1838" s="2"/>
      <c r="G1838" s="2"/>
      <c r="H1838" s="2"/>
      <c r="I1838" s="2"/>
      <c r="J1838" s="2"/>
      <c r="K1838" s="2"/>
      <c r="L1838" s="2"/>
      <c r="M1838" s="2"/>
    </row>
    <row r="1839" spans="1:13" x14ac:dyDescent="0.2">
      <c r="A1839" s="2"/>
      <c r="B1839" s="2"/>
      <c r="C1839" s="2"/>
      <c r="D1839" s="2"/>
      <c r="E1839" s="2"/>
      <c r="F1839" s="2"/>
      <c r="G1839" s="2"/>
      <c r="H1839" s="2"/>
      <c r="I1839" s="2"/>
      <c r="J1839" s="2"/>
      <c r="K1839" s="2"/>
      <c r="L1839" s="2"/>
      <c r="M1839" s="2"/>
    </row>
    <row r="1840" spans="1:13" x14ac:dyDescent="0.2">
      <c r="A1840" s="2"/>
      <c r="B1840" s="2"/>
      <c r="C1840" s="2"/>
      <c r="D1840" s="2"/>
      <c r="E1840" s="2"/>
      <c r="F1840" s="2"/>
      <c r="G1840" s="2"/>
      <c r="H1840" s="2"/>
      <c r="I1840" s="2"/>
      <c r="J1840" s="2"/>
      <c r="K1840" s="2"/>
      <c r="L1840" s="2"/>
      <c r="M1840" s="2"/>
    </row>
    <row r="1841" spans="1:13" x14ac:dyDescent="0.2">
      <c r="A1841" s="2"/>
      <c r="B1841" s="2"/>
      <c r="C1841" s="2"/>
      <c r="D1841" s="2"/>
      <c r="E1841" s="2"/>
      <c r="F1841" s="2"/>
      <c r="G1841" s="2"/>
      <c r="H1841" s="2"/>
      <c r="I1841" s="2"/>
      <c r="J1841" s="2"/>
      <c r="K1841" s="2"/>
      <c r="L1841" s="2"/>
      <c r="M1841" s="2"/>
    </row>
    <row r="1842" spans="1:13" x14ac:dyDescent="0.2">
      <c r="A1842" s="2"/>
      <c r="B1842" s="2"/>
      <c r="C1842" s="2"/>
      <c r="D1842" s="2"/>
      <c r="E1842" s="2"/>
      <c r="F1842" s="2"/>
      <c r="G1842" s="2"/>
      <c r="H1842" s="2"/>
      <c r="I1842" s="2"/>
      <c r="J1842" s="2"/>
      <c r="K1842" s="2"/>
      <c r="L1842" s="2"/>
      <c r="M1842" s="2"/>
    </row>
    <row r="1843" spans="1:13" x14ac:dyDescent="0.2">
      <c r="A1843" s="2"/>
      <c r="B1843" s="2"/>
      <c r="C1843" s="2"/>
      <c r="D1843" s="2"/>
      <c r="E1843" s="2"/>
      <c r="F1843" s="2"/>
      <c r="G1843" s="2"/>
      <c r="H1843" s="2"/>
      <c r="I1843" s="2"/>
      <c r="J1843" s="2"/>
      <c r="K1843" s="2"/>
      <c r="L1843" s="2"/>
      <c r="M1843" s="2"/>
    </row>
    <row r="1844" spans="1:13" x14ac:dyDescent="0.2">
      <c r="A1844" s="2"/>
      <c r="B1844" s="2"/>
      <c r="C1844" s="2"/>
      <c r="D1844" s="2"/>
      <c r="E1844" s="2"/>
      <c r="F1844" s="2"/>
      <c r="G1844" s="2"/>
      <c r="H1844" s="2"/>
      <c r="I1844" s="2"/>
      <c r="J1844" s="2"/>
      <c r="K1844" s="2"/>
      <c r="L1844" s="2"/>
      <c r="M1844" s="2"/>
    </row>
    <row r="1845" spans="1:13" x14ac:dyDescent="0.2">
      <c r="A1845" s="2"/>
      <c r="B1845" s="2"/>
      <c r="C1845" s="2"/>
      <c r="D1845" s="2"/>
      <c r="E1845" s="2"/>
      <c r="F1845" s="2"/>
      <c r="G1845" s="2"/>
      <c r="H1845" s="2"/>
      <c r="I1845" s="2"/>
      <c r="J1845" s="2"/>
      <c r="K1845" s="2"/>
      <c r="L1845" s="2"/>
      <c r="M1845" s="2"/>
    </row>
    <row r="1846" spans="1:13" x14ac:dyDescent="0.2">
      <c r="A1846" s="2"/>
      <c r="B1846" s="2"/>
      <c r="C1846" s="2"/>
      <c r="D1846" s="2"/>
      <c r="E1846" s="2"/>
      <c r="F1846" s="2"/>
      <c r="G1846" s="2"/>
      <c r="H1846" s="2"/>
      <c r="I1846" s="2"/>
      <c r="J1846" s="2"/>
      <c r="K1846" s="2"/>
      <c r="L1846" s="2"/>
      <c r="M1846" s="2"/>
    </row>
    <row r="1847" spans="1:13" x14ac:dyDescent="0.2">
      <c r="A1847" s="2"/>
      <c r="B1847" s="2"/>
      <c r="C1847" s="2"/>
      <c r="D1847" s="2"/>
      <c r="E1847" s="2"/>
      <c r="F1847" s="2"/>
      <c r="G1847" s="2"/>
      <c r="H1847" s="2"/>
      <c r="I1847" s="2"/>
      <c r="J1847" s="2"/>
      <c r="K1847" s="2"/>
      <c r="L1847" s="2"/>
      <c r="M1847" s="2"/>
    </row>
    <row r="1848" spans="1:13" x14ac:dyDescent="0.2">
      <c r="A1848" s="2"/>
      <c r="B1848" s="2"/>
      <c r="C1848" s="2"/>
      <c r="D1848" s="2"/>
      <c r="E1848" s="2"/>
      <c r="F1848" s="2"/>
      <c r="G1848" s="2"/>
      <c r="H1848" s="2"/>
      <c r="I1848" s="2"/>
      <c r="J1848" s="2"/>
      <c r="K1848" s="2"/>
      <c r="L1848" s="2"/>
      <c r="M1848" s="2"/>
    </row>
    <row r="1849" spans="1:13" x14ac:dyDescent="0.2">
      <c r="A1849" s="2"/>
      <c r="B1849" s="2"/>
      <c r="C1849" s="2"/>
      <c r="D1849" s="2"/>
      <c r="E1849" s="2"/>
      <c r="F1849" s="2"/>
      <c r="G1849" s="2"/>
      <c r="H1849" s="2"/>
      <c r="I1849" s="2"/>
      <c r="J1849" s="2"/>
      <c r="K1849" s="2"/>
      <c r="L1849" s="2"/>
      <c r="M1849" s="2"/>
    </row>
    <row r="1850" spans="1:13" x14ac:dyDescent="0.2">
      <c r="A1850" s="2"/>
      <c r="B1850" s="2"/>
      <c r="C1850" s="2"/>
      <c r="D1850" s="2"/>
      <c r="E1850" s="2"/>
      <c r="F1850" s="2"/>
      <c r="G1850" s="2"/>
      <c r="H1850" s="2"/>
      <c r="I1850" s="2"/>
      <c r="J1850" s="2"/>
      <c r="K1850" s="2"/>
      <c r="L1850" s="2"/>
      <c r="M1850" s="2"/>
    </row>
    <row r="1851" spans="1:13" x14ac:dyDescent="0.2">
      <c r="A1851" s="2"/>
      <c r="B1851" s="2"/>
      <c r="C1851" s="2"/>
      <c r="D1851" s="2"/>
      <c r="E1851" s="2"/>
      <c r="F1851" s="2"/>
      <c r="G1851" s="2"/>
      <c r="H1851" s="2"/>
      <c r="I1851" s="2"/>
      <c r="J1851" s="2"/>
      <c r="K1851" s="2"/>
      <c r="L1851" s="2"/>
      <c r="M1851" s="2"/>
    </row>
    <row r="1852" spans="1:13" x14ac:dyDescent="0.2">
      <c r="A1852" s="2"/>
      <c r="B1852" s="2"/>
      <c r="C1852" s="2"/>
      <c r="D1852" s="2"/>
      <c r="E1852" s="2"/>
      <c r="F1852" s="2"/>
      <c r="G1852" s="2"/>
      <c r="H1852" s="2"/>
      <c r="I1852" s="2"/>
      <c r="J1852" s="2"/>
      <c r="K1852" s="2"/>
      <c r="L1852" s="2"/>
      <c r="M1852" s="2"/>
    </row>
    <row r="1853" spans="1:13" x14ac:dyDescent="0.2">
      <c r="A1853" s="2"/>
      <c r="B1853" s="2"/>
      <c r="C1853" s="2"/>
      <c r="D1853" s="2"/>
      <c r="E1853" s="2"/>
      <c r="F1853" s="2"/>
      <c r="G1853" s="2"/>
      <c r="H1853" s="2"/>
      <c r="I1853" s="2"/>
      <c r="J1853" s="2"/>
      <c r="K1853" s="2"/>
      <c r="L1853" s="2"/>
      <c r="M1853" s="2"/>
    </row>
    <row r="1854" spans="1:13" x14ac:dyDescent="0.2">
      <c r="A1854" s="2"/>
      <c r="B1854" s="2"/>
      <c r="C1854" s="2"/>
      <c r="D1854" s="2"/>
      <c r="E1854" s="2"/>
      <c r="F1854" s="2"/>
      <c r="G1854" s="2"/>
      <c r="H1854" s="2"/>
      <c r="I1854" s="2"/>
      <c r="J1854" s="2"/>
      <c r="K1854" s="2"/>
      <c r="L1854" s="2"/>
      <c r="M1854" s="2"/>
    </row>
    <row r="1855" spans="1:13" x14ac:dyDescent="0.2">
      <c r="A1855" s="2"/>
      <c r="B1855" s="2"/>
      <c r="C1855" s="2"/>
      <c r="D1855" s="2"/>
      <c r="E1855" s="2"/>
      <c r="F1855" s="2"/>
      <c r="G1855" s="2"/>
      <c r="H1855" s="2"/>
      <c r="I1855" s="2"/>
      <c r="J1855" s="2"/>
      <c r="K1855" s="2"/>
      <c r="L1855" s="2"/>
      <c r="M1855" s="2"/>
    </row>
    <row r="1856" spans="1:13" x14ac:dyDescent="0.2">
      <c r="A1856" s="2"/>
      <c r="B1856" s="2"/>
      <c r="C1856" s="2"/>
      <c r="D1856" s="2"/>
      <c r="E1856" s="2"/>
      <c r="F1856" s="2"/>
      <c r="G1856" s="2"/>
      <c r="H1856" s="2"/>
      <c r="I1856" s="2"/>
      <c r="J1856" s="2"/>
      <c r="K1856" s="2"/>
      <c r="L1856" s="2"/>
      <c r="M1856" s="2"/>
    </row>
    <row r="1857" spans="1:13" x14ac:dyDescent="0.2">
      <c r="A1857" s="2"/>
      <c r="B1857" s="2"/>
      <c r="C1857" s="2"/>
      <c r="D1857" s="2"/>
      <c r="E1857" s="2"/>
      <c r="F1857" s="2"/>
      <c r="G1857" s="2"/>
      <c r="H1857" s="2"/>
      <c r="I1857" s="2"/>
      <c r="J1857" s="2"/>
      <c r="K1857" s="2"/>
      <c r="L1857" s="2"/>
      <c r="M1857" s="2"/>
    </row>
    <row r="1858" spans="1:13" x14ac:dyDescent="0.2">
      <c r="A1858" s="2"/>
      <c r="B1858" s="2"/>
      <c r="C1858" s="2"/>
      <c r="D1858" s="2"/>
      <c r="E1858" s="2"/>
      <c r="F1858" s="2"/>
      <c r="G1858" s="2"/>
      <c r="H1858" s="2"/>
      <c r="I1858" s="2"/>
      <c r="J1858" s="2"/>
      <c r="K1858" s="2"/>
      <c r="L1858" s="2"/>
      <c r="M1858" s="2"/>
    </row>
    <row r="1859" spans="1:13" x14ac:dyDescent="0.2">
      <c r="A1859" s="2"/>
      <c r="B1859" s="2"/>
      <c r="C1859" s="2"/>
      <c r="D1859" s="2"/>
      <c r="E1859" s="2"/>
      <c r="F1859" s="2"/>
      <c r="G1859" s="2"/>
      <c r="H1859" s="2"/>
      <c r="I1859" s="2"/>
      <c r="J1859" s="2"/>
      <c r="K1859" s="2"/>
      <c r="L1859" s="2"/>
      <c r="M1859" s="2"/>
    </row>
    <row r="1860" spans="1:13" x14ac:dyDescent="0.2">
      <c r="A1860" s="2"/>
      <c r="B1860" s="2"/>
      <c r="C1860" s="2"/>
      <c r="D1860" s="2"/>
      <c r="E1860" s="2"/>
      <c r="F1860" s="2"/>
      <c r="G1860" s="2"/>
      <c r="H1860" s="2"/>
      <c r="I1860" s="2"/>
      <c r="J1860" s="2"/>
      <c r="K1860" s="2"/>
      <c r="L1860" s="2"/>
      <c r="M1860" s="2"/>
    </row>
    <row r="1861" spans="1:13" x14ac:dyDescent="0.2">
      <c r="A1861" s="2"/>
      <c r="B1861" s="2"/>
      <c r="C1861" s="2"/>
      <c r="D1861" s="2"/>
      <c r="E1861" s="2"/>
      <c r="F1861" s="2"/>
      <c r="G1861" s="2"/>
      <c r="H1861" s="2"/>
      <c r="I1861" s="2"/>
      <c r="J1861" s="2"/>
      <c r="K1861" s="2"/>
      <c r="L1861" s="2"/>
      <c r="M1861" s="2"/>
    </row>
    <row r="1862" spans="1:13" x14ac:dyDescent="0.2">
      <c r="A1862" s="2"/>
      <c r="B1862" s="2"/>
      <c r="C1862" s="2"/>
      <c r="D1862" s="2"/>
      <c r="E1862" s="2"/>
      <c r="F1862" s="2"/>
      <c r="G1862" s="2"/>
      <c r="H1862" s="2"/>
      <c r="I1862" s="2"/>
      <c r="J1862" s="2"/>
      <c r="K1862" s="2"/>
      <c r="L1862" s="2"/>
      <c r="M1862" s="2"/>
    </row>
    <row r="1863" spans="1:13" x14ac:dyDescent="0.2">
      <c r="A1863" s="2"/>
      <c r="B1863" s="2"/>
      <c r="C1863" s="2"/>
      <c r="D1863" s="2"/>
      <c r="E1863" s="2"/>
      <c r="F1863" s="2"/>
      <c r="G1863" s="2"/>
      <c r="H1863" s="2"/>
      <c r="I1863" s="2"/>
      <c r="J1863" s="2"/>
      <c r="K1863" s="2"/>
      <c r="L1863" s="2"/>
      <c r="M1863" s="2"/>
    </row>
    <row r="1864" spans="1:13" x14ac:dyDescent="0.2">
      <c r="A1864" s="2"/>
      <c r="B1864" s="2"/>
      <c r="C1864" s="2"/>
      <c r="D1864" s="2"/>
      <c r="E1864" s="2"/>
      <c r="F1864" s="2"/>
      <c r="G1864" s="2"/>
      <c r="H1864" s="2"/>
      <c r="I1864" s="2"/>
      <c r="J1864" s="2"/>
      <c r="K1864" s="2"/>
      <c r="L1864" s="2"/>
      <c r="M1864" s="2"/>
    </row>
    <row r="1865" spans="1:13" x14ac:dyDescent="0.2">
      <c r="A1865" s="2"/>
      <c r="B1865" s="2"/>
      <c r="C1865" s="2"/>
      <c r="D1865" s="2"/>
      <c r="E1865" s="2"/>
      <c r="F1865" s="2"/>
      <c r="G1865" s="2"/>
      <c r="H1865" s="2"/>
      <c r="I1865" s="2"/>
      <c r="J1865" s="2"/>
      <c r="K1865" s="2"/>
      <c r="L1865" s="2"/>
      <c r="M1865" s="2"/>
    </row>
    <row r="1866" spans="1:13" x14ac:dyDescent="0.2">
      <c r="A1866" s="2"/>
      <c r="B1866" s="2"/>
      <c r="C1866" s="2"/>
      <c r="D1866" s="2"/>
      <c r="E1866" s="2"/>
      <c r="F1866" s="2"/>
      <c r="G1866" s="2"/>
      <c r="H1866" s="2"/>
      <c r="I1866" s="2"/>
      <c r="J1866" s="2"/>
      <c r="K1866" s="2"/>
      <c r="L1866" s="2"/>
      <c r="M1866" s="2"/>
    </row>
    <row r="1867" spans="1:13" x14ac:dyDescent="0.2">
      <c r="A1867" s="2"/>
      <c r="B1867" s="2"/>
      <c r="C1867" s="2"/>
      <c r="D1867" s="2"/>
      <c r="E1867" s="2"/>
      <c r="F1867" s="2"/>
      <c r="G1867" s="2"/>
      <c r="H1867" s="2"/>
      <c r="I1867" s="2"/>
      <c r="J1867" s="2"/>
      <c r="K1867" s="2"/>
      <c r="L1867" s="2"/>
      <c r="M1867" s="2"/>
    </row>
    <row r="1868" spans="1:13" x14ac:dyDescent="0.2">
      <c r="A1868" s="2"/>
      <c r="B1868" s="2"/>
      <c r="C1868" s="2"/>
      <c r="D1868" s="2"/>
      <c r="E1868" s="2"/>
      <c r="F1868" s="2"/>
      <c r="G1868" s="2"/>
      <c r="H1868" s="2"/>
      <c r="I1868" s="2"/>
      <c r="J1868" s="2"/>
      <c r="K1868" s="2"/>
      <c r="L1868" s="2"/>
      <c r="M1868" s="2"/>
    </row>
    <row r="1869" spans="1:13" x14ac:dyDescent="0.2">
      <c r="A1869" s="2"/>
      <c r="B1869" s="2"/>
      <c r="C1869" s="2"/>
      <c r="D1869" s="2"/>
      <c r="E1869" s="2"/>
      <c r="F1869" s="2"/>
      <c r="G1869" s="2"/>
      <c r="H1869" s="2"/>
      <c r="I1869" s="2"/>
      <c r="J1869" s="2"/>
      <c r="K1869" s="2"/>
      <c r="L1869" s="2"/>
      <c r="M1869" s="2"/>
    </row>
    <row r="1870" spans="1:13" x14ac:dyDescent="0.2">
      <c r="A1870" s="2"/>
      <c r="B1870" s="2"/>
      <c r="C1870" s="2"/>
      <c r="D1870" s="2"/>
      <c r="E1870" s="2"/>
      <c r="F1870" s="2"/>
      <c r="G1870" s="2"/>
      <c r="H1870" s="2"/>
      <c r="I1870" s="2"/>
      <c r="J1870" s="2"/>
      <c r="K1870" s="2"/>
      <c r="L1870" s="2"/>
      <c r="M1870" s="2"/>
    </row>
    <row r="1871" spans="1:13" x14ac:dyDescent="0.2">
      <c r="A1871" s="2"/>
      <c r="B1871" s="2"/>
      <c r="C1871" s="2"/>
      <c r="D1871" s="2"/>
      <c r="E1871" s="2"/>
      <c r="F1871" s="2"/>
      <c r="G1871" s="2"/>
      <c r="H1871" s="2"/>
      <c r="I1871" s="2"/>
      <c r="J1871" s="2"/>
      <c r="K1871" s="2"/>
      <c r="L1871" s="2"/>
      <c r="M1871" s="2"/>
    </row>
    <row r="1872" spans="1:13" x14ac:dyDescent="0.2">
      <c r="A1872" s="2"/>
      <c r="B1872" s="2"/>
      <c r="C1872" s="2"/>
      <c r="D1872" s="2"/>
      <c r="E1872" s="2"/>
      <c r="F1872" s="2"/>
      <c r="G1872" s="2"/>
      <c r="H1872" s="2"/>
      <c r="I1872" s="2"/>
      <c r="J1872" s="2"/>
      <c r="K1872" s="2"/>
      <c r="L1872" s="2"/>
      <c r="M1872" s="2"/>
    </row>
    <row r="1873" spans="1:13" x14ac:dyDescent="0.2">
      <c r="A1873" s="2"/>
      <c r="B1873" s="2"/>
      <c r="C1873" s="2"/>
      <c r="D1873" s="2"/>
      <c r="E1873" s="2"/>
      <c r="F1873" s="2"/>
      <c r="G1873" s="2"/>
      <c r="H1873" s="2"/>
      <c r="I1873" s="2"/>
      <c r="J1873" s="2"/>
      <c r="K1873" s="2"/>
      <c r="L1873" s="2"/>
      <c r="M1873" s="2"/>
    </row>
    <row r="1874" spans="1:13" x14ac:dyDescent="0.2">
      <c r="A1874" s="2"/>
      <c r="B1874" s="2"/>
      <c r="C1874" s="2"/>
      <c r="D1874" s="2"/>
      <c r="E1874" s="2"/>
      <c r="F1874" s="2"/>
      <c r="G1874" s="2"/>
      <c r="H1874" s="2"/>
      <c r="I1874" s="2"/>
      <c r="J1874" s="2"/>
      <c r="K1874" s="2"/>
      <c r="L1874" s="2"/>
      <c r="M1874" s="2"/>
    </row>
    <row r="1875" spans="1:13" x14ac:dyDescent="0.2">
      <c r="A1875" s="2"/>
      <c r="B1875" s="2"/>
      <c r="C1875" s="2"/>
      <c r="D1875" s="2"/>
      <c r="E1875" s="2"/>
      <c r="F1875" s="2"/>
      <c r="G1875" s="2"/>
      <c r="H1875" s="2"/>
      <c r="I1875" s="2"/>
      <c r="J1875" s="2"/>
      <c r="K1875" s="2"/>
      <c r="L1875" s="2"/>
      <c r="M1875" s="2"/>
    </row>
    <row r="1876" spans="1:13" x14ac:dyDescent="0.2">
      <c r="A1876" s="2"/>
      <c r="B1876" s="2"/>
      <c r="C1876" s="2"/>
      <c r="D1876" s="2"/>
      <c r="E1876" s="2"/>
      <c r="F1876" s="2"/>
      <c r="G1876" s="2"/>
      <c r="H1876" s="2"/>
      <c r="I1876" s="2"/>
      <c r="J1876" s="2"/>
      <c r="K1876" s="2"/>
      <c r="L1876" s="2"/>
      <c r="M1876" s="2"/>
    </row>
  </sheetData>
  <mergeCells count="14">
    <mergeCell ref="A37:E37"/>
    <mergeCell ref="A2:F2"/>
    <mergeCell ref="G2:Y2"/>
    <mergeCell ref="N5:P5"/>
    <mergeCell ref="B5:E6"/>
    <mergeCell ref="F5:F6"/>
    <mergeCell ref="G5:G6"/>
    <mergeCell ref="W5:Y5"/>
    <mergeCell ref="I5:I6"/>
    <mergeCell ref="J5:J6"/>
    <mergeCell ref="L5:L6"/>
    <mergeCell ref="M5:M6"/>
    <mergeCell ref="K5:K6"/>
    <mergeCell ref="H5:H6"/>
  </mergeCells>
  <phoneticPr fontId="10" type="noConversion"/>
  <printOptions horizontalCentered="1"/>
  <pageMargins left="0.11811023622047245" right="7.874015748031496E-2" top="0.70866141732283472" bottom="1.1023622047244095" header="0" footer="0"/>
  <pageSetup scale="35" orientation="landscape" r:id="rId1"/>
  <headerFooter alignWithMargins="0"/>
  <colBreaks count="1" manualBreakCount="1">
    <brk id="25" max="3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3:BE123"/>
  <sheetViews>
    <sheetView view="pageBreakPreview" zoomScaleNormal="75" zoomScaleSheetLayoutView="100" workbookViewId="0">
      <pane xSplit="2" ySplit="9" topLeftCell="C10" activePane="bottomRight" state="frozen"/>
      <selection activeCell="B121" sqref="B121"/>
      <selection pane="topRight" activeCell="B121" sqref="B121"/>
      <selection pane="bottomLeft" activeCell="B121" sqref="B121"/>
      <selection pane="bottomRight" activeCell="D99" sqref="D99:D100"/>
    </sheetView>
  </sheetViews>
  <sheetFormatPr baseColWidth="10" defaultRowHeight="12.75" x14ac:dyDescent="0.2"/>
  <cols>
    <col min="1" max="1" width="48.28515625" style="101" customWidth="1"/>
    <col min="2" max="2" width="32.7109375" style="101" customWidth="1"/>
    <col min="3" max="3" width="10.5703125" style="101" customWidth="1"/>
    <col min="4" max="4" width="21.5703125" style="101" customWidth="1"/>
    <col min="5" max="5" width="14" style="101" bestFit="1" customWidth="1"/>
    <col min="6" max="6" width="7.5703125" style="101" customWidth="1"/>
    <col min="7" max="7" width="13.85546875" style="101" customWidth="1"/>
    <col min="8" max="8" width="22.5703125" style="101" customWidth="1"/>
    <col min="9" max="9" width="22.42578125" style="101" customWidth="1"/>
    <col min="10" max="10" width="21.5703125" style="101" customWidth="1"/>
    <col min="11" max="11" width="18.5703125" style="101" customWidth="1"/>
    <col min="12" max="12" width="16.28515625" style="101" customWidth="1"/>
    <col min="13" max="13" width="15.140625" style="101" customWidth="1"/>
    <col min="14" max="14" width="16" style="101" customWidth="1"/>
    <col min="15" max="15" width="18.42578125" style="101" customWidth="1"/>
    <col min="16" max="16" width="14.7109375" style="101" customWidth="1"/>
    <col min="17" max="17" width="16.7109375" style="101" customWidth="1"/>
    <col min="18" max="18" width="16.5703125" style="101" customWidth="1"/>
    <col min="19" max="19" width="19.5703125" style="101" customWidth="1"/>
    <col min="20" max="20" width="15.140625" style="101" customWidth="1"/>
    <col min="21" max="21" width="20.5703125" style="101" customWidth="1"/>
    <col min="22" max="22" width="14.42578125" style="101" customWidth="1"/>
    <col min="23" max="23" width="14.140625" style="101" customWidth="1"/>
    <col min="24" max="24" width="17.140625" style="101" customWidth="1"/>
    <col min="25" max="25" width="20.28515625" style="101" customWidth="1"/>
    <col min="26" max="26" width="16.28515625" style="101" customWidth="1"/>
    <col min="27" max="27" width="24.140625" style="218" customWidth="1"/>
    <col min="28" max="28" width="16.140625" style="101" customWidth="1"/>
    <col min="29" max="29" width="15.7109375" style="101" customWidth="1"/>
    <col min="30" max="30" width="17.28515625" style="101" customWidth="1"/>
    <col min="31" max="16384" width="11.42578125" style="101"/>
  </cols>
  <sheetData>
    <row r="3" spans="1:33" x14ac:dyDescent="0.2">
      <c r="F3" s="217"/>
    </row>
    <row r="4" spans="1:33" ht="18" x14ac:dyDescent="0.25">
      <c r="A4" s="454" t="s">
        <v>42</v>
      </c>
      <c r="B4" s="454"/>
      <c r="C4" s="454"/>
      <c r="D4" s="454"/>
      <c r="E4" s="454"/>
      <c r="F4" s="454"/>
      <c r="G4" s="454"/>
      <c r="H4" s="454"/>
      <c r="I4" s="454"/>
      <c r="J4" s="454"/>
      <c r="K4" s="454"/>
      <c r="L4" s="454"/>
      <c r="M4" s="454"/>
      <c r="N4" s="454"/>
      <c r="O4" s="454"/>
      <c r="P4" s="454"/>
      <c r="Q4" s="454"/>
      <c r="R4" s="454"/>
      <c r="S4" s="454"/>
      <c r="T4" s="454"/>
      <c r="U4" s="454"/>
      <c r="V4" s="454"/>
      <c r="W4" s="454"/>
      <c r="X4" s="454"/>
      <c r="Y4" s="454"/>
      <c r="Z4" s="454"/>
    </row>
    <row r="5" spans="1:33" ht="18" x14ac:dyDescent="0.25">
      <c r="A5" s="454" t="s">
        <v>73</v>
      </c>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220"/>
      <c r="AB5" s="219"/>
      <c r="AC5" s="219"/>
    </row>
    <row r="6" spans="1:33" ht="18" x14ac:dyDescent="0.25">
      <c r="A6" s="454" t="s">
        <v>313</v>
      </c>
      <c r="B6" s="454"/>
      <c r="C6" s="454"/>
      <c r="D6" s="454"/>
      <c r="E6" s="454"/>
      <c r="F6" s="454"/>
      <c r="G6" s="454"/>
      <c r="H6" s="454"/>
      <c r="I6" s="454"/>
      <c r="J6" s="454"/>
      <c r="K6" s="454"/>
      <c r="L6" s="454"/>
      <c r="M6" s="454"/>
      <c r="N6" s="454"/>
      <c r="O6" s="454"/>
      <c r="P6" s="454"/>
      <c r="Q6" s="454"/>
      <c r="R6" s="454"/>
      <c r="S6" s="454"/>
      <c r="T6" s="454"/>
      <c r="U6" s="454"/>
      <c r="V6" s="454"/>
      <c r="W6" s="454"/>
      <c r="X6" s="454"/>
      <c r="Y6" s="454"/>
      <c r="Z6" s="454"/>
      <c r="AA6" s="220"/>
      <c r="AB6" s="219"/>
      <c r="AC6" s="219"/>
    </row>
    <row r="7" spans="1:33" ht="18.75" thickBot="1" x14ac:dyDescent="0.3">
      <c r="A7" s="221"/>
      <c r="B7" s="222" t="s">
        <v>170</v>
      </c>
      <c r="C7" s="223">
        <v>7.0000000000000007E-2</v>
      </c>
      <c r="D7" s="222" t="s">
        <v>172</v>
      </c>
      <c r="E7" s="224">
        <f>(F7*C7)+F7</f>
        <v>689454.5</v>
      </c>
      <c r="F7" s="225">
        <v>644350</v>
      </c>
      <c r="G7" s="219"/>
      <c r="H7" s="226"/>
      <c r="I7" s="219"/>
      <c r="J7" s="219"/>
      <c r="K7" s="219"/>
      <c r="L7" s="219"/>
      <c r="M7" s="219"/>
      <c r="N7" s="219"/>
      <c r="O7" s="219"/>
      <c r="P7" s="219"/>
      <c r="Q7" s="219"/>
      <c r="R7" s="219"/>
      <c r="S7" s="219"/>
      <c r="T7" s="219"/>
      <c r="U7" s="219"/>
      <c r="V7" s="219"/>
      <c r="W7" s="219"/>
      <c r="X7" s="219"/>
      <c r="Y7" s="219"/>
      <c r="Z7" s="219"/>
      <c r="AA7" s="220"/>
      <c r="AB7" s="219"/>
      <c r="AC7" s="219"/>
    </row>
    <row r="8" spans="1:33" ht="16.5" customHeight="1" thickBot="1" x14ac:dyDescent="0.3">
      <c r="A8" s="221"/>
      <c r="B8" s="222" t="s">
        <v>171</v>
      </c>
      <c r="C8" s="223">
        <v>6.7699999999999996E-2</v>
      </c>
      <c r="D8" s="222" t="s">
        <v>183</v>
      </c>
      <c r="E8" s="224">
        <v>77700</v>
      </c>
      <c r="F8" s="227">
        <v>74000</v>
      </c>
      <c r="G8" s="221"/>
      <c r="H8" s="221"/>
      <c r="I8" s="221"/>
      <c r="J8" s="221"/>
      <c r="K8" s="221"/>
      <c r="L8" s="116"/>
      <c r="M8" s="116"/>
      <c r="N8" s="116"/>
      <c r="O8" s="116"/>
      <c r="P8" s="461" t="s">
        <v>74</v>
      </c>
      <c r="Q8" s="462"/>
      <c r="R8" s="463"/>
      <c r="S8" s="466" t="s">
        <v>414</v>
      </c>
      <c r="T8" s="229"/>
      <c r="U8" s="459" t="s">
        <v>415</v>
      </c>
      <c r="V8" s="229"/>
      <c r="W8" s="229"/>
      <c r="X8" s="459" t="s">
        <v>416</v>
      </c>
      <c r="Y8" s="230"/>
      <c r="Z8" s="221"/>
      <c r="AA8" s="231"/>
      <c r="AB8" s="221"/>
      <c r="AC8" s="221"/>
    </row>
    <row r="9" spans="1:33" s="244" customFormat="1" ht="39" thickBot="1" x14ac:dyDescent="0.25">
      <c r="A9" s="232"/>
      <c r="B9" s="233" t="s">
        <v>152</v>
      </c>
      <c r="C9" s="234" t="s">
        <v>75</v>
      </c>
      <c r="D9" s="234" t="s">
        <v>136</v>
      </c>
      <c r="E9" s="234" t="s">
        <v>137</v>
      </c>
      <c r="F9" s="235" t="s">
        <v>138</v>
      </c>
      <c r="G9" s="235" t="s">
        <v>88</v>
      </c>
      <c r="H9" s="235" t="s">
        <v>76</v>
      </c>
      <c r="I9" s="235" t="s">
        <v>77</v>
      </c>
      <c r="J9" s="235" t="s">
        <v>78</v>
      </c>
      <c r="K9" s="235" t="s">
        <v>410</v>
      </c>
      <c r="L9" s="235" t="s">
        <v>411</v>
      </c>
      <c r="M9" s="235" t="s">
        <v>412</v>
      </c>
      <c r="N9" s="235" t="s">
        <v>413</v>
      </c>
      <c r="O9" s="235" t="s">
        <v>79</v>
      </c>
      <c r="P9" s="236" t="s">
        <v>122</v>
      </c>
      <c r="Q9" s="237" t="s">
        <v>162</v>
      </c>
      <c r="R9" s="238" t="s">
        <v>348</v>
      </c>
      <c r="S9" s="467"/>
      <c r="T9" s="239" t="s">
        <v>151</v>
      </c>
      <c r="U9" s="460"/>
      <c r="V9" s="239" t="s">
        <v>80</v>
      </c>
      <c r="W9" s="240" t="s">
        <v>81</v>
      </c>
      <c r="X9" s="460"/>
      <c r="Y9" s="228" t="s">
        <v>417</v>
      </c>
      <c r="Z9" s="235" t="s">
        <v>90</v>
      </c>
      <c r="AA9" s="241"/>
      <c r="AB9" s="242"/>
      <c r="AC9" s="243"/>
    </row>
    <row r="10" spans="1:33" x14ac:dyDescent="0.2">
      <c r="A10" s="229"/>
      <c r="B10" s="229"/>
      <c r="C10" s="245"/>
      <c r="D10" s="245"/>
      <c r="E10" s="245"/>
      <c r="F10" s="245"/>
      <c r="G10" s="245"/>
      <c r="H10" s="245"/>
      <c r="I10" s="245"/>
      <c r="J10" s="245"/>
      <c r="K10" s="245"/>
      <c r="L10" s="245"/>
      <c r="M10" s="245"/>
      <c r="N10" s="245"/>
      <c r="O10" s="245"/>
      <c r="P10" s="246"/>
      <c r="Q10" s="247"/>
      <c r="R10" s="247"/>
      <c r="S10" s="248"/>
      <c r="T10" s="247"/>
      <c r="U10" s="248"/>
      <c r="V10" s="247"/>
      <c r="W10" s="247"/>
      <c r="X10" s="248"/>
      <c r="Y10" s="245"/>
      <c r="Z10" s="245"/>
      <c r="AA10" s="249"/>
      <c r="AB10" s="116"/>
      <c r="AC10" s="116"/>
      <c r="AD10" s="103"/>
      <c r="AE10" s="103"/>
      <c r="AF10" s="103"/>
    </row>
    <row r="11" spans="1:33" ht="13.5" customHeight="1" x14ac:dyDescent="0.25">
      <c r="A11" s="250" t="s">
        <v>104</v>
      </c>
      <c r="B11" s="250" t="s">
        <v>152</v>
      </c>
      <c r="C11" s="245"/>
      <c r="D11" s="245"/>
      <c r="E11" s="245"/>
      <c r="F11" s="245"/>
      <c r="G11" s="245"/>
      <c r="H11" s="245"/>
      <c r="I11" s="245"/>
      <c r="J11" s="245"/>
      <c r="K11" s="245"/>
      <c r="L11" s="245"/>
      <c r="M11" s="245"/>
      <c r="N11" s="245"/>
      <c r="O11" s="245"/>
      <c r="P11" s="246"/>
      <c r="Q11" s="247"/>
      <c r="R11" s="247"/>
      <c r="S11" s="248"/>
      <c r="T11" s="247"/>
      <c r="U11" s="248"/>
      <c r="V11" s="247"/>
      <c r="W11" s="247"/>
      <c r="X11" s="248"/>
      <c r="Y11" s="251">
        <f>+Y12</f>
        <v>57366911.700460792</v>
      </c>
      <c r="Z11" s="245"/>
      <c r="AA11" s="249"/>
      <c r="AB11" s="230"/>
      <c r="AC11" s="230"/>
      <c r="AD11" s="252"/>
      <c r="AE11" s="252"/>
      <c r="AF11" s="252"/>
      <c r="AG11" s="252"/>
    </row>
    <row r="12" spans="1:33" ht="14.25" x14ac:dyDescent="0.2">
      <c r="A12" s="253" t="s">
        <v>82</v>
      </c>
      <c r="B12" s="253"/>
      <c r="C12" s="254">
        <f>SUM(C13:C17)</f>
        <v>8</v>
      </c>
      <c r="D12" s="255"/>
      <c r="E12" s="255"/>
      <c r="F12" s="256"/>
      <c r="G12" s="257"/>
      <c r="H12" s="257">
        <f>SUM(H13:H17)</f>
        <v>12718818.380000001</v>
      </c>
      <c r="I12" s="257">
        <f t="shared" ref="I12:Z12" si="0">SUM(I13:I17)</f>
        <v>0</v>
      </c>
      <c r="J12" s="257">
        <f t="shared" si="0"/>
        <v>12718818.380000001</v>
      </c>
      <c r="K12" s="257">
        <f t="shared" si="0"/>
        <v>38156455.140000001</v>
      </c>
      <c r="L12" s="257">
        <f t="shared" si="0"/>
        <v>2490250.0950000002</v>
      </c>
      <c r="M12" s="257">
        <f t="shared" si="0"/>
        <v>298830.01139999996</v>
      </c>
      <c r="N12" s="257">
        <f t="shared" si="0"/>
        <v>4980500.1900000004</v>
      </c>
      <c r="O12" s="257">
        <f t="shared" si="0"/>
        <v>1245125.0475000001</v>
      </c>
      <c r="P12" s="257">
        <f t="shared" si="0"/>
        <v>1191412.2823000001</v>
      </c>
      <c r="Q12" s="257">
        <f t="shared" si="0"/>
        <v>1195320.0455999998</v>
      </c>
      <c r="R12" s="257">
        <f t="shared" si="0"/>
        <v>55595.374473599994</v>
      </c>
      <c r="S12" s="257">
        <f t="shared" si="0"/>
        <v>7326983.1071208008</v>
      </c>
      <c r="T12" s="257">
        <f t="shared" si="0"/>
        <v>425002.68288000009</v>
      </c>
      <c r="U12" s="257">
        <f t="shared" si="0"/>
        <v>1275008.0486399999</v>
      </c>
      <c r="V12" s="257">
        <f t="shared" si="0"/>
        <v>318752.01216000004</v>
      </c>
      <c r="W12" s="257">
        <f t="shared" si="0"/>
        <v>212501.34144000005</v>
      </c>
      <c r="X12" s="257">
        <f t="shared" si="0"/>
        <v>1593760.0608000001</v>
      </c>
      <c r="Y12" s="257">
        <f t="shared" si="0"/>
        <v>57366911.700460792</v>
      </c>
      <c r="Z12" s="257">
        <f t="shared" si="0"/>
        <v>19122303.9001536</v>
      </c>
      <c r="AA12" s="258"/>
      <c r="AB12" s="230"/>
      <c r="AC12" s="230"/>
      <c r="AD12" s="252"/>
      <c r="AE12" s="252"/>
      <c r="AF12" s="252"/>
      <c r="AG12" s="252"/>
    </row>
    <row r="13" spans="1:33" s="116" customFormat="1" ht="14.25" x14ac:dyDescent="0.2">
      <c r="A13" s="259" t="s">
        <v>200</v>
      </c>
      <c r="B13" s="259" t="s">
        <v>233</v>
      </c>
      <c r="C13" s="260">
        <v>1</v>
      </c>
      <c r="D13" s="261">
        <v>42461</v>
      </c>
      <c r="E13" s="261">
        <v>42551</v>
      </c>
      <c r="F13" s="391">
        <f>DAYS360(D13,E13,0)+1</f>
        <v>90</v>
      </c>
      <c r="G13" s="263"/>
      <c r="H13" s="264">
        <f>2798820*(1+$C$8)</f>
        <v>2988300.1140000001</v>
      </c>
      <c r="I13" s="264">
        <v>0</v>
      </c>
      <c r="J13" s="264">
        <f>+I13+H13</f>
        <v>2988300.1140000001</v>
      </c>
      <c r="K13" s="264">
        <f>+J13/30*F13</f>
        <v>8964900.3420000002</v>
      </c>
      <c r="L13" s="264">
        <f>+J13*F13/360</f>
        <v>747075.02850000001</v>
      </c>
      <c r="M13" s="264">
        <f>+L13*12%</f>
        <v>89649.003419999994</v>
      </c>
      <c r="N13" s="264">
        <f>+L13*2</f>
        <v>1494150.057</v>
      </c>
      <c r="O13" s="264">
        <f>+J13*F13/720</f>
        <v>373537.51425000001</v>
      </c>
      <c r="P13" s="264">
        <f>+H13*0.085</f>
        <v>254005.50969000004</v>
      </c>
      <c r="Q13" s="264">
        <f>+H13*12%</f>
        <v>358596.01367999997</v>
      </c>
      <c r="R13" s="264">
        <f>+H13*0.522%</f>
        <v>15598.92659508</v>
      </c>
      <c r="S13" s="264">
        <f>+((P13+Q13+R13)/30*F13)</f>
        <v>1884601.3498952398</v>
      </c>
      <c r="T13" s="264">
        <f>+(H13/30)*32*0.04</f>
        <v>127500.80486400001</v>
      </c>
      <c r="U13" s="264">
        <f>+(T13/30)*F13</f>
        <v>382502.41459199996</v>
      </c>
      <c r="V13" s="264">
        <f>+(H13/30)*32*0.03</f>
        <v>95625.603648000004</v>
      </c>
      <c r="W13" s="264">
        <f>+(H13/30)*32*0.02</f>
        <v>63750.402432000003</v>
      </c>
      <c r="X13" s="264">
        <f>+((V13+W13)/30*F13)</f>
        <v>478128.01824000006</v>
      </c>
      <c r="Y13" s="264">
        <f>K13+L13+M13+N13+O13+S13+U13+X13</f>
        <v>14414543.727897238</v>
      </c>
      <c r="Z13" s="264">
        <f>+Y13/3</f>
        <v>4804847.9092990793</v>
      </c>
      <c r="AA13" s="249"/>
      <c r="AB13" s="265"/>
      <c r="AC13" s="230"/>
      <c r="AD13" s="230"/>
      <c r="AE13" s="230"/>
      <c r="AF13" s="230"/>
      <c r="AG13" s="230"/>
    </row>
    <row r="14" spans="1:33" s="116" customFormat="1" ht="14.25" x14ac:dyDescent="0.2">
      <c r="A14" s="266" t="s">
        <v>352</v>
      </c>
      <c r="B14" s="266" t="s">
        <v>153</v>
      </c>
      <c r="C14" s="260">
        <v>1</v>
      </c>
      <c r="D14" s="261">
        <v>42461</v>
      </c>
      <c r="E14" s="261">
        <v>42551</v>
      </c>
      <c r="F14" s="262">
        <f>DAYS360(D14,E14,0)+1</f>
        <v>90</v>
      </c>
      <c r="G14" s="260"/>
      <c r="H14" s="264">
        <f>1865880*(1+$C$8)</f>
        <v>1992200.0760000001</v>
      </c>
      <c r="I14" s="264">
        <v>0</v>
      </c>
      <c r="J14" s="264">
        <f>+I14+H14</f>
        <v>1992200.0760000001</v>
      </c>
      <c r="K14" s="264">
        <f>+J14/30*F14</f>
        <v>5976600.2280000001</v>
      </c>
      <c r="L14" s="264">
        <f>+J14*F14/360</f>
        <v>498050.01900000003</v>
      </c>
      <c r="M14" s="264">
        <f>+L14*12%</f>
        <v>59766.002280000001</v>
      </c>
      <c r="N14" s="264">
        <f>+L14*2</f>
        <v>996100.03800000006</v>
      </c>
      <c r="O14" s="264">
        <f>+J14*F14/720</f>
        <v>249025.00950000001</v>
      </c>
      <c r="P14" s="264">
        <f>+H14*0.085</f>
        <v>169337.00646000003</v>
      </c>
      <c r="Q14" s="264">
        <f>+H14*12%</f>
        <v>239064.00912</v>
      </c>
      <c r="R14" s="264">
        <f>+H14*0.522%</f>
        <v>10399.284396720001</v>
      </c>
      <c r="S14" s="264">
        <f>+((P14+Q14+R14)/30*F14)</f>
        <v>1256400.89993016</v>
      </c>
      <c r="T14" s="264">
        <f>+(H14/30)*32*0.04</f>
        <v>85000.536576000013</v>
      </c>
      <c r="U14" s="264">
        <f>+(T14/30)*F14</f>
        <v>255001.60972800004</v>
      </c>
      <c r="V14" s="264">
        <f>+(H14/30)*32*0.03</f>
        <v>63750.402432000003</v>
      </c>
      <c r="W14" s="264">
        <f>+(H14/30)*32*0.02</f>
        <v>42500.268288000007</v>
      </c>
      <c r="X14" s="264">
        <f>+((V14+W14)/30*F14)</f>
        <v>318752.01216000004</v>
      </c>
      <c r="Y14" s="264">
        <f>K14+L14+M14+N14+O14+S14+U14+X14</f>
        <v>9609695.8185981587</v>
      </c>
      <c r="Z14" s="264">
        <f>+Y14/3</f>
        <v>3203231.9395327196</v>
      </c>
      <c r="AA14" s="249"/>
      <c r="AB14" s="230"/>
      <c r="AC14" s="230"/>
      <c r="AD14" s="230"/>
      <c r="AE14" s="230"/>
      <c r="AF14" s="230"/>
      <c r="AG14" s="230"/>
    </row>
    <row r="15" spans="1:33" s="116" customFormat="1" ht="14.25" x14ac:dyDescent="0.2">
      <c r="A15" s="259" t="s">
        <v>201</v>
      </c>
      <c r="B15" s="259" t="s">
        <v>233</v>
      </c>
      <c r="C15" s="260">
        <v>1</v>
      </c>
      <c r="D15" s="261">
        <v>42461</v>
      </c>
      <c r="E15" s="261">
        <v>42551</v>
      </c>
      <c r="F15" s="262">
        <f>DAYS360(D15,E15,0)+1</f>
        <v>90</v>
      </c>
      <c r="G15" s="263"/>
      <c r="H15" s="264">
        <f>2798820*(1+$C$8)</f>
        <v>2988300.1140000001</v>
      </c>
      <c r="I15" s="264">
        <v>0</v>
      </c>
      <c r="J15" s="264">
        <f>+I15+H15</f>
        <v>2988300.1140000001</v>
      </c>
      <c r="K15" s="264">
        <f>+J15/30*F15</f>
        <v>8964900.3420000002</v>
      </c>
      <c r="L15" s="264">
        <f>+J15*F15/360</f>
        <v>747075.02850000001</v>
      </c>
      <c r="M15" s="264">
        <f>+L15*12%</f>
        <v>89649.003419999994</v>
      </c>
      <c r="N15" s="264">
        <f>+L15*2</f>
        <v>1494150.057</v>
      </c>
      <c r="O15" s="264">
        <f>+J15*F15/720</f>
        <v>373537.51425000001</v>
      </c>
      <c r="P15" s="264">
        <f>+H15*0.085</f>
        <v>254005.50969000004</v>
      </c>
      <c r="Q15" s="264">
        <f>+H15*12%</f>
        <v>358596.01367999997</v>
      </c>
      <c r="R15" s="264">
        <f>+H15*0.522%</f>
        <v>15598.92659508</v>
      </c>
      <c r="S15" s="264">
        <f>+((P15+Q15+R15)/30*F15)</f>
        <v>1884601.3498952398</v>
      </c>
      <c r="T15" s="264">
        <f>+(H15/30)*32*0.04</f>
        <v>127500.80486400001</v>
      </c>
      <c r="U15" s="264">
        <f>+(T15/30)*F15</f>
        <v>382502.41459199996</v>
      </c>
      <c r="V15" s="264">
        <f>+(H15/30)*32*0.03</f>
        <v>95625.603648000004</v>
      </c>
      <c r="W15" s="264">
        <f>+(H15/30)*32*0.02</f>
        <v>63750.402432000003</v>
      </c>
      <c r="X15" s="264">
        <f>+((V15+W15)/30*F15)</f>
        <v>478128.01824000006</v>
      </c>
      <c r="Y15" s="264">
        <f>K15+L15+M15+N15+O15+S15+U15+X15</f>
        <v>14414543.727897238</v>
      </c>
      <c r="Z15" s="264">
        <f>+Y15/3</f>
        <v>4804847.9092990793</v>
      </c>
      <c r="AA15" s="249"/>
      <c r="AB15" s="265"/>
      <c r="AC15" s="230"/>
      <c r="AD15" s="230"/>
      <c r="AE15" s="230"/>
      <c r="AF15" s="230"/>
      <c r="AG15" s="230"/>
    </row>
    <row r="16" spans="1:33" s="116" customFormat="1" ht="14.25" x14ac:dyDescent="0.2">
      <c r="A16" s="266" t="s">
        <v>351</v>
      </c>
      <c r="B16" s="266" t="s">
        <v>153</v>
      </c>
      <c r="C16" s="260">
        <v>1</v>
      </c>
      <c r="D16" s="261">
        <v>42461</v>
      </c>
      <c r="E16" s="261">
        <v>42551</v>
      </c>
      <c r="F16" s="262">
        <f>DAYS360(D16,E16,0)+1</f>
        <v>90</v>
      </c>
      <c r="G16" s="260"/>
      <c r="H16" s="264">
        <f>1865880*(1+$C$8)</f>
        <v>1992200.0760000001</v>
      </c>
      <c r="I16" s="264">
        <v>0</v>
      </c>
      <c r="J16" s="264">
        <f>+I16+H16</f>
        <v>1992200.0760000001</v>
      </c>
      <c r="K16" s="264">
        <f>+J16/30*F16</f>
        <v>5976600.2280000001</v>
      </c>
      <c r="L16" s="264">
        <f>+J16*F16/360</f>
        <v>498050.01900000003</v>
      </c>
      <c r="M16" s="264">
        <f>+L16*12%</f>
        <v>59766.002280000001</v>
      </c>
      <c r="N16" s="264">
        <f>+L16*2</f>
        <v>996100.03800000006</v>
      </c>
      <c r="O16" s="264">
        <f>+J16*F16/720</f>
        <v>249025.00950000001</v>
      </c>
      <c r="P16" s="264">
        <f>+H16*0.085</f>
        <v>169337.00646000003</v>
      </c>
      <c r="Q16" s="264">
        <f>+H16*12%</f>
        <v>239064.00912</v>
      </c>
      <c r="R16" s="264">
        <f>+H16*0.522%</f>
        <v>10399.284396720001</v>
      </c>
      <c r="S16" s="264">
        <f>+((P16+Q16+R16)/30*F16)</f>
        <v>1256400.89993016</v>
      </c>
      <c r="T16" s="264">
        <f>+(H16/30)*32*0.04</f>
        <v>85000.536576000013</v>
      </c>
      <c r="U16" s="264">
        <f>+(T16/30)*F16</f>
        <v>255001.60972800004</v>
      </c>
      <c r="V16" s="264">
        <f>+(H16/30)*32*0.03</f>
        <v>63750.402432000003</v>
      </c>
      <c r="W16" s="264">
        <f>+(H16/30)*32*0.02</f>
        <v>42500.268288000007</v>
      </c>
      <c r="X16" s="264">
        <f>+((V16+W16)/30*F16)</f>
        <v>318752.01216000004</v>
      </c>
      <c r="Y16" s="264">
        <f>K16+L16+M16+N16+O16+S16+U16+X16</f>
        <v>9609695.8185981587</v>
      </c>
      <c r="Z16" s="264">
        <f>+Y16/3</f>
        <v>3203231.9395327196</v>
      </c>
      <c r="AA16" s="249"/>
      <c r="AB16" s="230"/>
      <c r="AC16" s="230"/>
      <c r="AD16" s="230"/>
      <c r="AE16" s="230"/>
      <c r="AF16" s="230"/>
      <c r="AG16" s="230"/>
    </row>
    <row r="17" spans="1:57" s="116" customFormat="1" ht="14.25" x14ac:dyDescent="0.2">
      <c r="A17" s="266" t="s">
        <v>17</v>
      </c>
      <c r="B17" s="266" t="s">
        <v>155</v>
      </c>
      <c r="C17" s="260">
        <v>4</v>
      </c>
      <c r="D17" s="261">
        <v>42461</v>
      </c>
      <c r="E17" s="261">
        <v>42551</v>
      </c>
      <c r="F17" s="262">
        <f>DAYS360(D17,E17,0)+1</f>
        <v>90</v>
      </c>
      <c r="G17" s="153"/>
      <c r="H17" s="153">
        <f>+E7*100%*C17</f>
        <v>2757818</v>
      </c>
      <c r="I17" s="153">
        <v>0</v>
      </c>
      <c r="J17" s="153">
        <f>+I17+H17</f>
        <v>2757818</v>
      </c>
      <c r="K17" s="153">
        <f>+J17/30*F17</f>
        <v>8273454</v>
      </c>
      <c r="L17" s="153">
        <v>0</v>
      </c>
      <c r="M17" s="153">
        <v>0</v>
      </c>
      <c r="N17" s="153">
        <v>0</v>
      </c>
      <c r="O17" s="153">
        <v>0</v>
      </c>
      <c r="P17" s="153">
        <f>(+E7*0.125)*C17</f>
        <v>344727.25</v>
      </c>
      <c r="Q17" s="153"/>
      <c r="R17" s="153">
        <f>+E7*0.522%</f>
        <v>3598.9524899999997</v>
      </c>
      <c r="S17" s="264">
        <f>+((P17+Q17+R17)/30*F17)</f>
        <v>1044978.60747</v>
      </c>
      <c r="T17" s="153">
        <v>0</v>
      </c>
      <c r="U17" s="153">
        <v>0</v>
      </c>
      <c r="V17" s="153">
        <v>0</v>
      </c>
      <c r="W17" s="153">
        <v>0</v>
      </c>
      <c r="X17" s="153">
        <v>0</v>
      </c>
      <c r="Y17" s="153">
        <f>+S17+K17</f>
        <v>9318432.6074700002</v>
      </c>
      <c r="Z17" s="153">
        <f>+Y17/3</f>
        <v>3106144.2024900001</v>
      </c>
      <c r="AA17" s="154"/>
      <c r="AB17" s="230"/>
      <c r="AC17" s="230"/>
      <c r="AD17" s="230"/>
      <c r="AE17" s="230"/>
      <c r="AF17" s="230"/>
      <c r="AG17" s="230"/>
    </row>
    <row r="18" spans="1:57" x14ac:dyDescent="0.2">
      <c r="A18" s="267"/>
      <c r="B18" s="267"/>
      <c r="C18" s="268"/>
      <c r="D18" s="268"/>
      <c r="E18" s="268"/>
      <c r="F18" s="268"/>
      <c r="G18" s="269"/>
      <c r="H18" s="270"/>
      <c r="I18" s="269"/>
      <c r="J18" s="269"/>
      <c r="K18" s="269"/>
      <c r="L18" s="269"/>
      <c r="M18" s="269"/>
      <c r="N18" s="269"/>
      <c r="O18" s="269"/>
      <c r="P18" s="269"/>
      <c r="Q18" s="269"/>
      <c r="R18" s="269"/>
      <c r="S18" s="269"/>
      <c r="T18" s="269"/>
      <c r="U18" s="269"/>
      <c r="V18" s="269"/>
      <c r="W18" s="269"/>
      <c r="X18" s="269"/>
      <c r="Y18" s="269"/>
      <c r="Z18" s="269"/>
      <c r="AA18" s="258"/>
      <c r="AB18" s="230"/>
      <c r="AC18" s="230"/>
      <c r="AD18" s="252"/>
      <c r="AE18" s="252"/>
      <c r="AF18" s="252"/>
      <c r="AG18" s="252"/>
    </row>
    <row r="19" spans="1:57" x14ac:dyDescent="0.2">
      <c r="A19" s="267"/>
      <c r="B19" s="267"/>
      <c r="C19" s="268"/>
      <c r="D19" s="268"/>
      <c r="E19" s="268"/>
      <c r="F19" s="268"/>
      <c r="G19" s="269"/>
      <c r="H19" s="269"/>
      <c r="I19" s="269"/>
      <c r="J19" s="269"/>
      <c r="K19" s="269"/>
      <c r="L19" s="269"/>
      <c r="M19" s="269"/>
      <c r="N19" s="269"/>
      <c r="O19" s="269"/>
      <c r="P19" s="269"/>
      <c r="Q19" s="269"/>
      <c r="R19" s="269"/>
      <c r="S19" s="269"/>
      <c r="T19" s="269"/>
      <c r="U19" s="269"/>
      <c r="V19" s="269"/>
      <c r="W19" s="269"/>
      <c r="X19" s="269"/>
      <c r="Y19" s="269"/>
      <c r="Z19" s="269"/>
      <c r="AA19" s="258"/>
      <c r="AB19" s="230"/>
      <c r="AC19" s="230"/>
      <c r="AD19" s="252"/>
      <c r="AE19" s="252"/>
      <c r="AF19" s="252"/>
      <c r="AG19" s="252"/>
    </row>
    <row r="20" spans="1:57" ht="15.75" x14ac:dyDescent="0.25">
      <c r="A20" s="250" t="s">
        <v>19</v>
      </c>
      <c r="B20" s="250" t="s">
        <v>152</v>
      </c>
      <c r="C20" s="245"/>
      <c r="D20" s="245"/>
      <c r="E20" s="245"/>
      <c r="F20" s="245"/>
      <c r="G20" s="245"/>
      <c r="H20" s="245"/>
      <c r="I20" s="245"/>
      <c r="J20" s="245"/>
      <c r="K20" s="245"/>
      <c r="L20" s="245"/>
      <c r="M20" s="245"/>
      <c r="N20" s="245"/>
      <c r="O20" s="245"/>
      <c r="P20" s="246"/>
      <c r="Q20" s="247"/>
      <c r="R20" s="247"/>
      <c r="S20" s="248"/>
      <c r="T20" s="247"/>
      <c r="U20" s="248"/>
      <c r="V20" s="247"/>
      <c r="W20" s="247"/>
      <c r="X20" s="248"/>
      <c r="Y20" s="251">
        <f>+Y21</f>
        <v>302500318.44276613</v>
      </c>
      <c r="Z20" s="245"/>
      <c r="AA20" s="258"/>
      <c r="AB20" s="230"/>
      <c r="AC20" s="271"/>
      <c r="AD20" s="252"/>
      <c r="AE20" s="252"/>
      <c r="AF20" s="252"/>
      <c r="AG20" s="252"/>
    </row>
    <row r="21" spans="1:57" ht="14.25" x14ac:dyDescent="0.2">
      <c r="A21" s="253" t="s">
        <v>182</v>
      </c>
      <c r="B21" s="253"/>
      <c r="C21" s="254">
        <f>SUM(C22:C35)</f>
        <v>24</v>
      </c>
      <c r="D21" s="255"/>
      <c r="E21" s="255"/>
      <c r="F21" s="256"/>
      <c r="G21" s="257">
        <f t="shared" ref="G21:Z21" si="1">SUM(G22:G35)</f>
        <v>9514729.9000000004</v>
      </c>
      <c r="H21" s="257">
        <f t="shared" si="1"/>
        <v>61592831.111199997</v>
      </c>
      <c r="I21" s="257">
        <f t="shared" si="1"/>
        <v>310800</v>
      </c>
      <c r="J21" s="257">
        <f t="shared" si="1"/>
        <v>64758050.081199996</v>
      </c>
      <c r="K21" s="257">
        <f t="shared" si="1"/>
        <v>194274150.24360004</v>
      </c>
      <c r="L21" s="257">
        <f t="shared" si="1"/>
        <v>13810830.045299998</v>
      </c>
      <c r="M21" s="257">
        <f t="shared" si="1"/>
        <v>1657299.6054359998</v>
      </c>
      <c r="N21" s="257">
        <f t="shared" si="1"/>
        <v>27621660.090599995</v>
      </c>
      <c r="O21" s="257">
        <f t="shared" si="1"/>
        <v>8094756.2601499995</v>
      </c>
      <c r="P21" s="257">
        <f t="shared" si="1"/>
        <v>5235390.6444519991</v>
      </c>
      <c r="Q21" s="257">
        <f t="shared" si="1"/>
        <v>7391139.7333439989</v>
      </c>
      <c r="R21" s="257">
        <f t="shared" si="1"/>
        <v>474431.90142218396</v>
      </c>
      <c r="S21" s="257">
        <f t="shared" si="1"/>
        <v>39302886.837654546</v>
      </c>
      <c r="T21" s="257">
        <f t="shared" si="1"/>
        <v>2627960.7940778672</v>
      </c>
      <c r="U21" s="257">
        <f t="shared" si="1"/>
        <v>7883882.3822336011</v>
      </c>
      <c r="V21" s="257">
        <f t="shared" si="1"/>
        <v>1970970.5955584</v>
      </c>
      <c r="W21" s="257">
        <f t="shared" si="1"/>
        <v>1313980.3970389336</v>
      </c>
      <c r="X21" s="257">
        <f t="shared" si="1"/>
        <v>9854852.9777920023</v>
      </c>
      <c r="Y21" s="257">
        <f t="shared" si="1"/>
        <v>302500318.44276613</v>
      </c>
      <c r="Z21" s="257">
        <f t="shared" si="1"/>
        <v>100833439.48092207</v>
      </c>
      <c r="AA21" s="258"/>
      <c r="AB21" s="230"/>
      <c r="AC21" s="230"/>
      <c r="AD21" s="252"/>
      <c r="AE21" s="252"/>
      <c r="AF21" s="252"/>
      <c r="AG21" s="252"/>
    </row>
    <row r="22" spans="1:57" s="221" customFormat="1" ht="14.25" x14ac:dyDescent="0.2">
      <c r="A22" s="266" t="s">
        <v>91</v>
      </c>
      <c r="B22" s="266" t="s">
        <v>159</v>
      </c>
      <c r="C22" s="260">
        <v>1</v>
      </c>
      <c r="D22" s="261">
        <v>42461</v>
      </c>
      <c r="E22" s="261">
        <v>42551</v>
      </c>
      <c r="F22" s="262">
        <f t="shared" ref="F22:F35" si="2">DAYS360(D22,E22,0)+1</f>
        <v>90</v>
      </c>
      <c r="G22" s="264">
        <f>(8729110)*1.09</f>
        <v>9514729.9000000004</v>
      </c>
      <c r="H22" s="264">
        <f>+G22*70%</f>
        <v>6660310.9299999997</v>
      </c>
      <c r="I22" s="264">
        <v>0</v>
      </c>
      <c r="J22" s="264">
        <f>G22</f>
        <v>9514729.9000000004</v>
      </c>
      <c r="K22" s="264">
        <f>+J22/30*F22</f>
        <v>28544189.699999999</v>
      </c>
      <c r="L22" s="264">
        <v>0</v>
      </c>
      <c r="M22" s="264">
        <f t="shared" ref="M22:M34" si="3">+L22*12%</f>
        <v>0</v>
      </c>
      <c r="N22" s="264">
        <v>0</v>
      </c>
      <c r="O22" s="264">
        <f t="shared" ref="O22:O35" si="4">+J22*F22/720</f>
        <v>1189341.2375</v>
      </c>
      <c r="P22" s="264">
        <f t="shared" ref="P22:P34" si="5">+H22*0.085</f>
        <v>566126.42905000004</v>
      </c>
      <c r="Q22" s="264">
        <f t="shared" ref="Q22:Q34" si="6">+H22*12%</f>
        <v>799237.3115999999</v>
      </c>
      <c r="R22" s="264">
        <f t="shared" ref="R22:R30" si="7">+H22*0.522%</f>
        <v>34766.823054599998</v>
      </c>
      <c r="S22" s="264">
        <f t="shared" ref="S22:S35" si="8">+((P22+Q22+R22)/30*F22)</f>
        <v>4200391.6911137998</v>
      </c>
      <c r="T22" s="264">
        <f>+(H22/30)*32*0.04</f>
        <v>284173.26634666667</v>
      </c>
      <c r="U22" s="264">
        <f t="shared" ref="U22:U35" si="9">+(T22/30)*F22</f>
        <v>852519.79903999995</v>
      </c>
      <c r="V22" s="264">
        <f t="shared" ref="V22:V35" si="10">+(H22/30)*32*0.03</f>
        <v>213129.94975999999</v>
      </c>
      <c r="W22" s="264">
        <f t="shared" ref="W22:W35" si="11">+(H22/30)*32*0.02</f>
        <v>142086.63317333334</v>
      </c>
      <c r="X22" s="264">
        <f t="shared" ref="X22:X35" si="12">+((V22+W22)/30*F22)</f>
        <v>1065649.7487999999</v>
      </c>
      <c r="Y22" s="264">
        <f>K22+L22+M22+N22+O22+S22+U22+X22</f>
        <v>35852092.176453799</v>
      </c>
      <c r="Z22" s="264">
        <f t="shared" ref="Z22:Z35" si="13">+Y22/3</f>
        <v>11950697.392151266</v>
      </c>
      <c r="AA22" s="249"/>
      <c r="AB22" s="271"/>
      <c r="AC22" s="230"/>
      <c r="AD22" s="230"/>
      <c r="AE22" s="230"/>
      <c r="AF22" s="230"/>
      <c r="AG22" s="230"/>
    </row>
    <row r="23" spans="1:57" s="221" customFormat="1" ht="14.25" x14ac:dyDescent="0.2">
      <c r="A23" s="266" t="s">
        <v>135</v>
      </c>
      <c r="B23" s="266" t="s">
        <v>160</v>
      </c>
      <c r="C23" s="260">
        <v>1</v>
      </c>
      <c r="D23" s="261">
        <v>42461</v>
      </c>
      <c r="E23" s="261">
        <v>42551</v>
      </c>
      <c r="F23" s="262">
        <f t="shared" si="2"/>
        <v>90</v>
      </c>
      <c r="G23" s="264"/>
      <c r="H23" s="264">
        <f>4007639*(1+$C$8)</f>
        <v>4278956.1603000006</v>
      </c>
      <c r="I23" s="264">
        <v>0</v>
      </c>
      <c r="J23" s="264">
        <f t="shared" ref="J23:J34" si="14">+I23+H23</f>
        <v>4278956.1603000006</v>
      </c>
      <c r="K23" s="264">
        <f>+J23/30*F23</f>
        <v>12836868.480900003</v>
      </c>
      <c r="L23" s="264">
        <f t="shared" ref="L23:L35" si="15">+J23*F23/360</f>
        <v>1069739.0400750001</v>
      </c>
      <c r="M23" s="264">
        <f t="shared" si="3"/>
        <v>128368.68480900001</v>
      </c>
      <c r="N23" s="264">
        <f t="shared" ref="N23:N35" si="16">+L23*2</f>
        <v>2139478.0801500003</v>
      </c>
      <c r="O23" s="264">
        <f t="shared" si="4"/>
        <v>534869.52003750007</v>
      </c>
      <c r="P23" s="264">
        <f t="shared" si="5"/>
        <v>363711.27362550009</v>
      </c>
      <c r="Q23" s="264">
        <f t="shared" si="6"/>
        <v>513474.73923600005</v>
      </c>
      <c r="R23" s="264">
        <f t="shared" si="7"/>
        <v>22336.151156766002</v>
      </c>
      <c r="S23" s="264">
        <f t="shared" si="8"/>
        <v>2698566.4920547986</v>
      </c>
      <c r="T23" s="264">
        <f t="shared" ref="T23:T35" si="17">+(H23/30)*32*0.04</f>
        <v>182568.79617280004</v>
      </c>
      <c r="U23" s="264">
        <f t="shared" si="9"/>
        <v>547706.38851840014</v>
      </c>
      <c r="V23" s="264">
        <f t="shared" si="10"/>
        <v>136926.59712960001</v>
      </c>
      <c r="W23" s="264">
        <f t="shared" si="11"/>
        <v>91284.398086400019</v>
      </c>
      <c r="X23" s="264">
        <f t="shared" si="12"/>
        <v>684632.98564800003</v>
      </c>
      <c r="Y23" s="264">
        <f t="shared" ref="Y23:Y34" si="18">K23+L23+M23+N23+O23+S23+U23+X23</f>
        <v>20640229.6721927</v>
      </c>
      <c r="Z23" s="264">
        <f t="shared" si="13"/>
        <v>6880076.5573975667</v>
      </c>
      <c r="AA23" s="249"/>
      <c r="AB23" s="265"/>
      <c r="AC23" s="230"/>
      <c r="AD23" s="230"/>
      <c r="AE23" s="230"/>
      <c r="AF23" s="230"/>
      <c r="AG23" s="230"/>
    </row>
    <row r="24" spans="1:57" s="221" customFormat="1" ht="14.25" x14ac:dyDescent="0.2">
      <c r="A24" s="266" t="s">
        <v>188</v>
      </c>
      <c r="B24" s="266" t="s">
        <v>160</v>
      </c>
      <c r="C24" s="260">
        <v>1</v>
      </c>
      <c r="D24" s="261">
        <v>42461</v>
      </c>
      <c r="E24" s="261">
        <v>42551</v>
      </c>
      <c r="F24" s="262">
        <f t="shared" si="2"/>
        <v>90</v>
      </c>
      <c r="G24" s="264"/>
      <c r="H24" s="264">
        <f>4007639*(1+$C$8)</f>
        <v>4278956.1603000006</v>
      </c>
      <c r="I24" s="264">
        <v>0</v>
      </c>
      <c r="J24" s="264">
        <f t="shared" si="14"/>
        <v>4278956.1603000006</v>
      </c>
      <c r="K24" s="264">
        <f t="shared" ref="K24:K35" si="19">+J24/30*F24</f>
        <v>12836868.480900003</v>
      </c>
      <c r="L24" s="264">
        <f t="shared" si="15"/>
        <v>1069739.0400750001</v>
      </c>
      <c r="M24" s="264">
        <f t="shared" si="3"/>
        <v>128368.68480900001</v>
      </c>
      <c r="N24" s="264">
        <f t="shared" si="16"/>
        <v>2139478.0801500003</v>
      </c>
      <c r="O24" s="264">
        <f t="shared" si="4"/>
        <v>534869.52003750007</v>
      </c>
      <c r="P24" s="264">
        <f t="shared" si="5"/>
        <v>363711.27362550009</v>
      </c>
      <c r="Q24" s="264">
        <f t="shared" si="6"/>
        <v>513474.73923600005</v>
      </c>
      <c r="R24" s="264">
        <f t="shared" si="7"/>
        <v>22336.151156766002</v>
      </c>
      <c r="S24" s="264">
        <f t="shared" si="8"/>
        <v>2698566.4920547986</v>
      </c>
      <c r="T24" s="264">
        <f t="shared" si="17"/>
        <v>182568.79617280004</v>
      </c>
      <c r="U24" s="264">
        <f t="shared" si="9"/>
        <v>547706.38851840014</v>
      </c>
      <c r="V24" s="264">
        <f t="shared" si="10"/>
        <v>136926.59712960001</v>
      </c>
      <c r="W24" s="264">
        <f t="shared" si="11"/>
        <v>91284.398086400019</v>
      </c>
      <c r="X24" s="264">
        <f t="shared" si="12"/>
        <v>684632.98564800003</v>
      </c>
      <c r="Y24" s="264">
        <f t="shared" si="18"/>
        <v>20640229.6721927</v>
      </c>
      <c r="Z24" s="264">
        <f t="shared" si="13"/>
        <v>6880076.5573975667</v>
      </c>
      <c r="AA24" s="249"/>
      <c r="AB24" s="265"/>
      <c r="AC24" s="230"/>
      <c r="AD24" s="272"/>
      <c r="AE24" s="230"/>
      <c r="AF24" s="230"/>
      <c r="AG24" s="230"/>
    </row>
    <row r="25" spans="1:57" s="221" customFormat="1" ht="14.25" x14ac:dyDescent="0.2">
      <c r="A25" s="266" t="s">
        <v>189</v>
      </c>
      <c r="B25" s="266" t="s">
        <v>160</v>
      </c>
      <c r="C25" s="260">
        <v>1</v>
      </c>
      <c r="D25" s="261">
        <v>42461</v>
      </c>
      <c r="E25" s="261">
        <v>42551</v>
      </c>
      <c r="F25" s="262">
        <f t="shared" si="2"/>
        <v>90</v>
      </c>
      <c r="G25" s="264"/>
      <c r="H25" s="264">
        <f>4007639*(1+$C$8)</f>
        <v>4278956.1603000006</v>
      </c>
      <c r="I25" s="264">
        <v>0</v>
      </c>
      <c r="J25" s="264">
        <f t="shared" si="14"/>
        <v>4278956.1603000006</v>
      </c>
      <c r="K25" s="264">
        <f t="shared" si="19"/>
        <v>12836868.480900003</v>
      </c>
      <c r="L25" s="264">
        <f t="shared" si="15"/>
        <v>1069739.0400750001</v>
      </c>
      <c r="M25" s="264">
        <f t="shared" si="3"/>
        <v>128368.68480900001</v>
      </c>
      <c r="N25" s="264">
        <f t="shared" si="16"/>
        <v>2139478.0801500003</v>
      </c>
      <c r="O25" s="264">
        <f t="shared" si="4"/>
        <v>534869.52003750007</v>
      </c>
      <c r="P25" s="264">
        <f t="shared" si="5"/>
        <v>363711.27362550009</v>
      </c>
      <c r="Q25" s="264">
        <f t="shared" si="6"/>
        <v>513474.73923600005</v>
      </c>
      <c r="R25" s="264">
        <f t="shared" si="7"/>
        <v>22336.151156766002</v>
      </c>
      <c r="S25" s="264">
        <f t="shared" si="8"/>
        <v>2698566.4920547986</v>
      </c>
      <c r="T25" s="264">
        <f t="shared" si="17"/>
        <v>182568.79617280004</v>
      </c>
      <c r="U25" s="264">
        <f t="shared" si="9"/>
        <v>547706.38851840014</v>
      </c>
      <c r="V25" s="264">
        <f t="shared" si="10"/>
        <v>136926.59712960001</v>
      </c>
      <c r="W25" s="264">
        <f t="shared" si="11"/>
        <v>91284.398086400019</v>
      </c>
      <c r="X25" s="264">
        <f t="shared" si="12"/>
        <v>684632.98564800003</v>
      </c>
      <c r="Y25" s="264">
        <f t="shared" si="18"/>
        <v>20640229.6721927</v>
      </c>
      <c r="Z25" s="264">
        <f t="shared" si="13"/>
        <v>6880076.5573975667</v>
      </c>
      <c r="AA25" s="249"/>
      <c r="AB25" s="265"/>
      <c r="AC25" s="230"/>
      <c r="AD25" s="230"/>
      <c r="AE25" s="230"/>
      <c r="AF25" s="230"/>
      <c r="AG25" s="230"/>
    </row>
    <row r="26" spans="1:57" s="221" customFormat="1" ht="14.25" x14ac:dyDescent="0.2">
      <c r="A26" s="266" t="s">
        <v>196</v>
      </c>
      <c r="B26" s="266" t="s">
        <v>160</v>
      </c>
      <c r="C26" s="260">
        <v>1</v>
      </c>
      <c r="D26" s="261">
        <v>42461</v>
      </c>
      <c r="E26" s="261">
        <v>42551</v>
      </c>
      <c r="F26" s="262">
        <f t="shared" si="2"/>
        <v>90</v>
      </c>
      <c r="G26" s="264"/>
      <c r="H26" s="264">
        <f>4007639*(1+$C$8)</f>
        <v>4278956.1603000006</v>
      </c>
      <c r="I26" s="264"/>
      <c r="J26" s="264">
        <f>+I26+H26</f>
        <v>4278956.1603000006</v>
      </c>
      <c r="K26" s="264">
        <f>+J26/30*F26</f>
        <v>12836868.480900003</v>
      </c>
      <c r="L26" s="264">
        <f t="shared" si="15"/>
        <v>1069739.0400750001</v>
      </c>
      <c r="M26" s="264">
        <f>+L26*12%</f>
        <v>128368.68480900001</v>
      </c>
      <c r="N26" s="264">
        <f t="shared" si="16"/>
        <v>2139478.0801500003</v>
      </c>
      <c r="O26" s="264">
        <f t="shared" si="4"/>
        <v>534869.52003750007</v>
      </c>
      <c r="P26" s="264">
        <f>+H26*0.085</f>
        <v>363711.27362550009</v>
      </c>
      <c r="Q26" s="264">
        <f>+H26*12%</f>
        <v>513474.73923600005</v>
      </c>
      <c r="R26" s="264">
        <f>+H26*0.522%</f>
        <v>22336.151156766002</v>
      </c>
      <c r="S26" s="264">
        <f t="shared" si="8"/>
        <v>2698566.4920547986</v>
      </c>
      <c r="T26" s="264">
        <f t="shared" si="17"/>
        <v>182568.79617280004</v>
      </c>
      <c r="U26" s="264">
        <f t="shared" si="9"/>
        <v>547706.38851840014</v>
      </c>
      <c r="V26" s="264">
        <f t="shared" si="10"/>
        <v>136926.59712960001</v>
      </c>
      <c r="W26" s="264">
        <f t="shared" si="11"/>
        <v>91284.398086400019</v>
      </c>
      <c r="X26" s="264">
        <f t="shared" si="12"/>
        <v>684632.98564800003</v>
      </c>
      <c r="Y26" s="273">
        <f>K26+L26+M26+N26+O26+S26+U26+X26</f>
        <v>20640229.6721927</v>
      </c>
      <c r="Z26" s="264">
        <f t="shared" si="13"/>
        <v>6880076.5573975667</v>
      </c>
      <c r="AA26" s="249"/>
      <c r="AB26" s="230"/>
      <c r="AC26" s="274"/>
      <c r="AD26" s="275"/>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row>
    <row r="27" spans="1:57" s="221" customFormat="1" ht="14.25" x14ac:dyDescent="0.2">
      <c r="A27" s="259" t="s">
        <v>307</v>
      </c>
      <c r="B27" s="266" t="s">
        <v>156</v>
      </c>
      <c r="C27" s="260">
        <v>1</v>
      </c>
      <c r="D27" s="261">
        <v>42461</v>
      </c>
      <c r="E27" s="261">
        <v>42551</v>
      </c>
      <c r="F27" s="262">
        <f t="shared" si="2"/>
        <v>90</v>
      </c>
      <c r="G27" s="263"/>
      <c r="H27" s="264">
        <f>3243670*(1+$C$8)</f>
        <v>3463266.4590000003</v>
      </c>
      <c r="I27" s="264">
        <v>0</v>
      </c>
      <c r="J27" s="264">
        <f>+I27+H27</f>
        <v>3463266.4590000003</v>
      </c>
      <c r="K27" s="264">
        <f>+J27/30*F27</f>
        <v>10389799.377</v>
      </c>
      <c r="L27" s="264">
        <f t="shared" si="15"/>
        <v>865816.61474999995</v>
      </c>
      <c r="M27" s="264">
        <f>+L27*12%</f>
        <v>103897.99376999999</v>
      </c>
      <c r="N27" s="264">
        <f t="shared" si="16"/>
        <v>1731633.2294999999</v>
      </c>
      <c r="O27" s="264">
        <f t="shared" si="4"/>
        <v>432908.30737499997</v>
      </c>
      <c r="P27" s="264">
        <f>+H27*0.085</f>
        <v>294377.64901500003</v>
      </c>
      <c r="Q27" s="264">
        <f>+H27*12%</f>
        <v>415591.97508</v>
      </c>
      <c r="R27" s="264">
        <f>+H27*1.044%</f>
        <v>36156.501831959999</v>
      </c>
      <c r="S27" s="264">
        <f t="shared" si="8"/>
        <v>2238378.3777808803</v>
      </c>
      <c r="T27" s="264">
        <f t="shared" si="17"/>
        <v>147766.03558400003</v>
      </c>
      <c r="U27" s="264">
        <f t="shared" si="9"/>
        <v>443298.10675200011</v>
      </c>
      <c r="V27" s="264">
        <f t="shared" si="10"/>
        <v>110824.52668800001</v>
      </c>
      <c r="W27" s="264">
        <f t="shared" si="11"/>
        <v>73883.017792000013</v>
      </c>
      <c r="X27" s="264">
        <f t="shared" si="12"/>
        <v>554122.63344000012</v>
      </c>
      <c r="Y27" s="264">
        <f>K27+L27+M27+N27+O27+S27+U27+X27</f>
        <v>16759854.640367882</v>
      </c>
      <c r="Z27" s="264">
        <f t="shared" si="13"/>
        <v>5586618.2134559611</v>
      </c>
      <c r="AA27" s="249"/>
      <c r="AB27" s="265"/>
      <c r="AC27" s="230"/>
      <c r="AD27" s="230"/>
      <c r="AE27" s="230"/>
      <c r="AF27" s="230"/>
      <c r="AG27" s="230"/>
    </row>
    <row r="28" spans="1:57" s="221" customFormat="1" ht="14.25" x14ac:dyDescent="0.2">
      <c r="A28" s="259" t="s">
        <v>18</v>
      </c>
      <c r="B28" s="266" t="s">
        <v>156</v>
      </c>
      <c r="C28" s="260">
        <v>1</v>
      </c>
      <c r="D28" s="261">
        <v>42461</v>
      </c>
      <c r="E28" s="261">
        <v>42551</v>
      </c>
      <c r="F28" s="262">
        <f t="shared" si="2"/>
        <v>90</v>
      </c>
      <c r="G28" s="263"/>
      <c r="H28" s="264">
        <f>3243670*(1+$C$8)</f>
        <v>3463266.4590000003</v>
      </c>
      <c r="I28" s="264">
        <v>0</v>
      </c>
      <c r="J28" s="264">
        <f>+I28+H28</f>
        <v>3463266.4590000003</v>
      </c>
      <c r="K28" s="264">
        <f>+J28/30*F28</f>
        <v>10389799.377</v>
      </c>
      <c r="L28" s="264">
        <f t="shared" si="15"/>
        <v>865816.61474999995</v>
      </c>
      <c r="M28" s="264">
        <f>+L28*12%</f>
        <v>103897.99376999999</v>
      </c>
      <c r="N28" s="264">
        <f t="shared" si="16"/>
        <v>1731633.2294999999</v>
      </c>
      <c r="O28" s="264">
        <f t="shared" si="4"/>
        <v>432908.30737499997</v>
      </c>
      <c r="P28" s="264">
        <f>+H28*0.085</f>
        <v>294377.64901500003</v>
      </c>
      <c r="Q28" s="264">
        <f>+H28*12%</f>
        <v>415591.97508</v>
      </c>
      <c r="R28" s="264">
        <f>+H28*1.044%</f>
        <v>36156.501831959999</v>
      </c>
      <c r="S28" s="264">
        <f t="shared" si="8"/>
        <v>2238378.3777808803</v>
      </c>
      <c r="T28" s="264">
        <f t="shared" si="17"/>
        <v>147766.03558400003</v>
      </c>
      <c r="U28" s="264">
        <f t="shared" si="9"/>
        <v>443298.10675200011</v>
      </c>
      <c r="V28" s="264">
        <f t="shared" si="10"/>
        <v>110824.52668800001</v>
      </c>
      <c r="W28" s="264">
        <f t="shared" si="11"/>
        <v>73883.017792000013</v>
      </c>
      <c r="X28" s="264">
        <f t="shared" si="12"/>
        <v>554122.63344000012</v>
      </c>
      <c r="Y28" s="264">
        <f>K28+L28+M28+N28+O28+S28+U28+X28</f>
        <v>16759854.640367882</v>
      </c>
      <c r="Z28" s="264">
        <f t="shared" si="13"/>
        <v>5586618.2134559611</v>
      </c>
      <c r="AA28" s="249"/>
      <c r="AB28" s="265"/>
      <c r="AC28" s="230"/>
      <c r="AD28" s="230"/>
      <c r="AE28" s="230"/>
      <c r="AF28" s="230"/>
      <c r="AG28" s="230"/>
    </row>
    <row r="29" spans="1:57" s="221" customFormat="1" ht="14.25" x14ac:dyDescent="0.2">
      <c r="A29" s="266" t="s">
        <v>308</v>
      </c>
      <c r="B29" s="266" t="s">
        <v>153</v>
      </c>
      <c r="C29" s="260">
        <v>1</v>
      </c>
      <c r="D29" s="261">
        <v>42461</v>
      </c>
      <c r="E29" s="261">
        <v>42551</v>
      </c>
      <c r="F29" s="262">
        <f t="shared" si="2"/>
        <v>90</v>
      </c>
      <c r="G29" s="264"/>
      <c r="H29" s="264">
        <f>1865880*(1+$C$8)</f>
        <v>1992200.0760000001</v>
      </c>
      <c r="I29" s="264">
        <v>0</v>
      </c>
      <c r="J29" s="264">
        <f t="shared" si="14"/>
        <v>1992200.0760000001</v>
      </c>
      <c r="K29" s="264">
        <f t="shared" si="19"/>
        <v>5976600.2280000001</v>
      </c>
      <c r="L29" s="264">
        <f t="shared" si="15"/>
        <v>498050.01900000003</v>
      </c>
      <c r="M29" s="264">
        <f t="shared" si="3"/>
        <v>59766.002280000001</v>
      </c>
      <c r="N29" s="264">
        <f t="shared" si="16"/>
        <v>996100.03800000006</v>
      </c>
      <c r="O29" s="264">
        <f t="shared" si="4"/>
        <v>249025.00950000001</v>
      </c>
      <c r="P29" s="264">
        <f t="shared" si="5"/>
        <v>169337.00646000003</v>
      </c>
      <c r="Q29" s="264">
        <f t="shared" si="6"/>
        <v>239064.00912</v>
      </c>
      <c r="R29" s="264">
        <f t="shared" si="7"/>
        <v>10399.284396720001</v>
      </c>
      <c r="S29" s="264">
        <f t="shared" si="8"/>
        <v>1256400.89993016</v>
      </c>
      <c r="T29" s="264">
        <f t="shared" si="17"/>
        <v>85000.536576000013</v>
      </c>
      <c r="U29" s="264">
        <f t="shared" si="9"/>
        <v>255001.60972800004</v>
      </c>
      <c r="V29" s="264">
        <f t="shared" si="10"/>
        <v>63750.402432000003</v>
      </c>
      <c r="W29" s="264">
        <f t="shared" si="11"/>
        <v>42500.268288000007</v>
      </c>
      <c r="X29" s="264">
        <f t="shared" si="12"/>
        <v>318752.01216000004</v>
      </c>
      <c r="Y29" s="264">
        <f t="shared" si="18"/>
        <v>9609695.8185981587</v>
      </c>
      <c r="Z29" s="264">
        <f t="shared" si="13"/>
        <v>3203231.9395327196</v>
      </c>
      <c r="AA29" s="249"/>
      <c r="AB29" s="265"/>
      <c r="AC29" s="230"/>
      <c r="AD29" s="230"/>
      <c r="AE29" s="230"/>
      <c r="AF29" s="230"/>
      <c r="AG29" s="230"/>
    </row>
    <row r="30" spans="1:57" s="221" customFormat="1" ht="14.25" x14ac:dyDescent="0.2">
      <c r="A30" s="266" t="s">
        <v>308</v>
      </c>
      <c r="B30" s="266" t="s">
        <v>157</v>
      </c>
      <c r="C30" s="260">
        <v>1</v>
      </c>
      <c r="D30" s="261">
        <v>42461</v>
      </c>
      <c r="E30" s="261">
        <v>42551</v>
      </c>
      <c r="F30" s="262">
        <f t="shared" si="2"/>
        <v>90</v>
      </c>
      <c r="G30" s="264"/>
      <c r="H30" s="264">
        <f>2176860*(1+$C$8)</f>
        <v>2324233.4220000003</v>
      </c>
      <c r="I30" s="264">
        <v>0</v>
      </c>
      <c r="J30" s="264">
        <f>+I30+H30</f>
        <v>2324233.4220000003</v>
      </c>
      <c r="K30" s="264">
        <f t="shared" si="19"/>
        <v>6972700.2660000008</v>
      </c>
      <c r="L30" s="264">
        <f t="shared" si="15"/>
        <v>581058.35550000006</v>
      </c>
      <c r="M30" s="264">
        <f t="shared" si="3"/>
        <v>69727.002659999998</v>
      </c>
      <c r="N30" s="264">
        <f t="shared" si="16"/>
        <v>1162116.7110000001</v>
      </c>
      <c r="O30" s="264">
        <f t="shared" si="4"/>
        <v>290529.17775000003</v>
      </c>
      <c r="P30" s="264">
        <f t="shared" si="5"/>
        <v>197559.84087000004</v>
      </c>
      <c r="Q30" s="264">
        <f t="shared" si="6"/>
        <v>278908.01063999999</v>
      </c>
      <c r="R30" s="264">
        <f t="shared" si="7"/>
        <v>12132.498462840002</v>
      </c>
      <c r="S30" s="264">
        <f t="shared" si="8"/>
        <v>1465801.0499185203</v>
      </c>
      <c r="T30" s="264">
        <f t="shared" si="17"/>
        <v>99167.29267200001</v>
      </c>
      <c r="U30" s="264">
        <f t="shared" si="9"/>
        <v>297501.87801600003</v>
      </c>
      <c r="V30" s="264">
        <f t="shared" si="10"/>
        <v>74375.469504000008</v>
      </c>
      <c r="W30" s="264">
        <f t="shared" si="11"/>
        <v>49583.646336000005</v>
      </c>
      <c r="X30" s="264">
        <f t="shared" si="12"/>
        <v>371877.34752000007</v>
      </c>
      <c r="Y30" s="264">
        <f t="shared" si="18"/>
        <v>11211311.788364522</v>
      </c>
      <c r="Z30" s="264">
        <f t="shared" si="13"/>
        <v>3737103.9294548407</v>
      </c>
      <c r="AA30" s="249"/>
      <c r="AB30" s="27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c r="BB30" s="116"/>
      <c r="BC30" s="116"/>
      <c r="BD30" s="116"/>
      <c r="BE30" s="116"/>
    </row>
    <row r="31" spans="1:57" s="221" customFormat="1" ht="14.25" x14ac:dyDescent="0.2">
      <c r="A31" s="266" t="s">
        <v>127</v>
      </c>
      <c r="B31" s="266" t="s">
        <v>158</v>
      </c>
      <c r="C31" s="260">
        <v>11</v>
      </c>
      <c r="D31" s="261">
        <v>42461</v>
      </c>
      <c r="E31" s="261">
        <v>42551</v>
      </c>
      <c r="F31" s="262">
        <f t="shared" si="2"/>
        <v>90</v>
      </c>
      <c r="G31" s="260"/>
      <c r="H31" s="264">
        <f>(1746952*(1+16.4%)*C31)</f>
        <v>22367973.407999996</v>
      </c>
      <c r="I31" s="264">
        <v>0</v>
      </c>
      <c r="J31" s="264">
        <f t="shared" si="14"/>
        <v>22367973.407999996</v>
      </c>
      <c r="K31" s="264">
        <f t="shared" si="19"/>
        <v>67103920.223999992</v>
      </c>
      <c r="L31" s="264">
        <f t="shared" si="15"/>
        <v>5591993.351999999</v>
      </c>
      <c r="M31" s="264">
        <f t="shared" si="3"/>
        <v>671039.2022399999</v>
      </c>
      <c r="N31" s="264">
        <f t="shared" si="16"/>
        <v>11183986.703999998</v>
      </c>
      <c r="O31" s="264">
        <f t="shared" si="4"/>
        <v>2795996.6759999995</v>
      </c>
      <c r="P31" s="264">
        <f t="shared" si="5"/>
        <v>1901277.7396799999</v>
      </c>
      <c r="Q31" s="264">
        <f t="shared" si="6"/>
        <v>2684156.8089599996</v>
      </c>
      <c r="R31" s="264">
        <f>+H31*1.044%</f>
        <v>233521.64237951994</v>
      </c>
      <c r="S31" s="264">
        <f t="shared" si="8"/>
        <v>14456868.573058559</v>
      </c>
      <c r="T31" s="264">
        <f t="shared" si="17"/>
        <v>954366.86540799995</v>
      </c>
      <c r="U31" s="264">
        <f t="shared" si="9"/>
        <v>2863100.5962239997</v>
      </c>
      <c r="V31" s="264">
        <f t="shared" si="10"/>
        <v>715775.14905599994</v>
      </c>
      <c r="W31" s="264">
        <f t="shared" si="11"/>
        <v>477183.43270399998</v>
      </c>
      <c r="X31" s="264">
        <f t="shared" si="12"/>
        <v>3578875.7452799999</v>
      </c>
      <c r="Y31" s="264">
        <f t="shared" si="18"/>
        <v>108245781.07280254</v>
      </c>
      <c r="Z31" s="264">
        <f t="shared" si="13"/>
        <v>36081927.024267517</v>
      </c>
      <c r="AA31" s="249"/>
      <c r="AB31" s="265"/>
      <c r="AC31" s="230"/>
      <c r="AD31" s="230"/>
      <c r="AE31" s="230"/>
      <c r="AF31" s="230"/>
      <c r="AG31" s="230"/>
    </row>
    <row r="32" spans="1:57" s="116" customFormat="1" ht="14.25" x14ac:dyDescent="0.2">
      <c r="A32" s="266" t="s">
        <v>45</v>
      </c>
      <c r="B32" s="266" t="s">
        <v>154</v>
      </c>
      <c r="C32" s="260">
        <v>1</v>
      </c>
      <c r="D32" s="261">
        <v>42461</v>
      </c>
      <c r="E32" s="261">
        <v>42551</v>
      </c>
      <c r="F32" s="262">
        <f t="shared" si="2"/>
        <v>90</v>
      </c>
      <c r="G32" s="260"/>
      <c r="H32" s="153">
        <f>1036600*(1+$C$8)</f>
        <v>1106777.82</v>
      </c>
      <c r="I32" s="264">
        <f>+$E$8</f>
        <v>77700</v>
      </c>
      <c r="J32" s="153">
        <f t="shared" si="14"/>
        <v>1184477.82</v>
      </c>
      <c r="K32" s="153">
        <f t="shared" si="19"/>
        <v>3553433.4600000004</v>
      </c>
      <c r="L32" s="264">
        <f t="shared" si="15"/>
        <v>296119.45500000002</v>
      </c>
      <c r="M32" s="153">
        <f t="shared" si="3"/>
        <v>35534.334600000002</v>
      </c>
      <c r="N32" s="153">
        <f t="shared" si="16"/>
        <v>592238.91</v>
      </c>
      <c r="O32" s="264">
        <f t="shared" si="4"/>
        <v>148059.72750000001</v>
      </c>
      <c r="P32" s="153">
        <f t="shared" si="5"/>
        <v>94076.114700000006</v>
      </c>
      <c r="Q32" s="153">
        <f t="shared" si="6"/>
        <v>132813.33840000001</v>
      </c>
      <c r="R32" s="153">
        <f>+H32*0.522%</f>
        <v>5777.3802204000003</v>
      </c>
      <c r="S32" s="264">
        <f t="shared" si="8"/>
        <v>698000.49996120005</v>
      </c>
      <c r="T32" s="264">
        <f t="shared" si="17"/>
        <v>47222.520320000003</v>
      </c>
      <c r="U32" s="264">
        <f t="shared" si="9"/>
        <v>141667.56096</v>
      </c>
      <c r="V32" s="264">
        <f t="shared" si="10"/>
        <v>35416.890240000001</v>
      </c>
      <c r="W32" s="264">
        <f t="shared" si="11"/>
        <v>23611.260160000002</v>
      </c>
      <c r="X32" s="264">
        <f t="shared" si="12"/>
        <v>177084.45120000001</v>
      </c>
      <c r="Y32" s="153">
        <f t="shared" si="18"/>
        <v>5642138.3992212014</v>
      </c>
      <c r="Z32" s="153">
        <f t="shared" si="13"/>
        <v>1880712.7997404004</v>
      </c>
      <c r="AA32" s="154"/>
      <c r="AB32" s="230"/>
      <c r="AC32" s="230"/>
      <c r="AD32" s="230"/>
      <c r="AE32" s="230"/>
      <c r="AF32" s="230"/>
      <c r="AG32" s="230"/>
    </row>
    <row r="33" spans="1:57" s="116" customFormat="1" ht="14.25" x14ac:dyDescent="0.2">
      <c r="A33" s="266" t="s">
        <v>45</v>
      </c>
      <c r="B33" s="266" t="s">
        <v>154</v>
      </c>
      <c r="C33" s="260">
        <v>1</v>
      </c>
      <c r="D33" s="261">
        <v>42461</v>
      </c>
      <c r="E33" s="261">
        <v>42551</v>
      </c>
      <c r="F33" s="262">
        <f t="shared" si="2"/>
        <v>90</v>
      </c>
      <c r="G33" s="260"/>
      <c r="H33" s="153">
        <f>1036600*(1+$C$8)</f>
        <v>1106777.82</v>
      </c>
      <c r="I33" s="264">
        <f>+$E$8</f>
        <v>77700</v>
      </c>
      <c r="J33" s="153">
        <f t="shared" si="14"/>
        <v>1184477.82</v>
      </c>
      <c r="K33" s="153">
        <f t="shared" si="19"/>
        <v>3553433.4600000004</v>
      </c>
      <c r="L33" s="264">
        <f t="shared" si="15"/>
        <v>296119.45500000002</v>
      </c>
      <c r="M33" s="153">
        <f t="shared" si="3"/>
        <v>35534.334600000002</v>
      </c>
      <c r="N33" s="153">
        <f t="shared" si="16"/>
        <v>592238.91</v>
      </c>
      <c r="O33" s="264">
        <f t="shared" si="4"/>
        <v>148059.72750000001</v>
      </c>
      <c r="P33" s="153">
        <f t="shared" si="5"/>
        <v>94076.114700000006</v>
      </c>
      <c r="Q33" s="153">
        <f t="shared" si="6"/>
        <v>132813.33840000001</v>
      </c>
      <c r="R33" s="153">
        <f>+H33*0.522%</f>
        <v>5777.3802204000003</v>
      </c>
      <c r="S33" s="264">
        <f t="shared" si="8"/>
        <v>698000.49996120005</v>
      </c>
      <c r="T33" s="264">
        <f t="shared" si="17"/>
        <v>47222.520320000003</v>
      </c>
      <c r="U33" s="264">
        <f t="shared" si="9"/>
        <v>141667.56096</v>
      </c>
      <c r="V33" s="264">
        <f t="shared" si="10"/>
        <v>35416.890240000001</v>
      </c>
      <c r="W33" s="264">
        <f t="shared" si="11"/>
        <v>23611.260160000002</v>
      </c>
      <c r="X33" s="264">
        <f t="shared" si="12"/>
        <v>177084.45120000001</v>
      </c>
      <c r="Y33" s="153">
        <f t="shared" si="18"/>
        <v>5642138.3992212014</v>
      </c>
      <c r="Z33" s="153">
        <f t="shared" si="13"/>
        <v>1880712.7997404004</v>
      </c>
      <c r="AA33" s="154"/>
      <c r="AB33" s="230"/>
      <c r="AC33" s="230"/>
      <c r="AD33" s="230"/>
      <c r="AE33" s="230"/>
      <c r="AF33" s="230"/>
      <c r="AG33" s="230"/>
    </row>
    <row r="34" spans="1:57" s="116" customFormat="1" ht="14.25" x14ac:dyDescent="0.2">
      <c r="A34" s="266" t="s">
        <v>178</v>
      </c>
      <c r="B34" s="266" t="s">
        <v>179</v>
      </c>
      <c r="C34" s="260">
        <v>1</v>
      </c>
      <c r="D34" s="261">
        <v>42461</v>
      </c>
      <c r="E34" s="261">
        <v>42551</v>
      </c>
      <c r="F34" s="262">
        <f t="shared" si="2"/>
        <v>90</v>
      </c>
      <c r="G34" s="260"/>
      <c r="H34" s="153">
        <f>829280*(1+$C$8)</f>
        <v>885422.25600000005</v>
      </c>
      <c r="I34" s="264">
        <f>+$E$8</f>
        <v>77700</v>
      </c>
      <c r="J34" s="153">
        <f t="shared" si="14"/>
        <v>963122.25600000005</v>
      </c>
      <c r="K34" s="153">
        <f t="shared" si="19"/>
        <v>2889366.7680000002</v>
      </c>
      <c r="L34" s="264">
        <f t="shared" si="15"/>
        <v>240780.56400000001</v>
      </c>
      <c r="M34" s="153">
        <f t="shared" si="3"/>
        <v>28893.667680000002</v>
      </c>
      <c r="N34" s="153">
        <f t="shared" si="16"/>
        <v>481561.12800000003</v>
      </c>
      <c r="O34" s="264">
        <f t="shared" si="4"/>
        <v>120390.28200000001</v>
      </c>
      <c r="P34" s="153">
        <f t="shared" si="5"/>
        <v>75260.891760000013</v>
      </c>
      <c r="Q34" s="153">
        <f t="shared" si="6"/>
        <v>106250.67072000001</v>
      </c>
      <c r="R34" s="153">
        <f>+H34*0.522%</f>
        <v>4621.9041763200003</v>
      </c>
      <c r="S34" s="264">
        <f t="shared" si="8"/>
        <v>558400.39996896009</v>
      </c>
      <c r="T34" s="264">
        <f t="shared" si="17"/>
        <v>37778.016256000003</v>
      </c>
      <c r="U34" s="264">
        <f t="shared" si="9"/>
        <v>113334.04876800001</v>
      </c>
      <c r="V34" s="264">
        <f t="shared" si="10"/>
        <v>28333.512192000002</v>
      </c>
      <c r="W34" s="264">
        <f t="shared" si="11"/>
        <v>18889.008128000001</v>
      </c>
      <c r="X34" s="264">
        <f t="shared" si="12"/>
        <v>141667.56096</v>
      </c>
      <c r="Y34" s="153">
        <f t="shared" si="18"/>
        <v>4574394.419376961</v>
      </c>
      <c r="Z34" s="153">
        <f t="shared" si="13"/>
        <v>1524798.1397923203</v>
      </c>
      <c r="AA34" s="154"/>
      <c r="AB34" s="230"/>
      <c r="AC34" s="230"/>
      <c r="AD34" s="230"/>
      <c r="AE34" s="230"/>
      <c r="AF34" s="230"/>
      <c r="AG34" s="230"/>
    </row>
    <row r="35" spans="1:57" s="221" customFormat="1" ht="14.25" x14ac:dyDescent="0.2">
      <c r="A35" s="266" t="s">
        <v>12</v>
      </c>
      <c r="B35" s="266" t="s">
        <v>154</v>
      </c>
      <c r="C35" s="260">
        <v>1</v>
      </c>
      <c r="D35" s="261">
        <v>42461</v>
      </c>
      <c r="E35" s="261">
        <v>42551</v>
      </c>
      <c r="F35" s="262">
        <f t="shared" si="2"/>
        <v>90</v>
      </c>
      <c r="G35" s="260"/>
      <c r="H35" s="264">
        <f>1036600*(1+$C$8)</f>
        <v>1106777.82</v>
      </c>
      <c r="I35" s="264">
        <f>+$E$8</f>
        <v>77700</v>
      </c>
      <c r="J35" s="264">
        <f>+I35+H35</f>
        <v>1184477.82</v>
      </c>
      <c r="K35" s="264">
        <f t="shared" si="19"/>
        <v>3553433.4600000004</v>
      </c>
      <c r="L35" s="264">
        <f t="shared" si="15"/>
        <v>296119.45500000002</v>
      </c>
      <c r="M35" s="264">
        <f>+L35*12%</f>
        <v>35534.334600000002</v>
      </c>
      <c r="N35" s="264">
        <f t="shared" si="16"/>
        <v>592238.91</v>
      </c>
      <c r="O35" s="264">
        <f t="shared" si="4"/>
        <v>148059.72750000001</v>
      </c>
      <c r="P35" s="264">
        <f>+H35*0.085</f>
        <v>94076.114700000006</v>
      </c>
      <c r="Q35" s="264">
        <f>+H35*12%</f>
        <v>132813.33840000001</v>
      </c>
      <c r="R35" s="264">
        <f>+H35*0.522%</f>
        <v>5777.3802204000003</v>
      </c>
      <c r="S35" s="264">
        <f t="shared" si="8"/>
        <v>698000.49996120005</v>
      </c>
      <c r="T35" s="264">
        <f t="shared" si="17"/>
        <v>47222.520320000003</v>
      </c>
      <c r="U35" s="264">
        <f t="shared" si="9"/>
        <v>141667.56096</v>
      </c>
      <c r="V35" s="264">
        <f t="shared" si="10"/>
        <v>35416.890240000001</v>
      </c>
      <c r="W35" s="264">
        <f t="shared" si="11"/>
        <v>23611.260160000002</v>
      </c>
      <c r="X35" s="264">
        <f t="shared" si="12"/>
        <v>177084.45120000001</v>
      </c>
      <c r="Y35" s="264">
        <f>K35+L35+M35+N35+O35+S35+U35+X35</f>
        <v>5642138.3992212014</v>
      </c>
      <c r="Z35" s="264">
        <f t="shared" si="13"/>
        <v>1880712.7997404004</v>
      </c>
      <c r="AA35" s="249"/>
      <c r="AB35" s="265"/>
      <c r="AC35" s="230"/>
      <c r="AD35" s="230"/>
      <c r="AE35" s="230"/>
      <c r="AF35" s="230"/>
      <c r="AG35" s="230"/>
    </row>
    <row r="36" spans="1:57" x14ac:dyDescent="0.2">
      <c r="A36" s="229"/>
      <c r="B36" s="229"/>
      <c r="C36" s="245"/>
      <c r="D36" s="245"/>
      <c r="E36" s="245"/>
      <c r="F36" s="245"/>
      <c r="G36" s="245"/>
      <c r="H36" s="277"/>
      <c r="I36" s="277"/>
      <c r="J36" s="277"/>
      <c r="K36" s="245"/>
      <c r="L36" s="245"/>
      <c r="M36" s="245"/>
      <c r="N36" s="245"/>
      <c r="O36" s="245"/>
      <c r="P36" s="246"/>
      <c r="Q36" s="247"/>
      <c r="R36" s="247"/>
      <c r="S36" s="248"/>
      <c r="T36" s="247"/>
      <c r="U36" s="248"/>
      <c r="V36" s="247"/>
      <c r="W36" s="247"/>
      <c r="X36" s="248"/>
      <c r="Y36" s="278"/>
      <c r="Z36" s="245"/>
      <c r="AA36" s="279"/>
      <c r="AB36" s="280"/>
      <c r="AC36" s="281"/>
      <c r="AD36" s="252"/>
      <c r="AE36" s="252"/>
      <c r="AF36" s="252"/>
      <c r="AG36" s="252"/>
    </row>
    <row r="37" spans="1:57" x14ac:dyDescent="0.2">
      <c r="A37" s="267"/>
      <c r="B37" s="267"/>
      <c r="C37" s="268"/>
      <c r="D37" s="268"/>
      <c r="E37" s="268"/>
      <c r="F37" s="268"/>
      <c r="G37" s="269"/>
      <c r="H37" s="270"/>
      <c r="I37" s="269"/>
      <c r="J37" s="269"/>
      <c r="K37" s="269"/>
      <c r="L37" s="269"/>
      <c r="M37" s="269"/>
      <c r="N37" s="269"/>
      <c r="O37" s="269"/>
      <c r="P37" s="269"/>
      <c r="Q37" s="269"/>
      <c r="R37" s="269"/>
      <c r="S37" s="269"/>
      <c r="T37" s="269"/>
      <c r="U37" s="269"/>
      <c r="V37" s="269"/>
      <c r="W37" s="269"/>
      <c r="X37" s="269"/>
      <c r="Y37" s="269"/>
      <c r="Z37" s="269"/>
      <c r="AA37" s="258"/>
      <c r="AB37" s="265"/>
      <c r="AC37" s="230"/>
      <c r="AD37" s="252"/>
      <c r="AE37" s="252"/>
      <c r="AF37" s="252"/>
      <c r="AG37" s="252"/>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row>
    <row r="38" spans="1:57" ht="15.75" x14ac:dyDescent="0.25">
      <c r="A38" s="250" t="s">
        <v>20</v>
      </c>
      <c r="B38" s="250" t="s">
        <v>152</v>
      </c>
      <c r="C38" s="245"/>
      <c r="D38" s="245"/>
      <c r="E38" s="245"/>
      <c r="F38" s="245"/>
      <c r="G38" s="245"/>
      <c r="H38" s="277"/>
      <c r="I38" s="245"/>
      <c r="J38" s="245"/>
      <c r="K38" s="245"/>
      <c r="L38" s="245"/>
      <c r="M38" s="245"/>
      <c r="N38" s="245"/>
      <c r="O38" s="245"/>
      <c r="P38" s="246"/>
      <c r="Q38" s="247"/>
      <c r="R38" s="247"/>
      <c r="S38" s="248"/>
      <c r="T38" s="247"/>
      <c r="U38" s="248"/>
      <c r="V38" s="247"/>
      <c r="W38" s="247"/>
      <c r="X38" s="248"/>
      <c r="Y38" s="251">
        <f>+Y39</f>
        <v>82955467.854830369</v>
      </c>
      <c r="Z38" s="245"/>
      <c r="AA38" s="258"/>
      <c r="AB38" s="265"/>
      <c r="AC38" s="230"/>
      <c r="AD38" s="252"/>
      <c r="AE38" s="252"/>
      <c r="AF38" s="252"/>
      <c r="AG38" s="252"/>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row>
    <row r="39" spans="1:57" ht="14.25" x14ac:dyDescent="0.2">
      <c r="A39" s="253" t="s">
        <v>194</v>
      </c>
      <c r="B39" s="253"/>
      <c r="C39" s="254">
        <f>SUM(C40:C44)</f>
        <v>5</v>
      </c>
      <c r="D39" s="255"/>
      <c r="E39" s="255"/>
      <c r="F39" s="256"/>
      <c r="G39" s="257">
        <f t="shared" ref="G39:Z39" si="20">SUM(G40:G44)</f>
        <v>9514729.9000000004</v>
      </c>
      <c r="H39" s="257">
        <f t="shared" si="20"/>
        <v>16362478.408300001</v>
      </c>
      <c r="I39" s="257">
        <f t="shared" si="20"/>
        <v>77700</v>
      </c>
      <c r="J39" s="257">
        <f t="shared" si="20"/>
        <v>19294597.3783</v>
      </c>
      <c r="K39" s="257">
        <f t="shared" si="20"/>
        <v>57883792.134900004</v>
      </c>
      <c r="L39" s="257">
        <f t="shared" si="20"/>
        <v>2444966.8695750004</v>
      </c>
      <c r="M39" s="257">
        <f t="shared" si="20"/>
        <v>293396.02434900001</v>
      </c>
      <c r="N39" s="257">
        <f t="shared" si="20"/>
        <v>4889933.7391500007</v>
      </c>
      <c r="O39" s="257">
        <f t="shared" si="20"/>
        <v>2411824.6722875</v>
      </c>
      <c r="P39" s="257">
        <f t="shared" si="20"/>
        <v>1390810.6647055002</v>
      </c>
      <c r="Q39" s="257">
        <f t="shared" si="20"/>
        <v>1963497.408996</v>
      </c>
      <c r="R39" s="257">
        <f t="shared" si="20"/>
        <v>85412.137291325998</v>
      </c>
      <c r="S39" s="257">
        <f t="shared" si="20"/>
        <v>10319160.632978478</v>
      </c>
      <c r="T39" s="257">
        <f t="shared" si="20"/>
        <v>698132.4120874668</v>
      </c>
      <c r="U39" s="257">
        <f t="shared" si="20"/>
        <v>2094397.2362624002</v>
      </c>
      <c r="V39" s="257">
        <f t="shared" si="20"/>
        <v>523599.30906560004</v>
      </c>
      <c r="W39" s="257">
        <f t="shared" si="20"/>
        <v>349066.2060437334</v>
      </c>
      <c r="X39" s="257">
        <f t="shared" si="20"/>
        <v>2617996.5453279996</v>
      </c>
      <c r="Y39" s="257">
        <f t="shared" si="20"/>
        <v>82955467.854830369</v>
      </c>
      <c r="Z39" s="257">
        <f t="shared" si="20"/>
        <v>27651822.618276794</v>
      </c>
      <c r="AA39" s="258"/>
      <c r="AB39" s="230"/>
      <c r="AC39" s="230"/>
      <c r="AD39" s="252"/>
      <c r="AE39" s="252"/>
      <c r="AF39" s="252"/>
      <c r="AG39" s="252"/>
    </row>
    <row r="40" spans="1:57" s="221" customFormat="1" ht="14.25" x14ac:dyDescent="0.2">
      <c r="A40" s="282" t="s">
        <v>91</v>
      </c>
      <c r="B40" s="266" t="s">
        <v>159</v>
      </c>
      <c r="C40" s="260">
        <v>1</v>
      </c>
      <c r="D40" s="261">
        <v>42461</v>
      </c>
      <c r="E40" s="261">
        <v>42551</v>
      </c>
      <c r="F40" s="262">
        <f>DAYS360(D40,E40,0)+1</f>
        <v>90</v>
      </c>
      <c r="G40" s="264">
        <f>(8729110)*1.09</f>
        <v>9514729.9000000004</v>
      </c>
      <c r="H40" s="264">
        <f>+G40*70%</f>
        <v>6660310.9299999997</v>
      </c>
      <c r="I40" s="264">
        <v>0</v>
      </c>
      <c r="J40" s="264">
        <f>G40</f>
        <v>9514729.9000000004</v>
      </c>
      <c r="K40" s="264">
        <f>+J40/30*F40</f>
        <v>28544189.699999999</v>
      </c>
      <c r="L40" s="264">
        <v>0</v>
      </c>
      <c r="M40" s="264">
        <f>+L40*12%</f>
        <v>0</v>
      </c>
      <c r="N40" s="264">
        <v>0</v>
      </c>
      <c r="O40" s="264">
        <f>+J40*F40/720</f>
        <v>1189341.2375</v>
      </c>
      <c r="P40" s="264">
        <f>+H40*0.085</f>
        <v>566126.42905000004</v>
      </c>
      <c r="Q40" s="264">
        <f>+H40*12%</f>
        <v>799237.3115999999</v>
      </c>
      <c r="R40" s="264">
        <f>+H40*0.522%</f>
        <v>34766.823054599998</v>
      </c>
      <c r="S40" s="264">
        <f>+((P40+Q40+R40)/30*F40)</f>
        <v>4200391.6911137998</v>
      </c>
      <c r="T40" s="264">
        <f>+(H40/30)*32*0.04</f>
        <v>284173.26634666667</v>
      </c>
      <c r="U40" s="264">
        <f>+(T40/30)*F40</f>
        <v>852519.79903999995</v>
      </c>
      <c r="V40" s="264">
        <f>+(H40/30)*32*0.03</f>
        <v>213129.94975999999</v>
      </c>
      <c r="W40" s="264">
        <f>+(H40/30)*32*0.02</f>
        <v>142086.63317333334</v>
      </c>
      <c r="X40" s="264">
        <f>+((V40+W40)/30*F40)</f>
        <v>1065649.7487999999</v>
      </c>
      <c r="Y40" s="273">
        <f>K40+L40+M40+N40+O40+S40+U40+X40</f>
        <v>35852092.176453799</v>
      </c>
      <c r="Z40" s="264">
        <f>+Y40/3</f>
        <v>11950697.392151266</v>
      </c>
      <c r="AA40" s="249"/>
      <c r="AB40" s="271"/>
      <c r="AC40" s="230"/>
      <c r="AD40" s="230"/>
      <c r="AE40" s="230"/>
      <c r="AF40" s="230"/>
      <c r="AG40" s="230"/>
    </row>
    <row r="41" spans="1:57" s="221" customFormat="1" ht="14.25" x14ac:dyDescent="0.2">
      <c r="A41" s="282" t="s">
        <v>142</v>
      </c>
      <c r="B41" s="266" t="s">
        <v>160</v>
      </c>
      <c r="C41" s="260">
        <v>1</v>
      </c>
      <c r="D41" s="261">
        <v>42461</v>
      </c>
      <c r="E41" s="261">
        <v>42551</v>
      </c>
      <c r="F41" s="262">
        <f>DAYS360(D41,E41,0)+1</f>
        <v>90</v>
      </c>
      <c r="G41" s="264"/>
      <c r="H41" s="264">
        <f>4007639*(1+$C$8)</f>
        <v>4278956.1603000006</v>
      </c>
      <c r="I41" s="264">
        <v>0</v>
      </c>
      <c r="J41" s="264">
        <f>+I41+H41</f>
        <v>4278956.1603000006</v>
      </c>
      <c r="K41" s="264">
        <f>+J41/30*F41</f>
        <v>12836868.480900003</v>
      </c>
      <c r="L41" s="264">
        <f>+J41*F41/360</f>
        <v>1069739.0400750001</v>
      </c>
      <c r="M41" s="264">
        <f>+L41*12%</f>
        <v>128368.68480900001</v>
      </c>
      <c r="N41" s="264">
        <f>+L41*2</f>
        <v>2139478.0801500003</v>
      </c>
      <c r="O41" s="264">
        <f>+J41*F41/720</f>
        <v>534869.52003750007</v>
      </c>
      <c r="P41" s="264">
        <f>+H41*0.085</f>
        <v>363711.27362550009</v>
      </c>
      <c r="Q41" s="264">
        <f>+H41*12%</f>
        <v>513474.73923600005</v>
      </c>
      <c r="R41" s="264">
        <f>+H41*0.522%</f>
        <v>22336.151156766002</v>
      </c>
      <c r="S41" s="264">
        <f>+((P41+Q41+R41)/30*F41)</f>
        <v>2698566.4920547986</v>
      </c>
      <c r="T41" s="264">
        <f>+(H41/30)*32*0.04</f>
        <v>182568.79617280004</v>
      </c>
      <c r="U41" s="264">
        <f>+(T41/30)*F41</f>
        <v>547706.38851840014</v>
      </c>
      <c r="V41" s="264">
        <f>+(H41/30)*32*0.03</f>
        <v>136926.59712960001</v>
      </c>
      <c r="W41" s="264">
        <f>+(H41/30)*32*0.02</f>
        <v>91284.398086400019</v>
      </c>
      <c r="X41" s="264">
        <f>+((V41+W41)/30*F41)</f>
        <v>684632.98564800003</v>
      </c>
      <c r="Y41" s="273">
        <f>K41+L41+M41+N41+O41+S41+U41+X41</f>
        <v>20640229.6721927</v>
      </c>
      <c r="Z41" s="264">
        <f>+Y41/3</f>
        <v>6880076.5573975667</v>
      </c>
      <c r="AA41" s="249"/>
      <c r="AB41" s="272"/>
      <c r="AC41" s="283"/>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row>
    <row r="42" spans="1:57" s="221" customFormat="1" ht="14.25" x14ac:dyDescent="0.2">
      <c r="A42" s="266" t="s">
        <v>347</v>
      </c>
      <c r="B42" s="266" t="s">
        <v>153</v>
      </c>
      <c r="C42" s="260">
        <v>1</v>
      </c>
      <c r="D42" s="261">
        <v>42461</v>
      </c>
      <c r="E42" s="261">
        <v>42551</v>
      </c>
      <c r="F42" s="262">
        <f>DAYS360(D42,E42,0)+1</f>
        <v>90</v>
      </c>
      <c r="G42" s="264"/>
      <c r="H42" s="264">
        <f>1865880*(1+$C$8)</f>
        <v>1992200.0760000001</v>
      </c>
      <c r="I42" s="264">
        <v>0</v>
      </c>
      <c r="J42" s="264">
        <f>+I42+H42</f>
        <v>1992200.0760000001</v>
      </c>
      <c r="K42" s="264">
        <f>+J42/30*F42</f>
        <v>5976600.2280000001</v>
      </c>
      <c r="L42" s="264">
        <f>+J42*F42/360</f>
        <v>498050.01900000003</v>
      </c>
      <c r="M42" s="264">
        <f>+L42*12%</f>
        <v>59766.002280000001</v>
      </c>
      <c r="N42" s="264">
        <f>+L42*2</f>
        <v>996100.03800000006</v>
      </c>
      <c r="O42" s="264">
        <f>+J42*F42/720</f>
        <v>249025.00950000001</v>
      </c>
      <c r="P42" s="264">
        <f>+H42*0.085</f>
        <v>169337.00646000003</v>
      </c>
      <c r="Q42" s="264">
        <f>+H42*12%</f>
        <v>239064.00912</v>
      </c>
      <c r="R42" s="264">
        <f>+H42*0.522%</f>
        <v>10399.284396720001</v>
      </c>
      <c r="S42" s="264">
        <f>+((P42+Q42+R42)/30*F42)</f>
        <v>1256400.89993016</v>
      </c>
      <c r="T42" s="264">
        <f>+(H42/30)*32*0.04</f>
        <v>85000.536576000013</v>
      </c>
      <c r="U42" s="264">
        <f>+(T42/30)*F42</f>
        <v>255001.60972800004</v>
      </c>
      <c r="V42" s="264">
        <f>+(H42/30)*32*0.03</f>
        <v>63750.402432000003</v>
      </c>
      <c r="W42" s="264">
        <f>+(H42/30)*32*0.02</f>
        <v>42500.268288000007</v>
      </c>
      <c r="X42" s="264">
        <f>+((V42+W42)/30*F42)</f>
        <v>318752.01216000004</v>
      </c>
      <c r="Y42" s="273">
        <f>K42+L42+M42+N42+O42+S42+U42+X42</f>
        <v>9609695.8185981587</v>
      </c>
      <c r="Z42" s="264">
        <f>+Y42/3</f>
        <v>3203231.9395327196</v>
      </c>
      <c r="AA42" s="249"/>
      <c r="AB42" s="265"/>
      <c r="AC42" s="230"/>
      <c r="AD42" s="230"/>
      <c r="AE42" s="230"/>
      <c r="AF42" s="230"/>
      <c r="AG42" s="230"/>
    </row>
    <row r="43" spans="1:57" s="221" customFormat="1" ht="14.25" x14ac:dyDescent="0.2">
      <c r="A43" s="266" t="s">
        <v>236</v>
      </c>
      <c r="B43" s="266" t="s">
        <v>157</v>
      </c>
      <c r="C43" s="260">
        <v>1</v>
      </c>
      <c r="D43" s="261">
        <v>42461</v>
      </c>
      <c r="E43" s="261">
        <v>42551</v>
      </c>
      <c r="F43" s="262">
        <f>DAYS360(D43,E43,0)+1</f>
        <v>90</v>
      </c>
      <c r="G43" s="264"/>
      <c r="H43" s="264">
        <f>2176860*(1+$C$8)</f>
        <v>2324233.4220000003</v>
      </c>
      <c r="I43" s="264">
        <v>0</v>
      </c>
      <c r="J43" s="264">
        <f>+I43+H43</f>
        <v>2324233.4220000003</v>
      </c>
      <c r="K43" s="264">
        <f>+J43/30*F43</f>
        <v>6972700.2660000008</v>
      </c>
      <c r="L43" s="264">
        <f>+J43*F43/360</f>
        <v>581058.35550000006</v>
      </c>
      <c r="M43" s="264">
        <f>+L43*12%</f>
        <v>69727.002659999998</v>
      </c>
      <c r="N43" s="264">
        <f>+L43*2</f>
        <v>1162116.7110000001</v>
      </c>
      <c r="O43" s="264">
        <f>+J43*F43/720</f>
        <v>290529.17775000003</v>
      </c>
      <c r="P43" s="264">
        <f>+H43*0.085</f>
        <v>197559.84087000004</v>
      </c>
      <c r="Q43" s="264">
        <f>+H43*12%</f>
        <v>278908.01063999999</v>
      </c>
      <c r="R43" s="264">
        <f>+H43*0.522%</f>
        <v>12132.498462840002</v>
      </c>
      <c r="S43" s="264">
        <f>+((P43+Q43+R43)/30*F43)</f>
        <v>1465801.0499185203</v>
      </c>
      <c r="T43" s="264">
        <f>+(H43/30)*32*0.04</f>
        <v>99167.29267200001</v>
      </c>
      <c r="U43" s="264">
        <f>+(T43/30)*F43</f>
        <v>297501.87801600003</v>
      </c>
      <c r="V43" s="264">
        <f>+(H43/30)*32*0.03</f>
        <v>74375.469504000008</v>
      </c>
      <c r="W43" s="264">
        <f>+(H43/30)*32*0.02</f>
        <v>49583.646336000005</v>
      </c>
      <c r="X43" s="264">
        <f>+((V43+W43)/30*F43)</f>
        <v>371877.34752000007</v>
      </c>
      <c r="Y43" s="264">
        <f>K43+L43+M43+N43+O43+S43+U43+X43</f>
        <v>11211311.788364522</v>
      </c>
      <c r="Z43" s="264">
        <f>+Y43/3</f>
        <v>3737103.9294548407</v>
      </c>
      <c r="AA43" s="249"/>
      <c r="AB43" s="27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row>
    <row r="44" spans="1:57" s="221" customFormat="1" ht="14.25" x14ac:dyDescent="0.2">
      <c r="A44" s="266" t="s">
        <v>12</v>
      </c>
      <c r="B44" s="266" t="s">
        <v>154</v>
      </c>
      <c r="C44" s="260">
        <v>1</v>
      </c>
      <c r="D44" s="261">
        <v>42461</v>
      </c>
      <c r="E44" s="261">
        <v>42551</v>
      </c>
      <c r="F44" s="262">
        <f>DAYS360(D44,E44,0)+1</f>
        <v>90</v>
      </c>
      <c r="G44" s="260"/>
      <c r="H44" s="264">
        <f>1036600*(1+$C$8)</f>
        <v>1106777.82</v>
      </c>
      <c r="I44" s="264">
        <f>+E8</f>
        <v>77700</v>
      </c>
      <c r="J44" s="264">
        <f>+I44+H44</f>
        <v>1184477.82</v>
      </c>
      <c r="K44" s="264">
        <f>+J44/30*F44</f>
        <v>3553433.4600000004</v>
      </c>
      <c r="L44" s="264">
        <f>+J44*F44/360</f>
        <v>296119.45500000002</v>
      </c>
      <c r="M44" s="264">
        <f>+L44*12%</f>
        <v>35534.334600000002</v>
      </c>
      <c r="N44" s="264">
        <f>+L44*2</f>
        <v>592238.91</v>
      </c>
      <c r="O44" s="264">
        <f>+J44*F44/720</f>
        <v>148059.72750000001</v>
      </c>
      <c r="P44" s="264">
        <f>+H44*0.085</f>
        <v>94076.114700000006</v>
      </c>
      <c r="Q44" s="264">
        <f>+H44*12%</f>
        <v>132813.33840000001</v>
      </c>
      <c r="R44" s="264">
        <f>+H44*0.522%</f>
        <v>5777.3802204000003</v>
      </c>
      <c r="S44" s="264">
        <f>+((P44+Q44+R44)/30*F44)</f>
        <v>698000.49996120005</v>
      </c>
      <c r="T44" s="264">
        <f>+(H44/30)*32*0.04</f>
        <v>47222.520320000003</v>
      </c>
      <c r="U44" s="264">
        <f>+(T44/30)*F44</f>
        <v>141667.56096</v>
      </c>
      <c r="V44" s="264">
        <f>+(H44/30)*32*0.03</f>
        <v>35416.890240000001</v>
      </c>
      <c r="W44" s="264">
        <f>+(H44/30)*32*0.02</f>
        <v>23611.260160000002</v>
      </c>
      <c r="X44" s="264">
        <f>+((V44+W44)/30*F44)</f>
        <v>177084.45120000001</v>
      </c>
      <c r="Y44" s="273">
        <f>K44+L44+M44+N44+O44+S44+U44+X44</f>
        <v>5642138.3992212014</v>
      </c>
      <c r="Z44" s="264">
        <f>+Y44/3</f>
        <v>1880712.7997404004</v>
      </c>
      <c r="AA44" s="249"/>
      <c r="AB44" s="230"/>
      <c r="AC44" s="116"/>
      <c r="AD44" s="275"/>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row>
    <row r="45" spans="1:57" x14ac:dyDescent="0.2">
      <c r="A45" s="267"/>
      <c r="B45" s="267"/>
      <c r="C45" s="268"/>
      <c r="D45" s="268"/>
      <c r="E45" s="268"/>
      <c r="F45" s="268"/>
      <c r="G45" s="268"/>
      <c r="H45" s="268"/>
      <c r="I45" s="268"/>
      <c r="J45" s="268"/>
      <c r="K45" s="268"/>
      <c r="L45" s="269"/>
      <c r="M45" s="269"/>
      <c r="N45" s="269"/>
      <c r="O45" s="269"/>
      <c r="P45" s="269"/>
      <c r="Q45" s="269"/>
      <c r="R45" s="269"/>
      <c r="S45" s="269"/>
      <c r="T45" s="269"/>
      <c r="U45" s="269"/>
      <c r="V45" s="269"/>
      <c r="W45" s="269"/>
      <c r="X45" s="269"/>
      <c r="Y45" s="269"/>
      <c r="Z45" s="269"/>
      <c r="AA45" s="284"/>
      <c r="AB45" s="230"/>
      <c r="AC45" s="116"/>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row>
    <row r="46" spans="1:57" x14ac:dyDescent="0.2">
      <c r="A46" s="267"/>
      <c r="B46" s="267"/>
      <c r="C46" s="268"/>
      <c r="D46" s="268"/>
      <c r="E46" s="268"/>
      <c r="F46" s="268"/>
      <c r="G46" s="268"/>
      <c r="H46" s="268"/>
      <c r="I46" s="268"/>
      <c r="J46" s="268"/>
      <c r="K46" s="268"/>
      <c r="L46" s="269"/>
      <c r="M46" s="269"/>
      <c r="N46" s="269"/>
      <c r="O46" s="269"/>
      <c r="P46" s="269"/>
      <c r="Q46" s="269"/>
      <c r="R46" s="269"/>
      <c r="S46" s="269"/>
      <c r="T46" s="269"/>
      <c r="U46" s="269"/>
      <c r="V46" s="269"/>
      <c r="W46" s="269"/>
      <c r="X46" s="269"/>
      <c r="Y46" s="269"/>
      <c r="Z46" s="269"/>
      <c r="AA46" s="284"/>
      <c r="AB46" s="230"/>
      <c r="AC46" s="116"/>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row>
    <row r="47" spans="1:57" ht="15.75" x14ac:dyDescent="0.25">
      <c r="A47" s="250" t="s">
        <v>21</v>
      </c>
      <c r="B47" s="250" t="s">
        <v>152</v>
      </c>
      <c r="C47" s="221"/>
      <c r="D47" s="221"/>
      <c r="E47" s="221"/>
      <c r="F47" s="221"/>
      <c r="G47" s="116"/>
      <c r="H47" s="116"/>
      <c r="I47" s="116"/>
      <c r="J47" s="116"/>
      <c r="K47" s="116"/>
      <c r="L47" s="285"/>
      <c r="M47" s="285"/>
      <c r="N47" s="285"/>
      <c r="O47" s="285"/>
      <c r="P47" s="285"/>
      <c r="Q47" s="285"/>
      <c r="R47" s="285"/>
      <c r="S47" s="285"/>
      <c r="T47" s="285"/>
      <c r="U47" s="285"/>
      <c r="V47" s="285"/>
      <c r="W47" s="285"/>
      <c r="X47" s="285"/>
      <c r="Y47" s="251">
        <f>+Y48</f>
        <v>93986001.708424911</v>
      </c>
      <c r="Z47" s="285"/>
      <c r="AA47" s="284"/>
      <c r="AB47" s="230"/>
      <c r="AC47" s="116"/>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row>
    <row r="48" spans="1:57" ht="14.25" x14ac:dyDescent="0.2">
      <c r="A48" s="253" t="s">
        <v>195</v>
      </c>
      <c r="B48" s="253"/>
      <c r="C48" s="254">
        <f>SUM(C49:C53)</f>
        <v>5</v>
      </c>
      <c r="D48" s="255"/>
      <c r="E48" s="255"/>
      <c r="F48" s="256"/>
      <c r="G48" s="257">
        <f t="shared" ref="G48:Z48" si="21">SUM(G49:G53)</f>
        <v>9514729.9000000004</v>
      </c>
      <c r="H48" s="257">
        <f t="shared" si="21"/>
        <v>18649234.492600001</v>
      </c>
      <c r="I48" s="257">
        <f t="shared" si="21"/>
        <v>77700</v>
      </c>
      <c r="J48" s="257">
        <f t="shared" si="21"/>
        <v>21581353.4626</v>
      </c>
      <c r="K48" s="257">
        <f t="shared" si="21"/>
        <v>64744060.387800008</v>
      </c>
      <c r="L48" s="257">
        <f t="shared" si="21"/>
        <v>3016655.8906500004</v>
      </c>
      <c r="M48" s="257">
        <f t="shared" si="21"/>
        <v>361998.706878</v>
      </c>
      <c r="N48" s="257">
        <f t="shared" si="21"/>
        <v>6033311.7813000008</v>
      </c>
      <c r="O48" s="257">
        <f t="shared" si="21"/>
        <v>2697669.182825</v>
      </c>
      <c r="P48" s="257">
        <f t="shared" si="21"/>
        <v>1585184.9318710002</v>
      </c>
      <c r="Q48" s="257">
        <f t="shared" si="21"/>
        <v>2237908.1391119994</v>
      </c>
      <c r="R48" s="257">
        <f t="shared" si="21"/>
        <v>97349.004051372001</v>
      </c>
      <c r="S48" s="257">
        <f t="shared" si="21"/>
        <v>11761326.225103116</v>
      </c>
      <c r="T48" s="257">
        <f t="shared" si="21"/>
        <v>795700.67168426677</v>
      </c>
      <c r="U48" s="257">
        <f t="shared" si="21"/>
        <v>2387102.0150528001</v>
      </c>
      <c r="V48" s="257">
        <f t="shared" si="21"/>
        <v>596775.50376320002</v>
      </c>
      <c r="W48" s="257">
        <f t="shared" si="21"/>
        <v>397850.33584213338</v>
      </c>
      <c r="X48" s="257">
        <f t="shared" si="21"/>
        <v>2983877.5188159999</v>
      </c>
      <c r="Y48" s="257">
        <f t="shared" si="21"/>
        <v>93986001.708424911</v>
      </c>
      <c r="Z48" s="257">
        <f t="shared" si="21"/>
        <v>31328667.236141641</v>
      </c>
      <c r="AA48" s="258"/>
      <c r="AB48" s="230"/>
      <c r="AC48" s="230"/>
      <c r="AD48" s="252"/>
      <c r="AE48" s="252"/>
      <c r="AF48" s="252"/>
      <c r="AG48" s="252"/>
    </row>
    <row r="49" spans="1:57" s="221" customFormat="1" ht="14.25" x14ac:dyDescent="0.2">
      <c r="A49" s="286" t="s">
        <v>180</v>
      </c>
      <c r="B49" s="266" t="s">
        <v>159</v>
      </c>
      <c r="C49" s="260">
        <v>1</v>
      </c>
      <c r="D49" s="261">
        <v>42461</v>
      </c>
      <c r="E49" s="261">
        <v>42551</v>
      </c>
      <c r="F49" s="262">
        <f>DAYS360(D49,E49,0)+1</f>
        <v>90</v>
      </c>
      <c r="G49" s="264">
        <f>(8729110)*1.09</f>
        <v>9514729.9000000004</v>
      </c>
      <c r="H49" s="264">
        <f>+G49*70%</f>
        <v>6660310.9299999997</v>
      </c>
      <c r="I49" s="264">
        <v>0</v>
      </c>
      <c r="J49" s="264">
        <f>G49</f>
        <v>9514729.9000000004</v>
      </c>
      <c r="K49" s="264">
        <f>+J49/30*F49</f>
        <v>28544189.699999999</v>
      </c>
      <c r="L49" s="264">
        <v>0</v>
      </c>
      <c r="M49" s="264">
        <f>+L49*12%</f>
        <v>0</v>
      </c>
      <c r="N49" s="264">
        <v>0</v>
      </c>
      <c r="O49" s="264">
        <f>+J49*F49/720</f>
        <v>1189341.2375</v>
      </c>
      <c r="P49" s="264">
        <f>+H49*0.085</f>
        <v>566126.42905000004</v>
      </c>
      <c r="Q49" s="264">
        <f>+H49*12%</f>
        <v>799237.3115999999</v>
      </c>
      <c r="R49" s="264">
        <f>+H49*0.522%</f>
        <v>34766.823054599998</v>
      </c>
      <c r="S49" s="264">
        <f>+((P49+Q49+R49)/30*F49)</f>
        <v>4200391.6911137998</v>
      </c>
      <c r="T49" s="264">
        <f>+(H49/30)*32*0.04</f>
        <v>284173.26634666667</v>
      </c>
      <c r="U49" s="264">
        <f>+(T49/30)*F49</f>
        <v>852519.79903999995</v>
      </c>
      <c r="V49" s="264">
        <f>+(H49/30)*32*0.03</f>
        <v>213129.94975999999</v>
      </c>
      <c r="W49" s="264">
        <f>+(H49/30)*32*0.02</f>
        <v>142086.63317333334</v>
      </c>
      <c r="X49" s="264">
        <f>+((V49+W49)/30*F49)</f>
        <v>1065649.7487999999</v>
      </c>
      <c r="Y49" s="273">
        <f>K49+L49+M49+N49+O49+S49+U49+X49</f>
        <v>35852092.176453799</v>
      </c>
      <c r="Z49" s="264">
        <f>+Y49/3</f>
        <v>11950697.392151266</v>
      </c>
      <c r="AA49" s="249"/>
      <c r="AB49" s="230"/>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row>
    <row r="50" spans="1:57" s="221" customFormat="1" ht="14.25" x14ac:dyDescent="0.2">
      <c r="A50" s="266" t="s">
        <v>300</v>
      </c>
      <c r="B50" s="266" t="s">
        <v>160</v>
      </c>
      <c r="C50" s="260">
        <v>1</v>
      </c>
      <c r="D50" s="261">
        <v>42461</v>
      </c>
      <c r="E50" s="261">
        <v>42551</v>
      </c>
      <c r="F50" s="262">
        <f>DAYS360(D50,E50,0)+1</f>
        <v>90</v>
      </c>
      <c r="G50" s="264"/>
      <c r="H50" s="264">
        <f>4007639*(1+$C$8)</f>
        <v>4278956.1603000006</v>
      </c>
      <c r="I50" s="264">
        <v>0</v>
      </c>
      <c r="J50" s="264">
        <f>+I50+H50</f>
        <v>4278956.1603000006</v>
      </c>
      <c r="K50" s="264">
        <f>+J50/30*F50</f>
        <v>12836868.480900003</v>
      </c>
      <c r="L50" s="264">
        <f>+J50*F50/360</f>
        <v>1069739.0400750001</v>
      </c>
      <c r="M50" s="264">
        <f>+L50*12%</f>
        <v>128368.68480900001</v>
      </c>
      <c r="N50" s="264">
        <f>+L50*2</f>
        <v>2139478.0801500003</v>
      </c>
      <c r="O50" s="264">
        <f>+J50*F50/720</f>
        <v>534869.52003750007</v>
      </c>
      <c r="P50" s="264">
        <f>+H50*0.085</f>
        <v>363711.27362550009</v>
      </c>
      <c r="Q50" s="264">
        <f>+H50*12%</f>
        <v>513474.73923600005</v>
      </c>
      <c r="R50" s="264">
        <f>+H50*0.522%</f>
        <v>22336.151156766002</v>
      </c>
      <c r="S50" s="264">
        <f>+((P50+Q50+R50)/30*F50)</f>
        <v>2698566.4920547986</v>
      </c>
      <c r="T50" s="264">
        <f>+(H50/30)*32*0.04</f>
        <v>182568.79617280004</v>
      </c>
      <c r="U50" s="264">
        <f>+(T50/30)*F50</f>
        <v>547706.38851840014</v>
      </c>
      <c r="V50" s="264">
        <f>+(H50/30)*32*0.03</f>
        <v>136926.59712960001</v>
      </c>
      <c r="W50" s="264">
        <f>+(H50/30)*32*0.02</f>
        <v>91284.398086400019</v>
      </c>
      <c r="X50" s="264">
        <f>+((V50+W50)/30*F50)</f>
        <v>684632.98564800003</v>
      </c>
      <c r="Y50" s="273">
        <f>K50+L50+M50+N50+O50+S50+U50+X50</f>
        <v>20640229.6721927</v>
      </c>
      <c r="Z50" s="264">
        <f>+Y50/3</f>
        <v>6880076.5573975667</v>
      </c>
      <c r="AA50" s="249"/>
      <c r="AB50" s="27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row>
    <row r="51" spans="1:57" s="221" customFormat="1" ht="14.25" x14ac:dyDescent="0.2">
      <c r="A51" s="266" t="s">
        <v>243</v>
      </c>
      <c r="B51" s="266" t="s">
        <v>160</v>
      </c>
      <c r="C51" s="260">
        <v>1</v>
      </c>
      <c r="D51" s="261">
        <v>42461</v>
      </c>
      <c r="E51" s="261">
        <v>42551</v>
      </c>
      <c r="F51" s="262">
        <f>DAYS360(D51,E51,0)+1</f>
        <v>90</v>
      </c>
      <c r="G51" s="264"/>
      <c r="H51" s="264">
        <f>4007639*(1+$C$8)</f>
        <v>4278956.1603000006</v>
      </c>
      <c r="I51" s="264"/>
      <c r="J51" s="264">
        <f>+I51+H51</f>
        <v>4278956.1603000006</v>
      </c>
      <c r="K51" s="264">
        <f>+J51/30*F51</f>
        <v>12836868.480900003</v>
      </c>
      <c r="L51" s="264">
        <f>+J51*F51/360</f>
        <v>1069739.0400750001</v>
      </c>
      <c r="M51" s="264">
        <f>+L51*12%</f>
        <v>128368.68480900001</v>
      </c>
      <c r="N51" s="264">
        <f>+L51*2</f>
        <v>2139478.0801500003</v>
      </c>
      <c r="O51" s="264">
        <f>+J51*F51/720</f>
        <v>534869.52003750007</v>
      </c>
      <c r="P51" s="264">
        <f>+H51*0.085</f>
        <v>363711.27362550009</v>
      </c>
      <c r="Q51" s="264">
        <f>+H51*12%</f>
        <v>513474.73923600005</v>
      </c>
      <c r="R51" s="264">
        <f>+H51*0.522%</f>
        <v>22336.151156766002</v>
      </c>
      <c r="S51" s="264">
        <f>+((P51+Q51+R51)/30*F51)</f>
        <v>2698566.4920547986</v>
      </c>
      <c r="T51" s="264">
        <f>+(H51/30)*32*0.04</f>
        <v>182568.79617280004</v>
      </c>
      <c r="U51" s="264">
        <f>+(T51/30)*F51</f>
        <v>547706.38851840014</v>
      </c>
      <c r="V51" s="264">
        <f>+(H51/30)*32*0.03</f>
        <v>136926.59712960001</v>
      </c>
      <c r="W51" s="264">
        <f>+(H51/30)*32*0.02</f>
        <v>91284.398086400019</v>
      </c>
      <c r="X51" s="264">
        <f>+((V51+W51)/30*F51)</f>
        <v>684632.98564800003</v>
      </c>
      <c r="Y51" s="273">
        <f>K51+L51+M51+N51+O51+S51+U51+X51</f>
        <v>20640229.6721927</v>
      </c>
      <c r="Z51" s="264">
        <f>+Y51/3</f>
        <v>6880076.5573975667</v>
      </c>
      <c r="AA51" s="249"/>
      <c r="AB51" s="27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c r="BA51" s="116"/>
      <c r="BB51" s="116"/>
      <c r="BC51" s="116"/>
      <c r="BD51" s="116"/>
      <c r="BE51" s="116"/>
    </row>
    <row r="52" spans="1:57" s="221" customFormat="1" ht="14.25" x14ac:dyDescent="0.2">
      <c r="A52" s="266" t="s">
        <v>312</v>
      </c>
      <c r="B52" s="266" t="s">
        <v>157</v>
      </c>
      <c r="C52" s="260">
        <v>1</v>
      </c>
      <c r="D52" s="261">
        <v>42461</v>
      </c>
      <c r="E52" s="261">
        <v>42551</v>
      </c>
      <c r="F52" s="262">
        <f>DAYS360(D52,E52,0)+1</f>
        <v>90</v>
      </c>
      <c r="G52" s="264"/>
      <c r="H52" s="264">
        <f>2176860*(1+$C$8)</f>
        <v>2324233.4220000003</v>
      </c>
      <c r="I52" s="264">
        <v>0</v>
      </c>
      <c r="J52" s="264">
        <f>+I52+H52</f>
        <v>2324233.4220000003</v>
      </c>
      <c r="K52" s="264">
        <f>+J52/30*F52</f>
        <v>6972700.2660000008</v>
      </c>
      <c r="L52" s="264">
        <f>+J52*F52/360</f>
        <v>581058.35550000006</v>
      </c>
      <c r="M52" s="264">
        <f>+L52*12%</f>
        <v>69727.002659999998</v>
      </c>
      <c r="N52" s="264">
        <f>+L52*2</f>
        <v>1162116.7110000001</v>
      </c>
      <c r="O52" s="264">
        <f>+J52*F52/720</f>
        <v>290529.17775000003</v>
      </c>
      <c r="P52" s="264">
        <f>+H52*0.085</f>
        <v>197559.84087000004</v>
      </c>
      <c r="Q52" s="264">
        <f>+H52*12%</f>
        <v>278908.01063999999</v>
      </c>
      <c r="R52" s="264">
        <f>+H52*0.522%</f>
        <v>12132.498462840002</v>
      </c>
      <c r="S52" s="264">
        <f>+((P52+Q52+R52)/30*F52)</f>
        <v>1465801.0499185203</v>
      </c>
      <c r="T52" s="264">
        <f>+(H52/30)*32*0.04</f>
        <v>99167.29267200001</v>
      </c>
      <c r="U52" s="264">
        <f>+(T52/30)*F52</f>
        <v>297501.87801600003</v>
      </c>
      <c r="V52" s="264">
        <f>+(H52/30)*32*0.03</f>
        <v>74375.469504000008</v>
      </c>
      <c r="W52" s="264">
        <f>+(H52/30)*32*0.02</f>
        <v>49583.646336000005</v>
      </c>
      <c r="X52" s="264">
        <f>+((V52+W52)/30*F52)</f>
        <v>371877.34752000007</v>
      </c>
      <c r="Y52" s="273">
        <f>K52+L52+M52+N52+O52+S52+U52+X52</f>
        <v>11211311.788364522</v>
      </c>
      <c r="Z52" s="264">
        <f>+Y52/3</f>
        <v>3737103.9294548407</v>
      </c>
      <c r="AA52" s="249"/>
      <c r="AB52" s="27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row>
    <row r="53" spans="1:57" s="221" customFormat="1" ht="14.25" x14ac:dyDescent="0.2">
      <c r="A53" s="266" t="s">
        <v>12</v>
      </c>
      <c r="B53" s="266" t="s">
        <v>154</v>
      </c>
      <c r="C53" s="260">
        <v>1</v>
      </c>
      <c r="D53" s="261">
        <v>42461</v>
      </c>
      <c r="E53" s="261">
        <v>42551</v>
      </c>
      <c r="F53" s="262">
        <f>DAYS360(D53,E53,0)+1</f>
        <v>90</v>
      </c>
      <c r="G53" s="260"/>
      <c r="H53" s="264">
        <f>1036600*(1+$C$8)</f>
        <v>1106777.82</v>
      </c>
      <c r="I53" s="264">
        <f>+E8</f>
        <v>77700</v>
      </c>
      <c r="J53" s="264">
        <f>+I53+H53</f>
        <v>1184477.82</v>
      </c>
      <c r="K53" s="264">
        <f>+J53/30*F53</f>
        <v>3553433.4600000004</v>
      </c>
      <c r="L53" s="264">
        <f>+J53*F53/360</f>
        <v>296119.45500000002</v>
      </c>
      <c r="M53" s="264">
        <f>+L53*12%</f>
        <v>35534.334600000002</v>
      </c>
      <c r="N53" s="264">
        <f>+L53*2</f>
        <v>592238.91</v>
      </c>
      <c r="O53" s="264">
        <f>+J53*F53/720</f>
        <v>148059.72750000001</v>
      </c>
      <c r="P53" s="264">
        <f>+H53*0.085</f>
        <v>94076.114700000006</v>
      </c>
      <c r="Q53" s="264">
        <f>+H53*12%</f>
        <v>132813.33840000001</v>
      </c>
      <c r="R53" s="264">
        <f>+H53*0.522%</f>
        <v>5777.3802204000003</v>
      </c>
      <c r="S53" s="264">
        <f>+((P53+Q53+R53)/30*F53)</f>
        <v>698000.49996120005</v>
      </c>
      <c r="T53" s="264">
        <f>+(H53/30)*32*0.04</f>
        <v>47222.520320000003</v>
      </c>
      <c r="U53" s="264">
        <f>+(T53/30)*F53</f>
        <v>141667.56096</v>
      </c>
      <c r="V53" s="264">
        <f>+(H53/30)*32*0.03</f>
        <v>35416.890240000001</v>
      </c>
      <c r="W53" s="264">
        <f>+(H53/30)*32*0.02</f>
        <v>23611.260160000002</v>
      </c>
      <c r="X53" s="264">
        <f>+((V53+W53)/30*F53)</f>
        <v>177084.45120000001</v>
      </c>
      <c r="Y53" s="273">
        <f>K53+L53+M53+N53+O53+S53+U53+X53</f>
        <v>5642138.3992212014</v>
      </c>
      <c r="Z53" s="264">
        <f>+Y53/3</f>
        <v>1880712.7997404004</v>
      </c>
      <c r="AA53" s="249"/>
      <c r="AB53" s="27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row>
    <row r="54" spans="1:57" x14ac:dyDescent="0.2">
      <c r="A54" s="267"/>
      <c r="B54" s="267"/>
      <c r="C54" s="268"/>
      <c r="D54" s="268"/>
      <c r="E54" s="268"/>
      <c r="F54" s="268"/>
      <c r="G54" s="268"/>
      <c r="H54" s="268"/>
      <c r="I54" s="268"/>
      <c r="J54" s="268"/>
      <c r="K54" s="269"/>
      <c r="L54" s="269"/>
      <c r="M54" s="269"/>
      <c r="N54" s="269"/>
      <c r="O54" s="269"/>
      <c r="P54" s="269"/>
      <c r="Q54" s="269"/>
      <c r="R54" s="269"/>
      <c r="S54" s="269"/>
      <c r="T54" s="269"/>
      <c r="U54" s="269"/>
      <c r="V54" s="269"/>
      <c r="W54" s="269"/>
      <c r="X54" s="269"/>
      <c r="Y54" s="269"/>
      <c r="Z54" s="269"/>
      <c r="AA54" s="284"/>
      <c r="AB54" s="230"/>
      <c r="AC54" s="116"/>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row>
    <row r="55" spans="1:57" x14ac:dyDescent="0.2">
      <c r="A55" s="267"/>
      <c r="B55" s="267"/>
      <c r="C55" s="268"/>
      <c r="D55" s="268"/>
      <c r="E55" s="268"/>
      <c r="F55" s="268"/>
      <c r="G55" s="268"/>
      <c r="H55" s="268"/>
      <c r="I55" s="268"/>
      <c r="J55" s="268"/>
      <c r="K55" s="269"/>
      <c r="L55" s="269"/>
      <c r="M55" s="269"/>
      <c r="N55" s="269"/>
      <c r="O55" s="269"/>
      <c r="P55" s="269"/>
      <c r="Q55" s="269"/>
      <c r="R55" s="269"/>
      <c r="S55" s="269"/>
      <c r="T55" s="269"/>
      <c r="U55" s="269"/>
      <c r="V55" s="269"/>
      <c r="W55" s="269"/>
      <c r="X55" s="269"/>
      <c r="Y55" s="269"/>
      <c r="Z55" s="269"/>
      <c r="AA55" s="284"/>
      <c r="AB55" s="230"/>
      <c r="AC55" s="116"/>
      <c r="AD55" s="103"/>
      <c r="AE55" s="103"/>
      <c r="AF55" s="103"/>
      <c r="AG55" s="103"/>
      <c r="AH55" s="103"/>
      <c r="AI55" s="103"/>
      <c r="AJ55" s="103"/>
      <c r="AK55" s="103"/>
      <c r="AL55" s="103"/>
      <c r="AM55" s="103"/>
      <c r="AN55" s="103"/>
      <c r="AO55" s="103"/>
      <c r="AP55" s="103"/>
      <c r="AQ55" s="103"/>
      <c r="AR55" s="103"/>
      <c r="AS55" s="103"/>
      <c r="AT55" s="103"/>
      <c r="AU55" s="103"/>
      <c r="AV55" s="103"/>
      <c r="AW55" s="103"/>
      <c r="AX55" s="103"/>
      <c r="AY55" s="103"/>
      <c r="AZ55" s="103"/>
      <c r="BA55" s="103"/>
      <c r="BB55" s="103"/>
      <c r="BC55" s="103"/>
      <c r="BD55" s="103"/>
      <c r="BE55" s="103"/>
    </row>
    <row r="56" spans="1:57" ht="15.75" x14ac:dyDescent="0.25">
      <c r="A56" s="250" t="s">
        <v>205</v>
      </c>
      <c r="B56" s="250" t="s">
        <v>152</v>
      </c>
      <c r="C56" s="221"/>
      <c r="D56" s="221"/>
      <c r="E56" s="221"/>
      <c r="F56" s="221"/>
      <c r="G56" s="116"/>
      <c r="H56" s="116"/>
      <c r="I56" s="116"/>
      <c r="J56" s="116"/>
      <c r="K56" s="116"/>
      <c r="L56" s="285"/>
      <c r="M56" s="285"/>
      <c r="N56" s="285"/>
      <c r="O56" s="285"/>
      <c r="P56" s="285"/>
      <c r="Q56" s="285"/>
      <c r="R56" s="285"/>
      <c r="S56" s="285"/>
      <c r="T56" s="285"/>
      <c r="U56" s="285"/>
      <c r="V56" s="285"/>
      <c r="W56" s="285"/>
      <c r="X56" s="285"/>
      <c r="Y56" s="251">
        <f>+Y57</f>
        <v>80658871.535412505</v>
      </c>
      <c r="Z56" s="285"/>
      <c r="AA56" s="284"/>
      <c r="AB56" s="230"/>
      <c r="AC56" s="116"/>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row>
    <row r="57" spans="1:57" ht="14.25" x14ac:dyDescent="0.2">
      <c r="A57" s="253" t="s">
        <v>198</v>
      </c>
      <c r="B57" s="253"/>
      <c r="C57" s="254">
        <f>SUM(C58:C62)</f>
        <v>5</v>
      </c>
      <c r="D57" s="255"/>
      <c r="E57" s="255"/>
      <c r="F57" s="256"/>
      <c r="G57" s="257">
        <f t="shared" ref="G57:Z57" si="22">SUM(G58:G62)</f>
        <v>9514729.9000000004</v>
      </c>
      <c r="H57" s="257">
        <f t="shared" si="22"/>
        <v>15878822.053000001</v>
      </c>
      <c r="I57" s="257">
        <f t="shared" si="22"/>
        <v>77700</v>
      </c>
      <c r="J57" s="257">
        <f t="shared" si="22"/>
        <v>18810941.023000002</v>
      </c>
      <c r="K57" s="257">
        <f t="shared" si="22"/>
        <v>56432823.069000006</v>
      </c>
      <c r="L57" s="257">
        <f t="shared" si="22"/>
        <v>2324052.7807499999</v>
      </c>
      <c r="M57" s="257">
        <f t="shared" si="22"/>
        <v>278886.33369</v>
      </c>
      <c r="N57" s="257">
        <f t="shared" si="22"/>
        <v>4648105.5614999998</v>
      </c>
      <c r="O57" s="257">
        <f t="shared" si="22"/>
        <v>2351367.6278750002</v>
      </c>
      <c r="P57" s="257">
        <f t="shared" si="22"/>
        <v>1349699.874505</v>
      </c>
      <c r="Q57" s="257">
        <f t="shared" si="22"/>
        <v>1905458.6463599999</v>
      </c>
      <c r="R57" s="257">
        <f t="shared" si="22"/>
        <v>95019.949579499982</v>
      </c>
      <c r="S57" s="257">
        <f t="shared" si="22"/>
        <v>10050535.411333499</v>
      </c>
      <c r="T57" s="257">
        <f t="shared" si="22"/>
        <v>677496.4075946667</v>
      </c>
      <c r="U57" s="257">
        <f t="shared" si="22"/>
        <v>2032489.222784</v>
      </c>
      <c r="V57" s="257">
        <f t="shared" si="22"/>
        <v>508122.305696</v>
      </c>
      <c r="W57" s="257">
        <f t="shared" si="22"/>
        <v>338748.20379733335</v>
      </c>
      <c r="X57" s="257">
        <f t="shared" si="22"/>
        <v>2540611.5284800003</v>
      </c>
      <c r="Y57" s="257">
        <f t="shared" si="22"/>
        <v>80658871.535412505</v>
      </c>
      <c r="Z57" s="257">
        <f t="shared" si="22"/>
        <v>26886290.511804171</v>
      </c>
      <c r="AA57" s="258"/>
      <c r="AB57" s="230"/>
      <c r="AC57" s="230"/>
      <c r="AD57" s="252"/>
      <c r="AE57" s="252"/>
      <c r="AF57" s="252"/>
      <c r="AG57" s="252"/>
    </row>
    <row r="58" spans="1:57" s="221" customFormat="1" ht="14.25" x14ac:dyDescent="0.2">
      <c r="A58" s="287" t="s">
        <v>180</v>
      </c>
      <c r="B58" s="266" t="s">
        <v>159</v>
      </c>
      <c r="C58" s="260">
        <v>1</v>
      </c>
      <c r="D58" s="261">
        <v>42461</v>
      </c>
      <c r="E58" s="261">
        <v>42551</v>
      </c>
      <c r="F58" s="262">
        <f>DAYS360(D58,E58,0)+1</f>
        <v>90</v>
      </c>
      <c r="G58" s="264">
        <f>(8729110)*1.09</f>
        <v>9514729.9000000004</v>
      </c>
      <c r="H58" s="264">
        <f>+G58*70%</f>
        <v>6660310.9299999997</v>
      </c>
      <c r="I58" s="264">
        <v>0</v>
      </c>
      <c r="J58" s="264">
        <f>G58</f>
        <v>9514729.9000000004</v>
      </c>
      <c r="K58" s="264">
        <f>+J58/30*F58</f>
        <v>28544189.699999999</v>
      </c>
      <c r="L58" s="264">
        <v>0</v>
      </c>
      <c r="M58" s="264">
        <f>+L58*12%</f>
        <v>0</v>
      </c>
      <c r="N58" s="264">
        <v>0</v>
      </c>
      <c r="O58" s="264">
        <f>+J58*F58/720</f>
        <v>1189341.2375</v>
      </c>
      <c r="P58" s="264">
        <f>+H58*0.085</f>
        <v>566126.42905000004</v>
      </c>
      <c r="Q58" s="264">
        <f>+H58*12%</f>
        <v>799237.3115999999</v>
      </c>
      <c r="R58" s="264">
        <f>+H58*0.522%</f>
        <v>34766.823054599998</v>
      </c>
      <c r="S58" s="264">
        <f>+((P58+Q58+R58)/30*F58)</f>
        <v>4200391.6911137998</v>
      </c>
      <c r="T58" s="264">
        <f>+(H58/30)*32*0.04</f>
        <v>284173.26634666667</v>
      </c>
      <c r="U58" s="264">
        <f>+(T58/30)*F58</f>
        <v>852519.79903999995</v>
      </c>
      <c r="V58" s="264">
        <f>+(H58/30)*32*0.03</f>
        <v>213129.94975999999</v>
      </c>
      <c r="W58" s="264">
        <f>+(H58/30)*32*0.02</f>
        <v>142086.63317333334</v>
      </c>
      <c r="X58" s="264">
        <f>+((V58+W58)/30*F58)</f>
        <v>1065649.7487999999</v>
      </c>
      <c r="Y58" s="264">
        <f>K58+L58+M58+N58+O58+S58+U58+X58</f>
        <v>35852092.176453799</v>
      </c>
      <c r="Z58" s="264">
        <f>+Y58/3</f>
        <v>11950697.392151266</v>
      </c>
      <c r="AA58" s="249"/>
      <c r="AB58" s="230"/>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row>
    <row r="59" spans="1:57" s="221" customFormat="1" ht="14.25" x14ac:dyDescent="0.2">
      <c r="A59" s="266" t="s">
        <v>240</v>
      </c>
      <c r="B59" s="266" t="s">
        <v>156</v>
      </c>
      <c r="C59" s="260">
        <v>1</v>
      </c>
      <c r="D59" s="261">
        <v>42461</v>
      </c>
      <c r="E59" s="261">
        <v>42551</v>
      </c>
      <c r="F59" s="262">
        <f>DAYS360(D59,E59,0)+1</f>
        <v>90</v>
      </c>
      <c r="G59" s="264"/>
      <c r="H59" s="264">
        <f>3243670*(1+$C$8)</f>
        <v>3463266.4590000003</v>
      </c>
      <c r="I59" s="264"/>
      <c r="J59" s="264">
        <f>+I59+H59</f>
        <v>3463266.4590000003</v>
      </c>
      <c r="K59" s="264">
        <f>+J59/30*F59</f>
        <v>10389799.377</v>
      </c>
      <c r="L59" s="264">
        <f>+J59*F59/360</f>
        <v>865816.61474999995</v>
      </c>
      <c r="M59" s="264">
        <f>+L59*12%</f>
        <v>103897.99376999999</v>
      </c>
      <c r="N59" s="264">
        <f>+L59*2</f>
        <v>1731633.2294999999</v>
      </c>
      <c r="O59" s="264">
        <f>+J59*F59/720</f>
        <v>432908.30737499997</v>
      </c>
      <c r="P59" s="264">
        <f>+H59*0.085</f>
        <v>294377.64901500003</v>
      </c>
      <c r="Q59" s="264">
        <f>+H59*12%</f>
        <v>415591.97508</v>
      </c>
      <c r="R59" s="264">
        <f>+H59*0.522%</f>
        <v>18078.250915979999</v>
      </c>
      <c r="S59" s="264">
        <f>+((P59+Q59+R59)/30*F59)</f>
        <v>2184143.6250329404</v>
      </c>
      <c r="T59" s="264">
        <f>+(H59/30)*32*0.04</f>
        <v>147766.03558400003</v>
      </c>
      <c r="U59" s="264">
        <f>+(T59/30)*F59</f>
        <v>443298.10675200011</v>
      </c>
      <c r="V59" s="264">
        <f>+(H59/30)*32*0.03</f>
        <v>110824.52668800001</v>
      </c>
      <c r="W59" s="264">
        <f>+(H59/30)*32*0.02</f>
        <v>73883.017792000013</v>
      </c>
      <c r="X59" s="264">
        <f>+((V59+W59)/30*F59)</f>
        <v>554122.63344000012</v>
      </c>
      <c r="Y59" s="273">
        <f>K59+L59+M59+N59+O59+S59+U59+X59</f>
        <v>16705619.887619942</v>
      </c>
      <c r="Z59" s="264">
        <f>+Y59/3</f>
        <v>5568539.9625399811</v>
      </c>
      <c r="AA59" s="249"/>
      <c r="AB59" s="276"/>
      <c r="AC59" s="116"/>
      <c r="AD59" s="116"/>
      <c r="AE59" s="116"/>
      <c r="AF59" s="116"/>
      <c r="AG59" s="116"/>
      <c r="AH59" s="116"/>
      <c r="AI59" s="116"/>
      <c r="AJ59" s="116"/>
      <c r="AK59" s="116"/>
      <c r="AL59" s="116"/>
      <c r="AM59" s="116"/>
      <c r="AN59" s="116"/>
      <c r="AO59" s="116"/>
      <c r="AP59" s="116"/>
      <c r="AQ59" s="116"/>
      <c r="AR59" s="116"/>
      <c r="AS59" s="116"/>
      <c r="AT59" s="116"/>
      <c r="AU59" s="116"/>
      <c r="AV59" s="116"/>
      <c r="AW59" s="116"/>
      <c r="AX59" s="116"/>
      <c r="AY59" s="116"/>
      <c r="AZ59" s="116"/>
      <c r="BA59" s="116"/>
      <c r="BB59" s="116"/>
      <c r="BC59" s="116"/>
      <c r="BD59" s="116"/>
      <c r="BE59" s="116"/>
    </row>
    <row r="60" spans="1:57" s="221" customFormat="1" ht="14.25" x14ac:dyDescent="0.2">
      <c r="A60" s="288" t="s">
        <v>349</v>
      </c>
      <c r="B60" s="266" t="s">
        <v>157</v>
      </c>
      <c r="C60" s="260">
        <v>1</v>
      </c>
      <c r="D60" s="261">
        <v>42461</v>
      </c>
      <c r="E60" s="261">
        <v>42551</v>
      </c>
      <c r="F60" s="262">
        <f>DAYS360(D60,E60,0)+1</f>
        <v>90</v>
      </c>
      <c r="G60" s="264"/>
      <c r="H60" s="264">
        <f>2176860*(1+$C$8)</f>
        <v>2324233.4220000003</v>
      </c>
      <c r="I60" s="264">
        <v>0</v>
      </c>
      <c r="J60" s="264">
        <f>+I60+H60</f>
        <v>2324233.4220000003</v>
      </c>
      <c r="K60" s="264">
        <f>+J60/30*F60</f>
        <v>6972700.2660000008</v>
      </c>
      <c r="L60" s="264">
        <f>+J60*F60/360</f>
        <v>581058.35550000006</v>
      </c>
      <c r="M60" s="264">
        <f>+L60*12%</f>
        <v>69727.002659999998</v>
      </c>
      <c r="N60" s="264">
        <f>+L60*2</f>
        <v>1162116.7110000001</v>
      </c>
      <c r="O60" s="264">
        <f>+J60*F60/720</f>
        <v>290529.17775000003</v>
      </c>
      <c r="P60" s="264">
        <f>+H60*0.085</f>
        <v>197559.84087000004</v>
      </c>
      <c r="Q60" s="264">
        <f>+H60*12%</f>
        <v>278908.01063999999</v>
      </c>
      <c r="R60" s="264">
        <f>+H60*0.522%</f>
        <v>12132.498462840002</v>
      </c>
      <c r="S60" s="264">
        <f>+((P60+Q60+R60)/30*F60)</f>
        <v>1465801.0499185203</v>
      </c>
      <c r="T60" s="264">
        <f>+(H60/30)*32*0.04</f>
        <v>99167.29267200001</v>
      </c>
      <c r="U60" s="264">
        <f>+(T60/30)*F60</f>
        <v>297501.87801600003</v>
      </c>
      <c r="V60" s="264">
        <f>+(H60/30)*32*0.03</f>
        <v>74375.469504000008</v>
      </c>
      <c r="W60" s="264">
        <f>+(H60/30)*32*0.02</f>
        <v>49583.646336000005</v>
      </c>
      <c r="X60" s="264">
        <f>+((V60+W60)/30*F60)</f>
        <v>371877.34752000007</v>
      </c>
      <c r="Y60" s="264">
        <f>K60+L60+M60+N60+O60+S60+U60+X60</f>
        <v>11211311.788364522</v>
      </c>
      <c r="Z60" s="264">
        <f>+Y60/3</f>
        <v>3737103.9294548407</v>
      </c>
      <c r="AA60" s="249"/>
      <c r="AB60" s="276"/>
      <c r="AC60" s="116"/>
      <c r="AD60" s="116"/>
      <c r="AE60" s="116"/>
      <c r="AF60" s="116"/>
      <c r="AG60" s="116"/>
      <c r="AH60" s="116"/>
      <c r="AI60" s="116"/>
      <c r="AJ60" s="116"/>
      <c r="AK60" s="116"/>
      <c r="AL60" s="116"/>
      <c r="AM60" s="116"/>
      <c r="AN60" s="116"/>
      <c r="AO60" s="116"/>
      <c r="AP60" s="116"/>
      <c r="AQ60" s="116"/>
      <c r="AR60" s="116"/>
      <c r="AS60" s="116"/>
      <c r="AT60" s="116"/>
      <c r="AU60" s="116"/>
      <c r="AV60" s="116"/>
      <c r="AW60" s="116"/>
      <c r="AX60" s="116"/>
      <c r="AY60" s="116"/>
      <c r="AZ60" s="116"/>
      <c r="BA60" s="116"/>
      <c r="BB60" s="116"/>
      <c r="BC60" s="116"/>
      <c r="BD60" s="116"/>
      <c r="BE60" s="116"/>
    </row>
    <row r="61" spans="1:57" s="221" customFormat="1" ht="14.25" x14ac:dyDescent="0.2">
      <c r="A61" s="288" t="s">
        <v>350</v>
      </c>
      <c r="B61" s="266" t="s">
        <v>157</v>
      </c>
      <c r="C61" s="260">
        <v>1</v>
      </c>
      <c r="D61" s="261">
        <v>42461</v>
      </c>
      <c r="E61" s="261">
        <v>42551</v>
      </c>
      <c r="F61" s="262">
        <f>DAYS360(D61,E61,0)+1</f>
        <v>90</v>
      </c>
      <c r="G61" s="264"/>
      <c r="H61" s="264">
        <f>2176860*(1+$C$8)</f>
        <v>2324233.4220000003</v>
      </c>
      <c r="I61" s="264">
        <v>0</v>
      </c>
      <c r="J61" s="264">
        <f>+I61+H61</f>
        <v>2324233.4220000003</v>
      </c>
      <c r="K61" s="264">
        <f>+J61/30*F61</f>
        <v>6972700.2660000008</v>
      </c>
      <c r="L61" s="264">
        <f>+J61*F61/360</f>
        <v>581058.35550000006</v>
      </c>
      <c r="M61" s="264">
        <f>+L61*12%</f>
        <v>69727.002659999998</v>
      </c>
      <c r="N61" s="264">
        <f>+L61*2</f>
        <v>1162116.7110000001</v>
      </c>
      <c r="O61" s="264">
        <f>+J61*F61/720</f>
        <v>290529.17775000003</v>
      </c>
      <c r="P61" s="264">
        <f>+H61*0.085</f>
        <v>197559.84087000004</v>
      </c>
      <c r="Q61" s="264">
        <f>+H61*12%</f>
        <v>278908.01063999999</v>
      </c>
      <c r="R61" s="264">
        <f>+H61*1.044%</f>
        <v>24264.996925680003</v>
      </c>
      <c r="S61" s="264">
        <f>+((P61+Q61+R61)/30*F61)</f>
        <v>1502198.5453070402</v>
      </c>
      <c r="T61" s="264">
        <f>+(H61/30)*32*0.04</f>
        <v>99167.29267200001</v>
      </c>
      <c r="U61" s="264">
        <f>+(T61/30)*F61</f>
        <v>297501.87801600003</v>
      </c>
      <c r="V61" s="264">
        <f>+(H61/30)*32*0.03</f>
        <v>74375.469504000008</v>
      </c>
      <c r="W61" s="264">
        <f>+(H61/30)*32*0.02</f>
        <v>49583.646336000005</v>
      </c>
      <c r="X61" s="264">
        <f>+((V61+W61)/30*F61)</f>
        <v>371877.34752000007</v>
      </c>
      <c r="Y61" s="264">
        <f>K61+L61+M61+N61+O61+S61+U61+X61</f>
        <v>11247709.283753041</v>
      </c>
      <c r="Z61" s="264">
        <f>+Y61/3</f>
        <v>3749236.4279176802</v>
      </c>
      <c r="AA61" s="249"/>
      <c r="AB61" s="276"/>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6"/>
      <c r="AY61" s="116"/>
      <c r="AZ61" s="116"/>
      <c r="BA61" s="116"/>
      <c r="BB61" s="116"/>
      <c r="BC61" s="116"/>
      <c r="BD61" s="116"/>
      <c r="BE61" s="116"/>
    </row>
    <row r="62" spans="1:57" s="221" customFormat="1" ht="14.25" x14ac:dyDescent="0.2">
      <c r="A62" s="288" t="s">
        <v>12</v>
      </c>
      <c r="B62" s="266" t="s">
        <v>154</v>
      </c>
      <c r="C62" s="260">
        <v>1</v>
      </c>
      <c r="D62" s="261">
        <v>42461</v>
      </c>
      <c r="E62" s="261">
        <v>42551</v>
      </c>
      <c r="F62" s="262">
        <f>DAYS360(D62,E62,0)+1</f>
        <v>90</v>
      </c>
      <c r="G62" s="260"/>
      <c r="H62" s="264">
        <f>1036600*(1+$C$8)</f>
        <v>1106777.82</v>
      </c>
      <c r="I62" s="264">
        <f>+E8</f>
        <v>77700</v>
      </c>
      <c r="J62" s="264">
        <f>+I62+H62</f>
        <v>1184477.82</v>
      </c>
      <c r="K62" s="264">
        <f>+J62/30*F62</f>
        <v>3553433.4600000004</v>
      </c>
      <c r="L62" s="264">
        <f>+J62*F62/360</f>
        <v>296119.45500000002</v>
      </c>
      <c r="M62" s="264">
        <f>+L62*12%</f>
        <v>35534.334600000002</v>
      </c>
      <c r="N62" s="264">
        <f>+L62*2</f>
        <v>592238.91</v>
      </c>
      <c r="O62" s="264">
        <f>+J62*F62/720</f>
        <v>148059.72750000001</v>
      </c>
      <c r="P62" s="264">
        <f>+H62*0.085</f>
        <v>94076.114700000006</v>
      </c>
      <c r="Q62" s="264">
        <f>+H62*12%</f>
        <v>132813.33840000001</v>
      </c>
      <c r="R62" s="264">
        <f>+H62*0.522%</f>
        <v>5777.3802204000003</v>
      </c>
      <c r="S62" s="264">
        <f>+((P62+Q62+R62)/30*F62)</f>
        <v>698000.49996120005</v>
      </c>
      <c r="T62" s="264">
        <f>+(H62/30)*32*0.04</f>
        <v>47222.520320000003</v>
      </c>
      <c r="U62" s="264">
        <f>+(T62/30)*F62</f>
        <v>141667.56096</v>
      </c>
      <c r="V62" s="264">
        <f>+(H62/30)*32*0.03</f>
        <v>35416.890240000001</v>
      </c>
      <c r="W62" s="264">
        <f>+(H62/30)*32*0.02</f>
        <v>23611.260160000002</v>
      </c>
      <c r="X62" s="264">
        <f>+((V62+W62)/30*F62)</f>
        <v>177084.45120000001</v>
      </c>
      <c r="Y62" s="264">
        <f>K62+L62+M62+N62+O62+S62+U62+X62</f>
        <v>5642138.3992212014</v>
      </c>
      <c r="Z62" s="264">
        <f>+Y62/3</f>
        <v>1880712.7997404004</v>
      </c>
      <c r="AA62" s="249"/>
      <c r="AB62" s="276"/>
      <c r="AC62" s="116"/>
      <c r="AD62" s="116"/>
      <c r="AE62" s="116"/>
      <c r="AF62" s="116"/>
      <c r="AG62" s="116"/>
      <c r="AH62" s="116"/>
      <c r="AI62" s="116"/>
      <c r="AJ62" s="116"/>
      <c r="AK62" s="116"/>
      <c r="AL62" s="116"/>
      <c r="AM62" s="116"/>
      <c r="AN62" s="116"/>
      <c r="AO62" s="116"/>
      <c r="AP62" s="116"/>
      <c r="AQ62" s="116"/>
      <c r="AR62" s="116"/>
      <c r="AS62" s="116"/>
      <c r="AT62" s="116"/>
      <c r="AU62" s="116"/>
      <c r="AV62" s="116"/>
      <c r="AW62" s="116"/>
      <c r="AX62" s="116"/>
      <c r="AY62" s="116"/>
      <c r="AZ62" s="116"/>
      <c r="BA62" s="116"/>
      <c r="BB62" s="116"/>
      <c r="BC62" s="116"/>
      <c r="BD62" s="116"/>
      <c r="BE62" s="116"/>
    </row>
    <row r="63" spans="1:57" x14ac:dyDescent="0.2">
      <c r="A63" s="289"/>
      <c r="B63" s="267"/>
      <c r="C63" s="268"/>
      <c r="D63" s="268"/>
      <c r="E63" s="268"/>
      <c r="F63" s="268"/>
      <c r="G63" s="268"/>
      <c r="H63" s="268"/>
      <c r="I63" s="268"/>
      <c r="J63" s="268"/>
      <c r="K63" s="269"/>
      <c r="L63" s="269"/>
      <c r="M63" s="269"/>
      <c r="N63" s="269"/>
      <c r="O63" s="269"/>
      <c r="P63" s="269"/>
      <c r="Q63" s="269"/>
      <c r="R63" s="269"/>
      <c r="S63" s="269"/>
      <c r="T63" s="269"/>
      <c r="U63" s="269"/>
      <c r="V63" s="269"/>
      <c r="W63" s="269"/>
      <c r="X63" s="269"/>
      <c r="Y63" s="269"/>
      <c r="Z63" s="269"/>
      <c r="AA63" s="284"/>
      <c r="AB63" s="230"/>
      <c r="AC63" s="116"/>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row>
    <row r="64" spans="1:57" ht="15.75" x14ac:dyDescent="0.25">
      <c r="A64" s="250" t="s">
        <v>241</v>
      </c>
      <c r="B64" s="250" t="s">
        <v>152</v>
      </c>
      <c r="C64" s="268"/>
      <c r="D64" s="268"/>
      <c r="E64" s="268"/>
      <c r="F64" s="268"/>
      <c r="G64" s="268"/>
      <c r="H64" s="268"/>
      <c r="I64" s="268"/>
      <c r="J64" s="268"/>
      <c r="K64" s="269"/>
      <c r="L64" s="269"/>
      <c r="M64" s="269"/>
      <c r="N64" s="269"/>
      <c r="O64" s="269"/>
      <c r="P64" s="269"/>
      <c r="Q64" s="269"/>
      <c r="R64" s="269"/>
      <c r="S64" s="269"/>
      <c r="T64" s="269"/>
      <c r="U64" s="269"/>
      <c r="V64" s="269"/>
      <c r="W64" s="269"/>
      <c r="X64" s="269"/>
      <c r="Y64" s="251">
        <f>+Y65</f>
        <v>11211311.788364522</v>
      </c>
      <c r="Z64" s="269"/>
      <c r="AA64" s="284"/>
      <c r="AB64" s="230"/>
      <c r="AC64" s="116"/>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c r="BC64" s="103"/>
      <c r="BD64" s="103"/>
      <c r="BE64" s="103"/>
    </row>
    <row r="65" spans="1:57" ht="14.25" x14ac:dyDescent="0.2">
      <c r="A65" s="253" t="s">
        <v>241</v>
      </c>
      <c r="B65" s="253"/>
      <c r="C65" s="254">
        <f>SUM(C66:C66)</f>
        <v>1</v>
      </c>
      <c r="D65" s="255"/>
      <c r="E65" s="255"/>
      <c r="F65" s="256"/>
      <c r="G65" s="257">
        <f>SUM(G66:G85)</f>
        <v>19029459.800000001</v>
      </c>
      <c r="H65" s="257">
        <f t="shared" ref="H65:Z65" si="23">SUM(H66:H66)</f>
        <v>2324233.4220000003</v>
      </c>
      <c r="I65" s="257">
        <f t="shared" si="23"/>
        <v>0</v>
      </c>
      <c r="J65" s="257">
        <f t="shared" si="23"/>
        <v>2324233.4220000003</v>
      </c>
      <c r="K65" s="257">
        <f t="shared" si="23"/>
        <v>6972700.2660000008</v>
      </c>
      <c r="L65" s="257">
        <f t="shared" si="23"/>
        <v>581058.35550000006</v>
      </c>
      <c r="M65" s="257">
        <f t="shared" si="23"/>
        <v>69727.002659999998</v>
      </c>
      <c r="N65" s="257">
        <f t="shared" si="23"/>
        <v>1162116.7110000001</v>
      </c>
      <c r="O65" s="257">
        <f t="shared" si="23"/>
        <v>290529.17775000003</v>
      </c>
      <c r="P65" s="257">
        <f t="shared" si="23"/>
        <v>197559.84087000004</v>
      </c>
      <c r="Q65" s="257">
        <f t="shared" si="23"/>
        <v>278908.01063999999</v>
      </c>
      <c r="R65" s="257">
        <f t="shared" si="23"/>
        <v>12132.498462840002</v>
      </c>
      <c r="S65" s="257">
        <f t="shared" si="23"/>
        <v>1465801.0499185203</v>
      </c>
      <c r="T65" s="257">
        <f t="shared" si="23"/>
        <v>99167.29267200001</v>
      </c>
      <c r="U65" s="257">
        <f t="shared" si="23"/>
        <v>297501.87801600003</v>
      </c>
      <c r="V65" s="257">
        <f t="shared" si="23"/>
        <v>74375.469504000008</v>
      </c>
      <c r="W65" s="257">
        <f t="shared" si="23"/>
        <v>49583.646336000005</v>
      </c>
      <c r="X65" s="257">
        <f t="shared" si="23"/>
        <v>371877.34752000007</v>
      </c>
      <c r="Y65" s="257">
        <f t="shared" si="23"/>
        <v>11211311.788364522</v>
      </c>
      <c r="Z65" s="257">
        <f t="shared" si="23"/>
        <v>3737103.9294548407</v>
      </c>
      <c r="AA65" s="258"/>
      <c r="AB65" s="230"/>
      <c r="AC65" s="230"/>
      <c r="AD65" s="252"/>
      <c r="AE65" s="252"/>
      <c r="AF65" s="252"/>
      <c r="AG65" s="252"/>
    </row>
    <row r="66" spans="1:57" s="221" customFormat="1" ht="14.25" x14ac:dyDescent="0.2">
      <c r="A66" s="266" t="s">
        <v>237</v>
      </c>
      <c r="B66" s="266" t="s">
        <v>157</v>
      </c>
      <c r="C66" s="260">
        <v>1</v>
      </c>
      <c r="D66" s="261">
        <v>42461</v>
      </c>
      <c r="E66" s="261">
        <v>42551</v>
      </c>
      <c r="F66" s="262">
        <f>DAYS360(D66,E66,0)+1</f>
        <v>90</v>
      </c>
      <c r="G66" s="264"/>
      <c r="H66" s="264">
        <f>2176860*(1+$C$8)</f>
        <v>2324233.4220000003</v>
      </c>
      <c r="I66" s="264">
        <v>0</v>
      </c>
      <c r="J66" s="264">
        <f>+I66+H66</f>
        <v>2324233.4220000003</v>
      </c>
      <c r="K66" s="264">
        <f>+J66/30*F66</f>
        <v>6972700.2660000008</v>
      </c>
      <c r="L66" s="264">
        <f>+J66*F66/360</f>
        <v>581058.35550000006</v>
      </c>
      <c r="M66" s="264">
        <f>+L66*12%</f>
        <v>69727.002659999998</v>
      </c>
      <c r="N66" s="264">
        <f>+L66*2</f>
        <v>1162116.7110000001</v>
      </c>
      <c r="O66" s="264">
        <f>+J66*F66/720</f>
        <v>290529.17775000003</v>
      </c>
      <c r="P66" s="264">
        <f>+H66*0.085</f>
        <v>197559.84087000004</v>
      </c>
      <c r="Q66" s="264">
        <f>+H66*12%</f>
        <v>278908.01063999999</v>
      </c>
      <c r="R66" s="264">
        <f>+H66*0.522%</f>
        <v>12132.498462840002</v>
      </c>
      <c r="S66" s="264">
        <f>+((P66+Q66+R66)/30*F66)</f>
        <v>1465801.0499185203</v>
      </c>
      <c r="T66" s="264">
        <f>+(H66/30)*32*0.04</f>
        <v>99167.29267200001</v>
      </c>
      <c r="U66" s="264">
        <f>+(T66/30)*F66</f>
        <v>297501.87801600003</v>
      </c>
      <c r="V66" s="264">
        <f>+(H66/30)*32*0.03</f>
        <v>74375.469504000008</v>
      </c>
      <c r="W66" s="264">
        <f>+(H66/30)*32*0.02</f>
        <v>49583.646336000005</v>
      </c>
      <c r="X66" s="264">
        <f>+((V66+W66)/30*F66)</f>
        <v>371877.34752000007</v>
      </c>
      <c r="Y66" s="273">
        <f>K66+L66+M66+N66+O66+S66+U66+X66</f>
        <v>11211311.788364522</v>
      </c>
      <c r="Z66" s="264">
        <f>+Y66/3</f>
        <v>3737103.9294548407</v>
      </c>
      <c r="AA66" s="249"/>
      <c r="AB66" s="27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6"/>
      <c r="BA66" s="116"/>
      <c r="BB66" s="116"/>
      <c r="BC66" s="116"/>
      <c r="BD66" s="116"/>
      <c r="BE66" s="116"/>
    </row>
    <row r="67" spans="1:57" x14ac:dyDescent="0.2">
      <c r="A67" s="267"/>
      <c r="B67" s="267"/>
      <c r="C67" s="268"/>
      <c r="D67" s="268"/>
      <c r="E67" s="268"/>
      <c r="F67" s="268"/>
      <c r="G67" s="268"/>
      <c r="H67" s="268"/>
      <c r="I67" s="268"/>
      <c r="J67" s="268"/>
      <c r="K67" s="269"/>
      <c r="L67" s="269"/>
      <c r="M67" s="269"/>
      <c r="N67" s="269"/>
      <c r="O67" s="269"/>
      <c r="P67" s="269"/>
      <c r="Q67" s="269"/>
      <c r="R67" s="269"/>
      <c r="S67" s="269"/>
      <c r="T67" s="269"/>
      <c r="U67" s="269"/>
      <c r="V67" s="269"/>
      <c r="W67" s="269"/>
      <c r="X67" s="269"/>
      <c r="Y67" s="269"/>
      <c r="Z67" s="269"/>
      <c r="AA67" s="284"/>
      <c r="AB67" s="230"/>
      <c r="AC67" s="116"/>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c r="BC67" s="103"/>
      <c r="BD67" s="103"/>
      <c r="BE67" s="103"/>
    </row>
    <row r="68" spans="1:57" ht="15.75" x14ac:dyDescent="0.25">
      <c r="A68" s="250" t="s">
        <v>109</v>
      </c>
      <c r="B68" s="250" t="s">
        <v>152</v>
      </c>
      <c r="C68" s="268"/>
      <c r="D68" s="268"/>
      <c r="E68" s="268"/>
      <c r="F68" s="268"/>
      <c r="G68" s="268"/>
      <c r="H68" s="268"/>
      <c r="I68" s="268"/>
      <c r="J68" s="268"/>
      <c r="K68" s="269"/>
      <c r="L68" s="269"/>
      <c r="M68" s="269"/>
      <c r="N68" s="269"/>
      <c r="O68" s="269"/>
      <c r="P68" s="269"/>
      <c r="Q68" s="269"/>
      <c r="R68" s="269"/>
      <c r="S68" s="269"/>
      <c r="T68" s="269"/>
      <c r="U68" s="269"/>
      <c r="V68" s="269"/>
      <c r="W68" s="269"/>
      <c r="X68" s="269"/>
      <c r="Y68" s="251">
        <f>+Y69</f>
        <v>313915252.41793996</v>
      </c>
      <c r="Z68" s="269"/>
      <c r="AA68" s="284"/>
      <c r="AB68" s="230"/>
      <c r="AC68" s="116"/>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c r="BC68" s="103"/>
      <c r="BD68" s="103"/>
      <c r="BE68" s="103"/>
    </row>
    <row r="69" spans="1:57" ht="14.25" x14ac:dyDescent="0.2">
      <c r="A69" s="253" t="s">
        <v>83</v>
      </c>
      <c r="B69" s="253"/>
      <c r="C69" s="254">
        <f>SUM(C70:C78)</f>
        <v>29</v>
      </c>
      <c r="D69" s="255"/>
      <c r="E69" s="255"/>
      <c r="F69" s="256"/>
      <c r="G69" s="257">
        <f t="shared" ref="G69:Z69" si="24">SUM(G70:G78)</f>
        <v>9514729.9000000004</v>
      </c>
      <c r="H69" s="257">
        <f t="shared" si="24"/>
        <v>63938517.170300007</v>
      </c>
      <c r="I69" s="257">
        <f t="shared" si="24"/>
        <v>233100</v>
      </c>
      <c r="J69" s="257">
        <f t="shared" si="24"/>
        <v>67026036.140299991</v>
      </c>
      <c r="K69" s="257">
        <f t="shared" si="24"/>
        <v>201078108.42090002</v>
      </c>
      <c r="L69" s="257">
        <f t="shared" si="24"/>
        <v>14377826.560075</v>
      </c>
      <c r="M69" s="257">
        <f t="shared" si="24"/>
        <v>1725339.1872089996</v>
      </c>
      <c r="N69" s="257">
        <f t="shared" si="24"/>
        <v>28755653.12015</v>
      </c>
      <c r="O69" s="257">
        <f t="shared" si="24"/>
        <v>8378254.5175374988</v>
      </c>
      <c r="P69" s="257">
        <f t="shared" si="24"/>
        <v>5434773.9594755005</v>
      </c>
      <c r="Q69" s="257">
        <f t="shared" si="24"/>
        <v>7672622.0604359992</v>
      </c>
      <c r="R69" s="257">
        <f t="shared" si="24"/>
        <v>621196.53576253203</v>
      </c>
      <c r="S69" s="257">
        <f t="shared" si="24"/>
        <v>41185777.667022094</v>
      </c>
      <c r="T69" s="257">
        <f t="shared" si="24"/>
        <v>2728043.399266134</v>
      </c>
      <c r="U69" s="257">
        <f t="shared" si="24"/>
        <v>8184130.1977984011</v>
      </c>
      <c r="V69" s="257">
        <f t="shared" si="24"/>
        <v>2046032.5494496</v>
      </c>
      <c r="W69" s="257">
        <f t="shared" si="24"/>
        <v>1364021.699633067</v>
      </c>
      <c r="X69" s="257">
        <f t="shared" si="24"/>
        <v>10230162.747248</v>
      </c>
      <c r="Y69" s="257">
        <f t="shared" si="24"/>
        <v>313915252.41793996</v>
      </c>
      <c r="Z69" s="257">
        <f t="shared" si="24"/>
        <v>104638417.47264668</v>
      </c>
      <c r="AA69" s="258"/>
      <c r="AB69" s="230"/>
      <c r="AC69" s="230"/>
      <c r="AD69" s="252"/>
      <c r="AE69" s="252"/>
      <c r="AF69" s="252"/>
      <c r="AG69" s="252"/>
    </row>
    <row r="70" spans="1:57" s="116" customFormat="1" ht="14.25" x14ac:dyDescent="0.2">
      <c r="A70" s="266" t="s">
        <v>91</v>
      </c>
      <c r="B70" s="266" t="s">
        <v>159</v>
      </c>
      <c r="C70" s="260">
        <v>1</v>
      </c>
      <c r="D70" s="261">
        <v>42461</v>
      </c>
      <c r="E70" s="261">
        <v>42551</v>
      </c>
      <c r="F70" s="262">
        <f t="shared" ref="F70:F78" si="25">DAYS360(D70,E70,0)+1</f>
        <v>90</v>
      </c>
      <c r="G70" s="264">
        <f>(8729110)*1.09</f>
        <v>9514729.9000000004</v>
      </c>
      <c r="H70" s="264">
        <f>+G70*70%</f>
        <v>6660310.9299999997</v>
      </c>
      <c r="I70" s="264"/>
      <c r="J70" s="264">
        <f>G70</f>
        <v>9514729.9000000004</v>
      </c>
      <c r="K70" s="264">
        <f t="shared" ref="K70:K78" si="26">+J70/30*F70</f>
        <v>28544189.699999999</v>
      </c>
      <c r="L70" s="264">
        <v>0</v>
      </c>
      <c r="M70" s="264">
        <f t="shared" ref="M70:M78" si="27">+L70*12%</f>
        <v>0</v>
      </c>
      <c r="N70" s="264">
        <v>0</v>
      </c>
      <c r="O70" s="264">
        <f t="shared" ref="O70:O78" si="28">+J70*F70/720</f>
        <v>1189341.2375</v>
      </c>
      <c r="P70" s="264">
        <f t="shared" ref="P70:P78" si="29">+H70*0.085</f>
        <v>566126.42905000004</v>
      </c>
      <c r="Q70" s="264">
        <f t="shared" ref="Q70:Q78" si="30">+H70*12%</f>
        <v>799237.3115999999</v>
      </c>
      <c r="R70" s="264">
        <f>+H70*0.522%</f>
        <v>34766.823054599998</v>
      </c>
      <c r="S70" s="264">
        <f t="shared" ref="S70:S78" si="31">+((P70+Q70+R70)/30*F70)</f>
        <v>4200391.6911137998</v>
      </c>
      <c r="T70" s="264">
        <f t="shared" ref="T70:T78" si="32">+(H70/30)*32*0.04</f>
        <v>284173.26634666667</v>
      </c>
      <c r="U70" s="264">
        <f t="shared" ref="U70:U78" si="33">+(T70/30)*F70</f>
        <v>852519.79903999995</v>
      </c>
      <c r="V70" s="264">
        <f t="shared" ref="V70:V78" si="34">+(H70/30)*32*0.03</f>
        <v>213129.94975999999</v>
      </c>
      <c r="W70" s="264">
        <f t="shared" ref="W70:W78" si="35">+(H70/30)*32*0.02</f>
        <v>142086.63317333334</v>
      </c>
      <c r="X70" s="264">
        <f t="shared" ref="X70:X78" si="36">+((V70+W70)/30*F70)</f>
        <v>1065649.7487999999</v>
      </c>
      <c r="Y70" s="264">
        <f t="shared" ref="Y70:Y76" si="37">K70+L70+M70+N70+O70+S70+U70+X70</f>
        <v>35852092.176453799</v>
      </c>
      <c r="Z70" s="264">
        <f t="shared" ref="Z70:Z78" si="38">+Y70/3</f>
        <v>11950697.392151266</v>
      </c>
      <c r="AA70" s="249"/>
      <c r="AB70" s="230"/>
    </row>
    <row r="71" spans="1:57" s="116" customFormat="1" ht="14.25" x14ac:dyDescent="0.2">
      <c r="A71" s="266" t="s">
        <v>309</v>
      </c>
      <c r="B71" s="266" t="s">
        <v>160</v>
      </c>
      <c r="C71" s="290">
        <v>1</v>
      </c>
      <c r="D71" s="261">
        <v>42461</v>
      </c>
      <c r="E71" s="261">
        <v>42551</v>
      </c>
      <c r="F71" s="262">
        <f t="shared" si="25"/>
        <v>90</v>
      </c>
      <c r="G71" s="291"/>
      <c r="H71" s="264">
        <f>4007639*(1+$C$8)</f>
        <v>4278956.1603000006</v>
      </c>
      <c r="I71" s="264"/>
      <c r="J71" s="264">
        <f>+I71+H71</f>
        <v>4278956.1603000006</v>
      </c>
      <c r="K71" s="264">
        <f t="shared" si="26"/>
        <v>12836868.480900003</v>
      </c>
      <c r="L71" s="264">
        <f t="shared" ref="L71:L78" si="39">+J71*F71/360</f>
        <v>1069739.0400750001</v>
      </c>
      <c r="M71" s="264">
        <f t="shared" si="27"/>
        <v>128368.68480900001</v>
      </c>
      <c r="N71" s="264">
        <f t="shared" ref="N71:N78" si="40">+L71*2</f>
        <v>2139478.0801500003</v>
      </c>
      <c r="O71" s="264">
        <f t="shared" si="28"/>
        <v>534869.52003750007</v>
      </c>
      <c r="P71" s="264">
        <f t="shared" si="29"/>
        <v>363711.27362550009</v>
      </c>
      <c r="Q71" s="264">
        <f t="shared" si="30"/>
        <v>513474.73923600005</v>
      </c>
      <c r="R71" s="264">
        <f>+H71*1.044%</f>
        <v>44672.302313532004</v>
      </c>
      <c r="S71" s="264">
        <f t="shared" si="31"/>
        <v>2765574.9455250963</v>
      </c>
      <c r="T71" s="264">
        <f t="shared" si="32"/>
        <v>182568.79617280004</v>
      </c>
      <c r="U71" s="264">
        <f t="shared" si="33"/>
        <v>547706.38851840014</v>
      </c>
      <c r="V71" s="264">
        <f t="shared" si="34"/>
        <v>136926.59712960001</v>
      </c>
      <c r="W71" s="264">
        <f t="shared" si="35"/>
        <v>91284.398086400019</v>
      </c>
      <c r="X71" s="264">
        <f t="shared" si="36"/>
        <v>684632.98564800003</v>
      </c>
      <c r="Y71" s="264">
        <f>K71+L71+M71+N71+O71+S71+U71+X71</f>
        <v>20707238.125662997</v>
      </c>
      <c r="Z71" s="264">
        <f t="shared" si="38"/>
        <v>6902412.7085543321</v>
      </c>
      <c r="AA71" s="249"/>
      <c r="AB71" s="230"/>
    </row>
    <row r="72" spans="1:57" s="116" customFormat="1" ht="14.25" x14ac:dyDescent="0.2">
      <c r="A72" s="266" t="s">
        <v>310</v>
      </c>
      <c r="B72" s="266" t="s">
        <v>156</v>
      </c>
      <c r="C72" s="290">
        <v>1</v>
      </c>
      <c r="D72" s="261">
        <v>42461</v>
      </c>
      <c r="E72" s="261">
        <v>42551</v>
      </c>
      <c r="F72" s="262">
        <f t="shared" si="25"/>
        <v>90</v>
      </c>
      <c r="G72" s="291"/>
      <c r="H72" s="264">
        <f>3243670*(1+$C$8)</f>
        <v>3463266.4590000003</v>
      </c>
      <c r="I72" s="264"/>
      <c r="J72" s="264">
        <f>+I72+H72</f>
        <v>3463266.4590000003</v>
      </c>
      <c r="K72" s="264">
        <f t="shared" si="26"/>
        <v>10389799.377</v>
      </c>
      <c r="L72" s="264">
        <f t="shared" si="39"/>
        <v>865816.61474999995</v>
      </c>
      <c r="M72" s="264">
        <f t="shared" si="27"/>
        <v>103897.99376999999</v>
      </c>
      <c r="N72" s="264">
        <f t="shared" si="40"/>
        <v>1731633.2294999999</v>
      </c>
      <c r="O72" s="264">
        <f t="shared" si="28"/>
        <v>432908.30737499997</v>
      </c>
      <c r="P72" s="264">
        <f t="shared" si="29"/>
        <v>294377.64901500003</v>
      </c>
      <c r="Q72" s="264">
        <f t="shared" si="30"/>
        <v>415591.97508</v>
      </c>
      <c r="R72" s="264">
        <f>+H72*1.044%</f>
        <v>36156.501831959999</v>
      </c>
      <c r="S72" s="264">
        <f t="shared" si="31"/>
        <v>2238378.3777808803</v>
      </c>
      <c r="T72" s="264">
        <f t="shared" si="32"/>
        <v>147766.03558400003</v>
      </c>
      <c r="U72" s="264">
        <f t="shared" si="33"/>
        <v>443298.10675200011</v>
      </c>
      <c r="V72" s="264">
        <f t="shared" si="34"/>
        <v>110824.52668800001</v>
      </c>
      <c r="W72" s="264">
        <f t="shared" si="35"/>
        <v>73883.017792000013</v>
      </c>
      <c r="X72" s="264">
        <f t="shared" si="36"/>
        <v>554122.63344000012</v>
      </c>
      <c r="Y72" s="264">
        <f>K72+L72+M72+N72+O72+S72+U72+X72</f>
        <v>16759854.640367882</v>
      </c>
      <c r="Z72" s="264">
        <f t="shared" si="38"/>
        <v>5586618.2134559611</v>
      </c>
      <c r="AA72" s="249"/>
      <c r="AB72" s="230"/>
    </row>
    <row r="73" spans="1:57" s="116" customFormat="1" ht="14.25" x14ac:dyDescent="0.2">
      <c r="A73" s="266" t="s">
        <v>311</v>
      </c>
      <c r="B73" s="266" t="s">
        <v>156</v>
      </c>
      <c r="C73" s="290">
        <v>1</v>
      </c>
      <c r="D73" s="261">
        <v>42461</v>
      </c>
      <c r="E73" s="261">
        <v>42551</v>
      </c>
      <c r="F73" s="262">
        <f t="shared" si="25"/>
        <v>90</v>
      </c>
      <c r="G73" s="291"/>
      <c r="H73" s="264">
        <f>3243670*(1+$C$8)</f>
        <v>3463266.4590000003</v>
      </c>
      <c r="I73" s="264"/>
      <c r="J73" s="264">
        <f>+I73+H73</f>
        <v>3463266.4590000003</v>
      </c>
      <c r="K73" s="264">
        <f>+J73/30*F73</f>
        <v>10389799.377</v>
      </c>
      <c r="L73" s="264">
        <f t="shared" si="39"/>
        <v>865816.61474999995</v>
      </c>
      <c r="M73" s="264">
        <f>+L73*12%</f>
        <v>103897.99376999999</v>
      </c>
      <c r="N73" s="264">
        <f t="shared" si="40"/>
        <v>1731633.2294999999</v>
      </c>
      <c r="O73" s="264">
        <f t="shared" si="28"/>
        <v>432908.30737499997</v>
      </c>
      <c r="P73" s="264">
        <f t="shared" si="29"/>
        <v>294377.64901500003</v>
      </c>
      <c r="Q73" s="264">
        <f t="shared" si="30"/>
        <v>415591.97508</v>
      </c>
      <c r="R73" s="264">
        <f>+H73*1.044%</f>
        <v>36156.501831959999</v>
      </c>
      <c r="S73" s="264">
        <f t="shared" si="31"/>
        <v>2238378.3777808803</v>
      </c>
      <c r="T73" s="264">
        <f t="shared" si="32"/>
        <v>147766.03558400003</v>
      </c>
      <c r="U73" s="264">
        <f t="shared" si="33"/>
        <v>443298.10675200011</v>
      </c>
      <c r="V73" s="264">
        <f t="shared" si="34"/>
        <v>110824.52668800001</v>
      </c>
      <c r="W73" s="264">
        <f t="shared" si="35"/>
        <v>73883.017792000013</v>
      </c>
      <c r="X73" s="264">
        <f t="shared" si="36"/>
        <v>554122.63344000012</v>
      </c>
      <c r="Y73" s="264">
        <f>K73+L73+M73+N73+O73+S73+U73+X73</f>
        <v>16759854.640367882</v>
      </c>
      <c r="Z73" s="264">
        <f t="shared" si="38"/>
        <v>5586618.2134559611</v>
      </c>
      <c r="AA73" s="249"/>
      <c r="AB73" s="230"/>
    </row>
    <row r="74" spans="1:57" s="116" customFormat="1" ht="14.25" x14ac:dyDescent="0.2">
      <c r="A74" s="266" t="s">
        <v>10</v>
      </c>
      <c r="B74" s="266" t="s">
        <v>242</v>
      </c>
      <c r="C74" s="260">
        <v>17</v>
      </c>
      <c r="D74" s="261">
        <v>42461</v>
      </c>
      <c r="E74" s="261">
        <v>42551</v>
      </c>
      <c r="F74" s="262">
        <f t="shared" si="25"/>
        <v>90</v>
      </c>
      <c r="G74" s="260"/>
      <c r="H74" s="264">
        <f>(1746952*(1+16.4%)*C74)</f>
        <v>34568686.175999999</v>
      </c>
      <c r="I74" s="264">
        <v>0</v>
      </c>
      <c r="J74" s="264">
        <f>+H74</f>
        <v>34568686.175999999</v>
      </c>
      <c r="K74" s="264">
        <f t="shared" si="26"/>
        <v>103706058.528</v>
      </c>
      <c r="L74" s="264">
        <f t="shared" si="39"/>
        <v>8642171.5439999998</v>
      </c>
      <c r="M74" s="264">
        <f t="shared" si="27"/>
        <v>1037060.5852799999</v>
      </c>
      <c r="N74" s="264">
        <f t="shared" si="40"/>
        <v>17284343.088</v>
      </c>
      <c r="O74" s="264">
        <f t="shared" si="28"/>
        <v>4321085.7719999999</v>
      </c>
      <c r="P74" s="264">
        <f t="shared" si="29"/>
        <v>2938338.3249600003</v>
      </c>
      <c r="Q74" s="264">
        <f t="shared" si="30"/>
        <v>4148242.3411199995</v>
      </c>
      <c r="R74" s="264">
        <f>+H74*1.044%</f>
        <v>360897.08367743995</v>
      </c>
      <c r="S74" s="264">
        <f t="shared" si="31"/>
        <v>22342433.24927232</v>
      </c>
      <c r="T74" s="264">
        <f t="shared" si="32"/>
        <v>1474930.610176</v>
      </c>
      <c r="U74" s="264">
        <f t="shared" si="33"/>
        <v>4424791.8305280004</v>
      </c>
      <c r="V74" s="264">
        <f t="shared" si="34"/>
        <v>1106197.9576319999</v>
      </c>
      <c r="W74" s="264">
        <f t="shared" si="35"/>
        <v>737465.30508800002</v>
      </c>
      <c r="X74" s="264">
        <f t="shared" si="36"/>
        <v>5530989.78816</v>
      </c>
      <c r="Y74" s="264">
        <f t="shared" si="37"/>
        <v>167288934.38524029</v>
      </c>
      <c r="Z74" s="264">
        <f t="shared" si="38"/>
        <v>55762978.128413431</v>
      </c>
      <c r="AA74" s="249"/>
      <c r="AB74" s="265"/>
    </row>
    <row r="75" spans="1:57" s="116" customFormat="1" ht="14.25" x14ac:dyDescent="0.2">
      <c r="A75" s="266" t="s">
        <v>11</v>
      </c>
      <c r="B75" s="266" t="s">
        <v>161</v>
      </c>
      <c r="C75" s="260">
        <v>5</v>
      </c>
      <c r="D75" s="261">
        <v>42461</v>
      </c>
      <c r="E75" s="261">
        <v>42551</v>
      </c>
      <c r="F75" s="262">
        <f t="shared" si="25"/>
        <v>90</v>
      </c>
      <c r="G75" s="260"/>
      <c r="H75" s="264">
        <f>(1529582*(1+9.9%))*C75</f>
        <v>8405053.0899999999</v>
      </c>
      <c r="I75" s="264"/>
      <c r="J75" s="264">
        <f>+I75+H75</f>
        <v>8405053.0899999999</v>
      </c>
      <c r="K75" s="264">
        <f t="shared" si="26"/>
        <v>25215159.27</v>
      </c>
      <c r="L75" s="264">
        <f t="shared" si="39"/>
        <v>2101263.2725</v>
      </c>
      <c r="M75" s="264">
        <f t="shared" si="27"/>
        <v>252151.59269999998</v>
      </c>
      <c r="N75" s="264">
        <f t="shared" si="40"/>
        <v>4202526.5449999999</v>
      </c>
      <c r="O75" s="264">
        <f t="shared" si="28"/>
        <v>1050631.63625</v>
      </c>
      <c r="P75" s="264">
        <f t="shared" si="29"/>
        <v>714429.51265000005</v>
      </c>
      <c r="Q75" s="264">
        <f t="shared" si="30"/>
        <v>1008606.3707999999</v>
      </c>
      <c r="R75" s="264">
        <f>+H75*1.044%</f>
        <v>87748.754259599998</v>
      </c>
      <c r="S75" s="264">
        <f t="shared" si="31"/>
        <v>5432353.9131288007</v>
      </c>
      <c r="T75" s="264">
        <f t="shared" si="32"/>
        <v>358615.59850666666</v>
      </c>
      <c r="U75" s="264">
        <f t="shared" si="33"/>
        <v>1075846.7955200002</v>
      </c>
      <c r="V75" s="264">
        <f t="shared" si="34"/>
        <v>268961.69887999998</v>
      </c>
      <c r="W75" s="264">
        <f t="shared" si="35"/>
        <v>179307.79925333333</v>
      </c>
      <c r="X75" s="264">
        <f t="shared" si="36"/>
        <v>1344808.4943999997</v>
      </c>
      <c r="Y75" s="264">
        <f t="shared" si="37"/>
        <v>40674741.51949881</v>
      </c>
      <c r="Z75" s="264">
        <f t="shared" si="38"/>
        <v>13558247.173166269</v>
      </c>
      <c r="AA75" s="249"/>
      <c r="AB75" s="230"/>
    </row>
    <row r="76" spans="1:57" s="116" customFormat="1" ht="14.25" x14ac:dyDescent="0.2">
      <c r="A76" s="266" t="s">
        <v>173</v>
      </c>
      <c r="B76" s="266" t="s">
        <v>154</v>
      </c>
      <c r="C76" s="260">
        <v>1</v>
      </c>
      <c r="D76" s="261">
        <v>42461</v>
      </c>
      <c r="E76" s="261">
        <v>42551</v>
      </c>
      <c r="F76" s="262">
        <f t="shared" si="25"/>
        <v>90</v>
      </c>
      <c r="G76" s="260"/>
      <c r="H76" s="264">
        <f>1036600*(1+$C$8)</f>
        <v>1106777.82</v>
      </c>
      <c r="I76" s="264">
        <f>+E8</f>
        <v>77700</v>
      </c>
      <c r="J76" s="264">
        <f>+I76+H76</f>
        <v>1184477.82</v>
      </c>
      <c r="K76" s="264">
        <f t="shared" si="26"/>
        <v>3553433.4600000004</v>
      </c>
      <c r="L76" s="264">
        <f t="shared" si="39"/>
        <v>296119.45500000002</v>
      </c>
      <c r="M76" s="264">
        <f t="shared" si="27"/>
        <v>35534.334600000002</v>
      </c>
      <c r="N76" s="264">
        <f t="shared" si="40"/>
        <v>592238.91</v>
      </c>
      <c r="O76" s="264">
        <f t="shared" si="28"/>
        <v>148059.72750000001</v>
      </c>
      <c r="P76" s="264">
        <f t="shared" si="29"/>
        <v>94076.114700000006</v>
      </c>
      <c r="Q76" s="264">
        <f t="shared" si="30"/>
        <v>132813.33840000001</v>
      </c>
      <c r="R76" s="264">
        <f>+H76*0.522%</f>
        <v>5777.3802204000003</v>
      </c>
      <c r="S76" s="264">
        <f t="shared" si="31"/>
        <v>698000.49996120005</v>
      </c>
      <c r="T76" s="264">
        <f t="shared" si="32"/>
        <v>47222.520320000003</v>
      </c>
      <c r="U76" s="264">
        <f t="shared" si="33"/>
        <v>141667.56096</v>
      </c>
      <c r="V76" s="264">
        <f t="shared" si="34"/>
        <v>35416.890240000001</v>
      </c>
      <c r="W76" s="264">
        <f t="shared" si="35"/>
        <v>23611.260160000002</v>
      </c>
      <c r="X76" s="264">
        <f t="shared" si="36"/>
        <v>177084.45120000001</v>
      </c>
      <c r="Y76" s="264">
        <f t="shared" si="37"/>
        <v>5642138.3992212014</v>
      </c>
      <c r="Z76" s="264">
        <f t="shared" si="38"/>
        <v>1880712.7997404004</v>
      </c>
      <c r="AA76" s="249"/>
      <c r="AB76" s="230"/>
    </row>
    <row r="77" spans="1:57" s="116" customFormat="1" ht="14.25" x14ac:dyDescent="0.2">
      <c r="A77" s="266" t="s">
        <v>12</v>
      </c>
      <c r="B77" s="266" t="s">
        <v>154</v>
      </c>
      <c r="C77" s="260">
        <v>1</v>
      </c>
      <c r="D77" s="261">
        <v>42461</v>
      </c>
      <c r="E77" s="261">
        <v>42551</v>
      </c>
      <c r="F77" s="262">
        <f t="shared" si="25"/>
        <v>90</v>
      </c>
      <c r="G77" s="260"/>
      <c r="H77" s="264">
        <f>1036600*(1+$C$8)</f>
        <v>1106777.82</v>
      </c>
      <c r="I77" s="264">
        <f>+E8</f>
        <v>77700</v>
      </c>
      <c r="J77" s="264">
        <f>+I77+H77</f>
        <v>1184477.82</v>
      </c>
      <c r="K77" s="264">
        <f t="shared" si="26"/>
        <v>3553433.4600000004</v>
      </c>
      <c r="L77" s="264">
        <f t="shared" si="39"/>
        <v>296119.45500000002</v>
      </c>
      <c r="M77" s="264">
        <f>+L77*12%</f>
        <v>35534.334600000002</v>
      </c>
      <c r="N77" s="264">
        <f t="shared" si="40"/>
        <v>592238.91</v>
      </c>
      <c r="O77" s="264">
        <f t="shared" si="28"/>
        <v>148059.72750000001</v>
      </c>
      <c r="P77" s="264">
        <f t="shared" si="29"/>
        <v>94076.114700000006</v>
      </c>
      <c r="Q77" s="264">
        <f t="shared" si="30"/>
        <v>132813.33840000001</v>
      </c>
      <c r="R77" s="264">
        <f>+H77*0.522%</f>
        <v>5777.3802204000003</v>
      </c>
      <c r="S77" s="264">
        <f t="shared" si="31"/>
        <v>698000.49996120005</v>
      </c>
      <c r="T77" s="264">
        <f t="shared" si="32"/>
        <v>47222.520320000003</v>
      </c>
      <c r="U77" s="264">
        <f t="shared" si="33"/>
        <v>141667.56096</v>
      </c>
      <c r="V77" s="264">
        <f t="shared" si="34"/>
        <v>35416.890240000001</v>
      </c>
      <c r="W77" s="264">
        <f t="shared" si="35"/>
        <v>23611.260160000002</v>
      </c>
      <c r="X77" s="264">
        <f t="shared" si="36"/>
        <v>177084.45120000001</v>
      </c>
      <c r="Y77" s="264">
        <f>K77+L77+M77+N77+O77+S77+U77+X77</f>
        <v>5642138.3992212014</v>
      </c>
      <c r="Z77" s="264">
        <f t="shared" si="38"/>
        <v>1880712.7997404004</v>
      </c>
      <c r="AA77" s="249"/>
      <c r="AB77" s="230"/>
    </row>
    <row r="78" spans="1:57" s="116" customFormat="1" ht="14.25" x14ac:dyDescent="0.2">
      <c r="A78" s="266" t="s">
        <v>190</v>
      </c>
      <c r="B78" s="266" t="s">
        <v>191</v>
      </c>
      <c r="C78" s="260">
        <v>1</v>
      </c>
      <c r="D78" s="261">
        <v>42461</v>
      </c>
      <c r="E78" s="261">
        <v>42551</v>
      </c>
      <c r="F78" s="262">
        <f t="shared" si="25"/>
        <v>90</v>
      </c>
      <c r="G78" s="260"/>
      <c r="H78" s="264">
        <f>829280*(1+$C$8)</f>
        <v>885422.25600000005</v>
      </c>
      <c r="I78" s="264">
        <f>+E8</f>
        <v>77700</v>
      </c>
      <c r="J78" s="264">
        <f>+I78+H78</f>
        <v>963122.25600000005</v>
      </c>
      <c r="K78" s="264">
        <f t="shared" si="26"/>
        <v>2889366.7680000002</v>
      </c>
      <c r="L78" s="264">
        <f t="shared" si="39"/>
        <v>240780.56400000001</v>
      </c>
      <c r="M78" s="264">
        <f t="shared" si="27"/>
        <v>28893.667680000002</v>
      </c>
      <c r="N78" s="264">
        <f t="shared" si="40"/>
        <v>481561.12800000003</v>
      </c>
      <c r="O78" s="264">
        <f t="shared" si="28"/>
        <v>120390.28200000001</v>
      </c>
      <c r="P78" s="264">
        <f t="shared" si="29"/>
        <v>75260.891760000013</v>
      </c>
      <c r="Q78" s="264">
        <f t="shared" si="30"/>
        <v>106250.67072000001</v>
      </c>
      <c r="R78" s="264">
        <f>+H78*1.044%</f>
        <v>9243.8083526400005</v>
      </c>
      <c r="S78" s="264">
        <f t="shared" si="31"/>
        <v>572266.11249792005</v>
      </c>
      <c r="T78" s="264">
        <f t="shared" si="32"/>
        <v>37778.016256000003</v>
      </c>
      <c r="U78" s="264">
        <f t="shared" si="33"/>
        <v>113334.04876800001</v>
      </c>
      <c r="V78" s="264">
        <f t="shared" si="34"/>
        <v>28333.512192000002</v>
      </c>
      <c r="W78" s="264">
        <f t="shared" si="35"/>
        <v>18889.008128000001</v>
      </c>
      <c r="X78" s="264">
        <f t="shared" si="36"/>
        <v>141667.56096</v>
      </c>
      <c r="Y78" s="264">
        <f>K78+L78+M78+N78+O78+S78+U78+X78</f>
        <v>4588260.1319059208</v>
      </c>
      <c r="Z78" s="264">
        <f t="shared" si="38"/>
        <v>1529420.0439686403</v>
      </c>
      <c r="AA78" s="249"/>
      <c r="AB78" s="230"/>
    </row>
    <row r="79" spans="1:57" s="116" customFormat="1" ht="14.25" x14ac:dyDescent="0.2">
      <c r="A79" s="267"/>
      <c r="B79" s="267"/>
      <c r="C79" s="268"/>
      <c r="D79" s="292"/>
      <c r="E79" s="292"/>
      <c r="F79" s="293"/>
      <c r="G79" s="268"/>
      <c r="H79" s="269"/>
      <c r="I79" s="269"/>
      <c r="J79" s="269"/>
      <c r="K79" s="269"/>
      <c r="L79" s="269"/>
      <c r="M79" s="269"/>
      <c r="N79" s="269"/>
      <c r="O79" s="269"/>
      <c r="P79" s="269"/>
      <c r="Q79" s="269"/>
      <c r="R79" s="269"/>
      <c r="S79" s="269"/>
      <c r="T79" s="269"/>
      <c r="U79" s="269"/>
      <c r="V79" s="269"/>
      <c r="W79" s="269"/>
      <c r="X79" s="269"/>
      <c r="Y79" s="269"/>
      <c r="Z79" s="269"/>
      <c r="AA79" s="249"/>
      <c r="AB79" s="230"/>
    </row>
    <row r="80" spans="1:57" ht="14.25" x14ac:dyDescent="0.2">
      <c r="A80" s="294"/>
      <c r="B80" s="267"/>
      <c r="C80" s="268"/>
      <c r="D80" s="292"/>
      <c r="E80" s="292"/>
      <c r="F80" s="293"/>
      <c r="G80" s="268"/>
      <c r="H80" s="292"/>
      <c r="I80" s="269"/>
      <c r="J80" s="269"/>
      <c r="K80" s="269"/>
      <c r="L80" s="269"/>
      <c r="M80" s="269"/>
      <c r="N80" s="269"/>
      <c r="O80" s="269"/>
      <c r="P80" s="269"/>
      <c r="Q80" s="269"/>
      <c r="R80" s="269"/>
      <c r="S80" s="269"/>
      <c r="T80" s="269"/>
      <c r="U80" s="269"/>
      <c r="V80" s="269"/>
      <c r="W80" s="269"/>
      <c r="X80" s="269"/>
      <c r="Y80" s="295"/>
      <c r="Z80" s="269"/>
      <c r="AA80" s="296"/>
      <c r="AB80" s="230"/>
      <c r="AC80" s="221"/>
    </row>
    <row r="81" spans="1:29" ht="13.5" thickBot="1" x14ac:dyDescent="0.25">
      <c r="A81" s="221"/>
      <c r="B81" s="221"/>
      <c r="C81" s="116"/>
      <c r="D81" s="116"/>
      <c r="E81" s="116"/>
      <c r="F81" s="116"/>
      <c r="G81" s="230"/>
      <c r="H81" s="230"/>
      <c r="I81" s="297"/>
      <c r="J81" s="285"/>
      <c r="K81" s="285"/>
      <c r="L81" s="285"/>
      <c r="M81" s="285"/>
      <c r="N81" s="285"/>
      <c r="O81" s="285"/>
      <c r="P81" s="285"/>
      <c r="Q81" s="285"/>
      <c r="R81" s="285"/>
      <c r="S81" s="285"/>
      <c r="T81" s="285"/>
      <c r="U81" s="285"/>
      <c r="V81" s="285"/>
      <c r="W81" s="285"/>
      <c r="X81" s="285"/>
      <c r="Y81" s="298"/>
      <c r="Z81" s="295"/>
      <c r="AA81" s="296"/>
      <c r="AB81" s="104"/>
      <c r="AC81" s="221"/>
    </row>
    <row r="82" spans="1:29" s="103" customFormat="1" ht="13.5" thickBot="1" x14ac:dyDescent="0.25">
      <c r="A82" s="342" t="s">
        <v>148</v>
      </c>
      <c r="B82" s="343"/>
      <c r="C82" s="344">
        <f>+C12+C21+C39+C48+C57+C69+C65</f>
        <v>77</v>
      </c>
      <c r="D82" s="344"/>
      <c r="E82" s="344"/>
      <c r="F82" s="344"/>
      <c r="G82" s="344"/>
      <c r="H82" s="345">
        <f>+H69+H48+H39+H21+H12+H57+H65</f>
        <v>191464935.03739998</v>
      </c>
      <c r="I82" s="345">
        <f t="shared" ref="I82:Z82" si="41">+I69+I48+I39+I21+I12+I57+I65</f>
        <v>777000</v>
      </c>
      <c r="J82" s="345">
        <f t="shared" si="41"/>
        <v>206514029.88739997</v>
      </c>
      <c r="K82" s="345">
        <f t="shared" si="41"/>
        <v>619542089.66220009</v>
      </c>
      <c r="L82" s="345">
        <f t="shared" si="41"/>
        <v>39045640.596849993</v>
      </c>
      <c r="M82" s="345">
        <f t="shared" si="41"/>
        <v>4685476.871621999</v>
      </c>
      <c r="N82" s="345">
        <f t="shared" si="41"/>
        <v>78091281.193699986</v>
      </c>
      <c r="O82" s="345">
        <f t="shared" si="41"/>
        <v>25469526.485924996</v>
      </c>
      <c r="P82" s="345">
        <f t="shared" si="41"/>
        <v>16384832.198179001</v>
      </c>
      <c r="Q82" s="345">
        <f t="shared" si="41"/>
        <v>22644854.044487998</v>
      </c>
      <c r="R82" s="345">
        <f t="shared" si="41"/>
        <v>1441137.4010433538</v>
      </c>
      <c r="S82" s="345">
        <f t="shared" si="41"/>
        <v>121412470.93113105</v>
      </c>
      <c r="T82" s="345">
        <f t="shared" si="41"/>
        <v>8051503.6602624012</v>
      </c>
      <c r="U82" s="345">
        <f t="shared" si="41"/>
        <v>24154510.980787203</v>
      </c>
      <c r="V82" s="345">
        <f t="shared" si="41"/>
        <v>6038627.7451968007</v>
      </c>
      <c r="W82" s="345">
        <f t="shared" si="41"/>
        <v>4025751.8301312006</v>
      </c>
      <c r="X82" s="345">
        <f t="shared" si="41"/>
        <v>30193138.725984003</v>
      </c>
      <c r="Y82" s="345">
        <f t="shared" si="41"/>
        <v>942594135.44819927</v>
      </c>
      <c r="Z82" s="345">
        <f t="shared" si="41"/>
        <v>314198045.14939982</v>
      </c>
      <c r="AA82" s="346"/>
      <c r="AB82" s="230"/>
      <c r="AC82" s="116"/>
    </row>
    <row r="83" spans="1:29" ht="13.5" thickBot="1" x14ac:dyDescent="0.25">
      <c r="A83" s="221"/>
      <c r="B83" s="221"/>
      <c r="C83" s="221"/>
      <c r="D83" s="221"/>
      <c r="E83" s="221"/>
      <c r="F83" s="221"/>
      <c r="G83" s="221"/>
      <c r="H83" s="285"/>
      <c r="I83" s="299"/>
      <c r="J83" s="285"/>
      <c r="K83" s="285"/>
      <c r="L83" s="300"/>
      <c r="M83" s="300"/>
      <c r="N83" s="300"/>
      <c r="O83" s="300"/>
      <c r="P83" s="300"/>
      <c r="Q83" s="300"/>
      <c r="R83" s="300"/>
      <c r="S83" s="300"/>
      <c r="T83" s="300"/>
      <c r="U83" s="300"/>
      <c r="V83" s="300"/>
      <c r="W83" s="300"/>
      <c r="X83" s="300"/>
      <c r="Y83" s="300"/>
      <c r="Z83" s="221"/>
      <c r="AA83" s="296"/>
      <c r="AB83" s="104"/>
      <c r="AC83" s="221"/>
    </row>
    <row r="84" spans="1:29" ht="13.5" thickBot="1" x14ac:dyDescent="0.25">
      <c r="A84" s="301" t="s">
        <v>84</v>
      </c>
      <c r="B84" s="302"/>
      <c r="C84" s="464">
        <f>+Y12+Y21+Y39+Y48+Y69+Y57+Y64</f>
        <v>942594135.44819927</v>
      </c>
      <c r="D84" s="464"/>
      <c r="E84" s="464"/>
      <c r="F84" s="464"/>
      <c r="G84" s="464"/>
      <c r="H84" s="465"/>
      <c r="I84" s="221"/>
      <c r="J84" s="221"/>
      <c r="K84" s="221"/>
      <c r="L84" s="221"/>
      <c r="M84" s="221"/>
      <c r="N84" s="221"/>
      <c r="O84" s="221"/>
      <c r="P84" s="221"/>
      <c r="Q84" s="221"/>
      <c r="R84" s="221"/>
      <c r="S84" s="221"/>
      <c r="T84" s="221"/>
      <c r="U84" s="221"/>
      <c r="V84" s="221"/>
      <c r="W84" s="221"/>
      <c r="X84" s="303" t="s">
        <v>63</v>
      </c>
      <c r="Y84" s="304">
        <f>+Y82-Y68</f>
        <v>628678883.03025937</v>
      </c>
      <c r="Z84" s="221"/>
      <c r="AA84" s="296"/>
      <c r="AB84" s="104"/>
      <c r="AC84" s="221"/>
    </row>
    <row r="85" spans="1:29" x14ac:dyDescent="0.2">
      <c r="A85" s="221"/>
      <c r="B85" s="221"/>
      <c r="C85" s="305"/>
      <c r="D85" s="305"/>
      <c r="E85" s="305"/>
      <c r="F85" s="305"/>
      <c r="G85" s="306"/>
      <c r="H85" s="307"/>
      <c r="I85" s="230"/>
      <c r="J85" s="221"/>
      <c r="K85" s="221"/>
      <c r="L85" s="230"/>
      <c r="M85" s="230"/>
      <c r="N85" s="221"/>
      <c r="O85" s="221"/>
      <c r="P85" s="221"/>
      <c r="Q85" s="221"/>
      <c r="R85" s="221"/>
      <c r="S85" s="221"/>
      <c r="T85" s="221"/>
      <c r="U85" s="221"/>
      <c r="V85" s="221"/>
      <c r="W85" s="221"/>
      <c r="X85" s="117" t="s">
        <v>109</v>
      </c>
      <c r="Y85" s="304">
        <f>+Y68</f>
        <v>313915252.41793996</v>
      </c>
      <c r="Z85" s="308"/>
      <c r="AA85" s="296"/>
      <c r="AB85" s="104"/>
      <c r="AC85" s="221"/>
    </row>
    <row r="86" spans="1:29" x14ac:dyDescent="0.2">
      <c r="A86" s="221"/>
      <c r="B86" s="221"/>
      <c r="C86" s="305"/>
      <c r="D86" s="305"/>
      <c r="E86" s="305"/>
      <c r="F86" s="305"/>
      <c r="G86" s="305"/>
      <c r="H86" s="102"/>
      <c r="I86" s="309"/>
      <c r="J86" s="221"/>
      <c r="K86" s="221"/>
      <c r="L86" s="230"/>
      <c r="M86" s="230"/>
      <c r="N86" s="221"/>
      <c r="O86" s="221"/>
      <c r="P86" s="221"/>
      <c r="Q86" s="221"/>
      <c r="R86" s="221"/>
      <c r="S86" s="221"/>
      <c r="T86" s="221"/>
      <c r="U86" s="221"/>
      <c r="V86" s="221"/>
      <c r="W86" s="221"/>
      <c r="X86" s="221"/>
      <c r="Y86" s="310"/>
      <c r="Z86" s="221"/>
      <c r="AA86" s="296"/>
      <c r="AB86" s="104"/>
      <c r="AC86" s="221"/>
    </row>
    <row r="87" spans="1:29" x14ac:dyDescent="0.2">
      <c r="A87" s="221"/>
      <c r="B87" s="221"/>
      <c r="C87" s="305"/>
      <c r="D87" s="305"/>
      <c r="E87" s="305"/>
      <c r="F87" s="305"/>
      <c r="G87" s="305"/>
      <c r="H87" s="311"/>
      <c r="I87" s="221"/>
      <c r="J87" s="221"/>
      <c r="K87" s="221"/>
      <c r="L87" s="230"/>
      <c r="M87" s="230"/>
      <c r="N87" s="221"/>
      <c r="O87" s="221"/>
      <c r="P87" s="221"/>
      <c r="Q87" s="221"/>
      <c r="R87" s="221"/>
      <c r="S87" s="221"/>
      <c r="T87" s="221"/>
      <c r="U87" s="221"/>
      <c r="V87" s="221"/>
      <c r="W87" s="221"/>
      <c r="X87" s="221"/>
      <c r="Y87" s="221"/>
      <c r="Z87" s="221"/>
      <c r="AA87" s="296"/>
      <c r="AB87" s="104"/>
      <c r="AC87" s="221"/>
    </row>
    <row r="88" spans="1:29" x14ac:dyDescent="0.2">
      <c r="A88" s="221"/>
      <c r="B88" s="305"/>
      <c r="C88" s="305"/>
      <c r="D88" s="305"/>
      <c r="E88" s="305"/>
      <c r="F88" s="305"/>
      <c r="G88" s="305"/>
      <c r="I88" s="221"/>
      <c r="J88" s="221"/>
      <c r="K88" s="221"/>
      <c r="L88" s="230"/>
      <c r="M88" s="230"/>
      <c r="N88" s="221"/>
      <c r="O88" s="221"/>
      <c r="P88" s="221"/>
      <c r="Q88" s="221"/>
      <c r="R88" s="221"/>
      <c r="S88" s="221"/>
      <c r="T88" s="221"/>
      <c r="U88" s="221"/>
      <c r="V88" s="221"/>
      <c r="W88" s="221"/>
      <c r="X88" s="221"/>
      <c r="Y88" s="310"/>
      <c r="Z88" s="221"/>
      <c r="AA88" s="296"/>
      <c r="AB88" s="104"/>
      <c r="AC88" s="221"/>
    </row>
    <row r="89" spans="1:29" x14ac:dyDescent="0.2">
      <c r="A89" s="221"/>
      <c r="B89" s="305"/>
      <c r="C89" s="305"/>
      <c r="D89" s="305"/>
      <c r="E89" s="305"/>
      <c r="F89" s="305"/>
      <c r="G89" s="305"/>
      <c r="H89" s="221"/>
      <c r="I89" s="221"/>
      <c r="J89" s="221"/>
      <c r="K89" s="221"/>
      <c r="L89" s="230"/>
      <c r="M89" s="230"/>
      <c r="N89" s="221"/>
      <c r="O89" s="221"/>
      <c r="P89" s="221"/>
      <c r="Q89" s="221"/>
      <c r="R89" s="221"/>
      <c r="S89" s="221"/>
      <c r="T89" s="221"/>
      <c r="U89" s="221"/>
      <c r="V89" s="221"/>
      <c r="W89" s="221"/>
      <c r="X89" s="221"/>
      <c r="Y89" s="221"/>
      <c r="Z89" s="221"/>
      <c r="AA89" s="296"/>
      <c r="AB89" s="104"/>
      <c r="AC89" s="221"/>
    </row>
    <row r="90" spans="1:29" ht="13.5" thickBot="1" x14ac:dyDescent="0.25">
      <c r="A90" s="221"/>
      <c r="B90" s="305"/>
      <c r="C90" s="305"/>
      <c r="D90" s="305"/>
      <c r="E90" s="305"/>
      <c r="F90" s="305"/>
      <c r="G90" s="305"/>
      <c r="H90" s="312"/>
      <c r="I90" s="312"/>
      <c r="J90" s="312"/>
      <c r="K90" s="312"/>
      <c r="L90" s="230"/>
      <c r="M90" s="230"/>
      <c r="N90" s="221"/>
      <c r="O90" s="221"/>
      <c r="P90" s="221"/>
      <c r="Q90" s="221"/>
      <c r="R90" s="221"/>
      <c r="S90" s="221"/>
      <c r="T90" s="221"/>
      <c r="U90" s="221"/>
      <c r="V90" s="221"/>
      <c r="W90" s="221"/>
      <c r="X90" s="221"/>
      <c r="Y90" s="303"/>
      <c r="Z90" s="221"/>
      <c r="AA90" s="296"/>
      <c r="AB90" s="104"/>
      <c r="AC90" s="221"/>
    </row>
    <row r="91" spans="1:29" ht="31.5" customHeight="1" thickBot="1" x14ac:dyDescent="0.25">
      <c r="A91" s="313" t="s">
        <v>149</v>
      </c>
      <c r="B91" s="305"/>
      <c r="C91" s="305"/>
      <c r="D91" s="305"/>
      <c r="E91" s="305"/>
      <c r="F91" s="305"/>
      <c r="G91" s="305"/>
      <c r="H91" s="314" t="s">
        <v>104</v>
      </c>
      <c r="I91" s="315"/>
      <c r="J91" s="314" t="s">
        <v>19</v>
      </c>
      <c r="K91" s="316"/>
      <c r="L91" s="314" t="s">
        <v>20</v>
      </c>
      <c r="M91" s="316"/>
      <c r="N91" s="317" t="s">
        <v>21</v>
      </c>
      <c r="O91" s="116"/>
      <c r="P91" s="314" t="s">
        <v>199</v>
      </c>
      <c r="Q91" s="116"/>
      <c r="R91" s="314" t="s">
        <v>109</v>
      </c>
      <c r="S91" s="116"/>
      <c r="T91" s="221"/>
      <c r="U91" s="221"/>
      <c r="V91" s="221"/>
      <c r="W91" s="221"/>
      <c r="X91" s="221"/>
      <c r="Y91" s="318"/>
      <c r="Z91" s="221"/>
      <c r="AA91" s="296"/>
      <c r="AB91" s="104"/>
      <c r="AC91" s="221"/>
    </row>
    <row r="92" spans="1:29" x14ac:dyDescent="0.2">
      <c r="A92" s="221"/>
      <c r="B92" s="305"/>
      <c r="C92" s="305"/>
      <c r="D92" s="305"/>
      <c r="E92" s="305"/>
      <c r="F92" s="305"/>
      <c r="G92" s="305"/>
      <c r="H92" s="319"/>
      <c r="I92" s="319"/>
      <c r="J92" s="319"/>
      <c r="K92" s="319"/>
      <c r="L92" s="319"/>
      <c r="M92" s="319"/>
      <c r="N92" s="319"/>
      <c r="O92" s="221"/>
      <c r="P92" s="319"/>
      <c r="Q92" s="221"/>
      <c r="R92" s="319"/>
      <c r="S92" s="221"/>
      <c r="T92" s="221"/>
      <c r="U92" s="221"/>
      <c r="V92" s="221"/>
      <c r="W92" s="221"/>
      <c r="X92" s="221"/>
      <c r="Y92" s="221"/>
      <c r="Z92" s="221"/>
      <c r="AA92" s="296"/>
      <c r="AB92" s="104"/>
      <c r="AC92" s="221"/>
    </row>
    <row r="93" spans="1:29" ht="13.5" thickBot="1" x14ac:dyDescent="0.25">
      <c r="A93" s="221"/>
      <c r="B93" s="305"/>
      <c r="C93" s="305"/>
      <c r="D93" s="305"/>
      <c r="E93" s="305"/>
      <c r="F93" s="305"/>
      <c r="G93" s="305"/>
      <c r="H93" s="320" t="s">
        <v>85</v>
      </c>
      <c r="I93" s="321">
        <v>0</v>
      </c>
      <c r="J93" s="320" t="s">
        <v>85</v>
      </c>
      <c r="K93" s="321">
        <v>4</v>
      </c>
      <c r="L93" s="320" t="s">
        <v>85</v>
      </c>
      <c r="M93" s="321">
        <v>1</v>
      </c>
      <c r="N93" s="320" t="s">
        <v>85</v>
      </c>
      <c r="O93" s="321">
        <v>1</v>
      </c>
      <c r="P93" s="320" t="s">
        <v>85</v>
      </c>
      <c r="Q93" s="321">
        <f>+C62</f>
        <v>1</v>
      </c>
      <c r="R93" s="320" t="s">
        <v>85</v>
      </c>
      <c r="S93" s="321">
        <v>3</v>
      </c>
      <c r="T93" s="117"/>
      <c r="U93" s="221"/>
      <c r="V93" s="221"/>
      <c r="W93" s="221"/>
      <c r="X93" s="221"/>
      <c r="Y93" s="221"/>
      <c r="Z93" s="221"/>
      <c r="AA93" s="296"/>
      <c r="AB93" s="104"/>
      <c r="AC93" s="221"/>
    </row>
    <row r="94" spans="1:29" ht="13.5" thickBot="1" x14ac:dyDescent="0.25">
      <c r="A94" s="221"/>
      <c r="B94" s="305"/>
      <c r="C94" s="305"/>
      <c r="D94" s="305"/>
      <c r="E94" s="305"/>
      <c r="F94" s="305"/>
      <c r="G94" s="305"/>
      <c r="H94" s="322" t="s">
        <v>150</v>
      </c>
      <c r="I94" s="323">
        <f>200000*(1+$C$8)</f>
        <v>213540.00000000003</v>
      </c>
      <c r="J94" s="322" t="s">
        <v>150</v>
      </c>
      <c r="K94" s="323">
        <f>200000*(1+$C$8)</f>
        <v>213540.00000000003</v>
      </c>
      <c r="L94" s="322" t="s">
        <v>150</v>
      </c>
      <c r="M94" s="323">
        <f>200000*(1+$C$8)</f>
        <v>213540.00000000003</v>
      </c>
      <c r="N94" s="322" t="s">
        <v>150</v>
      </c>
      <c r="O94" s="323">
        <f>200000*(1+$C$8)</f>
        <v>213540.00000000003</v>
      </c>
      <c r="P94" s="322" t="s">
        <v>150</v>
      </c>
      <c r="Q94" s="323">
        <f>200000*(1+$C$8)</f>
        <v>213540.00000000003</v>
      </c>
      <c r="R94" s="322" t="s">
        <v>150</v>
      </c>
      <c r="S94" s="323">
        <f>200000*(1+$C$8)</f>
        <v>213540.00000000003</v>
      </c>
      <c r="T94" s="231"/>
      <c r="U94" s="468" t="s">
        <v>114</v>
      </c>
      <c r="V94" s="469"/>
      <c r="W94" s="221"/>
      <c r="X94" s="221"/>
      <c r="Y94" s="221"/>
      <c r="Z94" s="221"/>
      <c r="AA94" s="296"/>
      <c r="AB94" s="104"/>
      <c r="AC94" s="221"/>
    </row>
    <row r="95" spans="1:29" x14ac:dyDescent="0.2">
      <c r="A95" s="221"/>
      <c r="B95" s="305"/>
      <c r="C95" s="305"/>
      <c r="D95" s="305"/>
      <c r="E95" s="305"/>
      <c r="F95" s="305"/>
      <c r="G95" s="305"/>
      <c r="H95" s="324" t="s">
        <v>86</v>
      </c>
      <c r="I95" s="324">
        <v>0</v>
      </c>
      <c r="J95" s="324" t="s">
        <v>86</v>
      </c>
      <c r="K95" s="324">
        <v>1</v>
      </c>
      <c r="L95" s="324" t="s">
        <v>86</v>
      </c>
      <c r="M95" s="324">
        <v>1</v>
      </c>
      <c r="N95" s="324" t="s">
        <v>86</v>
      </c>
      <c r="O95" s="324">
        <v>1</v>
      </c>
      <c r="P95" s="324" t="s">
        <v>86</v>
      </c>
      <c r="Q95" s="324">
        <v>1</v>
      </c>
      <c r="R95" s="324" t="s">
        <v>86</v>
      </c>
      <c r="S95" s="324">
        <v>1</v>
      </c>
      <c r="T95" s="221"/>
      <c r="U95" s="455">
        <f>+I96+K96+M96+O96+Q96+S96</f>
        <v>2135400.0000000005</v>
      </c>
      <c r="V95" s="456"/>
      <c r="W95" s="221"/>
      <c r="X95" s="221"/>
      <c r="Y95" s="221"/>
      <c r="Z95" s="221"/>
      <c r="AA95" s="296"/>
      <c r="AB95" s="104"/>
      <c r="AC95" s="221"/>
    </row>
    <row r="96" spans="1:29" ht="13.5" thickBot="1" x14ac:dyDescent="0.25">
      <c r="A96" s="325"/>
      <c r="B96" s="305"/>
      <c r="C96" s="326"/>
      <c r="D96" s="326"/>
      <c r="E96" s="326"/>
      <c r="F96" s="326"/>
      <c r="G96" s="326"/>
      <c r="H96" s="327" t="s">
        <v>43</v>
      </c>
      <c r="I96" s="328">
        <f>+I93*I94*I95</f>
        <v>0</v>
      </c>
      <c r="J96" s="327" t="s">
        <v>43</v>
      </c>
      <c r="K96" s="328">
        <f>+K93*K94*K95</f>
        <v>854160.00000000012</v>
      </c>
      <c r="L96" s="327" t="s">
        <v>43</v>
      </c>
      <c r="M96" s="328">
        <f>+M93*M94*M95</f>
        <v>213540.00000000003</v>
      </c>
      <c r="N96" s="327" t="s">
        <v>43</v>
      </c>
      <c r="O96" s="328">
        <f>+O93*O94*O95</f>
        <v>213540.00000000003</v>
      </c>
      <c r="P96" s="327" t="s">
        <v>43</v>
      </c>
      <c r="Q96" s="328">
        <f>+Q93*Q94*Q95</f>
        <v>213540.00000000003</v>
      </c>
      <c r="R96" s="327" t="s">
        <v>43</v>
      </c>
      <c r="S96" s="328">
        <f>+S93*S94*S95</f>
        <v>640620.00000000012</v>
      </c>
      <c r="T96" s="231"/>
      <c r="U96" s="457"/>
      <c r="V96" s="458"/>
      <c r="W96" s="221"/>
      <c r="X96" s="221"/>
      <c r="Y96" s="221"/>
      <c r="Z96" s="221"/>
      <c r="AA96" s="296"/>
      <c r="AB96" s="104"/>
      <c r="AC96" s="221"/>
    </row>
    <row r="97" spans="1:29" x14ac:dyDescent="0.2">
      <c r="A97" s="325"/>
      <c r="B97" s="305"/>
      <c r="C97" s="326"/>
      <c r="D97" s="326"/>
      <c r="E97" s="326"/>
      <c r="F97" s="326"/>
      <c r="G97" s="326"/>
      <c r="H97" s="221"/>
      <c r="I97" s="221"/>
      <c r="J97" s="221"/>
      <c r="K97" s="221"/>
      <c r="L97" s="221"/>
      <c r="M97" s="221"/>
      <c r="N97" s="221"/>
      <c r="O97" s="221"/>
      <c r="P97" s="221"/>
      <c r="Q97" s="221"/>
      <c r="R97" s="221"/>
      <c r="S97" s="221"/>
      <c r="T97" s="221"/>
      <c r="U97" s="221"/>
      <c r="V97" s="221"/>
      <c r="W97" s="221"/>
      <c r="X97" s="221"/>
      <c r="Y97" s="221"/>
      <c r="Z97" s="221"/>
      <c r="AA97" s="329"/>
      <c r="AB97" s="221"/>
      <c r="AC97" s="221"/>
    </row>
    <row r="98" spans="1:29" x14ac:dyDescent="0.2">
      <c r="A98" s="325"/>
      <c r="B98" s="305"/>
      <c r="C98" s="326"/>
      <c r="D98" s="326"/>
      <c r="E98" s="326"/>
      <c r="F98" s="326"/>
      <c r="G98" s="326"/>
      <c r="H98" s="221"/>
      <c r="I98" s="221"/>
      <c r="J98" s="221"/>
      <c r="K98" s="221"/>
      <c r="L98" s="221"/>
      <c r="M98" s="221"/>
      <c r="N98" s="221"/>
      <c r="O98" s="221"/>
      <c r="P98" s="221"/>
      <c r="Q98" s="221"/>
      <c r="R98" s="221"/>
      <c r="S98" s="221"/>
      <c r="T98" s="221"/>
      <c r="U98" s="221"/>
      <c r="V98" s="221"/>
      <c r="W98" s="221"/>
      <c r="X98" s="221"/>
      <c r="Y98" s="221"/>
      <c r="Z98" s="221"/>
      <c r="AA98" s="329"/>
      <c r="AB98" s="221"/>
      <c r="AC98" s="221"/>
    </row>
    <row r="99" spans="1:29" x14ac:dyDescent="0.2">
      <c r="A99" s="325"/>
      <c r="B99" s="305"/>
      <c r="C99" s="326"/>
      <c r="D99" s="326"/>
      <c r="E99" s="326"/>
      <c r="F99" s="326"/>
      <c r="G99" s="326"/>
      <c r="H99" s="221"/>
      <c r="I99" s="104"/>
      <c r="J99" s="104"/>
      <c r="K99" s="330"/>
      <c r="L99" s="330"/>
      <c r="M99" s="330"/>
      <c r="N99" s="330"/>
      <c r="O99" s="330"/>
      <c r="P99" s="330"/>
      <c r="Q99" s="330"/>
      <c r="R99" s="104"/>
      <c r="S99" s="104"/>
      <c r="T99" s="104"/>
      <c r="U99" s="104"/>
      <c r="V99" s="104"/>
      <c r="W99" s="104"/>
      <c r="X99" s="104"/>
      <c r="Y99" s="104"/>
      <c r="Z99" s="221"/>
      <c r="AA99" s="329"/>
      <c r="AB99" s="221"/>
      <c r="AC99" s="221"/>
    </row>
    <row r="100" spans="1:29" x14ac:dyDescent="0.2">
      <c r="A100" s="325"/>
      <c r="B100" s="305"/>
      <c r="C100" s="326"/>
      <c r="D100" s="326"/>
      <c r="E100" s="326"/>
      <c r="F100" s="326"/>
      <c r="G100" s="326"/>
      <c r="H100" s="221"/>
      <c r="I100" s="104"/>
      <c r="J100" s="104"/>
      <c r="K100" s="331"/>
      <c r="L100" s="294"/>
      <c r="M100" s="294"/>
      <c r="N100" s="294"/>
      <c r="O100" s="332"/>
      <c r="P100" s="331"/>
      <c r="Q100" s="294"/>
      <c r="R100" s="332"/>
      <c r="S100" s="331"/>
      <c r="T100" s="104"/>
      <c r="U100" s="104"/>
      <c r="V100" s="104"/>
      <c r="W100" s="104"/>
      <c r="X100" s="104"/>
      <c r="Y100" s="104"/>
      <c r="Z100" s="221"/>
      <c r="AA100" s="329"/>
      <c r="AB100" s="221"/>
      <c r="AC100" s="221"/>
    </row>
    <row r="101" spans="1:29" x14ac:dyDescent="0.2">
      <c r="A101" s="325"/>
      <c r="B101" s="305"/>
      <c r="C101" s="326"/>
      <c r="D101" s="326"/>
      <c r="E101" s="326"/>
      <c r="F101" s="326"/>
      <c r="G101" s="326"/>
      <c r="H101" s="221"/>
      <c r="I101" s="104"/>
      <c r="J101" s="104"/>
      <c r="K101" s="331"/>
      <c r="L101" s="294"/>
      <c r="M101" s="104"/>
      <c r="N101" s="294"/>
      <c r="O101" s="332"/>
      <c r="P101" s="331"/>
      <c r="Q101" s="294"/>
      <c r="R101" s="332"/>
      <c r="S101" s="104"/>
      <c r="T101" s="104"/>
      <c r="U101" s="104"/>
      <c r="V101" s="104"/>
      <c r="W101" s="104"/>
      <c r="X101" s="104"/>
      <c r="Y101" s="104"/>
      <c r="Z101" s="221"/>
      <c r="AA101" s="329"/>
      <c r="AB101" s="221"/>
      <c r="AC101" s="221"/>
    </row>
    <row r="102" spans="1:29" x14ac:dyDescent="0.2">
      <c r="A102" s="325"/>
      <c r="B102" s="305"/>
      <c r="C102" s="326"/>
      <c r="D102" s="326"/>
      <c r="E102" s="326"/>
      <c r="F102" s="326"/>
      <c r="G102" s="326"/>
      <c r="H102" s="221"/>
      <c r="I102" s="104"/>
      <c r="J102" s="294"/>
      <c r="K102" s="104"/>
      <c r="L102" s="104"/>
      <c r="M102" s="104"/>
      <c r="N102" s="104"/>
      <c r="O102" s="104"/>
      <c r="P102" s="294"/>
      <c r="Q102" s="104"/>
      <c r="R102" s="104"/>
      <c r="S102" s="104"/>
      <c r="T102" s="104"/>
      <c r="U102" s="104"/>
      <c r="V102" s="104"/>
      <c r="W102" s="104"/>
      <c r="X102" s="104"/>
      <c r="Y102" s="104"/>
      <c r="Z102" s="221"/>
      <c r="AA102" s="329"/>
      <c r="AB102" s="221"/>
      <c r="AC102" s="221"/>
    </row>
    <row r="103" spans="1:29" x14ac:dyDescent="0.2">
      <c r="A103" s="325"/>
      <c r="B103" s="305"/>
      <c r="C103" s="326"/>
      <c r="D103" s="326"/>
      <c r="E103" s="326"/>
      <c r="F103" s="326"/>
      <c r="G103" s="326"/>
      <c r="H103" s="221"/>
      <c r="I103" s="104"/>
      <c r="J103" s="104"/>
      <c r="K103" s="104"/>
      <c r="L103" s="104"/>
      <c r="M103" s="104"/>
      <c r="N103" s="104"/>
      <c r="O103" s="104"/>
      <c r="P103" s="104"/>
      <c r="Q103" s="104"/>
      <c r="R103" s="104"/>
      <c r="S103" s="104"/>
      <c r="T103" s="104"/>
      <c r="U103" s="104"/>
      <c r="V103" s="104"/>
      <c r="W103" s="104"/>
      <c r="X103" s="104"/>
      <c r="Y103" s="104"/>
      <c r="Z103" s="221"/>
      <c r="AA103" s="329"/>
      <c r="AB103" s="221"/>
      <c r="AC103" s="221"/>
    </row>
    <row r="104" spans="1:29" x14ac:dyDescent="0.2">
      <c r="A104" s="333" t="s">
        <v>44</v>
      </c>
      <c r="B104" s="305"/>
      <c r="C104" s="326"/>
      <c r="D104" s="326"/>
      <c r="E104" s="326"/>
      <c r="F104" s="326"/>
      <c r="G104" s="326"/>
      <c r="H104" s="324" t="s">
        <v>87</v>
      </c>
      <c r="I104" s="334">
        <f>(9454532+(9454532*$C$8))*12/4</f>
        <v>30283811.449200004</v>
      </c>
      <c r="J104" s="294"/>
      <c r="K104" s="294"/>
      <c r="L104" s="104"/>
      <c r="M104" s="104"/>
      <c r="N104" s="104"/>
      <c r="O104" s="104"/>
      <c r="P104" s="104"/>
      <c r="Q104" s="104"/>
      <c r="R104" s="104"/>
      <c r="S104" s="104"/>
      <c r="T104" s="104"/>
      <c r="U104" s="104"/>
      <c r="V104" s="104"/>
      <c r="W104" s="104"/>
      <c r="X104" s="104"/>
      <c r="Y104" s="104"/>
      <c r="Z104" s="221"/>
      <c r="AA104" s="329"/>
      <c r="AB104" s="221"/>
      <c r="AC104" s="221"/>
    </row>
    <row r="105" spans="1:29" hidden="1" x14ac:dyDescent="0.2">
      <c r="A105" s="335"/>
      <c r="B105" s="305"/>
      <c r="C105" s="326"/>
      <c r="D105" s="326"/>
      <c r="E105" s="326"/>
      <c r="F105" s="326"/>
      <c r="G105" s="326"/>
      <c r="H105" s="324"/>
      <c r="I105" s="334"/>
      <c r="J105" s="294"/>
      <c r="K105" s="294"/>
      <c r="L105" s="104"/>
      <c r="M105" s="104"/>
      <c r="N105" s="104"/>
      <c r="O105" s="104"/>
      <c r="P105" s="104"/>
      <c r="Q105" s="104"/>
      <c r="R105" s="104"/>
      <c r="S105" s="104"/>
      <c r="T105" s="104"/>
      <c r="U105" s="104"/>
      <c r="V105" s="104"/>
      <c r="W105" s="104"/>
      <c r="X105" s="104"/>
      <c r="Y105" s="104"/>
      <c r="Z105" s="221"/>
      <c r="AA105" s="329"/>
      <c r="AB105" s="221"/>
      <c r="AC105" s="221"/>
    </row>
    <row r="106" spans="1:29" x14ac:dyDescent="0.2">
      <c r="A106" s="221"/>
      <c r="B106" s="305"/>
      <c r="C106" s="305"/>
      <c r="D106" s="305"/>
      <c r="E106" s="305"/>
      <c r="F106" s="305"/>
      <c r="G106" s="305"/>
      <c r="H106" s="324" t="s">
        <v>141</v>
      </c>
      <c r="I106" s="334">
        <f>3200000/2</f>
        <v>1600000</v>
      </c>
      <c r="J106" s="221"/>
      <c r="K106" s="221"/>
      <c r="L106" s="221"/>
      <c r="M106" s="221"/>
      <c r="N106" s="221"/>
      <c r="O106" s="221"/>
      <c r="P106" s="221"/>
      <c r="Q106" s="221"/>
      <c r="R106" s="221"/>
      <c r="S106" s="221"/>
      <c r="T106" s="221"/>
      <c r="U106" s="221"/>
      <c r="V106" s="221"/>
      <c r="W106" s="221"/>
      <c r="X106" s="221"/>
      <c r="Y106" s="221"/>
      <c r="Z106" s="221"/>
      <c r="AA106" s="329"/>
      <c r="AB106" s="221"/>
      <c r="AC106" s="221"/>
    </row>
    <row r="107" spans="1:29" x14ac:dyDescent="0.2">
      <c r="A107" s="221"/>
      <c r="B107" s="305"/>
      <c r="C107" s="305"/>
      <c r="D107" s="305"/>
      <c r="E107" s="305"/>
      <c r="F107" s="305"/>
      <c r="G107" s="305"/>
      <c r="H107" s="327" t="s">
        <v>43</v>
      </c>
      <c r="I107" s="392">
        <f>SUM(I104:I106)</f>
        <v>31883811.449200004</v>
      </c>
      <c r="J107" s="221"/>
      <c r="K107" s="221"/>
      <c r="L107" s="221"/>
      <c r="M107" s="221"/>
      <c r="N107" s="221"/>
      <c r="O107" s="221"/>
      <c r="P107" s="221"/>
      <c r="Q107" s="221"/>
      <c r="R107" s="221"/>
      <c r="S107" s="221"/>
      <c r="T107" s="221"/>
      <c r="U107" s="221"/>
      <c r="V107" s="221"/>
      <c r="W107" s="221"/>
      <c r="X107" s="221"/>
      <c r="Y107" s="221"/>
      <c r="Z107" s="221"/>
      <c r="AA107" s="329"/>
      <c r="AB107" s="221"/>
      <c r="AC107" s="221"/>
    </row>
    <row r="108" spans="1:29" x14ac:dyDescent="0.2">
      <c r="A108" s="221"/>
      <c r="B108" s="305"/>
      <c r="C108" s="305"/>
      <c r="D108" s="305"/>
      <c r="E108" s="305"/>
      <c r="F108" s="305"/>
      <c r="G108" s="305"/>
      <c r="H108" s="221"/>
      <c r="I108" s="221"/>
      <c r="J108" s="221"/>
      <c r="K108" s="221"/>
      <c r="L108" s="221"/>
      <c r="M108" s="221"/>
      <c r="N108" s="221"/>
      <c r="O108" s="221"/>
      <c r="P108" s="221"/>
      <c r="Q108" s="221"/>
      <c r="R108" s="221"/>
      <c r="S108" s="221"/>
      <c r="T108" s="221"/>
      <c r="U108" s="221"/>
      <c r="V108" s="221"/>
      <c r="W108" s="221"/>
      <c r="X108" s="221"/>
      <c r="Y108" s="221"/>
      <c r="Z108" s="221"/>
      <c r="AA108" s="329"/>
      <c r="AB108" s="221"/>
      <c r="AC108" s="221"/>
    </row>
    <row r="109" spans="1:29" x14ac:dyDescent="0.2">
      <c r="A109" s="336"/>
      <c r="B109" s="305"/>
      <c r="C109" s="337"/>
      <c r="D109" s="337"/>
      <c r="E109" s="337"/>
      <c r="F109" s="337"/>
      <c r="G109" s="337"/>
      <c r="H109" s="104"/>
      <c r="I109" s="294"/>
      <c r="J109" s="104"/>
      <c r="K109" s="221"/>
      <c r="L109" s="221"/>
      <c r="M109" s="221"/>
      <c r="N109" s="221"/>
      <c r="O109" s="221"/>
      <c r="P109" s="221"/>
      <c r="Q109" s="221"/>
      <c r="R109" s="221"/>
      <c r="S109" s="221"/>
      <c r="T109" s="221"/>
      <c r="U109" s="221"/>
      <c r="V109" s="221"/>
      <c r="W109" s="221"/>
      <c r="X109" s="221"/>
      <c r="Y109" s="221"/>
      <c r="Z109" s="221"/>
      <c r="AA109" s="329"/>
      <c r="AB109" s="221"/>
      <c r="AC109" s="221"/>
    </row>
    <row r="110" spans="1:29" x14ac:dyDescent="0.2">
      <c r="A110" s="104"/>
      <c r="B110" s="305"/>
      <c r="C110" s="337"/>
      <c r="D110" s="337"/>
      <c r="E110" s="337"/>
      <c r="F110" s="337"/>
      <c r="G110" s="337"/>
      <c r="H110" s="104"/>
      <c r="I110" s="294"/>
      <c r="J110" s="104"/>
      <c r="K110" s="221"/>
      <c r="L110" s="221"/>
      <c r="M110" s="221"/>
      <c r="N110" s="221"/>
      <c r="O110" s="221"/>
      <c r="P110" s="221"/>
      <c r="Q110" s="221"/>
      <c r="R110" s="221"/>
      <c r="S110" s="221"/>
      <c r="T110" s="221"/>
      <c r="U110" s="221"/>
      <c r="V110" s="221"/>
      <c r="W110" s="221"/>
      <c r="X110" s="221"/>
      <c r="Y110" s="221"/>
      <c r="Z110" s="221"/>
      <c r="AA110" s="329"/>
      <c r="AB110" s="221"/>
      <c r="AC110" s="221"/>
    </row>
    <row r="111" spans="1:29" x14ac:dyDescent="0.2">
      <c r="A111" s="104"/>
      <c r="B111" s="305"/>
      <c r="C111" s="337"/>
      <c r="D111" s="337"/>
      <c r="E111" s="337"/>
      <c r="F111" s="337"/>
      <c r="G111" s="337"/>
      <c r="H111" s="338"/>
      <c r="I111" s="339"/>
      <c r="J111" s="104"/>
      <c r="K111" s="221"/>
      <c r="L111" s="221"/>
      <c r="M111" s="221"/>
      <c r="N111" s="221"/>
      <c r="O111" s="221"/>
      <c r="P111" s="221"/>
      <c r="Q111" s="221"/>
      <c r="R111" s="221"/>
      <c r="S111" s="221"/>
      <c r="T111" s="221"/>
      <c r="U111" s="221"/>
      <c r="V111" s="221"/>
      <c r="W111" s="221"/>
      <c r="X111" s="221"/>
      <c r="Y111" s="221"/>
      <c r="Z111" s="221"/>
      <c r="AA111" s="329"/>
      <c r="AB111" s="221"/>
      <c r="AC111" s="221"/>
    </row>
    <row r="112" spans="1:29" x14ac:dyDescent="0.2">
      <c r="A112" s="221"/>
      <c r="B112" s="305"/>
      <c r="C112" s="305"/>
      <c r="D112" s="305"/>
      <c r="E112" s="305"/>
      <c r="F112" s="305"/>
      <c r="G112" s="305"/>
      <c r="H112" s="221"/>
      <c r="I112" s="221"/>
      <c r="J112" s="221"/>
      <c r="K112" s="221"/>
      <c r="L112" s="221"/>
      <c r="M112" s="221"/>
      <c r="N112" s="221"/>
      <c r="O112" s="221"/>
      <c r="P112" s="221"/>
      <c r="Q112" s="221"/>
      <c r="R112" s="221"/>
      <c r="S112" s="221"/>
      <c r="T112" s="221"/>
      <c r="U112" s="221"/>
      <c r="V112" s="221"/>
      <c r="W112" s="221"/>
      <c r="X112" s="221"/>
      <c r="Y112" s="221"/>
      <c r="Z112" s="221"/>
      <c r="AA112" s="329"/>
      <c r="AB112" s="221"/>
      <c r="AC112" s="221"/>
    </row>
    <row r="113" spans="1:29" x14ac:dyDescent="0.2">
      <c r="A113" s="221"/>
      <c r="B113" s="221"/>
      <c r="C113" s="305"/>
      <c r="D113" s="305"/>
      <c r="E113" s="305"/>
      <c r="F113" s="305"/>
      <c r="G113" s="305"/>
      <c r="H113" s="221"/>
      <c r="I113" s="221"/>
      <c r="J113" s="221"/>
      <c r="K113" s="221"/>
      <c r="L113" s="221"/>
      <c r="M113" s="221"/>
      <c r="N113" s="221"/>
      <c r="O113" s="221"/>
      <c r="P113" s="221"/>
      <c r="Q113" s="221"/>
      <c r="R113" s="221"/>
      <c r="S113" s="221"/>
      <c r="T113" s="221"/>
      <c r="U113" s="221"/>
      <c r="V113" s="221"/>
      <c r="W113" s="221"/>
      <c r="X113" s="221"/>
      <c r="Y113" s="221"/>
      <c r="Z113" s="221"/>
      <c r="AA113" s="329"/>
      <c r="AB113" s="221"/>
      <c r="AC113" s="221"/>
    </row>
    <row r="114" spans="1:29" x14ac:dyDescent="0.2">
      <c r="A114" s="221"/>
      <c r="B114" s="221"/>
      <c r="C114" s="305"/>
      <c r="D114" s="305"/>
      <c r="E114" s="305"/>
      <c r="F114" s="305"/>
      <c r="G114" s="305"/>
      <c r="H114" s="221"/>
      <c r="I114" s="221"/>
      <c r="J114" s="221"/>
      <c r="K114" s="221"/>
      <c r="L114" s="221"/>
      <c r="M114" s="221"/>
      <c r="N114" s="221"/>
      <c r="O114" s="221"/>
      <c r="P114" s="221"/>
      <c r="Q114" s="221"/>
      <c r="R114" s="221"/>
      <c r="S114" s="221"/>
      <c r="T114" s="221"/>
      <c r="U114" s="221"/>
      <c r="V114" s="221"/>
      <c r="W114" s="221"/>
      <c r="X114" s="221"/>
      <c r="Y114" s="221"/>
      <c r="Z114" s="221"/>
      <c r="AA114" s="231"/>
      <c r="AB114" s="221"/>
      <c r="AC114" s="221"/>
    </row>
    <row r="115" spans="1:29" x14ac:dyDescent="0.2">
      <c r="A115" s="221"/>
      <c r="B115" s="221"/>
      <c r="C115" s="305"/>
      <c r="D115" s="305"/>
      <c r="E115" s="305"/>
      <c r="F115" s="305"/>
      <c r="G115" s="305"/>
      <c r="H115" s="221"/>
      <c r="I115" s="221"/>
      <c r="J115" s="221"/>
      <c r="K115" s="221"/>
      <c r="L115" s="221"/>
      <c r="M115" s="221"/>
      <c r="N115" s="221"/>
      <c r="O115" s="221"/>
      <c r="P115" s="221"/>
      <c r="Q115" s="221"/>
      <c r="R115" s="221"/>
      <c r="S115" s="221"/>
      <c r="T115" s="221"/>
      <c r="U115" s="221"/>
      <c r="V115" s="221"/>
      <c r="W115" s="221"/>
      <c r="X115" s="221"/>
      <c r="Y115" s="221"/>
      <c r="Z115" s="221"/>
      <c r="AA115" s="231"/>
      <c r="AB115" s="221"/>
      <c r="AC115" s="221"/>
    </row>
    <row r="116" spans="1:29" x14ac:dyDescent="0.2">
      <c r="A116" s="221"/>
      <c r="B116" s="221"/>
      <c r="C116" s="305"/>
      <c r="D116" s="305"/>
      <c r="E116" s="305"/>
      <c r="F116" s="305"/>
      <c r="G116" s="305"/>
      <c r="H116" s="221"/>
      <c r="I116" s="221"/>
      <c r="J116" s="221"/>
      <c r="K116" s="221"/>
      <c r="L116" s="221"/>
      <c r="M116" s="221"/>
      <c r="N116" s="221"/>
      <c r="O116" s="221"/>
      <c r="P116" s="221"/>
      <c r="Q116" s="221"/>
      <c r="R116" s="221"/>
      <c r="S116" s="221"/>
      <c r="T116" s="221"/>
      <c r="U116" s="221"/>
      <c r="V116" s="221"/>
      <c r="W116" s="221"/>
      <c r="X116" s="221"/>
      <c r="Y116" s="221"/>
      <c r="Z116" s="221"/>
      <c r="AA116" s="231"/>
      <c r="AB116" s="221"/>
      <c r="AC116" s="221"/>
    </row>
    <row r="117" spans="1:29" x14ac:dyDescent="0.2">
      <c r="A117" s="221"/>
      <c r="B117" s="221"/>
      <c r="C117" s="305"/>
      <c r="D117" s="305"/>
      <c r="E117" s="305"/>
      <c r="F117" s="305"/>
      <c r="G117" s="305"/>
      <c r="H117" s="221"/>
      <c r="I117" s="221"/>
      <c r="J117" s="221"/>
      <c r="K117" s="221"/>
      <c r="L117" s="221"/>
      <c r="M117" s="221"/>
      <c r="N117" s="221"/>
      <c r="O117" s="221"/>
      <c r="P117" s="221"/>
      <c r="Q117" s="221"/>
      <c r="R117" s="221"/>
      <c r="S117" s="221"/>
      <c r="T117" s="221"/>
      <c r="U117" s="221"/>
      <c r="V117" s="221"/>
      <c r="W117" s="221"/>
      <c r="X117" s="221"/>
      <c r="Y117" s="221"/>
      <c r="Z117" s="221"/>
      <c r="AA117" s="231"/>
      <c r="AB117" s="221"/>
      <c r="AC117" s="221"/>
    </row>
    <row r="118" spans="1:29" x14ac:dyDescent="0.2">
      <c r="A118" s="221"/>
      <c r="B118" s="221"/>
      <c r="C118" s="305"/>
      <c r="D118" s="305"/>
      <c r="E118" s="305"/>
      <c r="F118" s="305"/>
      <c r="G118" s="305"/>
      <c r="H118" s="221"/>
      <c r="I118" s="221"/>
      <c r="J118" s="221"/>
      <c r="K118" s="221"/>
      <c r="L118" s="221"/>
      <c r="M118" s="221"/>
      <c r="N118" s="221"/>
      <c r="O118" s="221"/>
      <c r="P118" s="221"/>
      <c r="Q118" s="221"/>
      <c r="R118" s="221"/>
      <c r="S118" s="221"/>
      <c r="T118" s="221"/>
      <c r="U118" s="221"/>
      <c r="V118" s="221"/>
      <c r="W118" s="221"/>
      <c r="X118" s="221"/>
      <c r="Y118" s="221"/>
      <c r="Z118" s="221"/>
      <c r="AA118" s="231"/>
      <c r="AB118" s="221"/>
      <c r="AC118" s="221"/>
    </row>
    <row r="119" spans="1:29" x14ac:dyDescent="0.2">
      <c r="A119" s="221"/>
      <c r="B119" s="221"/>
      <c r="C119" s="305"/>
      <c r="D119" s="305"/>
      <c r="E119" s="305"/>
      <c r="F119" s="305"/>
      <c r="G119" s="305"/>
      <c r="H119" s="221"/>
      <c r="I119" s="221"/>
      <c r="J119" s="221"/>
      <c r="K119" s="221"/>
      <c r="L119" s="221"/>
      <c r="M119" s="221"/>
      <c r="N119" s="221"/>
      <c r="O119" s="221"/>
      <c r="P119" s="221"/>
      <c r="Q119" s="221"/>
      <c r="R119" s="221"/>
      <c r="S119" s="221"/>
      <c r="T119" s="221"/>
      <c r="U119" s="221"/>
      <c r="V119" s="221"/>
      <c r="W119" s="221"/>
      <c r="X119" s="221"/>
      <c r="Y119" s="221"/>
      <c r="Z119" s="221"/>
      <c r="AA119" s="231"/>
      <c r="AB119" s="221"/>
      <c r="AC119" s="221"/>
    </row>
    <row r="120" spans="1:29" x14ac:dyDescent="0.2">
      <c r="A120" s="221"/>
      <c r="B120" s="221"/>
      <c r="C120" s="305"/>
      <c r="D120" s="305"/>
      <c r="E120" s="305"/>
      <c r="F120" s="305"/>
      <c r="G120" s="305"/>
      <c r="H120" s="221"/>
      <c r="I120" s="221"/>
      <c r="J120" s="221"/>
      <c r="K120" s="221"/>
      <c r="L120" s="221"/>
      <c r="M120" s="221"/>
      <c r="N120" s="221"/>
      <c r="O120" s="221"/>
      <c r="P120" s="221"/>
      <c r="Q120" s="221"/>
      <c r="R120" s="221"/>
      <c r="S120" s="221"/>
      <c r="T120" s="221"/>
      <c r="U120" s="221"/>
      <c r="V120" s="221"/>
      <c r="W120" s="221"/>
      <c r="X120" s="221"/>
      <c r="Y120" s="221"/>
      <c r="Z120" s="221"/>
      <c r="AA120" s="231"/>
      <c r="AB120" s="221"/>
      <c r="AC120" s="221"/>
    </row>
    <row r="121" spans="1:29" x14ac:dyDescent="0.2">
      <c r="A121" s="340"/>
      <c r="B121" s="340"/>
      <c r="C121" s="341"/>
      <c r="D121" s="341"/>
      <c r="E121" s="341"/>
      <c r="F121" s="341"/>
      <c r="G121" s="341"/>
      <c r="H121" s="340"/>
      <c r="I121" s="340"/>
      <c r="J121" s="340"/>
      <c r="K121" s="340"/>
      <c r="L121" s="340"/>
      <c r="M121" s="340"/>
      <c r="N121" s="340"/>
      <c r="O121" s="340"/>
      <c r="P121" s="340"/>
      <c r="Q121" s="340"/>
      <c r="R121" s="340"/>
      <c r="S121" s="340"/>
      <c r="T121" s="340"/>
      <c r="U121" s="340"/>
      <c r="V121" s="340"/>
      <c r="W121" s="340"/>
      <c r="X121" s="340"/>
      <c r="Y121" s="340"/>
    </row>
    <row r="122" spans="1:29" x14ac:dyDescent="0.2">
      <c r="A122" s="340"/>
      <c r="B122" s="340"/>
      <c r="C122" s="341"/>
      <c r="D122" s="341"/>
      <c r="E122" s="341"/>
      <c r="F122" s="341"/>
      <c r="G122" s="341"/>
      <c r="H122" s="340"/>
      <c r="I122" s="340"/>
      <c r="J122" s="340"/>
      <c r="K122" s="340"/>
      <c r="L122" s="340"/>
      <c r="M122" s="340"/>
      <c r="N122" s="340"/>
      <c r="O122" s="340"/>
      <c r="P122" s="340"/>
      <c r="Q122" s="340"/>
      <c r="R122" s="340"/>
      <c r="S122" s="340"/>
      <c r="T122" s="340"/>
      <c r="U122" s="340"/>
      <c r="V122" s="340"/>
      <c r="W122" s="340"/>
      <c r="X122" s="340"/>
      <c r="Y122" s="340"/>
    </row>
    <row r="123" spans="1:29" x14ac:dyDescent="0.2">
      <c r="A123" s="340"/>
      <c r="B123" s="340"/>
      <c r="C123" s="341"/>
      <c r="D123" s="341"/>
      <c r="E123" s="341"/>
      <c r="F123" s="341"/>
      <c r="G123" s="341"/>
      <c r="H123" s="340"/>
      <c r="I123" s="340"/>
      <c r="J123" s="340"/>
      <c r="K123" s="340"/>
      <c r="L123" s="340"/>
      <c r="M123" s="340"/>
      <c r="N123" s="340"/>
      <c r="O123" s="340"/>
      <c r="P123" s="340"/>
      <c r="Q123" s="340"/>
      <c r="R123" s="340"/>
      <c r="S123" s="340"/>
      <c r="T123" s="340"/>
      <c r="U123" s="340"/>
      <c r="V123" s="340"/>
      <c r="W123" s="340"/>
      <c r="X123" s="340"/>
      <c r="Y123" s="340"/>
    </row>
  </sheetData>
  <mergeCells count="10">
    <mergeCell ref="A4:Z4"/>
    <mergeCell ref="A5:Z5"/>
    <mergeCell ref="A6:Z6"/>
    <mergeCell ref="U95:V96"/>
    <mergeCell ref="X8:X9"/>
    <mergeCell ref="P8:R8"/>
    <mergeCell ref="C84:H84"/>
    <mergeCell ref="S8:S9"/>
    <mergeCell ref="U8:U9"/>
    <mergeCell ref="U94:V94"/>
  </mergeCells>
  <phoneticPr fontId="10" type="noConversion"/>
  <printOptions horizontalCentered="1"/>
  <pageMargins left="0" right="0" top="0.15748031496062992" bottom="0.19685039370078741" header="0" footer="0"/>
  <pageSetup scale="40" fitToWidth="2" fitToHeight="2" orientation="landscape" horizontalDpi="300" verticalDpi="300" r:id="rId1"/>
  <headerFooter alignWithMargins="0"/>
  <rowBreaks count="1" manualBreakCount="1">
    <brk id="85" max="25" man="1"/>
  </rowBreaks>
  <colBreaks count="1" manualBreakCount="1">
    <brk id="15" max="82"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0"/>
  <sheetViews>
    <sheetView workbookViewId="0">
      <selection activeCell="A19" sqref="A19"/>
    </sheetView>
  </sheetViews>
  <sheetFormatPr baseColWidth="10" defaultRowHeight="12.75" x14ac:dyDescent="0.2"/>
  <cols>
    <col min="1" max="1" width="36.28515625" bestFit="1" customWidth="1"/>
    <col min="2" max="2" width="17.42578125" customWidth="1"/>
    <col min="3" max="3" width="3.7109375" bestFit="1" customWidth="1"/>
    <col min="4" max="4" width="15.5703125" bestFit="1" customWidth="1"/>
    <col min="5" max="5" width="15.28515625" customWidth="1"/>
    <col min="6" max="6" width="3.42578125" customWidth="1"/>
    <col min="7" max="7" width="34.85546875" bestFit="1" customWidth="1"/>
    <col min="8" max="8" width="12.5703125" customWidth="1"/>
    <col min="9" max="9" width="4" bestFit="1" customWidth="1"/>
    <col min="10" max="10" width="11.28515625" bestFit="1" customWidth="1"/>
    <col min="11" max="11" width="12.28515625" bestFit="1" customWidth="1"/>
    <col min="12" max="12" width="3.28515625" customWidth="1"/>
    <col min="13" max="13" width="13.7109375" customWidth="1"/>
    <col min="14" max="14" width="13.140625" customWidth="1"/>
  </cols>
  <sheetData>
    <row r="1" spans="1:14" ht="18" x14ac:dyDescent="0.25">
      <c r="A1" s="470" t="s">
        <v>73</v>
      </c>
      <c r="B1" s="470"/>
      <c r="C1" s="470"/>
      <c r="D1" s="470"/>
      <c r="E1" s="470"/>
      <c r="F1" s="180"/>
      <c r="G1" s="470" t="s">
        <v>73</v>
      </c>
      <c r="H1" s="470"/>
      <c r="I1" s="470"/>
      <c r="J1" s="470"/>
      <c r="K1" s="470"/>
      <c r="L1" s="470"/>
      <c r="M1" s="470"/>
      <c r="N1" s="470"/>
    </row>
    <row r="2" spans="1:14" ht="18" x14ac:dyDescent="0.25">
      <c r="A2" s="470" t="s">
        <v>238</v>
      </c>
      <c r="B2" s="470"/>
      <c r="C2" s="470"/>
      <c r="D2" s="470"/>
      <c r="E2" s="470"/>
      <c r="F2" s="180"/>
      <c r="G2" s="470" t="s">
        <v>343</v>
      </c>
      <c r="H2" s="470"/>
      <c r="I2" s="470"/>
      <c r="J2" s="470"/>
      <c r="K2" s="470"/>
      <c r="L2" s="470"/>
      <c r="M2" s="470"/>
      <c r="N2" s="470"/>
    </row>
    <row r="3" spans="1:14" ht="18.75" thickBot="1" x14ac:dyDescent="0.3">
      <c r="A3" s="97"/>
      <c r="B3" s="97"/>
      <c r="C3" s="90"/>
      <c r="D3" s="90"/>
      <c r="E3" s="90"/>
      <c r="F3" s="180"/>
      <c r="G3" s="90"/>
      <c r="H3" s="90"/>
      <c r="I3" s="90"/>
      <c r="J3" s="90"/>
      <c r="K3" s="90"/>
      <c r="L3" s="90"/>
      <c r="M3" s="90"/>
      <c r="N3" s="90"/>
    </row>
    <row r="4" spans="1:14" ht="65.25" thickBot="1" x14ac:dyDescent="0.3">
      <c r="A4" s="181"/>
      <c r="B4" s="181" t="s">
        <v>76</v>
      </c>
      <c r="C4" s="182" t="s">
        <v>75</v>
      </c>
      <c r="D4" s="182" t="s">
        <v>78</v>
      </c>
      <c r="E4" s="182" t="s">
        <v>380</v>
      </c>
      <c r="F4" s="180"/>
      <c r="G4" s="181"/>
      <c r="H4" s="182" t="s">
        <v>381</v>
      </c>
      <c r="I4" s="182" t="s">
        <v>75</v>
      </c>
      <c r="J4" s="182" t="s">
        <v>78</v>
      </c>
      <c r="K4" s="182" t="s">
        <v>344</v>
      </c>
      <c r="L4" s="90"/>
      <c r="M4" s="182" t="s">
        <v>192</v>
      </c>
      <c r="N4" s="182" t="s">
        <v>193</v>
      </c>
    </row>
    <row r="5" spans="1:14" x14ac:dyDescent="0.2">
      <c r="A5" s="183" t="s">
        <v>182</v>
      </c>
      <c r="B5" s="183"/>
      <c r="C5" s="95">
        <f>SUM(C6:C6)</f>
        <v>11</v>
      </c>
      <c r="D5" s="96">
        <f>SUM(D6:D6)</f>
        <v>19216472</v>
      </c>
      <c r="E5" s="96">
        <f>SUM(E6:E6)</f>
        <v>352214753.09414667</v>
      </c>
      <c r="F5" s="184"/>
      <c r="G5" s="183" t="s">
        <v>182</v>
      </c>
      <c r="H5" s="183"/>
      <c r="I5" s="95">
        <f>SUM(I6:I6)</f>
        <v>11</v>
      </c>
      <c r="J5" s="185">
        <f>SUM(J6:J6)</f>
        <v>24295260</v>
      </c>
      <c r="K5" s="185">
        <f>SUM(K6:K6)</f>
        <v>445302765.37975538</v>
      </c>
      <c r="L5" s="94"/>
      <c r="M5" s="186">
        <f t="shared" ref="M5:N9" si="0">+(J5-D5)/D5</f>
        <v>0.26429346656347741</v>
      </c>
      <c r="N5" s="186">
        <f t="shared" si="0"/>
        <v>0.26429333657334442</v>
      </c>
    </row>
    <row r="6" spans="1:14" x14ac:dyDescent="0.2">
      <c r="A6" s="91" t="s">
        <v>127</v>
      </c>
      <c r="B6" s="215">
        <v>1746952</v>
      </c>
      <c r="C6" s="92">
        <v>11</v>
      </c>
      <c r="D6" s="187">
        <f>+B6*C6</f>
        <v>19216472</v>
      </c>
      <c r="E6" s="187">
        <v>352214753.09414667</v>
      </c>
      <c r="F6" s="188"/>
      <c r="G6" s="91" t="s">
        <v>127</v>
      </c>
      <c r="H6" s="216">
        <v>2208660</v>
      </c>
      <c r="I6" s="92">
        <v>11</v>
      </c>
      <c r="J6" s="187">
        <f>+H6*I6</f>
        <v>24295260</v>
      </c>
      <c r="K6" s="189">
        <v>445302765.37975538</v>
      </c>
      <c r="L6" s="94"/>
      <c r="M6" s="190">
        <f t="shared" si="0"/>
        <v>0.26429346656347741</v>
      </c>
      <c r="N6" s="190">
        <f t="shared" si="0"/>
        <v>0.26429333657334442</v>
      </c>
    </row>
    <row r="7" spans="1:14" x14ac:dyDescent="0.2">
      <c r="A7" s="98" t="s">
        <v>83</v>
      </c>
      <c r="B7" s="91"/>
      <c r="C7" s="99">
        <f>SUM(C8:C9)</f>
        <v>22</v>
      </c>
      <c r="D7" s="96">
        <f>SUM(D8:D9)</f>
        <v>37346094</v>
      </c>
      <c r="E7" s="96">
        <f>SUM(E8:E9)</f>
        <v>684508775.64465141</v>
      </c>
      <c r="F7" s="184"/>
      <c r="G7" s="98" t="s">
        <v>83</v>
      </c>
      <c r="H7" s="213"/>
      <c r="I7" s="99">
        <f>SUM(I8:I9)</f>
        <v>22</v>
      </c>
      <c r="J7" s="96">
        <f>SUM(J8:J9)</f>
        <v>45950277.510000005</v>
      </c>
      <c r="K7" s="185">
        <f>SUM(K8:K9)</f>
        <v>842213201.35714138</v>
      </c>
      <c r="L7" s="90"/>
      <c r="M7" s="186">
        <f t="shared" si="0"/>
        <v>0.23039045288109664</v>
      </c>
      <c r="N7" s="186">
        <f t="shared" si="0"/>
        <v>0.23039065578665269</v>
      </c>
    </row>
    <row r="8" spans="1:14" x14ac:dyDescent="0.2">
      <c r="A8" s="100" t="s">
        <v>10</v>
      </c>
      <c r="B8" s="215">
        <v>1746952</v>
      </c>
      <c r="C8" s="92">
        <v>17</v>
      </c>
      <c r="D8" s="187">
        <f>+B8*C8</f>
        <v>29698184</v>
      </c>
      <c r="E8" s="187">
        <v>544331891.14549923</v>
      </c>
      <c r="F8" s="188"/>
      <c r="G8" s="100" t="s">
        <v>10</v>
      </c>
      <c r="H8" s="216">
        <v>2208660</v>
      </c>
      <c r="I8" s="92">
        <v>17</v>
      </c>
      <c r="J8" s="187">
        <v>37547214.390000001</v>
      </c>
      <c r="K8" s="187">
        <v>688195182.859622</v>
      </c>
      <c r="L8" s="90"/>
      <c r="M8" s="190">
        <f t="shared" si="0"/>
        <v>0.26429327766303828</v>
      </c>
      <c r="N8" s="190">
        <f t="shared" si="0"/>
        <v>0.26429333657334492</v>
      </c>
    </row>
    <row r="9" spans="1:14" x14ac:dyDescent="0.2">
      <c r="A9" s="100" t="s">
        <v>345</v>
      </c>
      <c r="B9" s="215">
        <v>1529582</v>
      </c>
      <c r="C9" s="92">
        <v>5</v>
      </c>
      <c r="D9" s="187">
        <f>+B9*C9</f>
        <v>7647910</v>
      </c>
      <c r="E9" s="187">
        <v>140176884.49915212</v>
      </c>
      <c r="F9" s="188"/>
      <c r="G9" s="100" t="s">
        <v>346</v>
      </c>
      <c r="H9" s="216">
        <v>1680615</v>
      </c>
      <c r="I9" s="93">
        <v>5</v>
      </c>
      <c r="J9" s="187">
        <v>8403063.120000001</v>
      </c>
      <c r="K9" s="187">
        <v>154018018.49751937</v>
      </c>
      <c r="L9" s="90"/>
      <c r="M9" s="190">
        <f t="shared" si="0"/>
        <v>9.8739802115872313E-2</v>
      </c>
      <c r="N9" s="190">
        <f t="shared" si="0"/>
        <v>9.8740488118431322E-2</v>
      </c>
    </row>
    <row r="10" spans="1:14" x14ac:dyDescent="0.2">
      <c r="A10" s="90"/>
      <c r="B10" s="90"/>
      <c r="C10" s="90"/>
      <c r="D10" s="90"/>
      <c r="E10" s="90"/>
      <c r="F10" s="90"/>
      <c r="G10" s="90"/>
      <c r="H10" s="90"/>
      <c r="I10" s="90"/>
      <c r="J10" s="90"/>
      <c r="K10" s="90"/>
      <c r="L10" s="90"/>
      <c r="M10" s="90"/>
      <c r="N10" s="90"/>
    </row>
    <row r="11" spans="1:14" ht="13.5" thickBot="1" x14ac:dyDescent="0.25">
      <c r="A11" s="90"/>
      <c r="B11" s="90"/>
      <c r="C11" s="90"/>
      <c r="D11" s="90"/>
      <c r="E11" s="90"/>
      <c r="F11" s="90"/>
      <c r="G11" s="90"/>
      <c r="H11" s="90"/>
      <c r="I11" s="90"/>
      <c r="J11" s="90"/>
      <c r="K11" s="90"/>
      <c r="L11" s="90"/>
      <c r="M11" s="90"/>
      <c r="N11" s="90"/>
    </row>
    <row r="12" spans="1:14" ht="15.75" thickBot="1" x14ac:dyDescent="0.3">
      <c r="A12" s="191" t="s">
        <v>395</v>
      </c>
      <c r="B12" s="214"/>
      <c r="C12" s="192"/>
      <c r="D12" s="193">
        <f>+K5-E5</f>
        <v>93088012.285608709</v>
      </c>
      <c r="E12" s="90"/>
      <c r="F12" s="90"/>
      <c r="G12" s="90"/>
      <c r="H12" s="90"/>
      <c r="I12" s="90"/>
      <c r="J12" s="90"/>
      <c r="K12" s="90"/>
      <c r="L12" s="90"/>
      <c r="M12" s="90"/>
      <c r="N12" s="90"/>
    </row>
    <row r="13" spans="1:14" ht="15.75" thickBot="1" x14ac:dyDescent="0.3">
      <c r="A13" s="191" t="s">
        <v>396</v>
      </c>
      <c r="B13" s="214"/>
      <c r="C13" s="192"/>
      <c r="D13" s="193">
        <f>+K7-E7</f>
        <v>157704425.71248996</v>
      </c>
      <c r="E13" s="90"/>
      <c r="F13" s="90"/>
      <c r="G13" s="90"/>
      <c r="H13" s="90"/>
      <c r="I13" s="90"/>
      <c r="J13" s="90"/>
      <c r="K13" s="90"/>
      <c r="L13" s="90"/>
      <c r="M13" s="90"/>
      <c r="N13" s="90"/>
    </row>
    <row r="14" spans="1:14" ht="13.5" thickBot="1" x14ac:dyDescent="0.25">
      <c r="A14" s="90"/>
      <c r="B14" s="90"/>
      <c r="C14" s="90"/>
      <c r="D14" s="90"/>
      <c r="E14" s="90"/>
      <c r="F14" s="90"/>
      <c r="G14" s="90"/>
      <c r="H14" s="90"/>
      <c r="I14" s="90"/>
      <c r="J14" s="90"/>
      <c r="K14" s="90"/>
      <c r="L14" s="90"/>
      <c r="M14" s="90"/>
      <c r="N14" s="90"/>
    </row>
    <row r="15" spans="1:14" ht="15.75" thickBot="1" x14ac:dyDescent="0.3">
      <c r="A15" s="191" t="s">
        <v>397</v>
      </c>
      <c r="B15" s="214"/>
      <c r="C15" s="192"/>
      <c r="D15" s="193">
        <f>+D12+D13</f>
        <v>250792437.99809867</v>
      </c>
      <c r="E15" s="90"/>
      <c r="F15" s="90"/>
      <c r="G15" s="90"/>
      <c r="H15" s="90"/>
      <c r="I15" s="90"/>
      <c r="J15" s="90"/>
      <c r="K15" s="90"/>
      <c r="L15" s="90"/>
      <c r="M15" s="90"/>
      <c r="N15" s="90"/>
    </row>
    <row r="16" spans="1:14" x14ac:dyDescent="0.2">
      <c r="A16" s="90"/>
      <c r="B16" s="90"/>
      <c r="C16" s="90"/>
      <c r="D16" s="90"/>
      <c r="E16" s="90"/>
      <c r="F16" s="90"/>
      <c r="G16" s="90"/>
      <c r="H16" s="90"/>
      <c r="I16" s="90"/>
      <c r="J16" s="90"/>
      <c r="K16" s="90"/>
      <c r="L16" s="90"/>
      <c r="M16" s="90"/>
      <c r="N16" s="90"/>
    </row>
    <row r="17" spans="1:14" ht="14.25" x14ac:dyDescent="0.2">
      <c r="A17" s="194" t="s">
        <v>404</v>
      </c>
      <c r="B17" s="194"/>
      <c r="C17" s="90"/>
      <c r="D17" s="90"/>
      <c r="E17" s="90"/>
      <c r="F17" s="90"/>
      <c r="G17" s="90"/>
      <c r="H17" s="90"/>
      <c r="I17" s="90"/>
      <c r="J17" s="90"/>
      <c r="K17" s="90"/>
      <c r="L17" s="90"/>
      <c r="M17" s="90"/>
      <c r="N17" s="90"/>
    </row>
    <row r="18" spans="1:14" ht="14.25" x14ac:dyDescent="0.2">
      <c r="A18" s="194" t="s">
        <v>405</v>
      </c>
      <c r="B18" s="194"/>
      <c r="C18" s="90"/>
      <c r="D18" s="90"/>
      <c r="E18" s="90"/>
      <c r="F18" s="90"/>
      <c r="G18" s="90"/>
      <c r="H18" s="90"/>
      <c r="I18" s="90"/>
      <c r="J18" s="90"/>
      <c r="K18" s="90"/>
      <c r="L18" s="90"/>
      <c r="M18" s="90"/>
      <c r="N18" s="90"/>
    </row>
    <row r="19" spans="1:14" ht="14.25" x14ac:dyDescent="0.2">
      <c r="A19" s="347"/>
      <c r="B19" s="347"/>
      <c r="C19" s="90"/>
      <c r="D19" s="90"/>
      <c r="E19" s="90"/>
      <c r="F19" s="90"/>
      <c r="G19" s="90"/>
      <c r="H19" s="90"/>
      <c r="I19" s="90"/>
      <c r="J19" s="90"/>
      <c r="K19" s="90"/>
      <c r="L19" s="90"/>
      <c r="M19" s="90"/>
      <c r="N19" s="90"/>
    </row>
    <row r="20" spans="1:14" x14ac:dyDescent="0.2">
      <c r="A20" s="90"/>
      <c r="B20" s="90"/>
      <c r="C20" s="90"/>
      <c r="D20" s="90"/>
      <c r="E20" s="90"/>
      <c r="F20" s="90"/>
      <c r="G20" s="90"/>
      <c r="H20" s="90"/>
      <c r="I20" s="90"/>
      <c r="J20" s="90"/>
      <c r="K20" s="90"/>
      <c r="L20" s="90"/>
      <c r="M20" s="90"/>
      <c r="N20" s="90"/>
    </row>
  </sheetData>
  <mergeCells count="4">
    <mergeCell ref="A1:E1"/>
    <mergeCell ref="G1:N1"/>
    <mergeCell ref="A2:E2"/>
    <mergeCell ref="G2:N2"/>
  </mergeCells>
  <pageMargins left="0.7" right="0.7" top="0.75" bottom="0.75" header="0.3" footer="0.3"/>
  <pageSetup paperSize="9" orientation="portrait" r:id="rId1"/>
  <ignoredErrors>
    <ignoredError sqref="D7" formula="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120" zoomScaleNormal="120" workbookViewId="0">
      <pane xSplit="1" ySplit="2" topLeftCell="B3" activePane="bottomRight" state="frozen"/>
      <selection pane="topRight" activeCell="B1" sqref="B1"/>
      <selection pane="bottomLeft" activeCell="A3" sqref="A3"/>
      <selection pane="bottomRight" activeCell="C23" sqref="C23"/>
    </sheetView>
  </sheetViews>
  <sheetFormatPr baseColWidth="10" defaultRowHeight="12.75" x14ac:dyDescent="0.2"/>
  <cols>
    <col min="1" max="1" width="24" bestFit="1" customWidth="1"/>
    <col min="2" max="2" width="15" bestFit="1" customWidth="1"/>
    <col min="3" max="3" width="17.28515625" customWidth="1"/>
    <col min="4" max="4" width="13.42578125" bestFit="1" customWidth="1"/>
    <col min="5" max="5" width="14.28515625" style="354" customWidth="1"/>
    <col min="6" max="6" width="15" bestFit="1" customWidth="1"/>
    <col min="7" max="7" width="14" bestFit="1" customWidth="1"/>
  </cols>
  <sheetData>
    <row r="1" spans="1:7" ht="13.5" thickBot="1" x14ac:dyDescent="0.25"/>
    <row r="2" spans="1:7" ht="15.75" thickBot="1" x14ac:dyDescent="0.3">
      <c r="B2" s="374" t="s">
        <v>235</v>
      </c>
      <c r="C2" s="374" t="s">
        <v>304</v>
      </c>
      <c r="D2" s="375" t="s">
        <v>386</v>
      </c>
      <c r="E2" s="376" t="s">
        <v>387</v>
      </c>
    </row>
    <row r="3" spans="1:7" ht="15" x14ac:dyDescent="0.25">
      <c r="A3" s="356" t="s">
        <v>398</v>
      </c>
      <c r="B3" s="357">
        <v>205464089.33520001</v>
      </c>
      <c r="C3" s="357">
        <f>+'Nómina y honorarios 2016'!Y12</f>
        <v>57366911.700460792</v>
      </c>
      <c r="D3" s="357">
        <f t="shared" ref="D3:D10" si="0">+C3-B3</f>
        <v>-148097177.63473922</v>
      </c>
      <c r="E3" s="358">
        <f t="shared" ref="E3:E10" si="1">+(C3-B3)/B3</f>
        <v>-0.72079348811718258</v>
      </c>
    </row>
    <row r="4" spans="1:7" ht="15" x14ac:dyDescent="0.25">
      <c r="A4" s="359" t="s">
        <v>399</v>
      </c>
      <c r="B4" s="355">
        <v>1041885766.1717557</v>
      </c>
      <c r="C4" s="355">
        <f>+'Nómina y honorarios 2016'!Y21</f>
        <v>302500318.44276613</v>
      </c>
      <c r="D4" s="355">
        <f t="shared" si="0"/>
        <v>-739385447.7289896</v>
      </c>
      <c r="E4" s="360">
        <f t="shared" si="1"/>
        <v>-0.70966076295076419</v>
      </c>
    </row>
    <row r="5" spans="1:7" ht="15" x14ac:dyDescent="0.25">
      <c r="A5" s="359" t="s">
        <v>400</v>
      </c>
      <c r="B5" s="355">
        <v>298546405.52863687</v>
      </c>
      <c r="C5" s="355">
        <f>+'Nómina y honorarios 2016'!Y38</f>
        <v>82955467.854830369</v>
      </c>
      <c r="D5" s="355">
        <f t="shared" si="0"/>
        <v>-215590937.67380649</v>
      </c>
      <c r="E5" s="361">
        <f t="shared" si="1"/>
        <v>-0.72213543248681578</v>
      </c>
    </row>
    <row r="6" spans="1:7" ht="15" x14ac:dyDescent="0.25">
      <c r="A6" s="359" t="s">
        <v>388</v>
      </c>
      <c r="B6" s="355">
        <v>337667727.63681579</v>
      </c>
      <c r="C6" s="355">
        <f>+'Nómina y honorarios 2016'!Y48</f>
        <v>93986001.708424911</v>
      </c>
      <c r="D6" s="355">
        <f t="shared" si="0"/>
        <v>-243681725.92839086</v>
      </c>
      <c r="E6" s="361">
        <f t="shared" si="1"/>
        <v>-0.72166128410852115</v>
      </c>
    </row>
    <row r="7" spans="1:7" ht="15" x14ac:dyDescent="0.25">
      <c r="A7" s="359" t="s">
        <v>389</v>
      </c>
      <c r="B7" s="355">
        <v>290272116.90190256</v>
      </c>
      <c r="C7" s="355">
        <f>+'Nómina y honorarios 2016'!Y57</f>
        <v>80658871.535412505</v>
      </c>
      <c r="D7" s="355">
        <f t="shared" si="0"/>
        <v>-209613245.36649007</v>
      </c>
      <c r="E7" s="361">
        <f t="shared" si="1"/>
        <v>-0.72212669822960929</v>
      </c>
    </row>
    <row r="8" spans="1:7" ht="15" x14ac:dyDescent="0.25">
      <c r="A8" s="359" t="s">
        <v>401</v>
      </c>
      <c r="B8" s="355">
        <v>39762482.674040005</v>
      </c>
      <c r="C8" s="355">
        <f>+'Nómina y honorarios 2016'!Y64</f>
        <v>11211311.788364522</v>
      </c>
      <c r="D8" s="355">
        <f t="shared" si="0"/>
        <v>-28551170.885675482</v>
      </c>
      <c r="E8" s="361">
        <f t="shared" si="1"/>
        <v>-0.71804296325580985</v>
      </c>
    </row>
    <row r="9" spans="1:7" ht="15.75" thickBot="1" x14ac:dyDescent="0.3">
      <c r="A9" s="362" t="s">
        <v>109</v>
      </c>
      <c r="B9" s="363">
        <v>1064466579.5451795</v>
      </c>
      <c r="C9" s="363">
        <f>+'Nómina y honorarios 2016'!Y69</f>
        <v>313915252.41793996</v>
      </c>
      <c r="D9" s="363">
        <f t="shared" si="0"/>
        <v>-750551327.12723947</v>
      </c>
      <c r="E9" s="364">
        <f t="shared" si="1"/>
        <v>-0.70509618765854698</v>
      </c>
    </row>
    <row r="10" spans="1:7" ht="15.75" thickBot="1" x14ac:dyDescent="0.3">
      <c r="A10" s="377" t="s">
        <v>390</v>
      </c>
      <c r="B10" s="378">
        <f>SUM(B3:B9)</f>
        <v>3278065167.79353</v>
      </c>
      <c r="C10" s="379">
        <f>SUM(C3:C9)</f>
        <v>942594135.44819927</v>
      </c>
      <c r="D10" s="378">
        <f t="shared" si="0"/>
        <v>-2335471032.3453307</v>
      </c>
      <c r="E10" s="380">
        <f t="shared" si="1"/>
        <v>-0.71245411936619285</v>
      </c>
    </row>
    <row r="11" spans="1:7" ht="15" x14ac:dyDescent="0.25">
      <c r="B11" s="351"/>
      <c r="C11" s="352"/>
      <c r="D11" s="351"/>
      <c r="E11" s="353"/>
      <c r="F11" s="352"/>
      <c r="G11" s="349"/>
    </row>
    <row r="12" spans="1:7" ht="15.75" thickBot="1" x14ac:dyDescent="0.3">
      <c r="B12" s="351"/>
      <c r="C12" s="352"/>
      <c r="D12" s="351"/>
      <c r="E12" s="353"/>
      <c r="F12" s="352"/>
      <c r="G12" s="349"/>
    </row>
    <row r="13" spans="1:7" ht="15.75" thickBot="1" x14ac:dyDescent="0.3">
      <c r="B13" s="372" t="s">
        <v>235</v>
      </c>
      <c r="C13" s="372" t="s">
        <v>304</v>
      </c>
      <c r="D13" s="372" t="s">
        <v>386</v>
      </c>
      <c r="E13" s="373" t="s">
        <v>387</v>
      </c>
    </row>
    <row r="14" spans="1:7" ht="15" x14ac:dyDescent="0.25">
      <c r="A14" s="356" t="s">
        <v>391</v>
      </c>
      <c r="B14" s="357">
        <v>657397415</v>
      </c>
      <c r="C14" s="367">
        <f>+'Nómina y honorarios 2016'!Y22+'Nómina y honorarios 2016'!Y40+'Nómina y honorarios 2016'!Y49+'Nómina y honorarios 2016'!Y58+'Nómina y honorarios 2016'!Y70</f>
        <v>179260460.882269</v>
      </c>
      <c r="D14" s="368">
        <f>+C14-B14</f>
        <v>-478136954.11773098</v>
      </c>
      <c r="E14" s="358">
        <f t="shared" ref="E14:E19" si="2">+(C14-B14)/B14</f>
        <v>-0.72731797115102892</v>
      </c>
    </row>
    <row r="15" spans="1:7" ht="15" x14ac:dyDescent="0.25">
      <c r="A15" s="359" t="s">
        <v>392</v>
      </c>
      <c r="B15" s="355">
        <v>352214753.09414667</v>
      </c>
      <c r="C15" s="365">
        <f>+'Nómina y honorarios 2016'!Y31</f>
        <v>108245781.07280254</v>
      </c>
      <c r="D15" s="366">
        <f>+C15-B15</f>
        <v>-243968972.02134413</v>
      </c>
      <c r="E15" s="361">
        <f t="shared" si="2"/>
        <v>-0.69267107603562383</v>
      </c>
    </row>
    <row r="16" spans="1:7" ht="15" x14ac:dyDescent="0.25">
      <c r="A16" s="359" t="s">
        <v>393</v>
      </c>
      <c r="B16" s="355">
        <v>544331891.14549923</v>
      </c>
      <c r="C16" s="365">
        <f>+'Nómina y honorarios 2016'!Y74</f>
        <v>167288934.38524029</v>
      </c>
      <c r="D16" s="366">
        <f>+C16-B16</f>
        <v>-377042956.76025891</v>
      </c>
      <c r="E16" s="361">
        <f t="shared" si="2"/>
        <v>-0.69267107603562361</v>
      </c>
    </row>
    <row r="17" spans="1:5" ht="15" x14ac:dyDescent="0.25">
      <c r="A17" s="359" t="s">
        <v>403</v>
      </c>
      <c r="B17" s="355">
        <v>140176884.49915212</v>
      </c>
      <c r="C17" s="365">
        <f>+'Nómina y honorarios 2016'!Y75</f>
        <v>40674741.51949881</v>
      </c>
      <c r="D17" s="366">
        <f>+C17-B17</f>
        <v>-99502142.979653314</v>
      </c>
      <c r="E17" s="361">
        <f t="shared" si="2"/>
        <v>-0.70983274692665299</v>
      </c>
    </row>
    <row r="18" spans="1:5" ht="15.75" thickBot="1" x14ac:dyDescent="0.3">
      <c r="A18" s="362" t="s">
        <v>402</v>
      </c>
      <c r="B18" s="355">
        <v>1583944224</v>
      </c>
      <c r="C18" s="369">
        <f>+'Nómina y honorarios 2016'!Y82-'Nómina y honorarios 2016'!Y22-'Nómina y honorarios 2016'!Y40-'Nómina y honorarios 2016'!Y49-'Nómina y honorarios 2016'!Y58-'Nómina y honorarios 2016'!Y70-'Nómina y honorarios 2016'!Y31-'Nómina y honorarios 2016'!Y74-'Nómina y honorarios 2016'!Y75</f>
        <v>447124217.58838844</v>
      </c>
      <c r="D18" s="370">
        <f>+C18-B18</f>
        <v>-1136820006.4116116</v>
      </c>
      <c r="E18" s="371">
        <f t="shared" si="2"/>
        <v>-0.71771467024309288</v>
      </c>
    </row>
    <row r="19" spans="1:5" ht="15.75" thickBot="1" x14ac:dyDescent="0.3">
      <c r="A19" s="375" t="s">
        <v>394</v>
      </c>
      <c r="B19" s="381">
        <f>SUM(B14:B18)</f>
        <v>3278065167.7387981</v>
      </c>
      <c r="C19" s="379">
        <f>SUM(C14:C18)</f>
        <v>942594135.44819915</v>
      </c>
      <c r="D19" s="379">
        <f>SUM(D14:D18)</f>
        <v>-2335471032.2905989</v>
      </c>
      <c r="E19" s="382">
        <f t="shared" si="2"/>
        <v>-0.71245411936139191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10</vt:i4>
      </vt:variant>
    </vt:vector>
  </HeadingPairs>
  <TitlesOfParts>
    <vt:vector size="17" baseType="lpstr">
      <vt:lpstr>Anexo 1 Minagricultura</vt:lpstr>
      <vt:lpstr>Otros ingresos</vt:lpstr>
      <vt:lpstr>Anexo 2 </vt:lpstr>
      <vt:lpstr>Funcionamiento</vt:lpstr>
      <vt:lpstr>Nómina y honorarios 2016</vt:lpstr>
      <vt:lpstr>Ajuste salarios Coordinadores </vt:lpstr>
      <vt:lpstr>Detalle Incremento Nomina</vt:lpstr>
      <vt:lpstr>'Anexo 1 Minagricultura'!Área_de_impresión</vt:lpstr>
      <vt:lpstr>'Anexo 2 '!Área_de_impresión</vt:lpstr>
      <vt:lpstr>Funcionamiento!Área_de_impresión</vt:lpstr>
      <vt:lpstr>'Nómina y honorarios 2016'!Área_de_impresión</vt:lpstr>
      <vt:lpstr>'Otros ingresos'!Área_de_impresión</vt:lpstr>
      <vt:lpstr>'Anexo 1 Minagricultura'!Títulos_a_imprimir</vt:lpstr>
      <vt:lpstr>'Anexo 2 '!Títulos_a_imprimir</vt:lpstr>
      <vt:lpstr>Funcionamiento!Títulos_a_imprimir</vt:lpstr>
      <vt:lpstr>'Nómina y honorarios 2016'!Títulos_a_imprimir</vt:lpstr>
      <vt:lpstr>VTAS2005</vt:lpstr>
    </vt:vector>
  </TitlesOfParts>
  <Company>Fondo  Nal. de la Porcicultura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davidgomez</dc:creator>
  <cp:lastModifiedBy>Oscar Rubio</cp:lastModifiedBy>
  <cp:lastPrinted>2016-07-28T15:10:59Z</cp:lastPrinted>
  <dcterms:created xsi:type="dcterms:W3CDTF">2004-09-15T00:05:45Z</dcterms:created>
  <dcterms:modified xsi:type="dcterms:W3CDTF">2019-10-16T17:44:01Z</dcterms:modified>
</cp:coreProperties>
</file>