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5. PRESUPUESTO\Presupuesto general\2019\Ingreso\"/>
    </mc:Choice>
  </mc:AlternateContent>
  <xr:revisionPtr revIDLastSave="0" documentId="8_{34766DE6-3535-435C-A4E7-0D6C1DCE18FB}" xr6:coauthVersionLast="45" xr6:coauthVersionMax="45" xr10:uidLastSave="{00000000-0000-0000-0000-000000000000}"/>
  <bookViews>
    <workbookView xWindow="-120" yWindow="-120" windowWidth="20730" windowHeight="11160" xr2:uid="{333C4259-E07B-488E-8343-AD41C68EAD4B}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hidden="1">#REF!</definedName>
    <definedName name="ANEXO" hidden="1">'[2]Inversión total en programas'!$50:$50,'[2]Inversión total en programas'!$60:$63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'[3]Anexo 1 Minagricultura'!#REF!</definedName>
    <definedName name="CABEZAS_PROYEC" localSheetId="0">'Anexo 1'!#REF!</definedName>
    <definedName name="CABEZAS_PROYEC">'[4]Anexo 1 Minagricultura'!#REF!</definedName>
    <definedName name="CONTRATOS">#REF!</definedName>
    <definedName name="CUOTAPPC2005" localSheetId="0">'Anexo 1'!$B$14</definedName>
    <definedName name="CUOTAPPC2005">'[4]Anexo 1 Minagricultura'!#REF!</definedName>
    <definedName name="CUOTAPPC2013">'[5]Anexo 1 Minagricultura'!#REF!</definedName>
    <definedName name="CUOTAPPC203">'[5]Anexo 1 Minagricultura'!#REF!</definedName>
    <definedName name="DIAG_PPC">'[2]Inversión total en programas'!$B$86</definedName>
    <definedName name="DIRECCION">[6]consecutivo!$M$9:$M$13</definedName>
    <definedName name="DISTRIBUIDOR">#REF!</definedName>
    <definedName name="Dólar">#REF!</definedName>
    <definedName name="eeeee">#REF!</definedName>
    <definedName name="EPPC" localSheetId="0">'Anexo 1'!#REF!</definedName>
    <definedName name="EPPC">'[4]Anexo 1 Minagricultura'!#REF!</definedName>
    <definedName name="Euro">#REF!</definedName>
    <definedName name="FDGFDG" localSheetId="0">#REF!</definedName>
    <definedName name="FDGFDG">#REF!</definedName>
    <definedName name="FECHA_DE_RECIBIDO">[7]BASE!$E$3:$E$177</definedName>
    <definedName name="FOMENTO" localSheetId="0">'Anexo 1'!#REF!</definedName>
    <definedName name="FOMENTO">'[4]Anexo 1 Minagricultura'!#REF!</definedName>
    <definedName name="FOMENTOS">'[8]Anexo 1 Minagricultura'!$C$51</definedName>
    <definedName name="fondo">#REF!</definedName>
    <definedName name="GTOSEPPC">'[2]Inversión total en programas'!$C$35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'[9]Inversión total en programas'!$B$86</definedName>
    <definedName name="RESERV_FUTU">#REF!</definedName>
    <definedName name="saldo">#REF!</definedName>
    <definedName name="saldos">#REF!</definedName>
    <definedName name="SUPERA2004" localSheetId="0">'Anexo 1'!#REF!</definedName>
    <definedName name="SUPERA2004">'[4]Anexo 1 Minagricultura'!#REF!</definedName>
    <definedName name="SUPERA2005" localSheetId="0">'Anexo 1'!#REF!</definedName>
    <definedName name="SUPERA2005">'[4]Anexo 1 Minagricultura'!#REF!</definedName>
    <definedName name="SUPERA2010">'[9]Anexo 1 Minagricultura'!$C$21</definedName>
    <definedName name="SUPERA2012">'[5]Anexo 1 Minagricultura'!#REF!</definedName>
    <definedName name="SUPERAVIT">#REF!</definedName>
    <definedName name="SUPERAVIT2005_FNP">#REF!</definedName>
    <definedName name="SUPERAVITPPC_2005">#REF!</definedName>
    <definedName name="TIPOS">#REF!</definedName>
    <definedName name="VTAS2005" localSheetId="0">'Anexo 1'!$B$31</definedName>
    <definedName name="VTAS2005">'[4]Anexo 1 Minagricultura'!#REF!</definedName>
    <definedName name="xx">[10]Ingresos!$C$19</definedName>
    <definedName name="Z_4099E833_BB74_4680_85C9_A6CF399D1CE2_.wvu.Cols" localSheetId="0" hidden="1">'[3]Nómina 2004'!$C:$E,'[3]Nómina 2004'!$H:$I,'[3]Nómina 2004'!$L:$P,'[3]Nómina 2004'!$AF:$AH</definedName>
    <definedName name="Z_4099E833_BB74_4680_85C9_A6CF399D1CE2_.wvu.Cols" hidden="1">'[4]Nómina 2004'!$C:$E,'[4]Nómina 2004'!$H:$I,'[4]Nómina 2004'!$L:$P,'[4]Nómina 2004'!$AF:$AH</definedName>
    <definedName name="Z_4099E833_BB74_4680_85C9_A6CF399D1CE2_.wvu.FilterData" hidden="1">#REF!</definedName>
    <definedName name="Z_4099E833_BB74_4680_85C9_A6CF399D1CE2_.wvu.PrintArea" localSheetId="0" hidden="1">'Anexo 1'!$A$1:$B$37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localSheetId="0" hidden="1">'[3]Inversión total en programas'!$50:$50,'[3]Inversión total en programas'!$60:$63</definedName>
    <definedName name="Z_4099E833_BB74_4680_85C9_A6CF399D1CE2_.wvu.Rows" hidden="1">'[4]Inversión total en programas'!$50:$50,'[4]Inversión total en programas'!$60:$63</definedName>
    <definedName name="ZFRONTERA">'[11]Ingresos 2014'!#REF!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K10" i="1"/>
  <c r="Q10" i="1"/>
  <c r="B12" i="1"/>
  <c r="B10" i="1" s="1"/>
  <c r="C12" i="1"/>
  <c r="D12" i="1"/>
  <c r="D10" i="1" s="1"/>
  <c r="E12" i="1"/>
  <c r="F12" i="1"/>
  <c r="F10" i="1" s="1"/>
  <c r="H12" i="1"/>
  <c r="H10" i="1" s="1"/>
  <c r="J12" i="1"/>
  <c r="J10" i="1" s="1"/>
  <c r="K12" i="1"/>
  <c r="M12" i="1"/>
  <c r="N12" i="1"/>
  <c r="N10" i="1" s="1"/>
  <c r="P12" i="1"/>
  <c r="P10" i="1" s="1"/>
  <c r="Q12" i="1"/>
  <c r="V12" i="1"/>
  <c r="V10" i="1" s="1"/>
  <c r="F13" i="1"/>
  <c r="G13" i="1"/>
  <c r="G12" i="1" s="1"/>
  <c r="G10" i="1" s="1"/>
  <c r="L13" i="1"/>
  <c r="L12" i="1" s="1"/>
  <c r="O13" i="1"/>
  <c r="R13" i="1"/>
  <c r="R12" i="1" s="1"/>
  <c r="T13" i="1"/>
  <c r="T12" i="1" s="1"/>
  <c r="T10" i="1" s="1"/>
  <c r="U13" i="1"/>
  <c r="U12" i="1" s="1"/>
  <c r="U10" i="1" s="1"/>
  <c r="W13" i="1"/>
  <c r="W12" i="1" s="1"/>
  <c r="F14" i="1"/>
  <c r="G14" i="1"/>
  <c r="I14" i="1"/>
  <c r="I42" i="1" s="1"/>
  <c r="I44" i="1" s="1"/>
  <c r="L14" i="1"/>
  <c r="O14" i="1"/>
  <c r="O12" i="1" s="1"/>
  <c r="O10" i="1" s="1"/>
  <c r="R14" i="1"/>
  <c r="T14" i="1"/>
  <c r="U14" i="1"/>
  <c r="W14" i="1"/>
  <c r="X14" i="1"/>
  <c r="Y14" i="1" s="1"/>
  <c r="B16" i="1"/>
  <c r="C16" i="1"/>
  <c r="D16" i="1"/>
  <c r="E16" i="1"/>
  <c r="E10" i="1" s="1"/>
  <c r="G16" i="1"/>
  <c r="H16" i="1"/>
  <c r="J16" i="1"/>
  <c r="K16" i="1"/>
  <c r="M16" i="1"/>
  <c r="M10" i="1" s="1"/>
  <c r="N16" i="1"/>
  <c r="O16" i="1"/>
  <c r="P16" i="1"/>
  <c r="Q16" i="1"/>
  <c r="T16" i="1"/>
  <c r="U16" i="1"/>
  <c r="V16" i="1"/>
  <c r="W16" i="1"/>
  <c r="F17" i="1"/>
  <c r="F16" i="1" s="1"/>
  <c r="I17" i="1"/>
  <c r="L17" i="1"/>
  <c r="S17" i="1" s="1"/>
  <c r="S16" i="1" s="1"/>
  <c r="O17" i="1"/>
  <c r="R17" i="1"/>
  <c r="R16" i="1" s="1"/>
  <c r="X17" i="1"/>
  <c r="X16" i="1" s="1"/>
  <c r="F18" i="1"/>
  <c r="I18" i="1"/>
  <c r="I16" i="1" s="1"/>
  <c r="L18" i="1"/>
  <c r="O18" i="1"/>
  <c r="R18" i="1"/>
  <c r="S18" i="1"/>
  <c r="Z18" i="1" s="1"/>
  <c r="X18" i="1"/>
  <c r="AB18" i="1" s="1"/>
  <c r="Y18" i="1"/>
  <c r="AA18" i="1"/>
  <c r="B20" i="1"/>
  <c r="C20" i="1"/>
  <c r="D20" i="1"/>
  <c r="E20" i="1"/>
  <c r="F20" i="1"/>
  <c r="G20" i="1"/>
  <c r="H20" i="1"/>
  <c r="J20" i="1"/>
  <c r="K20" i="1"/>
  <c r="M20" i="1"/>
  <c r="N20" i="1"/>
  <c r="P20" i="1"/>
  <c r="Q20" i="1"/>
  <c r="T20" i="1"/>
  <c r="U20" i="1"/>
  <c r="V20" i="1"/>
  <c r="F21" i="1"/>
  <c r="I21" i="1"/>
  <c r="I20" i="1" s="1"/>
  <c r="L21" i="1"/>
  <c r="O21" i="1"/>
  <c r="O20" i="1" s="1"/>
  <c r="P21" i="1"/>
  <c r="R21" i="1" s="1"/>
  <c r="W21" i="1"/>
  <c r="X21" i="1" s="1"/>
  <c r="F22" i="1"/>
  <c r="I22" i="1"/>
  <c r="S22" i="1" s="1"/>
  <c r="Z22" i="1" s="1"/>
  <c r="L22" i="1"/>
  <c r="L42" i="1" s="1"/>
  <c r="L44" i="1" s="1"/>
  <c r="O22" i="1"/>
  <c r="R22" i="1"/>
  <c r="X22" i="1"/>
  <c r="Y22" i="1" s="1"/>
  <c r="AB22" i="1"/>
  <c r="I23" i="1"/>
  <c r="H24" i="1"/>
  <c r="H37" i="1" s="1"/>
  <c r="P24" i="1"/>
  <c r="P37" i="1" s="1"/>
  <c r="B26" i="1"/>
  <c r="C26" i="1"/>
  <c r="D26" i="1"/>
  <c r="E26" i="1"/>
  <c r="E24" i="1" s="1"/>
  <c r="E37" i="1" s="1"/>
  <c r="G26" i="1"/>
  <c r="G24" i="1" s="1"/>
  <c r="G37" i="1" s="1"/>
  <c r="H26" i="1"/>
  <c r="I26" i="1"/>
  <c r="I24" i="1" s="1"/>
  <c r="J26" i="1"/>
  <c r="K26" i="1"/>
  <c r="K24" i="1" s="1"/>
  <c r="K37" i="1" s="1"/>
  <c r="M26" i="1"/>
  <c r="M24" i="1" s="1"/>
  <c r="N26" i="1"/>
  <c r="N24" i="1" s="1"/>
  <c r="N37" i="1" s="1"/>
  <c r="O26" i="1"/>
  <c r="P26" i="1"/>
  <c r="Q26" i="1"/>
  <c r="Q24" i="1" s="1"/>
  <c r="Q37" i="1" s="1"/>
  <c r="U26" i="1"/>
  <c r="U24" i="1" s="1"/>
  <c r="U37" i="1" s="1"/>
  <c r="F27" i="1"/>
  <c r="F26" i="1" s="1"/>
  <c r="I27" i="1"/>
  <c r="S27" i="1" s="1"/>
  <c r="L27" i="1"/>
  <c r="L26" i="1" s="1"/>
  <c r="O27" i="1"/>
  <c r="R27" i="1"/>
  <c r="R26" i="1" s="1"/>
  <c r="R24" i="1" s="1"/>
  <c r="T27" i="1"/>
  <c r="T26" i="1" s="1"/>
  <c r="V27" i="1"/>
  <c r="W27" i="1"/>
  <c r="X27" i="1" s="1"/>
  <c r="F28" i="1"/>
  <c r="I28" i="1"/>
  <c r="S28" i="1" s="1"/>
  <c r="Z28" i="1" s="1"/>
  <c r="L28" i="1"/>
  <c r="O28" i="1"/>
  <c r="R28" i="1"/>
  <c r="T28" i="1"/>
  <c r="X28" i="1" s="1"/>
  <c r="V28" i="1"/>
  <c r="V26" i="1" s="1"/>
  <c r="V24" i="1" s="1"/>
  <c r="V37" i="1" s="1"/>
  <c r="W28" i="1"/>
  <c r="B30" i="1"/>
  <c r="B24" i="1" s="1"/>
  <c r="B37" i="1" s="1"/>
  <c r="E30" i="1"/>
  <c r="G30" i="1"/>
  <c r="H30" i="1"/>
  <c r="J30" i="1"/>
  <c r="J24" i="1" s="1"/>
  <c r="J37" i="1" s="1"/>
  <c r="K30" i="1"/>
  <c r="M30" i="1"/>
  <c r="N30" i="1"/>
  <c r="P30" i="1"/>
  <c r="Q30" i="1"/>
  <c r="U30" i="1"/>
  <c r="V30" i="1"/>
  <c r="F31" i="1"/>
  <c r="I31" i="1"/>
  <c r="I30" i="1" s="1"/>
  <c r="L31" i="1"/>
  <c r="L30" i="1" s="1"/>
  <c r="O31" i="1"/>
  <c r="O30" i="1" s="1"/>
  <c r="R31" i="1"/>
  <c r="X31" i="1"/>
  <c r="Y31" i="1" s="1"/>
  <c r="AA31" i="1"/>
  <c r="AB31" i="1"/>
  <c r="F32" i="1"/>
  <c r="I32" i="1"/>
  <c r="L32" i="1"/>
  <c r="S32" i="1" s="1"/>
  <c r="O32" i="1"/>
  <c r="R32" i="1"/>
  <c r="T32" i="1"/>
  <c r="T39" i="1" s="1"/>
  <c r="T41" i="1" s="1"/>
  <c r="V32" i="1"/>
  <c r="V39" i="1" s="1"/>
  <c r="V41" i="1" s="1"/>
  <c r="W32" i="1"/>
  <c r="W30" i="1" s="1"/>
  <c r="F33" i="1"/>
  <c r="I33" i="1"/>
  <c r="S33" i="1" s="1"/>
  <c r="L33" i="1"/>
  <c r="O33" i="1"/>
  <c r="R33" i="1"/>
  <c r="R30" i="1" s="1"/>
  <c r="T33" i="1"/>
  <c r="V33" i="1"/>
  <c r="W33" i="1"/>
  <c r="X33" i="1" s="1"/>
  <c r="F34" i="1"/>
  <c r="I34" i="1"/>
  <c r="S34" i="1" s="1"/>
  <c r="Z34" i="1" s="1"/>
  <c r="L34" i="1"/>
  <c r="L39" i="1" s="1"/>
  <c r="L41" i="1" s="1"/>
  <c r="O34" i="1"/>
  <c r="R34" i="1"/>
  <c r="T34" i="1"/>
  <c r="X34" i="1" s="1"/>
  <c r="V34" i="1"/>
  <c r="W34" i="1"/>
  <c r="C35" i="1"/>
  <c r="C30" i="1" s="1"/>
  <c r="D35" i="1"/>
  <c r="D30" i="1" s="1"/>
  <c r="D24" i="1" s="1"/>
  <c r="D37" i="1" s="1"/>
  <c r="I35" i="1"/>
  <c r="S35" i="1" s="1"/>
  <c r="L35" i="1"/>
  <c r="O35" i="1"/>
  <c r="O39" i="1" s="1"/>
  <c r="O41" i="1" s="1"/>
  <c r="R35" i="1"/>
  <c r="T35" i="1"/>
  <c r="X35" i="1" s="1"/>
  <c r="V35" i="1"/>
  <c r="W35" i="1"/>
  <c r="L36" i="1"/>
  <c r="AA38" i="1"/>
  <c r="B39" i="1"/>
  <c r="J39" i="1"/>
  <c r="M39" i="1"/>
  <c r="P39" i="1"/>
  <c r="U39" i="1"/>
  <c r="B40" i="1"/>
  <c r="F40" i="1"/>
  <c r="G40" i="1"/>
  <c r="I40" i="1"/>
  <c r="J40" i="1"/>
  <c r="L40" i="1"/>
  <c r="M40" i="1"/>
  <c r="O40" i="1"/>
  <c r="P40" i="1"/>
  <c r="R40" i="1"/>
  <c r="T40" i="1"/>
  <c r="X40" i="1" s="1"/>
  <c r="AA40" i="1" s="1"/>
  <c r="U40" i="1"/>
  <c r="V40" i="1"/>
  <c r="W40" i="1"/>
  <c r="B41" i="1"/>
  <c r="J41" i="1"/>
  <c r="M41" i="1"/>
  <c r="P41" i="1"/>
  <c r="U41" i="1"/>
  <c r="B42" i="1"/>
  <c r="F42" i="1"/>
  <c r="G42" i="1"/>
  <c r="J42" i="1"/>
  <c r="M42" i="1"/>
  <c r="O42" i="1"/>
  <c r="P42" i="1"/>
  <c r="R42" i="1"/>
  <c r="T42" i="1"/>
  <c r="U42" i="1"/>
  <c r="V42" i="1"/>
  <c r="B43" i="1"/>
  <c r="F43" i="1"/>
  <c r="G43" i="1"/>
  <c r="I43" i="1"/>
  <c r="J43" i="1"/>
  <c r="L43" i="1"/>
  <c r="M43" i="1"/>
  <c r="O43" i="1"/>
  <c r="P43" i="1"/>
  <c r="R43" i="1"/>
  <c r="T43" i="1"/>
  <c r="X43" i="1" s="1"/>
  <c r="AA43" i="1" s="1"/>
  <c r="U43" i="1"/>
  <c r="V43" i="1"/>
  <c r="W43" i="1"/>
  <c r="B44" i="1"/>
  <c r="F44" i="1"/>
  <c r="G44" i="1"/>
  <c r="J44" i="1"/>
  <c r="M44" i="1"/>
  <c r="O44" i="1"/>
  <c r="P44" i="1"/>
  <c r="R44" i="1"/>
  <c r="T44" i="1"/>
  <c r="U44" i="1"/>
  <c r="V44" i="1"/>
  <c r="AA45" i="1"/>
  <c r="AA46" i="1"/>
  <c r="AA47" i="1"/>
  <c r="AA48" i="1"/>
  <c r="AA49" i="1"/>
  <c r="AA50" i="1"/>
  <c r="AA51" i="1"/>
  <c r="AA52" i="1"/>
  <c r="Y21" i="1" l="1"/>
  <c r="Y20" i="1" s="1"/>
  <c r="X20" i="1"/>
  <c r="AA21" i="1"/>
  <c r="AB21" i="1"/>
  <c r="AA28" i="1"/>
  <c r="AB28" i="1"/>
  <c r="Y28" i="1"/>
  <c r="I37" i="1"/>
  <c r="R20" i="1"/>
  <c r="R39" i="1"/>
  <c r="R41" i="1" s="1"/>
  <c r="Y33" i="1"/>
  <c r="Z32" i="1"/>
  <c r="L37" i="1"/>
  <c r="O24" i="1"/>
  <c r="AA33" i="1"/>
  <c r="AB33" i="1"/>
  <c r="R10" i="1"/>
  <c r="AA35" i="1"/>
  <c r="L24" i="1"/>
  <c r="M37" i="1"/>
  <c r="O37" i="1" s="1"/>
  <c r="C24" i="1"/>
  <c r="C37" i="1" s="1"/>
  <c r="AA34" i="1"/>
  <c r="AB34" i="1"/>
  <c r="Y34" i="1"/>
  <c r="S26" i="1"/>
  <c r="Z21" i="1"/>
  <c r="Z20" i="1" s="1"/>
  <c r="F24" i="1"/>
  <c r="F37" i="1" s="1"/>
  <c r="R37" i="1"/>
  <c r="X26" i="1"/>
  <c r="AA27" i="1"/>
  <c r="AB27" i="1"/>
  <c r="AA16" i="1"/>
  <c r="AB16" i="1"/>
  <c r="F30" i="1"/>
  <c r="Z17" i="1"/>
  <c r="Z16" i="1" s="1"/>
  <c r="AA22" i="1"/>
  <c r="S21" i="1"/>
  <c r="S20" i="1" s="1"/>
  <c r="Y17" i="1"/>
  <c r="Y16" i="1" s="1"/>
  <c r="L16" i="1"/>
  <c r="L10" i="1" s="1"/>
  <c r="L20" i="1"/>
  <c r="F35" i="1"/>
  <c r="T30" i="1"/>
  <c r="T24" i="1" s="1"/>
  <c r="T37" i="1" s="1"/>
  <c r="X42" i="1"/>
  <c r="W42" i="1"/>
  <c r="W44" i="1" s="1"/>
  <c r="W39" i="1"/>
  <c r="W41" i="1" s="1"/>
  <c r="S31" i="1"/>
  <c r="AB14" i="1"/>
  <c r="S14" i="1"/>
  <c r="Z14" i="1" s="1"/>
  <c r="Z33" i="1"/>
  <c r="X32" i="1"/>
  <c r="Z27" i="1"/>
  <c r="Z26" i="1" s="1"/>
  <c r="W20" i="1"/>
  <c r="W10" i="1" s="1"/>
  <c r="AA14" i="1"/>
  <c r="Y27" i="1"/>
  <c r="Y26" i="1" s="1"/>
  <c r="W26" i="1"/>
  <c r="W24" i="1" s="1"/>
  <c r="AB17" i="1"/>
  <c r="G39" i="1"/>
  <c r="G41" i="1" s="1"/>
  <c r="AA17" i="1"/>
  <c r="X13" i="1"/>
  <c r="I13" i="1"/>
  <c r="W38" i="1" l="1"/>
  <c r="S30" i="1"/>
  <c r="Z31" i="1"/>
  <c r="I39" i="1"/>
  <c r="I41" i="1" s="1"/>
  <c r="I12" i="1"/>
  <c r="I10" i="1" s="1"/>
  <c r="S13" i="1"/>
  <c r="X12" i="1"/>
  <c r="Y13" i="1"/>
  <c r="Y12" i="1" s="1"/>
  <c r="Y10" i="1" s="1"/>
  <c r="AA13" i="1"/>
  <c r="AB13" i="1"/>
  <c r="X39" i="1"/>
  <c r="S24" i="1"/>
  <c r="AA26" i="1"/>
  <c r="AB26" i="1"/>
  <c r="L38" i="1"/>
  <c r="M38" i="1"/>
  <c r="O38" i="1"/>
  <c r="R38" i="1"/>
  <c r="S37" i="1"/>
  <c r="I38" i="1"/>
  <c r="X30" i="1"/>
  <c r="Y32" i="1"/>
  <c r="AA32" i="1"/>
  <c r="AB32" i="1"/>
  <c r="X44" i="1"/>
  <c r="AA44" i="1" s="1"/>
  <c r="AA42" i="1"/>
  <c r="W37" i="1"/>
  <c r="Z35" i="1"/>
  <c r="Y35" i="1"/>
  <c r="F39" i="1"/>
  <c r="F41" i="1" s="1"/>
  <c r="AB35" i="1"/>
  <c r="AB20" i="1"/>
  <c r="AA20" i="1"/>
  <c r="AA12" i="1" l="1"/>
  <c r="AB12" i="1"/>
  <c r="X10" i="1"/>
  <c r="S12" i="1"/>
  <c r="S10" i="1" s="1"/>
  <c r="Z13" i="1"/>
  <c r="Z12" i="1" s="1"/>
  <c r="Z10" i="1" s="1"/>
  <c r="Y30" i="1"/>
  <c r="Y24" i="1" s="1"/>
  <c r="Y37" i="1" s="1"/>
  <c r="X41" i="1"/>
  <c r="AA41" i="1" s="1"/>
  <c r="AA39" i="1"/>
  <c r="AA30" i="1"/>
  <c r="AB30" i="1"/>
  <c r="X24" i="1"/>
  <c r="Z30" i="1"/>
  <c r="Z24" i="1" s="1"/>
  <c r="AA24" i="1" l="1"/>
  <c r="X37" i="1"/>
  <c r="AB24" i="1"/>
  <c r="Z37" i="1"/>
  <c r="AA10" i="1"/>
  <c r="AB10" i="1"/>
  <c r="AA37" i="1" l="1"/>
  <c r="AB37" i="1"/>
</calcChain>
</file>

<file path=xl/sharedStrings.xml><?xml version="1.0" encoding="utf-8"?>
<sst xmlns="http://schemas.openxmlformats.org/spreadsheetml/2006/main" count="84" uniqueCount="52">
  <si>
    <t>DIFERENCIA</t>
  </si>
  <si>
    <t>GASTOS PPC</t>
  </si>
  <si>
    <t>INGRESOS PPC</t>
  </si>
  <si>
    <t>GASTOS FONDO</t>
  </si>
  <si>
    <t>INGRESOS FONDO</t>
  </si>
  <si>
    <t>TOTAL INGRESOS</t>
  </si>
  <si>
    <t>Programas y proyectos FNP</t>
  </si>
  <si>
    <t>Extraordinarios FNP</t>
  </si>
  <si>
    <t>Financieros PPC</t>
  </si>
  <si>
    <t>Financieros FNP</t>
  </si>
  <si>
    <t>Ventas Programa PPC</t>
  </si>
  <si>
    <t>OTROS INGRESOS</t>
  </si>
  <si>
    <t>Rendimientos Financieros PPC</t>
  </si>
  <si>
    <t>Rendimientos Financieros FNP</t>
  </si>
  <si>
    <t>INGRESOS FINANCIEROS</t>
  </si>
  <si>
    <t>INGRESOS NO OPERACIONALES</t>
  </si>
  <si>
    <t>Cuota de Erradicación Peste Porcina Clásica</t>
  </si>
  <si>
    <t>Cuota de Fomento</t>
  </si>
  <si>
    <t>SUPERÁVIT VIGENCIAS ANTERIORES</t>
  </si>
  <si>
    <t>CUOTA VIGENCIAS ANTERIORES</t>
  </si>
  <si>
    <t xml:space="preserve"> </t>
  </si>
  <si>
    <t xml:space="preserve">CUOTA DE FOMENTO PORCÍCOLA </t>
  </si>
  <si>
    <t>INGRESOS OPERACIONALES</t>
  </si>
  <si>
    <t>AÑO 2019</t>
  </si>
  <si>
    <t>OCT.-DIC.</t>
  </si>
  <si>
    <t>JUL.-SEPT.</t>
  </si>
  <si>
    <t>ABRIL-JUNIO</t>
  </si>
  <si>
    <t>ENERO-MARZO</t>
  </si>
  <si>
    <t>OCTUBRE-DICIEMBRE</t>
  </si>
  <si>
    <t>JULIO-SEPTIEMBRE</t>
  </si>
  <si>
    <t>% EJEC. ANUAL</t>
  </si>
  <si>
    <t>ACUERDO 2/20</t>
  </si>
  <si>
    <t>SALDO PPTO POR SOLICITAR AÑO 2019</t>
  </si>
  <si>
    <t>PENDIENTE POR EJECUTAR</t>
  </si>
  <si>
    <t>TOTAL EJECUTADO ANUAL 2019</t>
  </si>
  <si>
    <t>EJECUCIÓN</t>
  </si>
  <si>
    <t>TOTAL SOLICITADO ANUAL 2019</t>
  </si>
  <si>
    <t>SOLICITADO DEFINITIVO</t>
  </si>
  <si>
    <t xml:space="preserve">ACUERDO </t>
  </si>
  <si>
    <t>SOLICITADO</t>
  </si>
  <si>
    <t>ACUERDO</t>
  </si>
  <si>
    <t>ACUERDO 8/19</t>
  </si>
  <si>
    <t>PRESUPUESTO MODIFICADO AÑO 2019</t>
  </si>
  <si>
    <t>ACUERDO 12/19</t>
  </si>
  <si>
    <t>ACUERDO 9/19</t>
  </si>
  <si>
    <t>ACUERDO 5/19</t>
  </si>
  <si>
    <t>PRESUPUESTO INICIAL AÑO 2019</t>
  </si>
  <si>
    <t>CUENTAS</t>
  </si>
  <si>
    <t>ANEXO 1</t>
  </si>
  <si>
    <t>PRESUPUESTO DE INGRESOS VIGENCIA  2.019</t>
  </si>
  <si>
    <t>DIRECCIÓN DE PLANEACIÓN Y SEGUIMIENTO PRESUPUESTAL</t>
  </si>
  <si>
    <t>MINISTERIO DE AGRICULTURA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</si>
</sst>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[$€-2]\ * #,##0.00_ ;_ [$€-2]\ * \-#,##0.00_ ;_ [$€-2]\ * &quot;-&quot;??_ "/>
    <numFmt numFmtId="165" formatCode="_-* #,##0_-;\-* #,##0_-;_-* &quot;-&quot;??_-;_-@_-"/>
    <numFmt numFmtId="166" formatCode="_-* #,##0\ _$_-;\-* #,##0\ _$_-;_-* &quot;-&quot;\ _$_-;_-@_-"/>
    <numFmt numFmtId="167" formatCode="_ * #,##0_ ;_ * \-#,##0_ ;_ * &quot;-&quot;??_ ;_ @_ "/>
    <numFmt numFmtId="168" formatCode="_ * #,##0.00_ ;_ * \-#,##0.00_ ;_ * &quot;-&quot;??_ ;_ @_ 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</numFmts>
  <fonts count="9" x14ac:knownFonts="1">
    <font>
      <sz val="10"/>
      <name val="Arial"/>
    </font>
    <font>
      <sz val="10"/>
      <name val="Comic Sans MS"/>
      <family val="4"/>
    </font>
    <font>
      <sz val="10"/>
      <name val="Arial"/>
      <family val="2"/>
    </font>
    <font>
      <b/>
      <sz val="11"/>
      <name val="Arial"/>
      <family val="2"/>
    </font>
    <font>
      <sz val="12"/>
      <name val="Comic Sans MS"/>
      <family val="4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164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</cellStyleXfs>
  <cellXfs count="113">
    <xf numFmtId="164" fontId="0" fillId="0" borderId="0" xfId="0"/>
    <xf numFmtId="164" fontId="1" fillId="0" borderId="0" xfId="0" applyFont="1"/>
    <xf numFmtId="165" fontId="1" fillId="0" borderId="0" xfId="1" applyNumberFormat="1" applyFont="1" applyFill="1"/>
    <xf numFmtId="165" fontId="3" fillId="2" borderId="1" xfId="1" applyNumberFormat="1" applyFont="1" applyFill="1" applyBorder="1" applyAlignment="1">
      <alignment horizontal="right"/>
    </xf>
    <xf numFmtId="43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4" fontId="1" fillId="0" borderId="2" xfId="0" applyFont="1" applyBorder="1"/>
    <xf numFmtId="167" fontId="4" fillId="3" borderId="3" xfId="3" applyNumberFormat="1" applyFont="1" applyFill="1" applyBorder="1"/>
    <xf numFmtId="167" fontId="4" fillId="0" borderId="3" xfId="3" applyNumberFormat="1" applyFont="1" applyFill="1" applyBorder="1"/>
    <xf numFmtId="167" fontId="4" fillId="2" borderId="3" xfId="3" applyNumberFormat="1" applyFont="1" applyFill="1" applyBorder="1"/>
    <xf numFmtId="167" fontId="4" fillId="0" borderId="0" xfId="3" applyNumberFormat="1" applyFont="1" applyFill="1" applyBorder="1"/>
    <xf numFmtId="164" fontId="1" fillId="2" borderId="0" xfId="0" applyFont="1" applyFill="1"/>
    <xf numFmtId="10" fontId="1" fillId="2" borderId="0" xfId="2" applyNumberFormat="1" applyFont="1" applyFill="1"/>
    <xf numFmtId="166" fontId="1" fillId="2" borderId="0" xfId="0" applyNumberFormat="1" applyFont="1" applyFill="1"/>
    <xf numFmtId="164" fontId="0" fillId="2" borderId="0" xfId="0" applyFill="1"/>
    <xf numFmtId="10" fontId="3" fillId="2" borderId="4" xfId="2" applyNumberFormat="1" applyFont="1" applyFill="1" applyBorder="1" applyAlignment="1">
      <alignment horizontal="right"/>
    </xf>
    <xf numFmtId="165" fontId="3" fillId="2" borderId="5" xfId="1" applyNumberFormat="1" applyFont="1" applyFill="1" applyBorder="1"/>
    <xf numFmtId="169" fontId="3" fillId="2" borderId="5" xfId="0" applyNumberFormat="1" applyFont="1" applyFill="1" applyBorder="1"/>
    <xf numFmtId="169" fontId="3" fillId="2" borderId="5" xfId="0" applyNumberFormat="1" applyFont="1" applyFill="1" applyBorder="1" applyAlignment="1">
      <alignment horizontal="center"/>
    </xf>
    <xf numFmtId="165" fontId="3" fillId="2" borderId="5" xfId="4" applyNumberFormat="1" applyFont="1" applyFill="1" applyBorder="1"/>
    <xf numFmtId="169" fontId="3" fillId="2" borderId="4" xfId="0" applyNumberFormat="1" applyFont="1" applyFill="1" applyBorder="1"/>
    <xf numFmtId="164" fontId="3" fillId="2" borderId="6" xfId="0" applyFont="1" applyFill="1" applyBorder="1"/>
    <xf numFmtId="9" fontId="5" fillId="2" borderId="7" xfId="2" applyFont="1" applyFill="1" applyBorder="1"/>
    <xf numFmtId="169" fontId="5" fillId="2" borderId="8" xfId="4" applyNumberFormat="1" applyFont="1" applyFill="1" applyBorder="1"/>
    <xf numFmtId="169" fontId="5" fillId="2" borderId="7" xfId="4" applyNumberFormat="1" applyFont="1" applyFill="1" applyBorder="1"/>
    <xf numFmtId="169" fontId="5" fillId="0" borderId="7" xfId="4" applyNumberFormat="1" applyFont="1" applyFill="1" applyBorder="1"/>
    <xf numFmtId="169" fontId="5" fillId="2" borderId="7" xfId="1" applyNumberFormat="1" applyFont="1" applyFill="1" applyBorder="1"/>
    <xf numFmtId="169" fontId="5" fillId="2" borderId="9" xfId="1" applyNumberFormat="1" applyFont="1" applyFill="1" applyBorder="1"/>
    <xf numFmtId="169" fontId="5" fillId="2" borderId="10" xfId="4" applyNumberFormat="1" applyFont="1" applyFill="1" applyBorder="1"/>
    <xf numFmtId="165" fontId="5" fillId="2" borderId="11" xfId="1" applyNumberFormat="1" applyFont="1" applyFill="1" applyBorder="1"/>
    <xf numFmtId="164" fontId="5" fillId="2" borderId="12" xfId="0" applyFont="1" applyFill="1" applyBorder="1"/>
    <xf numFmtId="10" fontId="5" fillId="2" borderId="1" xfId="2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5" fontId="5" fillId="2" borderId="13" xfId="1" applyNumberFormat="1" applyFont="1" applyFill="1" applyBorder="1"/>
    <xf numFmtId="169" fontId="5" fillId="2" borderId="1" xfId="1" applyNumberFormat="1" applyFont="1" applyFill="1" applyBorder="1"/>
    <xf numFmtId="169" fontId="5" fillId="2" borderId="1" xfId="2" applyNumberFormat="1" applyFont="1" applyFill="1" applyBorder="1"/>
    <xf numFmtId="169" fontId="5" fillId="0" borderId="1" xfId="1" applyNumberFormat="1" applyFont="1" applyFill="1" applyBorder="1"/>
    <xf numFmtId="165" fontId="5" fillId="0" borderId="13" xfId="1" applyNumberFormat="1" applyFont="1" applyFill="1" applyBorder="1"/>
    <xf numFmtId="169" fontId="5" fillId="2" borderId="1" xfId="3" applyNumberFormat="1" applyFont="1" applyFill="1" applyBorder="1"/>
    <xf numFmtId="165" fontId="5" fillId="2" borderId="14" xfId="1" applyNumberFormat="1" applyFont="1" applyFill="1" applyBorder="1"/>
    <xf numFmtId="169" fontId="5" fillId="2" borderId="13" xfId="1" applyNumberFormat="1" applyFont="1" applyFill="1" applyBorder="1"/>
    <xf numFmtId="169" fontId="5" fillId="2" borderId="10" xfId="1" applyNumberFormat="1" applyFont="1" applyFill="1" applyBorder="1"/>
    <xf numFmtId="169" fontId="5" fillId="2" borderId="1" xfId="4" applyNumberFormat="1" applyFont="1" applyFill="1" applyBorder="1"/>
    <xf numFmtId="165" fontId="5" fillId="2" borderId="1" xfId="4" applyNumberFormat="1" applyFont="1" applyFill="1" applyBorder="1"/>
    <xf numFmtId="167" fontId="5" fillId="2" borderId="11" xfId="4" applyNumberFormat="1" applyFont="1" applyFill="1" applyBorder="1" applyAlignment="1">
      <alignment wrapText="1"/>
    </xf>
    <xf numFmtId="164" fontId="5" fillId="2" borderId="11" xfId="0" applyFont="1" applyFill="1" applyBorder="1"/>
    <xf numFmtId="169" fontId="5" fillId="2" borderId="11" xfId="4" applyNumberFormat="1" applyFont="1" applyFill="1" applyBorder="1"/>
    <xf numFmtId="169" fontId="5" fillId="0" borderId="10" xfId="1" applyNumberFormat="1" applyFont="1" applyFill="1" applyBorder="1"/>
    <xf numFmtId="169" fontId="5" fillId="0" borderId="1" xfId="2" applyNumberFormat="1" applyFont="1" applyFill="1" applyBorder="1"/>
    <xf numFmtId="169" fontId="5" fillId="0" borderId="1" xfId="5" applyNumberFormat="1" applyFont="1" applyFill="1" applyBorder="1"/>
    <xf numFmtId="169" fontId="5" fillId="0" borderId="1" xfId="4" applyNumberFormat="1" applyFont="1" applyFill="1" applyBorder="1"/>
    <xf numFmtId="167" fontId="5" fillId="2" borderId="13" xfId="4" applyNumberFormat="1" applyFont="1" applyFill="1" applyBorder="1" applyAlignment="1">
      <alignment wrapText="1"/>
    </xf>
    <xf numFmtId="169" fontId="5" fillId="2" borderId="13" xfId="4" applyNumberFormat="1" applyFont="1" applyFill="1" applyBorder="1"/>
    <xf numFmtId="164" fontId="5" fillId="2" borderId="13" xfId="0" applyFont="1" applyFill="1" applyBorder="1"/>
    <xf numFmtId="10" fontId="3" fillId="2" borderId="7" xfId="2" applyNumberFormat="1" applyFont="1" applyFill="1" applyBorder="1" applyAlignment="1">
      <alignment horizontal="right"/>
    </xf>
    <xf numFmtId="169" fontId="3" fillId="2" borderId="13" xfId="4" applyNumberFormat="1" applyFont="1" applyFill="1" applyBorder="1"/>
    <xf numFmtId="169" fontId="3" fillId="0" borderId="13" xfId="4" applyNumberFormat="1" applyFont="1" applyFill="1" applyBorder="1"/>
    <xf numFmtId="165" fontId="3" fillId="2" borderId="1" xfId="4" applyNumberFormat="1" applyFont="1" applyFill="1" applyBorder="1"/>
    <xf numFmtId="169" fontId="3" fillId="2" borderId="1" xfId="4" applyNumberFormat="1" applyFont="1" applyFill="1" applyBorder="1"/>
    <xf numFmtId="164" fontId="3" fillId="2" borderId="13" xfId="0" applyFont="1" applyFill="1" applyBorder="1"/>
    <xf numFmtId="9" fontId="5" fillId="2" borderId="1" xfId="2" applyFont="1" applyFill="1" applyBorder="1"/>
    <xf numFmtId="43" fontId="5" fillId="2" borderId="1" xfId="1" applyFont="1" applyFill="1" applyBorder="1"/>
    <xf numFmtId="10" fontId="3" fillId="2" borderId="1" xfId="2" applyNumberFormat="1" applyFont="1" applyFill="1" applyBorder="1" applyAlignment="1">
      <alignment horizontal="right"/>
    </xf>
    <xf numFmtId="165" fontId="3" fillId="2" borderId="13" xfId="4" applyNumberFormat="1" applyFont="1" applyFill="1" applyBorder="1"/>
    <xf numFmtId="169" fontId="3" fillId="2" borderId="1" xfId="1" applyNumberFormat="1" applyFont="1" applyFill="1" applyBorder="1"/>
    <xf numFmtId="169" fontId="3" fillId="2" borderId="13" xfId="1" applyNumberFormat="1" applyFont="1" applyFill="1" applyBorder="1"/>
    <xf numFmtId="165" fontId="3" fillId="2" borderId="13" xfId="1" applyNumberFormat="1" applyFont="1" applyFill="1" applyBorder="1"/>
    <xf numFmtId="169" fontId="6" fillId="2" borderId="1" xfId="4" applyNumberFormat="1" applyFont="1" applyFill="1" applyBorder="1"/>
    <xf numFmtId="169" fontId="5" fillId="0" borderId="13" xfId="1" applyNumberFormat="1" applyFont="1" applyFill="1" applyBorder="1"/>
    <xf numFmtId="169" fontId="5" fillId="2" borderId="13" xfId="2" applyNumberFormat="1" applyFont="1" applyFill="1" applyBorder="1"/>
    <xf numFmtId="169" fontId="3" fillId="0" borderId="1" xfId="1" applyNumberFormat="1" applyFont="1" applyFill="1" applyBorder="1"/>
    <xf numFmtId="169" fontId="5" fillId="2" borderId="1" xfId="5" applyNumberFormat="1" applyFont="1" applyFill="1" applyBorder="1"/>
    <xf numFmtId="169" fontId="7" fillId="0" borderId="1" xfId="2" applyNumberFormat="1" applyFont="1" applyFill="1" applyBorder="1"/>
    <xf numFmtId="169" fontId="3" fillId="0" borderId="1" xfId="4" applyNumberFormat="1" applyFont="1" applyFill="1" applyBorder="1"/>
    <xf numFmtId="169" fontId="8" fillId="0" borderId="1" xfId="4" applyNumberFormat="1" applyFont="1" applyFill="1" applyBorder="1"/>
    <xf numFmtId="171" fontId="3" fillId="2" borderId="15" xfId="6" applyNumberFormat="1" applyFont="1" applyFill="1" applyBorder="1" applyAlignment="1">
      <alignment wrapText="1"/>
    </xf>
    <xf numFmtId="164" fontId="3" fillId="2" borderId="16" xfId="0" applyFont="1" applyFill="1" applyBorder="1"/>
    <xf numFmtId="169" fontId="3" fillId="2" borderId="17" xfId="6" applyNumberFormat="1" applyFont="1" applyFill="1" applyBorder="1" applyAlignment="1">
      <alignment horizontal="right"/>
    </xf>
    <xf numFmtId="169" fontId="3" fillId="2" borderId="7" xfId="6" applyNumberFormat="1" applyFont="1" applyFill="1" applyBorder="1" applyAlignment="1">
      <alignment horizontal="right"/>
    </xf>
    <xf numFmtId="169" fontId="3" fillId="0" borderId="7" xfId="6" applyNumberFormat="1" applyFont="1" applyFill="1" applyBorder="1" applyAlignment="1">
      <alignment horizontal="center"/>
    </xf>
    <xf numFmtId="169" fontId="3" fillId="2" borderId="7" xfId="6" applyNumberFormat="1" applyFont="1" applyFill="1" applyBorder="1" applyAlignment="1">
      <alignment horizontal="center"/>
    </xf>
    <xf numFmtId="169" fontId="3" fillId="2" borderId="7" xfId="1" applyNumberFormat="1" applyFont="1" applyFill="1" applyBorder="1"/>
    <xf numFmtId="169" fontId="3" fillId="2" borderId="9" xfId="1" applyNumberFormat="1" applyFont="1" applyFill="1" applyBorder="1"/>
    <xf numFmtId="165" fontId="3" fillId="2" borderId="9" xfId="1" applyNumberFormat="1" applyFont="1" applyFill="1" applyBorder="1"/>
    <xf numFmtId="169" fontId="3" fillId="2" borderId="18" xfId="6" applyNumberFormat="1" applyFont="1" applyFill="1" applyBorder="1" applyAlignment="1">
      <alignment horizontal="center"/>
    </xf>
    <xf numFmtId="169" fontId="3" fillId="2" borderId="17" xfId="6" applyNumberFormat="1" applyFont="1" applyFill="1" applyBorder="1" applyAlignment="1">
      <alignment horizontal="center"/>
    </xf>
    <xf numFmtId="164" fontId="3" fillId="2" borderId="17" xfId="0" applyFont="1" applyFill="1" applyBorder="1" applyAlignment="1">
      <alignment horizontal="left"/>
    </xf>
    <xf numFmtId="164" fontId="1" fillId="0" borderId="0" xfId="0" applyFont="1" applyAlignment="1">
      <alignment vertical="center"/>
    </xf>
    <xf numFmtId="164" fontId="3" fillId="2" borderId="8" xfId="0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4" fontId="3" fillId="2" borderId="8" xfId="0" applyFont="1" applyFill="1" applyBorder="1" applyAlignment="1">
      <alignment horizontal="center" vertical="center"/>
    </xf>
    <xf numFmtId="164" fontId="3" fillId="2" borderId="8" xfId="0" applyFont="1" applyFill="1" applyBorder="1" applyAlignment="1">
      <alignment horizontal="center" vertical="center"/>
    </xf>
    <xf numFmtId="164" fontId="3" fillId="2" borderId="19" xfId="0" applyFont="1" applyFill="1" applyBorder="1" applyAlignment="1">
      <alignment horizontal="center" vertical="center"/>
    </xf>
    <xf numFmtId="164" fontId="3" fillId="2" borderId="19" xfId="0" applyFont="1" applyFill="1" applyBorder="1" applyAlignment="1">
      <alignment horizontal="center" vertical="center" wrapText="1"/>
    </xf>
    <xf numFmtId="164" fontId="3" fillId="2" borderId="9" xfId="0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4" fontId="3" fillId="2" borderId="9" xfId="0" applyFont="1" applyFill="1" applyBorder="1" applyAlignment="1">
      <alignment horizontal="center" vertical="center"/>
    </xf>
    <xf numFmtId="164" fontId="3" fillId="2" borderId="9" xfId="0" applyFont="1" applyFill="1" applyBorder="1" applyAlignment="1">
      <alignment horizontal="center" vertical="center"/>
    </xf>
    <xf numFmtId="164" fontId="3" fillId="2" borderId="7" xfId="0" applyFont="1" applyFill="1" applyBorder="1" applyAlignment="1">
      <alignment horizontal="center" vertical="center"/>
    </xf>
    <xf numFmtId="164" fontId="3" fillId="2" borderId="7" xfId="0" applyFont="1" applyFill="1" applyBorder="1" applyAlignment="1">
      <alignment horizontal="center" vertical="center" wrapText="1"/>
    </xf>
    <xf numFmtId="164" fontId="3" fillId="2" borderId="17" xfId="0" applyFont="1" applyFill="1" applyBorder="1" applyAlignment="1">
      <alignment horizontal="center" vertical="center" wrapText="1"/>
    </xf>
    <xf numFmtId="165" fontId="3" fillId="2" borderId="20" xfId="1" applyNumberFormat="1" applyFont="1" applyFill="1" applyBorder="1" applyAlignment="1">
      <alignment horizontal="center" vertical="center" wrapText="1"/>
    </xf>
    <xf numFmtId="164" fontId="3" fillId="2" borderId="17" xfId="0" applyFont="1" applyFill="1" applyBorder="1" applyAlignment="1">
      <alignment horizontal="center" vertical="center"/>
    </xf>
    <xf numFmtId="164" fontId="3" fillId="2" borderId="17" xfId="0" applyFont="1" applyFill="1" applyBorder="1" applyAlignment="1">
      <alignment horizontal="center" vertical="center"/>
    </xf>
    <xf numFmtId="164" fontId="3" fillId="2" borderId="18" xfId="0" applyFont="1" applyFill="1" applyBorder="1" applyAlignment="1">
      <alignment horizontal="center" vertical="center"/>
    </xf>
    <xf numFmtId="164" fontId="3" fillId="2" borderId="18" xfId="0" applyFont="1" applyFill="1" applyBorder="1" applyAlignment="1">
      <alignment horizontal="center" vertical="center" wrapText="1"/>
    </xf>
    <xf numFmtId="164" fontId="3" fillId="2" borderId="0" xfId="0" applyFont="1" applyFill="1" applyAlignment="1">
      <alignment horizontal="center"/>
    </xf>
    <xf numFmtId="0" fontId="1" fillId="0" borderId="0" xfId="7" applyFont="1"/>
    <xf numFmtId="0" fontId="3" fillId="2" borderId="0" xfId="7" applyFont="1" applyFill="1" applyAlignment="1">
      <alignment horizontal="center"/>
    </xf>
    <xf numFmtId="165" fontId="1" fillId="2" borderId="0" xfId="1" applyNumberFormat="1" applyFont="1" applyFill="1"/>
    <xf numFmtId="169" fontId="1" fillId="2" borderId="0" xfId="0" applyNumberFormat="1" applyFont="1" applyFill="1"/>
    <xf numFmtId="164" fontId="5" fillId="2" borderId="0" xfId="0" applyFont="1" applyFill="1"/>
  </cellXfs>
  <cellStyles count="8">
    <cellStyle name="Millares" xfId="1" builtinId="3"/>
    <cellStyle name="Millares_Formato Presupuesto Minagricultura" xfId="4" xr:uid="{952EBF1B-2F5D-4705-84EA-B005E489D057}"/>
    <cellStyle name="Millares_INGRESOS 2005" xfId="6" xr:uid="{27EAF64E-10C3-40F6-9399-1197E9450598}"/>
    <cellStyle name="Millares_PRESUPUESTO INGRESOS 2011" xfId="3" xr:uid="{67633DCD-4F60-4B9B-A316-09495EB12DD3}"/>
    <cellStyle name="Normal" xfId="0" builtinId="0"/>
    <cellStyle name="Normal 10 2" xfId="7" xr:uid="{F970659B-1713-4F46-BE60-12695BDBAEB3}"/>
    <cellStyle name="Porcentaje" xfId="2" builtinId="5"/>
    <cellStyle name="Porcentaje 2" xfId="5" xr:uid="{9E3E7383-2806-4493-B7EF-03DBCCE3B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Acuerdos/Definitivo/ANEXO%20ACUERDO%2002-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efeControlRegional/Presupuesto%202008/Presupuesto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A&#241;o%202010/MANEJO%20PTO%202010/PRESUPUESTO%20INGRESOS%20ESTIMAD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CIERRES%202010/ACUERDOS%202010/ANEXO%20ACUERDO%206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ciaMart&#237;nez/Configuraci&#243;n%20local/Archivos%20temporales%20de%20Internet/Content.Outlook/RD6RDTKZ/A&#241;o%202008/Presupuesto%202009/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NGRESOS"/>
      <sheetName val="Proyección ingresos programas"/>
      <sheetName val="Anexo 2-1 "/>
      <sheetName val="RES"/>
      <sheetName val="ECO"/>
      <sheetName val="TEC"/>
      <sheetName val="TRANSF"/>
      <sheetName val="SAN"/>
      <sheetName val="MER"/>
      <sheetName val="PPC"/>
      <sheetName val="FUN"/>
      <sheetName val="CONCILIACIÓN INGRESOS"/>
      <sheetName val="superavit"/>
      <sheetName val="HT"/>
      <sheetName val="ING BARRIDOS"/>
    </sheetNames>
    <sheetDataSet>
      <sheetData sheetId="0">
        <row r="7">
          <cell r="C7">
            <v>5740194</v>
          </cell>
        </row>
        <row r="9">
          <cell r="C9">
            <v>13395919</v>
          </cell>
        </row>
        <row r="11">
          <cell r="C11">
            <v>81541</v>
          </cell>
        </row>
        <row r="13">
          <cell r="E13">
            <v>26588342</v>
          </cell>
          <cell r="F13">
            <v>18392460</v>
          </cell>
        </row>
        <row r="17">
          <cell r="C17">
            <v>23296960</v>
          </cell>
        </row>
        <row r="20">
          <cell r="C20">
            <v>75000</v>
          </cell>
        </row>
        <row r="21">
          <cell r="C21">
            <v>35562088</v>
          </cell>
          <cell r="E21">
            <v>50485282</v>
          </cell>
          <cell r="F21">
            <v>39597202</v>
          </cell>
        </row>
        <row r="28">
          <cell r="E28">
            <v>11278006</v>
          </cell>
          <cell r="F28">
            <v>2738184</v>
          </cell>
        </row>
        <row r="40">
          <cell r="C40">
            <v>105368832</v>
          </cell>
          <cell r="E40">
            <v>200465835</v>
          </cell>
          <cell r="F40">
            <v>189046791</v>
          </cell>
        </row>
        <row r="44">
          <cell r="C44">
            <v>26665965</v>
          </cell>
          <cell r="E44">
            <v>13199330</v>
          </cell>
          <cell r="F44">
            <v>10159907</v>
          </cell>
        </row>
        <row r="53">
          <cell r="C53">
            <v>6809284</v>
          </cell>
          <cell r="E53">
            <v>1769706</v>
          </cell>
          <cell r="F53">
            <v>1373871</v>
          </cell>
        </row>
      </sheetData>
      <sheetData sheetId="1" refreshError="1"/>
      <sheetData sheetId="2" refreshError="1"/>
      <sheetData sheetId="3" refreshError="1"/>
      <sheetData sheetId="4">
        <row r="10">
          <cell r="AE10">
            <v>353825366</v>
          </cell>
        </row>
        <row r="48">
          <cell r="B48">
            <v>1986004712.6646163</v>
          </cell>
          <cell r="I48">
            <v>1993602798.6646163</v>
          </cell>
          <cell r="J48">
            <v>507960183.98537028</v>
          </cell>
          <cell r="M48">
            <v>398334866.98537016</v>
          </cell>
          <cell r="N48">
            <v>431526947.15547383</v>
          </cell>
          <cell r="Q48">
            <v>402250651.15547383</v>
          </cell>
          <cell r="U48">
            <v>484355475</v>
          </cell>
          <cell r="V48">
            <v>634171089.77753842</v>
          </cell>
          <cell r="Y48">
            <v>505188019.30580002</v>
          </cell>
          <cell r="AA48">
            <v>398334867</v>
          </cell>
          <cell r="AB48">
            <v>402250651</v>
          </cell>
          <cell r="AC48">
            <v>484355475</v>
          </cell>
          <cell r="AD48">
            <v>505188019</v>
          </cell>
        </row>
      </sheetData>
      <sheetData sheetId="5">
        <row r="10">
          <cell r="AE10">
            <v>481571749</v>
          </cell>
        </row>
        <row r="64">
          <cell r="B64">
            <v>4018608289.9038992</v>
          </cell>
          <cell r="I64">
            <v>3914803245.9038992</v>
          </cell>
          <cell r="J64">
            <v>769070278.13113618</v>
          </cell>
          <cell r="M64">
            <v>603490123.13113618</v>
          </cell>
          <cell r="N64">
            <v>1279896539.5914984</v>
          </cell>
          <cell r="Q64">
            <v>968342960</v>
          </cell>
          <cell r="U64">
            <v>954398547</v>
          </cell>
          <cell r="V64">
            <v>1247026899.9527793</v>
          </cell>
          <cell r="Y64">
            <v>1080276011</v>
          </cell>
          <cell r="AA64">
            <v>603490124</v>
          </cell>
          <cell r="AB64">
            <v>968342960</v>
          </cell>
          <cell r="AC64">
            <v>954398547</v>
          </cell>
          <cell r="AD64">
            <v>1080276011</v>
          </cell>
        </row>
      </sheetData>
      <sheetData sheetId="6">
        <row r="10">
          <cell r="AE10">
            <v>296120928</v>
          </cell>
        </row>
        <row r="66">
          <cell r="B66">
            <v>2867028987.9899139</v>
          </cell>
          <cell r="I66">
            <v>3802662016.9899135</v>
          </cell>
          <cell r="J66">
            <v>443328462.4754054</v>
          </cell>
          <cell r="M66">
            <v>318700530.47540534</v>
          </cell>
          <cell r="N66">
            <v>797061128.62985218</v>
          </cell>
          <cell r="Q66">
            <v>620403525</v>
          </cell>
          <cell r="U66">
            <v>1184797376</v>
          </cell>
          <cell r="V66">
            <v>1681463051.1326973</v>
          </cell>
          <cell r="Y66">
            <v>1259563010</v>
          </cell>
          <cell r="AA66">
            <v>318700530</v>
          </cell>
          <cell r="AB66">
            <v>620403525</v>
          </cell>
          <cell r="AC66">
            <v>1184797376</v>
          </cell>
          <cell r="AD66">
            <v>1259563010</v>
          </cell>
        </row>
      </sheetData>
      <sheetData sheetId="7">
        <row r="10">
          <cell r="AE10">
            <v>46819617</v>
          </cell>
        </row>
        <row r="37">
          <cell r="B37">
            <v>1422884535.9744275</v>
          </cell>
          <cell r="I37">
            <v>1423812582.9744275</v>
          </cell>
          <cell r="J37">
            <v>191969358.05251828</v>
          </cell>
          <cell r="M37">
            <v>171309541.05251828</v>
          </cell>
          <cell r="N37">
            <v>185633952.36748841</v>
          </cell>
          <cell r="Q37">
            <v>176919339.74900001</v>
          </cell>
          <cell r="U37">
            <v>630436296.74899995</v>
          </cell>
          <cell r="V37">
            <v>440178427.73881871</v>
          </cell>
          <cell r="Y37">
            <v>376667422.74900001</v>
          </cell>
          <cell r="AA37">
            <v>171309541</v>
          </cell>
          <cell r="AB37">
            <v>176919340</v>
          </cell>
          <cell r="AC37">
            <v>630436297</v>
          </cell>
          <cell r="AD37">
            <v>376667423</v>
          </cell>
        </row>
      </sheetData>
      <sheetData sheetId="8">
        <row r="10">
          <cell r="AE10">
            <v>363793985</v>
          </cell>
        </row>
        <row r="73">
          <cell r="B73">
            <v>10391331609.068199</v>
          </cell>
          <cell r="I73">
            <v>11482320565.068199</v>
          </cell>
          <cell r="J73">
            <v>1336652941.1696029</v>
          </cell>
          <cell r="M73">
            <v>1126265546.1696031</v>
          </cell>
          <cell r="N73">
            <v>4791560610.4278269</v>
          </cell>
          <cell r="Q73">
            <v>4616109124</v>
          </cell>
          <cell r="U73">
            <v>3198071249</v>
          </cell>
          <cell r="V73">
            <v>2431202611.1470189</v>
          </cell>
          <cell r="Y73">
            <v>2377443996</v>
          </cell>
          <cell r="AA73">
            <v>1126265547</v>
          </cell>
          <cell r="AB73">
            <v>4616109124</v>
          </cell>
          <cell r="AC73">
            <v>3198071249</v>
          </cell>
          <cell r="AD73">
            <v>2377443996</v>
          </cell>
        </row>
      </sheetData>
      <sheetData sheetId="9">
        <row r="10">
          <cell r="AE10">
            <v>1000578878</v>
          </cell>
        </row>
        <row r="60">
          <cell r="B60">
            <v>16642096442.719547</v>
          </cell>
          <cell r="I60">
            <v>17971822494.719547</v>
          </cell>
          <cell r="J60">
            <v>3881437672.3460908</v>
          </cell>
          <cell r="M60">
            <v>3213416948.3460908</v>
          </cell>
          <cell r="N60">
            <v>5411818043.7869778</v>
          </cell>
          <cell r="Q60">
            <v>5317935438</v>
          </cell>
          <cell r="U60">
            <v>4725289498</v>
          </cell>
          <cell r="V60">
            <v>3537367750.4395351</v>
          </cell>
          <cell r="Y60">
            <v>3537367750.4395351</v>
          </cell>
          <cell r="AA60">
            <v>3213416948</v>
          </cell>
          <cell r="AB60">
            <v>5317935438</v>
          </cell>
          <cell r="AD60">
            <v>3016961055</v>
          </cell>
        </row>
      </sheetData>
      <sheetData sheetId="10">
        <row r="10">
          <cell r="AE10">
            <v>601092949</v>
          </cell>
        </row>
        <row r="20">
          <cell r="J20">
            <v>282837450.74638236</v>
          </cell>
        </row>
        <row r="38">
          <cell r="J38">
            <v>252187127.30516368</v>
          </cell>
        </row>
        <row r="51">
          <cell r="J51">
            <v>565033083.0625</v>
          </cell>
        </row>
        <row r="52">
          <cell r="B52">
            <v>1492015949.1894436</v>
          </cell>
          <cell r="I52">
            <v>1615480989.1894436</v>
          </cell>
          <cell r="J52">
            <v>339019849.83750004</v>
          </cell>
          <cell r="M52">
            <v>360186010.83750004</v>
          </cell>
          <cell r="N52">
            <v>396611159</v>
          </cell>
          <cell r="Q52">
            <v>381618606</v>
          </cell>
          <cell r="U52">
            <v>406857295</v>
          </cell>
          <cell r="V52">
            <v>461652896.05194354</v>
          </cell>
          <cell r="Y52">
            <v>446509686.00000006</v>
          </cell>
          <cell r="AA52">
            <v>360186011</v>
          </cell>
          <cell r="AB52">
            <v>381618606</v>
          </cell>
          <cell r="AC52">
            <v>406857295</v>
          </cell>
          <cell r="AD52">
            <v>446509686</v>
          </cell>
        </row>
        <row r="58">
          <cell r="B58">
            <v>386100082.64542007</v>
          </cell>
          <cell r="I58">
            <v>313721106.64542007</v>
          </cell>
        </row>
        <row r="60">
          <cell r="B60">
            <v>9263408062.2993164</v>
          </cell>
          <cell r="I60">
            <v>10040401406.585905</v>
          </cell>
          <cell r="M60">
            <v>1452408144.9515462</v>
          </cell>
          <cell r="N60">
            <v>1662310092.1442356</v>
          </cell>
          <cell r="Q60">
            <v>1545930057</v>
          </cell>
          <cell r="U60">
            <v>1641867572</v>
          </cell>
          <cell r="V60">
            <v>2051535211.3029535</v>
          </cell>
          <cell r="AA60">
            <v>1452408145</v>
          </cell>
          <cell r="AB60">
            <v>1545930057</v>
          </cell>
          <cell r="AC60">
            <v>1641867572</v>
          </cell>
          <cell r="AD60">
            <v>1830789420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503C-0430-4BE1-B588-B735351D0A61}">
  <sheetPr>
    <pageSetUpPr fitToPage="1"/>
  </sheetPr>
  <dimension ref="A1:AB95"/>
  <sheetViews>
    <sheetView tabSelected="1" view="pageBreakPreview" zoomScale="85" zoomScaleNormal="100" zoomScaleSheetLayoutView="85" workbookViewId="0">
      <pane xSplit="1" ySplit="9" topLeftCell="B10" activePane="bottomRight" state="frozen"/>
      <selection activeCell="A24" sqref="A24"/>
      <selection pane="topRight" activeCell="A24" sqref="A24"/>
      <selection pane="bottomLeft" activeCell="A24" sqref="A24"/>
      <selection pane="bottomRight" activeCell="S14" sqref="S14"/>
    </sheetView>
  </sheetViews>
  <sheetFormatPr baseColWidth="10" defaultColWidth="19.28515625" defaultRowHeight="15" outlineLevelRow="1" outlineLevelCol="2" x14ac:dyDescent="0.3"/>
  <cols>
    <col min="1" max="1" width="43.85546875" style="1" bestFit="1" customWidth="1"/>
    <col min="2" max="2" width="21.85546875" style="1" customWidth="1"/>
    <col min="3" max="3" width="17.140625" style="1" hidden="1" customWidth="1" outlineLevel="1"/>
    <col min="4" max="4" width="16.5703125" style="1" hidden="1" customWidth="1" outlineLevel="1"/>
    <col min="5" max="5" width="19.28515625" style="1" hidden="1" customWidth="1" outlineLevel="1"/>
    <col min="6" max="6" width="20.85546875" style="1" customWidth="1" collapsed="1"/>
    <col min="7" max="7" width="22" style="1" hidden="1" customWidth="1" outlineLevel="2"/>
    <col min="8" max="8" width="19.28515625" style="1" hidden="1" customWidth="1" outlineLevel="2"/>
    <col min="9" max="9" width="26" style="1" hidden="1" customWidth="1" outlineLevel="1"/>
    <col min="10" max="10" width="22" style="1" hidden="1" customWidth="1" outlineLevel="2" collapsed="1"/>
    <col min="11" max="11" width="17.85546875" style="1" hidden="1" customWidth="1" outlineLevel="2"/>
    <col min="12" max="12" width="27.140625" style="1" hidden="1" customWidth="1" outlineLevel="1"/>
    <col min="13" max="13" width="20.85546875" style="1" hidden="1" customWidth="1" outlineLevel="2"/>
    <col min="14" max="14" width="19.28515625" style="1" hidden="1" customWidth="1" outlineLevel="2"/>
    <col min="15" max="15" width="27.140625" style="1" hidden="1" customWidth="1" outlineLevel="1" collapsed="1"/>
    <col min="16" max="16" width="24.42578125" style="1" hidden="1" customWidth="1" outlineLevel="2"/>
    <col min="17" max="17" width="19.28515625" style="1" hidden="1" customWidth="1" outlineLevel="2"/>
    <col min="18" max="18" width="26.28515625" style="1" hidden="1" customWidth="1" outlineLevel="1"/>
    <col min="19" max="19" width="19.28515625" style="1" customWidth="1" collapsed="1"/>
    <col min="20" max="20" width="21.42578125" style="1" hidden="1" customWidth="1" outlineLevel="1"/>
    <col min="21" max="22" width="20.85546875" style="1" hidden="1" customWidth="1" outlineLevel="1"/>
    <col min="23" max="23" width="19.28515625" style="1" hidden="1" customWidth="1" outlineLevel="1"/>
    <col min="24" max="24" width="22" style="1" customWidth="1" collapsed="1"/>
    <col min="25" max="26" width="19.28515625" style="1" customWidth="1"/>
    <col min="27" max="27" width="19.28515625" style="2" hidden="1" customWidth="1" outlineLevel="1"/>
    <col min="28" max="28" width="12.42578125" style="1" customWidth="1" collapsed="1"/>
    <col min="29" max="43" width="19.28515625" style="1" customWidth="1"/>
    <col min="44" max="16384" width="19.28515625" style="1"/>
  </cols>
  <sheetData>
    <row r="1" spans="1:28" ht="18" customHeight="1" x14ac:dyDescent="0.3">
      <c r="A1" s="112"/>
      <c r="B1" s="12"/>
      <c r="C1" s="12"/>
      <c r="D1" s="12"/>
      <c r="E1" s="12"/>
      <c r="F1" s="1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11"/>
      <c r="V1" s="12"/>
      <c r="W1" s="12"/>
      <c r="X1" s="12"/>
      <c r="Y1" s="12"/>
      <c r="Z1" s="12"/>
      <c r="AA1" s="110"/>
      <c r="AB1" s="12"/>
    </row>
    <row r="2" spans="1:28" s="108" customFormat="1" ht="15.75" x14ac:dyDescent="0.3">
      <c r="A2" s="109" t="s">
        <v>51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</row>
    <row r="3" spans="1:28" s="108" customFormat="1" ht="15.75" x14ac:dyDescent="0.3">
      <c r="A3" s="109" t="s">
        <v>50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s="108" customFormat="1" ht="15.75" x14ac:dyDescent="0.3">
      <c r="A4" s="109" t="s">
        <v>49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s="108" customFormat="1" ht="15.75" x14ac:dyDescent="0.3">
      <c r="A5" s="109" t="s">
        <v>48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16.5" thickBot="1" x14ac:dyDescent="0.3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28" s="88" customFormat="1" ht="17.100000000000001" customHeight="1" thickTop="1" x14ac:dyDescent="0.2">
      <c r="A7" s="104" t="s">
        <v>47</v>
      </c>
      <c r="B7" s="106" t="s">
        <v>46</v>
      </c>
      <c r="C7" s="104" t="s">
        <v>45</v>
      </c>
      <c r="D7" s="104" t="s">
        <v>44</v>
      </c>
      <c r="E7" s="104" t="s">
        <v>43</v>
      </c>
      <c r="F7" s="101" t="s">
        <v>42</v>
      </c>
      <c r="G7" s="103" t="s">
        <v>39</v>
      </c>
      <c r="H7" s="104" t="s">
        <v>38</v>
      </c>
      <c r="I7" s="103" t="s">
        <v>37</v>
      </c>
      <c r="J7" s="105" t="s">
        <v>39</v>
      </c>
      <c r="K7" s="104" t="s">
        <v>41</v>
      </c>
      <c r="L7" s="103" t="s">
        <v>37</v>
      </c>
      <c r="M7" s="103" t="s">
        <v>39</v>
      </c>
      <c r="N7" s="104" t="s">
        <v>40</v>
      </c>
      <c r="O7" s="103" t="s">
        <v>37</v>
      </c>
      <c r="P7" s="103" t="s">
        <v>39</v>
      </c>
      <c r="Q7" s="104" t="s">
        <v>38</v>
      </c>
      <c r="R7" s="103" t="s">
        <v>37</v>
      </c>
      <c r="S7" s="101" t="s">
        <v>36</v>
      </c>
      <c r="T7" s="103" t="s">
        <v>35</v>
      </c>
      <c r="U7" s="103" t="s">
        <v>35</v>
      </c>
      <c r="V7" s="103" t="s">
        <v>35</v>
      </c>
      <c r="W7" s="103" t="s">
        <v>35</v>
      </c>
      <c r="X7" s="101" t="s">
        <v>34</v>
      </c>
      <c r="Y7" s="101" t="s">
        <v>33</v>
      </c>
      <c r="Z7" s="101" t="s">
        <v>32</v>
      </c>
      <c r="AA7" s="102" t="s">
        <v>31</v>
      </c>
      <c r="AB7" s="101" t="s">
        <v>30</v>
      </c>
    </row>
    <row r="8" spans="1:28" s="88" customFormat="1" ht="17.100000000000001" customHeight="1" x14ac:dyDescent="0.2">
      <c r="A8" s="98"/>
      <c r="B8" s="100"/>
      <c r="C8" s="98"/>
      <c r="D8" s="98"/>
      <c r="E8" s="98"/>
      <c r="F8" s="95"/>
      <c r="G8" s="97" t="s">
        <v>27</v>
      </c>
      <c r="H8" s="98"/>
      <c r="I8" s="97" t="s">
        <v>27</v>
      </c>
      <c r="J8" s="99" t="s">
        <v>26</v>
      </c>
      <c r="K8" s="98"/>
      <c r="L8" s="97" t="s">
        <v>26</v>
      </c>
      <c r="M8" s="97" t="s">
        <v>29</v>
      </c>
      <c r="N8" s="98"/>
      <c r="O8" s="97" t="s">
        <v>29</v>
      </c>
      <c r="P8" s="97" t="s">
        <v>28</v>
      </c>
      <c r="Q8" s="98"/>
      <c r="R8" s="97" t="s">
        <v>28</v>
      </c>
      <c r="S8" s="95"/>
      <c r="T8" s="97" t="s">
        <v>27</v>
      </c>
      <c r="U8" s="97" t="s">
        <v>26</v>
      </c>
      <c r="V8" s="97" t="s">
        <v>25</v>
      </c>
      <c r="W8" s="97" t="s">
        <v>24</v>
      </c>
      <c r="X8" s="95"/>
      <c r="Y8" s="95"/>
      <c r="Z8" s="95"/>
      <c r="AA8" s="96"/>
      <c r="AB8" s="95"/>
    </row>
    <row r="9" spans="1:28" s="88" customFormat="1" ht="29.25" customHeight="1" thickBot="1" x14ac:dyDescent="0.25">
      <c r="A9" s="92"/>
      <c r="B9" s="94"/>
      <c r="C9" s="92"/>
      <c r="D9" s="92"/>
      <c r="E9" s="92"/>
      <c r="F9" s="89"/>
      <c r="G9" s="91" t="s">
        <v>23</v>
      </c>
      <c r="H9" s="92"/>
      <c r="I9" s="91" t="s">
        <v>23</v>
      </c>
      <c r="J9" s="93" t="s">
        <v>23</v>
      </c>
      <c r="K9" s="92"/>
      <c r="L9" s="91" t="s">
        <v>23</v>
      </c>
      <c r="M9" s="91" t="s">
        <v>23</v>
      </c>
      <c r="N9" s="92"/>
      <c r="O9" s="91" t="s">
        <v>23</v>
      </c>
      <c r="P9" s="91" t="s">
        <v>23</v>
      </c>
      <c r="Q9" s="92"/>
      <c r="R9" s="91" t="s">
        <v>23</v>
      </c>
      <c r="S9" s="89"/>
      <c r="T9" s="91" t="s">
        <v>23</v>
      </c>
      <c r="U9" s="91" t="s">
        <v>23</v>
      </c>
      <c r="V9" s="91" t="s">
        <v>23</v>
      </c>
      <c r="W9" s="91" t="s">
        <v>23</v>
      </c>
      <c r="X9" s="89"/>
      <c r="Y9" s="89"/>
      <c r="Z9" s="89"/>
      <c r="AA9" s="90"/>
      <c r="AB9" s="89"/>
    </row>
    <row r="10" spans="1:28" ht="15.75" x14ac:dyDescent="0.3">
      <c r="A10" s="87" t="s">
        <v>22</v>
      </c>
      <c r="B10" s="85">
        <f>+B12+B16+B20</f>
        <v>44181760414.019913</v>
      </c>
      <c r="C10" s="86">
        <f>+C12+C16+C20</f>
        <v>3990986864</v>
      </c>
      <c r="D10" s="86">
        <f>+D12+D16+D20</f>
        <v>0</v>
      </c>
      <c r="E10" s="85">
        <f>+E12+E16+E20</f>
        <v>0</v>
      </c>
      <c r="F10" s="59">
        <f>+F12+F16+F20</f>
        <v>48172747278.019913</v>
      </c>
      <c r="G10" s="82">
        <f>+G12+G16+G20</f>
        <v>9452015769.8085918</v>
      </c>
      <c r="H10" s="84">
        <f>+H12+H16+H20</f>
        <v>152946571</v>
      </c>
      <c r="I10" s="83">
        <f>+I12+I16+I20</f>
        <v>9604962340.8085918</v>
      </c>
      <c r="J10" s="82">
        <f>+J12+J16+J20</f>
        <v>13988555842</v>
      </c>
      <c r="K10" s="64">
        <f>+K12+K16+K20</f>
        <v>-1132469093.213022</v>
      </c>
      <c r="L10" s="82">
        <f>+L12+L16+L20</f>
        <v>12856086748.786978</v>
      </c>
      <c r="M10" s="82">
        <f>+M12+M16+M20</f>
        <v>13218315058</v>
      </c>
      <c r="N10" s="64">
        <f>+N12+N16+N20</f>
        <v>-1223005145</v>
      </c>
      <c r="O10" s="82">
        <f>+O12+O16+O20</f>
        <v>11995309913</v>
      </c>
      <c r="P10" s="82">
        <f>+P12+P16+P20</f>
        <v>12446761595.385157</v>
      </c>
      <c r="Q10" s="82">
        <f>+Q12+Q16+Q20</f>
        <v>728044966.61484301</v>
      </c>
      <c r="R10" s="82">
        <f>+R12+R16+R20</f>
        <v>13174806562</v>
      </c>
      <c r="S10" s="82">
        <f>+S12+S16+S20</f>
        <v>47631165564.595566</v>
      </c>
      <c r="T10" s="82">
        <f>+T12+T16+T20</f>
        <v>9604962341</v>
      </c>
      <c r="U10" s="81">
        <f>+U12+U16+U20</f>
        <v>12856086748.786978</v>
      </c>
      <c r="V10" s="81">
        <f>+V12+V16+V20</f>
        <v>11995309913</v>
      </c>
      <c r="W10" s="80">
        <f>+W12+W16+W20</f>
        <v>13174806562</v>
      </c>
      <c r="X10" s="79">
        <f>+X12+X16+X20</f>
        <v>47631165564.986977</v>
      </c>
      <c r="Y10" s="78">
        <f>+Y12+Y16+Y20</f>
        <v>541581713.03293276</v>
      </c>
      <c r="Z10" s="64">
        <f>+Z12+Z16+Z20</f>
        <v>541581713.42434168</v>
      </c>
      <c r="AA10" s="3">
        <f>+X10-F10</f>
        <v>-541581713.0329361</v>
      </c>
      <c r="AB10" s="63">
        <f>IFERROR(X10/F10,0)</f>
        <v>0.98875750826691911</v>
      </c>
    </row>
    <row r="11" spans="1:28" ht="13.5" customHeight="1" x14ac:dyDescent="0.3">
      <c r="A11" s="54"/>
      <c r="B11" s="43"/>
      <c r="C11" s="43"/>
      <c r="D11" s="53"/>
      <c r="E11" s="43"/>
      <c r="F11" s="43"/>
      <c r="G11" s="65"/>
      <c r="H11" s="67"/>
      <c r="I11" s="66"/>
      <c r="J11" s="65"/>
      <c r="K11" s="64"/>
      <c r="L11" s="65"/>
      <c r="M11" s="65"/>
      <c r="N11" s="65"/>
      <c r="O11" s="65"/>
      <c r="P11" s="65"/>
      <c r="Q11" s="65"/>
      <c r="R11" s="71"/>
      <c r="S11" s="37"/>
      <c r="T11" s="37"/>
      <c r="U11" s="51"/>
      <c r="V11" s="51"/>
      <c r="W11" s="51"/>
      <c r="X11" s="43"/>
      <c r="Y11" s="53"/>
      <c r="Z11" s="53"/>
      <c r="AA11" s="3"/>
      <c r="AB11" s="61"/>
    </row>
    <row r="12" spans="1:28" ht="15.75" x14ac:dyDescent="0.3">
      <c r="A12" s="77" t="s">
        <v>21</v>
      </c>
      <c r="B12" s="76">
        <f>+B13+B14</f>
        <v>39467091978.385155</v>
      </c>
      <c r="C12" s="59">
        <f>+C13+C14</f>
        <v>3292401062</v>
      </c>
      <c r="D12" s="59">
        <f>+D13+D14</f>
        <v>0</v>
      </c>
      <c r="E12" s="59">
        <f>+E13+E14</f>
        <v>0</v>
      </c>
      <c r="F12" s="59">
        <f>+F13+F14</f>
        <v>42759493040.385155</v>
      </c>
      <c r="G12" s="59">
        <f>+SUM(G13:G14)</f>
        <v>8890529329</v>
      </c>
      <c r="H12" s="64">
        <f>+SUM(H13:H14)</f>
        <v>534822744</v>
      </c>
      <c r="I12" s="56">
        <f>+SUM(I13:I14)</f>
        <v>9425352073</v>
      </c>
      <c r="J12" s="59">
        <f>+SUM(J13:J14)</f>
        <v>10470947355</v>
      </c>
      <c r="K12" s="64">
        <f>+SUM(K13:K14)</f>
        <v>-358102476</v>
      </c>
      <c r="L12" s="59">
        <f>+SUM(L13:L14)</f>
        <v>10112844879</v>
      </c>
      <c r="M12" s="59">
        <f>+SUM(M13:M14)</f>
        <v>10864307344</v>
      </c>
      <c r="N12" s="59">
        <f>+SUM(N13:N14)</f>
        <v>-56625360</v>
      </c>
      <c r="O12" s="74">
        <f>+SUM(O13:O14)</f>
        <v>10807681984</v>
      </c>
      <c r="P12" s="59">
        <f>+P13+P14</f>
        <v>12275848806.385157</v>
      </c>
      <c r="Q12" s="59">
        <f>+SUM(Q13:Q14)</f>
        <v>-420105084.38515699</v>
      </c>
      <c r="R12" s="74">
        <f>+SUM(R13:R14)</f>
        <v>11855743722</v>
      </c>
      <c r="S12" s="74">
        <f>+SUM(S13:S14)</f>
        <v>42201622658</v>
      </c>
      <c r="T12" s="74">
        <f>+SUM(T13:T14)</f>
        <v>9425352073</v>
      </c>
      <c r="U12" s="75">
        <f>+SUM(U13:U14)</f>
        <v>10112844879</v>
      </c>
      <c r="V12" s="74">
        <f>+SUM(V13:V14)</f>
        <v>10807681984</v>
      </c>
      <c r="W12" s="74">
        <f>+SUM(W13:W14)</f>
        <v>11855743722</v>
      </c>
      <c r="X12" s="59">
        <f>+SUM(X13:X14)</f>
        <v>42201622658</v>
      </c>
      <c r="Y12" s="56">
        <f>+SUM(Y13:Y14)</f>
        <v>557870382.38515663</v>
      </c>
      <c r="Z12" s="56">
        <f>+SUM(Z13:Z14)</f>
        <v>557870382.38515663</v>
      </c>
      <c r="AA12" s="3">
        <f>+X12-F12</f>
        <v>-557870382.38515472</v>
      </c>
      <c r="AB12" s="63">
        <f>IFERROR(X12/F12,0)</f>
        <v>0.98695329755527594</v>
      </c>
    </row>
    <row r="13" spans="1:28" ht="15.75" x14ac:dyDescent="0.3">
      <c r="A13" s="54" t="s">
        <v>17</v>
      </c>
      <c r="B13" s="43">
        <v>24666932486.490723</v>
      </c>
      <c r="C13" s="43">
        <v>2057750664</v>
      </c>
      <c r="D13" s="53"/>
      <c r="E13" s="43"/>
      <c r="F13" s="43">
        <f>+SUM(B13:E13)</f>
        <v>26724683150.490723</v>
      </c>
      <c r="G13" s="52">
        <f>SUM(342937+319503+344073)*(8833*62.5%)</f>
        <v>5556580830.625</v>
      </c>
      <c r="H13" s="34">
        <v>334264214</v>
      </c>
      <c r="I13" s="41">
        <f>+G13+H13</f>
        <v>5890845044.625</v>
      </c>
      <c r="J13" s="39">
        <v>6544342097</v>
      </c>
      <c r="K13" s="34">
        <v>-223814047</v>
      </c>
      <c r="L13" s="39">
        <f>+J13+K13</f>
        <v>6320528050</v>
      </c>
      <c r="M13" s="39">
        <v>6790192090</v>
      </c>
      <c r="N13" s="39">
        <v>-35390850</v>
      </c>
      <c r="O13" s="39">
        <f>+M13+N13</f>
        <v>6754801240</v>
      </c>
      <c r="P13" s="35">
        <v>7672405504.8657227</v>
      </c>
      <c r="Q13" s="35">
        <v>-262565677.86572301</v>
      </c>
      <c r="R13" s="37">
        <f>+P13+Q13</f>
        <v>7409839827</v>
      </c>
      <c r="S13" s="37">
        <f>+I13+L13+O13+R13</f>
        <v>26376014161.625</v>
      </c>
      <c r="T13" s="37">
        <f>+(21725000+3247604692+3047663228+3287969421)*62.5%-112256418</f>
        <v>5890845045.125</v>
      </c>
      <c r="U13" s="73">
        <f>+(-21298507+2037447232+2259954304+2084207077)-39782056</f>
        <v>6320528050</v>
      </c>
      <c r="V13" s="37">
        <v>6754801240.375</v>
      </c>
      <c r="W13" s="37">
        <f>28101931+2412566288+2272949817+2728210066-31988275</f>
        <v>7409839827</v>
      </c>
      <c r="X13" s="35">
        <f>+T13+U13+V13+W13</f>
        <v>26376014162.5</v>
      </c>
      <c r="Y13" s="41">
        <f>+F13-X13</f>
        <v>348668987.99072266</v>
      </c>
      <c r="Z13" s="41">
        <f>+F13-S13</f>
        <v>348668988.86572266</v>
      </c>
      <c r="AA13" s="33">
        <f>+X13-F13</f>
        <v>-348668987.99072266</v>
      </c>
      <c r="AB13" s="32">
        <f>IFERROR(X13/F13,0)</f>
        <v>0.98695329759281658</v>
      </c>
    </row>
    <row r="14" spans="1:28" ht="15.75" x14ac:dyDescent="0.3">
      <c r="A14" s="54" t="s">
        <v>16</v>
      </c>
      <c r="B14" s="43">
        <v>14800159491.894434</v>
      </c>
      <c r="C14" s="43">
        <v>1234650398</v>
      </c>
      <c r="D14" s="53"/>
      <c r="E14" s="43"/>
      <c r="F14" s="43">
        <f>+SUM(B14:E14)</f>
        <v>16034809889.894434</v>
      </c>
      <c r="G14" s="52">
        <f>SUM(342937+319503+344073)*(8833*37.5%)</f>
        <v>3333948498.375</v>
      </c>
      <c r="H14" s="34">
        <v>200558530</v>
      </c>
      <c r="I14" s="41">
        <f>+G14+H14</f>
        <v>3534507028.375</v>
      </c>
      <c r="J14" s="39">
        <v>3926605258</v>
      </c>
      <c r="K14" s="34">
        <v>-134288429</v>
      </c>
      <c r="L14" s="39">
        <f>+J14+K14</f>
        <v>3792316829</v>
      </c>
      <c r="M14" s="39">
        <v>4074115254</v>
      </c>
      <c r="N14" s="39">
        <v>-21234510</v>
      </c>
      <c r="O14" s="39">
        <f>+M14+N14</f>
        <v>4052880744</v>
      </c>
      <c r="P14" s="35">
        <v>4603443301.519434</v>
      </c>
      <c r="Q14" s="35">
        <v>-157539406.51943401</v>
      </c>
      <c r="R14" s="37">
        <f>+P14+Q14</f>
        <v>4445903895</v>
      </c>
      <c r="S14" s="37">
        <f>+I14+L14+O14+R14</f>
        <v>15825608496.375</v>
      </c>
      <c r="T14" s="37">
        <f>+(21725000+3247604692+3047663228+3287969421)*37.5%-67353850</f>
        <v>3534507027.875</v>
      </c>
      <c r="U14" s="73">
        <f>+(-12779104+1222468339+1355972582+1250524246)-23869234</f>
        <v>3792316829</v>
      </c>
      <c r="V14" s="37">
        <v>4052880743.625</v>
      </c>
      <c r="W14" s="37">
        <f>16861158+1447539773+1363769890+1636926039-19192965</f>
        <v>4445903895</v>
      </c>
      <c r="X14" s="35">
        <f>+T14+U14+V14+W14</f>
        <v>15825608495.5</v>
      </c>
      <c r="Y14" s="41">
        <f>+F14-X14</f>
        <v>209201394.39443398</v>
      </c>
      <c r="Z14" s="41">
        <f>+F14-S14</f>
        <v>209201393.51943398</v>
      </c>
      <c r="AA14" s="33">
        <f>+X14-F14</f>
        <v>-209201394.39443398</v>
      </c>
      <c r="AB14" s="32">
        <f>IFERROR(X14/F14,0)</f>
        <v>0.9869532974927081</v>
      </c>
    </row>
    <row r="15" spans="1:28" ht="15.75" x14ac:dyDescent="0.3">
      <c r="A15" s="54"/>
      <c r="B15" s="43"/>
      <c r="C15" s="43"/>
      <c r="D15" s="53"/>
      <c r="E15" s="43"/>
      <c r="F15" s="43"/>
      <c r="G15" s="35"/>
      <c r="H15" s="34"/>
      <c r="I15" s="41" t="s">
        <v>20</v>
      </c>
      <c r="J15" s="35"/>
      <c r="K15" s="35"/>
      <c r="L15" s="35"/>
      <c r="M15" s="35"/>
      <c r="N15" s="35"/>
      <c r="O15" s="37"/>
      <c r="P15" s="35"/>
      <c r="Q15" s="35"/>
      <c r="R15" s="37"/>
      <c r="S15" s="37"/>
      <c r="T15" s="37"/>
      <c r="U15" s="51"/>
      <c r="V15" s="50"/>
      <c r="W15" s="49"/>
      <c r="X15" s="43"/>
      <c r="Y15" s="53"/>
      <c r="Z15" s="53"/>
      <c r="AA15" s="3"/>
      <c r="AB15" s="61"/>
    </row>
    <row r="16" spans="1:28" ht="15.75" x14ac:dyDescent="0.3">
      <c r="A16" s="60" t="s">
        <v>19</v>
      </c>
      <c r="B16" s="59">
        <f>+B17+B18</f>
        <v>320000000</v>
      </c>
      <c r="C16" s="56">
        <f>+C17+C18</f>
        <v>0</v>
      </c>
      <c r="D16" s="56">
        <f>+D17+D18</f>
        <v>0</v>
      </c>
      <c r="E16" s="59">
        <f>+E17+E18</f>
        <v>0</v>
      </c>
      <c r="F16" s="65">
        <f>+SUM(F17:F18)</f>
        <v>320000000</v>
      </c>
      <c r="G16" s="65">
        <f>+SUM(G17:G18)</f>
        <v>150000000</v>
      </c>
      <c r="H16" s="67">
        <f>+SUM(H17:H18)</f>
        <v>29610268</v>
      </c>
      <c r="I16" s="66">
        <f>+SUM(I17:I18)</f>
        <v>179610268</v>
      </c>
      <c r="J16" s="65">
        <f>+SUM(J17:J18)</f>
        <v>105350218</v>
      </c>
      <c r="K16" s="64">
        <f>+SUM(K17:K18)</f>
        <v>-41698928</v>
      </c>
      <c r="L16" s="65">
        <f>+SUM(L17:L18)</f>
        <v>63651290</v>
      </c>
      <c r="M16" s="65">
        <f>+SUM(M17:M18)</f>
        <v>47438290</v>
      </c>
      <c r="N16" s="59">
        <f>+SUM(N17:N18)</f>
        <v>-5592419</v>
      </c>
      <c r="O16" s="71">
        <f>+SUM(O17:O18)</f>
        <v>41845871</v>
      </c>
      <c r="P16" s="65">
        <f>+SUM(P17:P18)</f>
        <v>51164572</v>
      </c>
      <c r="Q16" s="65">
        <f>+SUM(Q17:Q18)</f>
        <v>16668</v>
      </c>
      <c r="R16" s="71">
        <f>+SUM(R17:R18)</f>
        <v>51181240</v>
      </c>
      <c r="S16" s="71">
        <f>+SUM(S17:S18)</f>
        <v>336288669</v>
      </c>
      <c r="T16" s="71">
        <f>+SUM(T17:T18)</f>
        <v>179610268</v>
      </c>
      <c r="U16" s="71">
        <f>+SUM(U17:U18)</f>
        <v>63651290</v>
      </c>
      <c r="V16" s="71">
        <f>+SUM(V17:V18)</f>
        <v>41845871</v>
      </c>
      <c r="W16" s="71">
        <f>+SUM(W17:W18)</f>
        <v>51181240</v>
      </c>
      <c r="X16" s="65">
        <f>+SUM(X17:X18)</f>
        <v>336288669.19999999</v>
      </c>
      <c r="Y16" s="64">
        <f>+SUM(Y17:Y18)</f>
        <v>-16288669.200000003</v>
      </c>
      <c r="Z16" s="64">
        <f>+SUM(Z17:Z18)</f>
        <v>-16288669</v>
      </c>
      <c r="AA16" s="3">
        <f>+X16-F16</f>
        <v>16288669.199999988</v>
      </c>
      <c r="AB16" s="63">
        <f>IFERROR(X16/F16,0)</f>
        <v>1.05090209125</v>
      </c>
    </row>
    <row r="17" spans="1:28" ht="15.75" x14ac:dyDescent="0.3">
      <c r="A17" s="54" t="s">
        <v>17</v>
      </c>
      <c r="B17" s="43">
        <v>200000000</v>
      </c>
      <c r="C17" s="43"/>
      <c r="D17" s="53"/>
      <c r="E17" s="43"/>
      <c r="F17" s="43">
        <f>+SUM(B17:E17)</f>
        <v>200000000</v>
      </c>
      <c r="G17" s="35">
        <v>93750000</v>
      </c>
      <c r="H17" s="34">
        <v>18506418</v>
      </c>
      <c r="I17" s="41">
        <f>+G17+H17</f>
        <v>112256418</v>
      </c>
      <c r="J17" s="35">
        <v>65843886</v>
      </c>
      <c r="K17" s="34">
        <v>-26061830</v>
      </c>
      <c r="L17" s="39">
        <f>+J17+K17</f>
        <v>39782056</v>
      </c>
      <c r="M17" s="35">
        <v>29648931</v>
      </c>
      <c r="N17" s="72">
        <v>-3495262</v>
      </c>
      <c r="O17" s="37">
        <f>+M17+N17</f>
        <v>26153669</v>
      </c>
      <c r="P17" s="35">
        <v>31977858</v>
      </c>
      <c r="Q17" s="35">
        <v>10417</v>
      </c>
      <c r="R17" s="37">
        <f>+P17+Q17</f>
        <v>31988275</v>
      </c>
      <c r="S17" s="37">
        <f>+I17+L17+O17+R17</f>
        <v>210180418</v>
      </c>
      <c r="T17" s="37">
        <v>112256418</v>
      </c>
      <c r="U17" s="51">
        <v>39782056</v>
      </c>
      <c r="V17" s="50">
        <v>26153669.375</v>
      </c>
      <c r="W17" s="49">
        <v>31988275</v>
      </c>
      <c r="X17" s="35">
        <f>+T17+U17+V17+W17</f>
        <v>210180418.375</v>
      </c>
      <c r="Y17" s="34">
        <f>+F17-X17</f>
        <v>-10180418.375</v>
      </c>
      <c r="Z17" s="34">
        <f>+F17-S17</f>
        <v>-10180418</v>
      </c>
      <c r="AA17" s="33">
        <f>+X17-F17</f>
        <v>10180418.375</v>
      </c>
      <c r="AB17" s="32">
        <f>IFERROR(X17/F17,0)</f>
        <v>1.0509020918750001</v>
      </c>
    </row>
    <row r="18" spans="1:28" ht="15.75" x14ac:dyDescent="0.3">
      <c r="A18" s="54" t="s">
        <v>16</v>
      </c>
      <c r="B18" s="43">
        <v>120000000</v>
      </c>
      <c r="C18" s="43"/>
      <c r="D18" s="53">
        <v>0</v>
      </c>
      <c r="E18" s="43"/>
      <c r="F18" s="43">
        <f>+SUM(B18:E18)</f>
        <v>120000000</v>
      </c>
      <c r="G18" s="35">
        <v>56250000</v>
      </c>
      <c r="H18" s="34">
        <v>11103850</v>
      </c>
      <c r="I18" s="41">
        <f>+G18+H18</f>
        <v>67353850</v>
      </c>
      <c r="J18" s="35">
        <v>39506332</v>
      </c>
      <c r="K18" s="34">
        <v>-15637098</v>
      </c>
      <c r="L18" s="39">
        <f>+J18+K18</f>
        <v>23869234</v>
      </c>
      <c r="M18" s="35">
        <v>17789359</v>
      </c>
      <c r="N18" s="72">
        <v>-2097157</v>
      </c>
      <c r="O18" s="37">
        <f>+M18+N18</f>
        <v>15692202</v>
      </c>
      <c r="P18" s="35">
        <v>19186714</v>
      </c>
      <c r="Q18" s="35">
        <v>6251</v>
      </c>
      <c r="R18" s="37">
        <f>+P18+Q18</f>
        <v>19192965</v>
      </c>
      <c r="S18" s="37">
        <f>+I18+L18+O18+R18</f>
        <v>126108251</v>
      </c>
      <c r="T18" s="37">
        <v>67353850</v>
      </c>
      <c r="U18" s="51">
        <v>23869234</v>
      </c>
      <c r="V18" s="50">
        <v>15692201.625</v>
      </c>
      <c r="W18" s="49">
        <v>19192965</v>
      </c>
      <c r="X18" s="35">
        <f>+T18+U18+V18+W18+0.2</f>
        <v>126108250.825</v>
      </c>
      <c r="Y18" s="34">
        <f>+F18-X18</f>
        <v>-6108250.825000003</v>
      </c>
      <c r="Z18" s="34">
        <f>+F18-S18</f>
        <v>-6108251</v>
      </c>
      <c r="AA18" s="33">
        <f>+X18-F18</f>
        <v>6108250.825000003</v>
      </c>
      <c r="AB18" s="32">
        <f>IFERROR(X18/F18,0)</f>
        <v>1.0509020902083333</v>
      </c>
    </row>
    <row r="19" spans="1:28" ht="15.75" x14ac:dyDescent="0.3">
      <c r="A19" s="54"/>
      <c r="B19" s="43"/>
      <c r="C19" s="43"/>
      <c r="D19" s="53"/>
      <c r="E19" s="43"/>
      <c r="F19" s="43"/>
      <c r="G19" s="35"/>
      <c r="H19" s="34"/>
      <c r="I19" s="41"/>
      <c r="J19" s="35"/>
      <c r="K19" s="62"/>
      <c r="L19" s="35"/>
      <c r="M19" s="35"/>
      <c r="N19" s="35"/>
      <c r="O19" s="37"/>
      <c r="P19" s="35"/>
      <c r="Q19" s="35"/>
      <c r="R19" s="35"/>
      <c r="S19" s="35"/>
      <c r="T19" s="35"/>
      <c r="U19" s="36"/>
      <c r="V19" s="51"/>
      <c r="W19" s="43"/>
      <c r="X19" s="43"/>
      <c r="Y19" s="53"/>
      <c r="Z19" s="53"/>
      <c r="AA19" s="3"/>
      <c r="AB19" s="61"/>
    </row>
    <row r="20" spans="1:28" ht="15.75" x14ac:dyDescent="0.3">
      <c r="A20" s="60" t="s">
        <v>18</v>
      </c>
      <c r="B20" s="59">
        <f>+B21+B22</f>
        <v>4394668435.6347542</v>
      </c>
      <c r="C20" s="56">
        <f>+C21+C22</f>
        <v>698585802</v>
      </c>
      <c r="D20" s="56">
        <f>+D21+D22</f>
        <v>0</v>
      </c>
      <c r="E20" s="59">
        <f>+E21+E22</f>
        <v>0</v>
      </c>
      <c r="F20" s="65">
        <f>+F21+F22</f>
        <v>5093254237.6347542</v>
      </c>
      <c r="G20" s="65">
        <f>+G21+G22</f>
        <v>411486440.80859101</v>
      </c>
      <c r="H20" s="67">
        <f>+H21+H22</f>
        <v>-411486441</v>
      </c>
      <c r="I20" s="66">
        <f>+I21+I22</f>
        <v>-0.19140899181365967</v>
      </c>
      <c r="J20" s="65">
        <f>+J21+J22</f>
        <v>3412258269</v>
      </c>
      <c r="K20" s="64">
        <f>+K21+K22</f>
        <v>-732667689.21302199</v>
      </c>
      <c r="L20" s="65">
        <f>+L21+L22</f>
        <v>2679590579.7869778</v>
      </c>
      <c r="M20" s="65">
        <f>+M21+M22</f>
        <v>2306569424</v>
      </c>
      <c r="N20" s="64">
        <f>+N21+N22</f>
        <v>-1160787366</v>
      </c>
      <c r="O20" s="71">
        <f>+O21+O22</f>
        <v>1145782058</v>
      </c>
      <c r="P20" s="65">
        <f>+P21+P22</f>
        <v>119748217</v>
      </c>
      <c r="Q20" s="65">
        <f>+Q21+Q22</f>
        <v>1148133383</v>
      </c>
      <c r="R20" s="65">
        <f>+SUM(R21:R22)</f>
        <v>1267881600</v>
      </c>
      <c r="S20" s="65">
        <f>+S21+S22</f>
        <v>5093254237.5955696</v>
      </c>
      <c r="T20" s="65">
        <f>+T21+T22</f>
        <v>0</v>
      </c>
      <c r="U20" s="65">
        <f>+U21+U22</f>
        <v>2679590579.7869778</v>
      </c>
      <c r="V20" s="71">
        <f>+V21+V22</f>
        <v>1145782058</v>
      </c>
      <c r="W20" s="65">
        <f>+W21+W22</f>
        <v>1267881600</v>
      </c>
      <c r="X20" s="65">
        <f>+X21+X22</f>
        <v>5093254237.7869778</v>
      </c>
      <c r="Y20" s="64">
        <f>+Y21+Y22</f>
        <v>-0.15222382545471191</v>
      </c>
      <c r="Z20" s="66">
        <f>+Z21+Z22</f>
        <v>3.9185047149658203E-2</v>
      </c>
      <c r="AA20" s="3">
        <f>+X20-F20</f>
        <v>0.15222358703613281</v>
      </c>
      <c r="AB20" s="63">
        <f>IFERROR(X20/F20,0)</f>
        <v>1.0000000000298872</v>
      </c>
    </row>
    <row r="21" spans="1:28" ht="15.75" x14ac:dyDescent="0.3">
      <c r="A21" s="54" t="s">
        <v>17</v>
      </c>
      <c r="B21" s="36">
        <v>2467412227.6747799</v>
      </c>
      <c r="C21" s="36">
        <v>552424084</v>
      </c>
      <c r="D21" s="70"/>
      <c r="E21" s="36"/>
      <c r="F21" s="43">
        <f>+SUM(B21:E21)</f>
        <v>3019836311.6747799</v>
      </c>
      <c r="G21" s="35">
        <v>0</v>
      </c>
      <c r="H21" s="34"/>
      <c r="I21" s="41">
        <f>+G21+H21</f>
        <v>0</v>
      </c>
      <c r="J21" s="39">
        <v>1888480006</v>
      </c>
      <c r="K21" s="34">
        <v>-632507122</v>
      </c>
      <c r="L21" s="39">
        <f>+J21+K21</f>
        <v>1255972884</v>
      </c>
      <c r="M21" s="35">
        <v>1631101245</v>
      </c>
      <c r="N21" s="34">
        <v>-1013804399</v>
      </c>
      <c r="O21" s="35">
        <f>+M21+N21</f>
        <v>617296846</v>
      </c>
      <c r="P21" s="35">
        <f>59748217+60000000</f>
        <v>119748217</v>
      </c>
      <c r="Q21" s="35">
        <v>1026818365</v>
      </c>
      <c r="R21" s="35">
        <f>+P21+Q21</f>
        <v>1146566582</v>
      </c>
      <c r="S21" s="35">
        <f>+I21+L21+O21+R21</f>
        <v>3019836312</v>
      </c>
      <c r="T21" s="35"/>
      <c r="U21" s="36">
        <v>1255972884</v>
      </c>
      <c r="V21" s="50">
        <v>617296846.25</v>
      </c>
      <c r="W21" s="36">
        <f>1026818365+119748217</f>
        <v>1146566582</v>
      </c>
      <c r="X21" s="35">
        <f>+T21+U21+V21+W21</f>
        <v>3019836312.25</v>
      </c>
      <c r="Y21" s="34">
        <f>+F21-X21</f>
        <v>-0.57522010803222656</v>
      </c>
      <c r="Z21" s="41">
        <f>+F21-S21</f>
        <v>-0.32522010803222656</v>
      </c>
      <c r="AA21" s="33">
        <f>+X21-F21-1</f>
        <v>-0.42477989196777344</v>
      </c>
      <c r="AB21" s="32">
        <f>IFERROR(X21/F21,0)</f>
        <v>1.0000000001904805</v>
      </c>
    </row>
    <row r="22" spans="1:28" ht="15.75" x14ac:dyDescent="0.3">
      <c r="A22" s="54" t="s">
        <v>16</v>
      </c>
      <c r="B22" s="43">
        <v>1927256207.9599743</v>
      </c>
      <c r="C22" s="36">
        <v>146161718</v>
      </c>
      <c r="D22" s="53"/>
      <c r="E22" s="43"/>
      <c r="F22" s="43">
        <f>+SUM(B22:E22)</f>
        <v>2073417925.9599743</v>
      </c>
      <c r="G22" s="35">
        <v>411486440.80859101</v>
      </c>
      <c r="H22" s="34">
        <v>-411486441</v>
      </c>
      <c r="I22" s="41">
        <f>+G22+H22</f>
        <v>-0.19140899181365967</v>
      </c>
      <c r="J22" s="39">
        <v>1523778263</v>
      </c>
      <c r="K22" s="34">
        <v>-100160567.21302199</v>
      </c>
      <c r="L22" s="39">
        <f>+J22+K22</f>
        <v>1423617695.786978</v>
      </c>
      <c r="M22" s="35">
        <v>675468179</v>
      </c>
      <c r="N22" s="34">
        <v>-146982967</v>
      </c>
      <c r="O22" s="35">
        <f>+M22+N22</f>
        <v>528485212</v>
      </c>
      <c r="P22" s="35"/>
      <c r="Q22" s="35">
        <v>121315018</v>
      </c>
      <c r="R22" s="35">
        <f>+P22+Q22</f>
        <v>121315018</v>
      </c>
      <c r="S22" s="35">
        <f>+I22+L22+O22+R22</f>
        <v>2073417925.5955691</v>
      </c>
      <c r="T22" s="35"/>
      <c r="U22" s="43">
        <v>1423617695.786978</v>
      </c>
      <c r="V22" s="35">
        <v>528485211.75</v>
      </c>
      <c r="W22" s="36">
        <v>121315018</v>
      </c>
      <c r="X22" s="35">
        <f>+T22+U22+V22+W22</f>
        <v>2073417925.536978</v>
      </c>
      <c r="Y22" s="41">
        <f>+F22-X22</f>
        <v>0.42299628257751465</v>
      </c>
      <c r="Z22" s="69">
        <f>+F22-S22</f>
        <v>0.36440515518188477</v>
      </c>
      <c r="AA22" s="33">
        <f>+X22-F22</f>
        <v>-0.42299628257751465</v>
      </c>
      <c r="AB22" s="32">
        <f>IFERROR(X22/F22,0)</f>
        <v>0.99999999979599086</v>
      </c>
    </row>
    <row r="23" spans="1:28" ht="15.75" x14ac:dyDescent="0.3">
      <c r="A23" s="54"/>
      <c r="B23" s="43"/>
      <c r="C23" s="43"/>
      <c r="D23" s="53"/>
      <c r="E23" s="43"/>
      <c r="F23" s="43"/>
      <c r="G23" s="35"/>
      <c r="H23" s="34"/>
      <c r="I23" s="41">
        <f>+G23+H23</f>
        <v>0</v>
      </c>
      <c r="J23" s="35"/>
      <c r="K23" s="62"/>
      <c r="L23" s="35"/>
      <c r="M23" s="35"/>
      <c r="N23" s="35"/>
      <c r="O23" s="35"/>
      <c r="P23" s="35"/>
      <c r="Q23" s="35"/>
      <c r="R23" s="35"/>
      <c r="S23" s="35"/>
      <c r="T23" s="35"/>
      <c r="U23" s="43"/>
      <c r="V23" s="51"/>
      <c r="W23" s="43"/>
      <c r="X23" s="68"/>
      <c r="Y23" s="53"/>
      <c r="Z23" s="53"/>
      <c r="AA23" s="3"/>
      <c r="AB23" s="61"/>
    </row>
    <row r="24" spans="1:28" ht="15.75" x14ac:dyDescent="0.3">
      <c r="A24" s="60" t="s">
        <v>15</v>
      </c>
      <c r="B24" s="59">
        <f>+B26+B30</f>
        <v>2409602226.6000004</v>
      </c>
      <c r="C24" s="56">
        <f>+C26+C30</f>
        <v>128000000</v>
      </c>
      <c r="D24" s="64">
        <f>+D26+D30</f>
        <v>258927500</v>
      </c>
      <c r="E24" s="58">
        <f>+E26+E30</f>
        <v>-339851892</v>
      </c>
      <c r="F24" s="56">
        <f>+F26+F30</f>
        <v>2456677834.6000004</v>
      </c>
      <c r="G24" s="56">
        <f>+G26+G30</f>
        <v>539086549</v>
      </c>
      <c r="H24" s="67">
        <f>+H26+H30</f>
        <v>14957783</v>
      </c>
      <c r="I24" s="56">
        <f>+I26+I30</f>
        <v>554044332</v>
      </c>
      <c r="J24" s="59">
        <f>+J26+J30</f>
        <v>733715039</v>
      </c>
      <c r="K24" s="56">
        <f>+K26+K30</f>
        <v>58089308</v>
      </c>
      <c r="L24" s="56">
        <f>+L26+L30</f>
        <v>791804347</v>
      </c>
      <c r="M24" s="56">
        <f>+M26+M30</f>
        <v>927694326</v>
      </c>
      <c r="N24" s="56">
        <f>+N26+N30</f>
        <v>-103788225</v>
      </c>
      <c r="O24" s="56">
        <f>+O26+O30</f>
        <v>823906101</v>
      </c>
      <c r="P24" s="56">
        <f>+P26+P30</f>
        <v>654051870</v>
      </c>
      <c r="Q24" s="56">
        <f>+Q26+Q30</f>
        <v>124053461</v>
      </c>
      <c r="R24" s="56">
        <f>+R26+R30</f>
        <v>778105331</v>
      </c>
      <c r="S24" s="56">
        <f>+S26+S30</f>
        <v>2947860111</v>
      </c>
      <c r="T24" s="56">
        <f>+T26+T30</f>
        <v>554044333</v>
      </c>
      <c r="U24" s="56">
        <f>+U26+U30</f>
        <v>791804347</v>
      </c>
      <c r="V24" s="57">
        <f>+V26+V30</f>
        <v>823906101</v>
      </c>
      <c r="W24" s="56">
        <f>+W26+W30</f>
        <v>778105331</v>
      </c>
      <c r="X24" s="56">
        <f>+X26+X30</f>
        <v>2947860112</v>
      </c>
      <c r="Y24" s="64">
        <f>+Y26+Y30</f>
        <v>-491182277.40000004</v>
      </c>
      <c r="Z24" s="56">
        <f>+Z26+Z30</f>
        <v>-491182276.40000004</v>
      </c>
      <c r="AA24" s="3">
        <f>+X24-F24</f>
        <v>491182277.39999962</v>
      </c>
      <c r="AB24" s="63">
        <f>IFERROR(X24/F24,0)</f>
        <v>1.1999376029213755</v>
      </c>
    </row>
    <row r="25" spans="1:28" ht="15.75" x14ac:dyDescent="0.3">
      <c r="A25" s="54"/>
      <c r="B25" s="43"/>
      <c r="C25" s="43"/>
      <c r="D25" s="53"/>
      <c r="E25" s="43"/>
      <c r="F25" s="43"/>
      <c r="G25" s="65"/>
      <c r="H25" s="67"/>
      <c r="I25" s="66"/>
      <c r="J25" s="65"/>
      <c r="K25" s="64"/>
      <c r="L25" s="65"/>
      <c r="M25" s="65"/>
      <c r="N25" s="65"/>
      <c r="O25" s="65"/>
      <c r="P25" s="65"/>
      <c r="Q25" s="65"/>
      <c r="R25" s="65"/>
      <c r="S25" s="35"/>
      <c r="T25" s="35"/>
      <c r="U25" s="43"/>
      <c r="V25" s="51"/>
      <c r="W25" s="43"/>
      <c r="X25" s="43"/>
      <c r="Y25" s="53"/>
      <c r="Z25" s="53"/>
      <c r="AA25" s="3"/>
      <c r="AB25" s="61"/>
    </row>
    <row r="26" spans="1:28" ht="15.75" x14ac:dyDescent="0.3">
      <c r="A26" s="60" t="s">
        <v>14</v>
      </c>
      <c r="B26" s="59">
        <f>SUM(B27:B28)</f>
        <v>252267306</v>
      </c>
      <c r="C26" s="56">
        <f>SUM(C27:C28)</f>
        <v>0</v>
      </c>
      <c r="D26" s="56">
        <f>SUM(D27:D28)</f>
        <v>0</v>
      </c>
      <c r="E26" s="59">
        <f>SUM(E27:E28)</f>
        <v>0</v>
      </c>
      <c r="F26" s="56">
        <f>SUM(F27:F28)</f>
        <v>252267306</v>
      </c>
      <c r="G26" s="56">
        <f>SUM(G27:G28)</f>
        <v>63066826</v>
      </c>
      <c r="H26" s="64">
        <f>SUM(H27:H28)</f>
        <v>-838773</v>
      </c>
      <c r="I26" s="56">
        <f>SUM(I27:I28)</f>
        <v>62228053</v>
      </c>
      <c r="J26" s="59">
        <f>SUM(J27:J28)</f>
        <v>63066826</v>
      </c>
      <c r="K26" s="64">
        <f>SUM(K27:K28)</f>
        <v>12586912</v>
      </c>
      <c r="L26" s="56">
        <f>SUM(L27:L28)</f>
        <v>75653738</v>
      </c>
      <c r="M26" s="56">
        <f>SUM(M27:M28)</f>
        <v>63066826</v>
      </c>
      <c r="N26" s="64">
        <f>SUM(N27:N28)</f>
        <v>617786</v>
      </c>
      <c r="O26" s="56">
        <f>SUM(O27:O28)</f>
        <v>63684612</v>
      </c>
      <c r="P26" s="56">
        <f>SUM(P27:P28)</f>
        <v>72437312</v>
      </c>
      <c r="Q26" s="56">
        <f>SUM(Q27:Q28)</f>
        <v>-22680203</v>
      </c>
      <c r="R26" s="56">
        <f>SUM(R27:R28)</f>
        <v>49757109</v>
      </c>
      <c r="S26" s="56">
        <f>SUM(S27:S28)</f>
        <v>251323512</v>
      </c>
      <c r="T26" s="56">
        <f>SUM(T27:T28)</f>
        <v>62228053</v>
      </c>
      <c r="U26" s="56">
        <f>SUM(U27:U28)</f>
        <v>75653738</v>
      </c>
      <c r="V26" s="57">
        <f>SUM(V27:V28)</f>
        <v>63684612</v>
      </c>
      <c r="W26" s="56">
        <f>SUM(W27:W28)</f>
        <v>49757109</v>
      </c>
      <c r="X26" s="56">
        <f>SUM(X27:X28)</f>
        <v>251323512</v>
      </c>
      <c r="Y26" s="56">
        <f>SUM(Y27:Y28)</f>
        <v>943794</v>
      </c>
      <c r="Z26" s="64">
        <f>SUM(Z27:Z28)</f>
        <v>943794</v>
      </c>
      <c r="AA26" s="3">
        <f>+X26-F26</f>
        <v>-943794</v>
      </c>
      <c r="AB26" s="63">
        <f>IFERROR(X26/F26,0)</f>
        <v>0.99625875419623344</v>
      </c>
    </row>
    <row r="27" spans="1:28" ht="15.75" x14ac:dyDescent="0.3">
      <c r="A27" s="54" t="s">
        <v>13</v>
      </c>
      <c r="B27" s="43">
        <v>158655637.5</v>
      </c>
      <c r="C27" s="43"/>
      <c r="D27" s="53"/>
      <c r="E27" s="43"/>
      <c r="F27" s="43">
        <f>+SUM(B27:E27)</f>
        <v>158655637.5</v>
      </c>
      <c r="G27" s="35">
        <v>39663909</v>
      </c>
      <c r="H27" s="34">
        <v>-4101821</v>
      </c>
      <c r="I27" s="41">
        <f>+G27+H27</f>
        <v>35562088</v>
      </c>
      <c r="J27" s="39">
        <v>39663909</v>
      </c>
      <c r="K27" s="34">
        <v>18987403</v>
      </c>
      <c r="L27" s="39">
        <f>+J27+K27</f>
        <v>58651312</v>
      </c>
      <c r="M27" s="39">
        <v>39663909</v>
      </c>
      <c r="N27" s="34">
        <v>10821373</v>
      </c>
      <c r="O27" s="35">
        <f>+M27+N27</f>
        <v>50485282</v>
      </c>
      <c r="P27" s="35">
        <v>55828673</v>
      </c>
      <c r="Q27" s="35">
        <v>-16231471</v>
      </c>
      <c r="R27" s="35">
        <f>+P27+Q27</f>
        <v>39597202</v>
      </c>
      <c r="S27" s="35">
        <f>+I27+L27+O27+R27</f>
        <v>184295884</v>
      </c>
      <c r="T27" s="35">
        <f>+'[1]ANEXO INGRESOS'!C21</f>
        <v>35562088</v>
      </c>
      <c r="U27" s="43">
        <v>58651312</v>
      </c>
      <c r="V27" s="37">
        <f>+'[1]ANEXO INGRESOS'!E21</f>
        <v>50485282</v>
      </c>
      <c r="W27" s="36">
        <f>+'[1]ANEXO INGRESOS'!F21</f>
        <v>39597202</v>
      </c>
      <c r="X27" s="35">
        <f>+T27+U27+V27+W27</f>
        <v>184295884</v>
      </c>
      <c r="Y27" s="34">
        <f>+F27-X27</f>
        <v>-25640246.5</v>
      </c>
      <c r="Z27" s="34">
        <f>+F27-S27</f>
        <v>-25640246.5</v>
      </c>
      <c r="AA27" s="33">
        <f>+X27-F27</f>
        <v>25640246.5</v>
      </c>
      <c r="AB27" s="32">
        <f>IFERROR(X27/F27,0)</f>
        <v>1.1616094259493301</v>
      </c>
    </row>
    <row r="28" spans="1:28" ht="15.75" x14ac:dyDescent="0.3">
      <c r="A28" s="54" t="s">
        <v>12</v>
      </c>
      <c r="B28" s="43">
        <v>93611668.5</v>
      </c>
      <c r="C28" s="43"/>
      <c r="D28" s="53">
        <v>0</v>
      </c>
      <c r="E28" s="43"/>
      <c r="F28" s="43">
        <f>+SUM(B28:E28)</f>
        <v>93611668.5</v>
      </c>
      <c r="G28" s="35">
        <v>23402917</v>
      </c>
      <c r="H28" s="34">
        <v>3263048</v>
      </c>
      <c r="I28" s="41">
        <f>+G28+H28</f>
        <v>26665965</v>
      </c>
      <c r="J28" s="39">
        <v>23402917</v>
      </c>
      <c r="K28" s="34">
        <v>-6400491</v>
      </c>
      <c r="L28" s="39">
        <f>+J28+K28</f>
        <v>17002426</v>
      </c>
      <c r="M28" s="39">
        <v>23402917</v>
      </c>
      <c r="N28" s="34">
        <v>-10203587</v>
      </c>
      <c r="O28" s="35">
        <f>+M28+N28</f>
        <v>13199330</v>
      </c>
      <c r="P28" s="35">
        <v>16608639</v>
      </c>
      <c r="Q28" s="35">
        <v>-6448732</v>
      </c>
      <c r="R28" s="35">
        <f>+P28+Q28</f>
        <v>10159907</v>
      </c>
      <c r="S28" s="35">
        <f>+I28+L28+O28+R28</f>
        <v>67027628</v>
      </c>
      <c r="T28" s="35">
        <f>+'[1]ANEXO INGRESOS'!C44</f>
        <v>26665965</v>
      </c>
      <c r="U28" s="43">
        <v>17002426</v>
      </c>
      <c r="V28" s="37">
        <f>+'[1]ANEXO INGRESOS'!E44</f>
        <v>13199330</v>
      </c>
      <c r="W28" s="36">
        <f>+'[1]ANEXO INGRESOS'!F44</f>
        <v>10159907</v>
      </c>
      <c r="X28" s="35">
        <f>+T28+U28+V28+W28</f>
        <v>67027628</v>
      </c>
      <c r="Y28" s="34">
        <f>+F28-X28</f>
        <v>26584040.5</v>
      </c>
      <c r="Z28" s="34">
        <f>+F28-S28</f>
        <v>26584040.5</v>
      </c>
      <c r="AA28" s="33">
        <f>+X28-F28</f>
        <v>-26584040.5</v>
      </c>
      <c r="AB28" s="32">
        <f>IFERROR(X28/F28,0)</f>
        <v>0.71601787548525531</v>
      </c>
    </row>
    <row r="29" spans="1:28" ht="15.75" x14ac:dyDescent="0.3">
      <c r="A29" s="54"/>
      <c r="B29" s="43"/>
      <c r="C29" s="43"/>
      <c r="D29" s="53"/>
      <c r="E29" s="43"/>
      <c r="F29" s="43"/>
      <c r="G29" s="35"/>
      <c r="H29" s="34"/>
      <c r="I29" s="41"/>
      <c r="J29" s="35"/>
      <c r="K29" s="62"/>
      <c r="L29" s="35"/>
      <c r="M29" s="35"/>
      <c r="N29" s="35"/>
      <c r="O29" s="35"/>
      <c r="P29" s="35"/>
      <c r="Q29" s="35"/>
      <c r="R29" s="35"/>
      <c r="S29" s="35"/>
      <c r="T29" s="35"/>
      <c r="U29" s="43"/>
      <c r="V29" s="51"/>
      <c r="W29" s="43"/>
      <c r="X29" s="35"/>
      <c r="Y29" s="53"/>
      <c r="Z29" s="53"/>
      <c r="AA29" s="3"/>
      <c r="AB29" s="61"/>
    </row>
    <row r="30" spans="1:28" ht="15.75" x14ac:dyDescent="0.3">
      <c r="A30" s="60" t="s">
        <v>11</v>
      </c>
      <c r="B30" s="59">
        <f>SUM(B31:B35)</f>
        <v>2157334920.6000004</v>
      </c>
      <c r="C30" s="56">
        <f>SUM(C31:C35)</f>
        <v>128000000</v>
      </c>
      <c r="D30" s="56">
        <f>SUM(D31:D35)</f>
        <v>258927500</v>
      </c>
      <c r="E30" s="58">
        <f>SUM(E31:E35)</f>
        <v>-339851892</v>
      </c>
      <c r="F30" s="56">
        <f>SUM(F31:F35)</f>
        <v>2204410528.6000004</v>
      </c>
      <c r="G30" s="56">
        <f>SUM(G31:G35)</f>
        <v>476019723</v>
      </c>
      <c r="H30" s="56">
        <f>SUM(H31:H35)</f>
        <v>15796556</v>
      </c>
      <c r="I30" s="56">
        <f>SUM(I31:I35)</f>
        <v>491816279</v>
      </c>
      <c r="J30" s="56">
        <f>SUM(J31:J35)</f>
        <v>670648213</v>
      </c>
      <c r="K30" s="56">
        <f>SUM(K31:K35)</f>
        <v>45502396</v>
      </c>
      <c r="L30" s="56">
        <f>SUM(L31:L35)</f>
        <v>716150609</v>
      </c>
      <c r="M30" s="56">
        <f>SUM(M31:M35)</f>
        <v>864627500</v>
      </c>
      <c r="N30" s="56">
        <f>SUM(N31:N35)</f>
        <v>-104406011</v>
      </c>
      <c r="O30" s="56">
        <f>SUM(O31:O35)</f>
        <v>760221489</v>
      </c>
      <c r="P30" s="56">
        <f>SUM(P31:P35)</f>
        <v>581614558</v>
      </c>
      <c r="Q30" s="56">
        <f>SUM(Q31:Q35)</f>
        <v>146733664</v>
      </c>
      <c r="R30" s="56">
        <f>SUM(R31:R35)</f>
        <v>728348222</v>
      </c>
      <c r="S30" s="56">
        <f>SUM(S31:S35)</f>
        <v>2696536599</v>
      </c>
      <c r="T30" s="56">
        <f>SUM(T31:T35)</f>
        <v>491816280</v>
      </c>
      <c r="U30" s="56">
        <f>SUM(U31:U35)</f>
        <v>716150609</v>
      </c>
      <c r="V30" s="57">
        <f>SUM(V31:V35)</f>
        <v>760221489</v>
      </c>
      <c r="W30" s="56">
        <f>SUM(W31:W35)</f>
        <v>728348222</v>
      </c>
      <c r="X30" s="56">
        <f>SUM(X31:X35)</f>
        <v>2696536600</v>
      </c>
      <c r="Y30" s="56">
        <f>SUM(Y31:Y35)</f>
        <v>-492126071.40000004</v>
      </c>
      <c r="Z30" s="56">
        <f>SUM(Z31:Z35)</f>
        <v>-492126070.40000004</v>
      </c>
      <c r="AA30" s="3">
        <f>+X30-F30</f>
        <v>492126071.39999962</v>
      </c>
      <c r="AB30" s="55">
        <f>IFERROR(X30/F30,0)</f>
        <v>1.2232461082067794</v>
      </c>
    </row>
    <row r="31" spans="1:28" ht="15.75" x14ac:dyDescent="0.3">
      <c r="A31" s="54" t="s">
        <v>10</v>
      </c>
      <c r="B31" s="43">
        <v>1577663472</v>
      </c>
      <c r="C31" s="43"/>
      <c r="D31" s="53"/>
      <c r="E31" s="43"/>
      <c r="F31" s="43">
        <f>+SUM(B31:E31)</f>
        <v>1577663472</v>
      </c>
      <c r="G31" s="35">
        <v>394989258</v>
      </c>
      <c r="H31" s="34">
        <v>-57940708</v>
      </c>
      <c r="I31" s="41">
        <f>+G31+H31</f>
        <v>337048550</v>
      </c>
      <c r="J31" s="35">
        <v>457600000</v>
      </c>
      <c r="K31" s="34">
        <v>-16198366</v>
      </c>
      <c r="L31" s="39">
        <f>+J31+K31</f>
        <v>441401634</v>
      </c>
      <c r="M31" s="52">
        <v>443000000</v>
      </c>
      <c r="N31" s="37">
        <v>77119600</v>
      </c>
      <c r="O31" s="37">
        <f>+M31+N31</f>
        <v>520119600</v>
      </c>
      <c r="P31" s="35">
        <v>437650416</v>
      </c>
      <c r="Q31" s="35">
        <v>79146500</v>
      </c>
      <c r="R31" s="35">
        <f>+P31+Q31</f>
        <v>516796916</v>
      </c>
      <c r="S31" s="35">
        <f>+I31+L31+O31+R31</f>
        <v>1815366700</v>
      </c>
      <c r="T31" s="37">
        <v>337048550</v>
      </c>
      <c r="U31" s="51">
        <v>441401634</v>
      </c>
      <c r="V31" s="50">
        <v>520119600</v>
      </c>
      <c r="W31" s="49">
        <v>516796916</v>
      </c>
      <c r="X31" s="37">
        <f>+T31+U31+V31+W31</f>
        <v>1815366700</v>
      </c>
      <c r="Y31" s="34">
        <f>+F31-X31</f>
        <v>-237703228</v>
      </c>
      <c r="Z31" s="34">
        <f>+F31-S31</f>
        <v>-237703228</v>
      </c>
      <c r="AA31" s="33">
        <f>+X31-F31</f>
        <v>237703228</v>
      </c>
      <c r="AB31" s="32">
        <f>IFERROR(X31/F31,0)</f>
        <v>1.1506678909784633</v>
      </c>
    </row>
    <row r="32" spans="1:28" ht="15.75" x14ac:dyDescent="0.3">
      <c r="A32" s="46" t="s">
        <v>9</v>
      </c>
      <c r="B32" s="29">
        <v>6164855.4000000004</v>
      </c>
      <c r="C32" s="29"/>
      <c r="D32" s="47"/>
      <c r="E32" s="29"/>
      <c r="F32" s="43">
        <f>+SUM(B32:E32)</f>
        <v>6164855.4000000004</v>
      </c>
      <c r="G32" s="42">
        <v>1541213</v>
      </c>
      <c r="H32" s="30">
        <v>17676441</v>
      </c>
      <c r="I32" s="41">
        <f>+G32+H32</f>
        <v>19217654</v>
      </c>
      <c r="J32" s="42">
        <v>1541213</v>
      </c>
      <c r="K32" s="34">
        <v>19724331</v>
      </c>
      <c r="L32" s="39">
        <f>+J32+K32</f>
        <v>21265544</v>
      </c>
      <c r="M32" s="45"/>
      <c r="N32" s="48">
        <v>26588342</v>
      </c>
      <c r="O32" s="37">
        <f>+M32+N32</f>
        <v>26588342</v>
      </c>
      <c r="P32" s="35"/>
      <c r="Q32" s="35">
        <v>18392460</v>
      </c>
      <c r="R32" s="35">
        <f>+P32+Q32</f>
        <v>18392460</v>
      </c>
      <c r="S32" s="42">
        <f>+I32+L32+O32+R32</f>
        <v>85464000</v>
      </c>
      <c r="T32" s="42">
        <f>+'[1]ANEXO INGRESOS'!C7+'[1]ANEXO INGRESOS'!C9+'[1]ANEXO INGRESOS'!C11</f>
        <v>19217654</v>
      </c>
      <c r="U32" s="29">
        <v>21265544</v>
      </c>
      <c r="V32" s="48">
        <f>+'[1]ANEXO INGRESOS'!E13</f>
        <v>26588342</v>
      </c>
      <c r="W32" s="36">
        <f>+'[1]ANEXO INGRESOS'!F13</f>
        <v>18392460</v>
      </c>
      <c r="X32" s="35">
        <f>+T32+U32+V32+W32</f>
        <v>85464000</v>
      </c>
      <c r="Y32" s="34">
        <f>+F32-X32</f>
        <v>-79299144.599999994</v>
      </c>
      <c r="Z32" s="34">
        <f>+F32-S32</f>
        <v>-79299144.599999994</v>
      </c>
      <c r="AA32" s="33">
        <f>+X32-F32</f>
        <v>79299144.599999994</v>
      </c>
      <c r="AB32" s="32">
        <f>IFERROR(X32/F32,0)</f>
        <v>13.863098881443349</v>
      </c>
    </row>
    <row r="33" spans="1:28" ht="15.75" x14ac:dyDescent="0.3">
      <c r="A33" s="46" t="s">
        <v>8</v>
      </c>
      <c r="B33" s="29">
        <v>1521634.2000000002</v>
      </c>
      <c r="C33" s="29"/>
      <c r="D33" s="47"/>
      <c r="E33" s="29"/>
      <c r="F33" s="43">
        <f>+SUM(B33:E33)</f>
        <v>1521634.2000000002</v>
      </c>
      <c r="G33" s="42">
        <v>380408</v>
      </c>
      <c r="H33" s="30">
        <v>6428875</v>
      </c>
      <c r="I33" s="41">
        <f>+G33+H33</f>
        <v>6809283</v>
      </c>
      <c r="J33" s="42">
        <v>0</v>
      </c>
      <c r="K33" s="34">
        <v>1346225</v>
      </c>
      <c r="L33" s="39">
        <f>+J33+K33</f>
        <v>1346225</v>
      </c>
      <c r="M33" s="45"/>
      <c r="N33" s="48">
        <v>1769706</v>
      </c>
      <c r="O33" s="37">
        <f>+M33+N33</f>
        <v>1769706</v>
      </c>
      <c r="P33" s="35"/>
      <c r="Q33" s="35">
        <v>1373871</v>
      </c>
      <c r="R33" s="35">
        <f>+P33+Q33</f>
        <v>1373871</v>
      </c>
      <c r="S33" s="42">
        <f>+I33+L33+O33+R33</f>
        <v>11299085</v>
      </c>
      <c r="T33" s="42">
        <f>+'[1]ANEXO INGRESOS'!C53</f>
        <v>6809284</v>
      </c>
      <c r="U33" s="29">
        <v>1346225</v>
      </c>
      <c r="V33" s="48">
        <f>+'[1]ANEXO INGRESOS'!E53</f>
        <v>1769706</v>
      </c>
      <c r="W33" s="36">
        <f>+'[1]ANEXO INGRESOS'!F53</f>
        <v>1373871</v>
      </c>
      <c r="X33" s="35">
        <f>+T33+U33+V33+W33</f>
        <v>11299086</v>
      </c>
      <c r="Y33" s="34">
        <f>+F33-X33</f>
        <v>-9777451.8000000007</v>
      </c>
      <c r="Z33" s="34">
        <f>+F33-S33</f>
        <v>-9777450.8000000007</v>
      </c>
      <c r="AA33" s="33">
        <f>+X33-F33</f>
        <v>9777451.8000000007</v>
      </c>
      <c r="AB33" s="32">
        <f>IFERROR(X33/F33,0)</f>
        <v>7.4256256858580061</v>
      </c>
    </row>
    <row r="34" spans="1:28" ht="15.75" x14ac:dyDescent="0.3">
      <c r="A34" s="46" t="s">
        <v>7</v>
      </c>
      <c r="B34" s="29">
        <v>15431199</v>
      </c>
      <c r="C34" s="29"/>
      <c r="D34" s="47"/>
      <c r="E34" s="29"/>
      <c r="F34" s="43">
        <f>+SUM(B34:E34)</f>
        <v>15431199</v>
      </c>
      <c r="G34" s="42">
        <v>3607000</v>
      </c>
      <c r="H34" s="30">
        <v>19764960</v>
      </c>
      <c r="I34" s="41">
        <f>+G34+H34</f>
        <v>23371960</v>
      </c>
      <c r="J34" s="42">
        <v>3607000</v>
      </c>
      <c r="K34" s="34">
        <v>3830199</v>
      </c>
      <c r="L34" s="39">
        <f>+J34+K34</f>
        <v>7437199</v>
      </c>
      <c r="M34" s="45"/>
      <c r="N34" s="38">
        <v>11278006</v>
      </c>
      <c r="O34" s="37">
        <f>+M34+N34</f>
        <v>11278006</v>
      </c>
      <c r="P34" s="35"/>
      <c r="Q34" s="35">
        <v>2738184</v>
      </c>
      <c r="R34" s="35">
        <f>+P34+Q34</f>
        <v>2738184</v>
      </c>
      <c r="S34" s="42">
        <f>+I34+L34+O34+R34</f>
        <v>44825349</v>
      </c>
      <c r="T34" s="42">
        <f>+'[1]ANEXO INGRESOS'!C17+'[1]ANEXO INGRESOS'!C20</f>
        <v>23371960</v>
      </c>
      <c r="U34" s="35">
        <v>7437199</v>
      </c>
      <c r="V34" s="35">
        <f>+'[1]ANEXO INGRESOS'!E28</f>
        <v>11278006</v>
      </c>
      <c r="W34" s="36">
        <f>+'[1]ANEXO INGRESOS'!F28</f>
        <v>2738184</v>
      </c>
      <c r="X34" s="35">
        <f>+T34+U34+V34+W34</f>
        <v>44825349</v>
      </c>
      <c r="Y34" s="34">
        <f>+F34-X34</f>
        <v>-29394150</v>
      </c>
      <c r="Z34" s="34">
        <f>+F34-S34</f>
        <v>-29394150</v>
      </c>
      <c r="AA34" s="33">
        <f>+X34-F34</f>
        <v>29394150</v>
      </c>
      <c r="AB34" s="32">
        <f>IFERROR(X34/F34,0)</f>
        <v>2.9048519820138408</v>
      </c>
    </row>
    <row r="35" spans="1:28" ht="15.75" x14ac:dyDescent="0.3">
      <c r="A35" s="46" t="s">
        <v>6</v>
      </c>
      <c r="B35" s="29">
        <v>556553760</v>
      </c>
      <c r="C35" s="45">
        <f>100000000+28000000</f>
        <v>128000000</v>
      </c>
      <c r="D35" s="30">
        <f>245927500+13000000</f>
        <v>258927500</v>
      </c>
      <c r="E35" s="44">
        <v>-339851892</v>
      </c>
      <c r="F35" s="43">
        <f>+SUM(B35:E35)</f>
        <v>603629368</v>
      </c>
      <c r="G35" s="42">
        <v>75501844</v>
      </c>
      <c r="H35" s="30">
        <v>29866988</v>
      </c>
      <c r="I35" s="41">
        <f>+G35+H35</f>
        <v>105368832</v>
      </c>
      <c r="J35" s="40">
        <v>207900000</v>
      </c>
      <c r="K35" s="34">
        <v>36800007</v>
      </c>
      <c r="L35" s="39">
        <f>+J35+K35</f>
        <v>244700007</v>
      </c>
      <c r="M35" s="34">
        <v>421627500</v>
      </c>
      <c r="N35" s="38">
        <v>-221161665</v>
      </c>
      <c r="O35" s="37">
        <f>+M35+N35</f>
        <v>200465835</v>
      </c>
      <c r="P35" s="35">
        <v>143964142</v>
      </c>
      <c r="Q35" s="35">
        <v>45082649</v>
      </c>
      <c r="R35" s="35">
        <f>+P35+Q35</f>
        <v>189046791</v>
      </c>
      <c r="S35" s="35">
        <f>+I35+L35+O35+R35</f>
        <v>739581465</v>
      </c>
      <c r="T35" s="35">
        <f>+'[1]ANEXO INGRESOS'!C40</f>
        <v>105368832</v>
      </c>
      <c r="U35" s="35">
        <v>244700007</v>
      </c>
      <c r="V35" s="35">
        <f>+'[1]ANEXO INGRESOS'!E40</f>
        <v>200465835</v>
      </c>
      <c r="W35" s="36">
        <f>+'[1]ANEXO INGRESOS'!F40</f>
        <v>189046791</v>
      </c>
      <c r="X35" s="35">
        <f>+T35+U35+V35+W35</f>
        <v>739581465</v>
      </c>
      <c r="Y35" s="34">
        <f>+F35-X35</f>
        <v>-135952097</v>
      </c>
      <c r="Z35" s="34">
        <f>+F35-S35</f>
        <v>-135952097</v>
      </c>
      <c r="AA35" s="33">
        <f>+X35-F35</f>
        <v>135952097</v>
      </c>
      <c r="AB35" s="32">
        <f>IFERROR(X35/F35,0)</f>
        <v>1.2252244576012743</v>
      </c>
    </row>
    <row r="36" spans="1:28" ht="16.5" thickBot="1" x14ac:dyDescent="0.35">
      <c r="A36" s="31"/>
      <c r="B36" s="29"/>
      <c r="C36" s="29"/>
      <c r="D36" s="30"/>
      <c r="E36" s="29"/>
      <c r="F36" s="25"/>
      <c r="G36" s="27"/>
      <c r="H36" s="28"/>
      <c r="I36" s="28"/>
      <c r="J36" s="27"/>
      <c r="K36" s="27"/>
      <c r="L36" s="27">
        <f>+J36+K36</f>
        <v>0</v>
      </c>
      <c r="M36" s="27"/>
      <c r="N36" s="27"/>
      <c r="O36" s="27"/>
      <c r="P36" s="27"/>
      <c r="Q36" s="27"/>
      <c r="R36" s="27"/>
      <c r="S36" s="27"/>
      <c r="T36" s="27"/>
      <c r="U36" s="25"/>
      <c r="V36" s="26"/>
      <c r="W36" s="25"/>
      <c r="X36" s="25"/>
      <c r="Y36" s="24"/>
      <c r="Z36" s="24"/>
      <c r="AA36" s="3"/>
      <c r="AB36" s="23"/>
    </row>
    <row r="37" spans="1:28" ht="16.5" thickBot="1" x14ac:dyDescent="0.35">
      <c r="A37" s="22" t="s">
        <v>5</v>
      </c>
      <c r="B37" s="18">
        <f>+B24+B10</f>
        <v>46591362640.619911</v>
      </c>
      <c r="C37" s="18">
        <f>+C24+C10</f>
        <v>4118986864</v>
      </c>
      <c r="D37" s="20">
        <f>+D24+D10</f>
        <v>258927500</v>
      </c>
      <c r="E37" s="21">
        <f>+E24+E10</f>
        <v>-339851892</v>
      </c>
      <c r="F37" s="18">
        <f>+F24+F10</f>
        <v>50629425112.619911</v>
      </c>
      <c r="G37" s="18">
        <f>+G24+G10</f>
        <v>9991102318.8085918</v>
      </c>
      <c r="H37" s="20">
        <f>+H24+H10</f>
        <v>167904354</v>
      </c>
      <c r="I37" s="18">
        <f>+G37+H37</f>
        <v>10159006672.808592</v>
      </c>
      <c r="J37" s="21">
        <f>+J24+J10</f>
        <v>14722270881</v>
      </c>
      <c r="K37" s="20">
        <f>+K24+K10</f>
        <v>-1074379785.213022</v>
      </c>
      <c r="L37" s="18">
        <f>+J37+K37</f>
        <v>13647891095.786978</v>
      </c>
      <c r="M37" s="18">
        <f>+M24+M10</f>
        <v>14146009384</v>
      </c>
      <c r="N37" s="20">
        <f>+N24+N10</f>
        <v>-1326793370</v>
      </c>
      <c r="O37" s="18">
        <f>+M37+N37</f>
        <v>12819216014</v>
      </c>
      <c r="P37" s="18">
        <f>+P24+P10</f>
        <v>13100813465.385157</v>
      </c>
      <c r="Q37" s="19">
        <f>+Q24+Q10</f>
        <v>852098427.61484301</v>
      </c>
      <c r="R37" s="19">
        <f>+P37+Q37</f>
        <v>13952911893</v>
      </c>
      <c r="S37" s="18">
        <f>+I37+L37+O37+R37+1</f>
        <v>50579025676.595566</v>
      </c>
      <c r="T37" s="18">
        <f>+T24+T10</f>
        <v>10159006674</v>
      </c>
      <c r="U37" s="18">
        <f>+U24+U10</f>
        <v>13647891095.786978</v>
      </c>
      <c r="V37" s="18">
        <f>+V24+V10</f>
        <v>12819216014</v>
      </c>
      <c r="W37" s="18">
        <f>+W24+W10</f>
        <v>13952911893</v>
      </c>
      <c r="X37" s="18">
        <f>+X24+X10</f>
        <v>50579025676.986977</v>
      </c>
      <c r="Y37" s="18">
        <f>+Y24+Y10</f>
        <v>50399435.632932723</v>
      </c>
      <c r="Z37" s="18">
        <f>+Z24+Z10</f>
        <v>50399437.024341643</v>
      </c>
      <c r="AA37" s="17">
        <f>+X37-F37</f>
        <v>-50399435.63293457</v>
      </c>
      <c r="AB37" s="16">
        <f>IFERROR(X37/F37,0)</f>
        <v>0.99900454260500038</v>
      </c>
    </row>
    <row r="38" spans="1:28" ht="15.75" hidden="1" x14ac:dyDescent="0.3">
      <c r="A38" s="15"/>
      <c r="B38" s="12"/>
      <c r="C38" s="12"/>
      <c r="D38" s="12"/>
      <c r="E38" s="12"/>
      <c r="F38" s="12"/>
      <c r="G38" s="12"/>
      <c r="H38" s="12"/>
      <c r="I38" s="13">
        <f>+I37/F37</f>
        <v>0.200654197637262</v>
      </c>
      <c r="J38" s="12"/>
      <c r="K38" s="12"/>
      <c r="L38" s="13">
        <f>+(I37+L37)/F37</f>
        <v>0.47021860737386595</v>
      </c>
      <c r="M38" s="13">
        <f>+(I37+L37+M37)/F37</f>
        <v>0.74962153072394666</v>
      </c>
      <c r="N38" s="12"/>
      <c r="O38" s="13">
        <f>+(I37+L37+O37)/F37</f>
        <v>0.72341555727967621</v>
      </c>
      <c r="P38" s="12"/>
      <c r="Q38" s="12"/>
      <c r="R38" s="13">
        <f>+(I37+L37+O37+W37)/F37</f>
        <v>0.99900454257751814</v>
      </c>
      <c r="S38" s="12"/>
      <c r="T38" s="14"/>
      <c r="U38" s="14"/>
      <c r="V38" s="12"/>
      <c r="W38" s="13">
        <f>+(T37+U37+V37+W37)/F37</f>
        <v>0.9990045426010502</v>
      </c>
      <c r="X38" s="12"/>
      <c r="Y38" s="12"/>
      <c r="Z38" s="12"/>
      <c r="AA38" s="3">
        <f>+X38-F38</f>
        <v>0</v>
      </c>
      <c r="AB38" s="12"/>
    </row>
    <row r="39" spans="1:28" ht="19.5" hidden="1" outlineLevel="1" x14ac:dyDescent="0.4">
      <c r="A39" s="1" t="s">
        <v>4</v>
      </c>
      <c r="B39" s="10">
        <f>+B13+B17+B21+B27+B32+B34+B35</f>
        <v>28071150166.065506</v>
      </c>
      <c r="F39" s="10">
        <f>+F13+F17+F21+F27+F32+F34+F35</f>
        <v>30728400522.065506</v>
      </c>
      <c r="G39" s="10">
        <f>+G13+G17+G21+G27+G32+G34+G35</f>
        <v>5770644796.625</v>
      </c>
      <c r="I39" s="10">
        <f>+I13+I17+I21+I27+I32+I34+I35</f>
        <v>6186621996.625</v>
      </c>
      <c r="J39" s="10">
        <f>+J13+J17+J21+J27+J32+J34+J35</f>
        <v>8751378111</v>
      </c>
      <c r="L39" s="10">
        <f>+L13+L17+L21+L27+L32+L34+L35</f>
        <v>7948337052</v>
      </c>
      <c r="M39" s="10">
        <f>+M13+M17+M21+M27+M32+M34+M35</f>
        <v>8912233675</v>
      </c>
      <c r="O39" s="10">
        <f>+O13+O17+O21+O27+O32+O34+O35</f>
        <v>7687069220</v>
      </c>
      <c r="P39" s="10">
        <f>+P13+P17+P21+P27+P32+P34+P35</f>
        <v>8023924394.8657227</v>
      </c>
      <c r="R39" s="10">
        <f>+R13+R17+R21+R27+R32+R34+R35</f>
        <v>8838169321</v>
      </c>
      <c r="T39" s="10">
        <f>+T13+T17+T21+T27+T32+T34+T35</f>
        <v>6186621997.125</v>
      </c>
      <c r="U39" s="10">
        <f>+U13+U17+U21+U27+U32+U34+U35</f>
        <v>7948337052</v>
      </c>
      <c r="V39" s="9">
        <f>+V13+V17+V21+V27+V32+V34+V35</f>
        <v>7687069221</v>
      </c>
      <c r="W39" s="9">
        <f>+W13+W17+W21+W27+W32+W34+W35</f>
        <v>8838169321</v>
      </c>
      <c r="X39" s="9">
        <f>+X13+X17+X21+X27+X32+X34+X35</f>
        <v>30660197591.125</v>
      </c>
      <c r="AA39" s="3">
        <f>+X39-F39</f>
        <v>-68202930.940505981</v>
      </c>
    </row>
    <row r="40" spans="1:28" ht="19.5" hidden="1" outlineLevel="1" x14ac:dyDescent="0.4">
      <c r="A40" s="1" t="s">
        <v>3</v>
      </c>
      <c r="B40" s="10">
        <f>+[1]ECO!B48+[1]TEC!B64+[1]TRANSF!B66+[1]SAN!B37+[1]MER!B73+[1]FUN!B60-[1]FUN!B52-[1]FUN!B58</f>
        <v>28071150166.06551</v>
      </c>
      <c r="F40" s="10">
        <f>+[1]ECO!I48+[1]TEC!I64+[1]TRANSF!I66+[1]SAN!I37+[1]MER!I73+[1]FUN!I60-[1]FUN!I52-[1]FUN!I58</f>
        <v>30728400520.3521</v>
      </c>
      <c r="G40" s="10">
        <f>+[1]ECO!J48+[1]TEC!J64+[1]TRANSF!J66+[1]MER!J73+[1]FUN!J20+[1]FUN!J38+[1]FUN!J51+[1]SAN!J37</f>
        <v>4349038884.9280787</v>
      </c>
      <c r="I40" s="10">
        <f>+[1]ECO!M48+[1]TEC!M64+[1]TRANSF!M66+[1]MER!M73+[1]FUN!M60-[1]FUN!M52+[1]SAN!M37-1</f>
        <v>3710322740.9280791</v>
      </c>
      <c r="J40" s="10">
        <f>+[1]ECO!N48+[1]TEC!N64+[1]TRANSF!N66+[1]SAN!N37+[1]MER!N73+[1]FUN!N60-[1]FUN!N52</f>
        <v>8751378111.3163757</v>
      </c>
      <c r="L40" s="10">
        <f>+[1]ECO!Q48+[1]TEC!Q64+[1]TRANSF!Q66+[1]SAN!Q37+[1]MER!Q73+[1]FUN!Q60-[1]FUN!Q52+1</f>
        <v>7948337051.9044743</v>
      </c>
      <c r="M40" s="10">
        <f>+[1]ECO!U48+[1]TEC!U64+[1]TRANSF!U66+[1]SAN!U37+[1]MER!U73+[1]FUN!U60-[1]FUN!U52</f>
        <v>7687069220.7490005</v>
      </c>
      <c r="O40" s="10">
        <f>+[1]ECO!U48+[1]TEC!U64+[1]TRANSF!U66+[1]SAN!U37+[1]MER!U73+[1]FUN!U60+-[1]FUN!U52</f>
        <v>7687069220.7490005</v>
      </c>
      <c r="P40" s="10">
        <f>+[1]ECO!V48+[1]TEC!V64+[1]TRANSF!V66+[1]SAN!V37+[1]MER!V73+[1]FUN!V60-[1]FUN!V52</f>
        <v>8023924394.9998627</v>
      </c>
      <c r="R40" s="10">
        <f>+[1]ECO!Y48+[1]TEC!Y64+[1]TRANSF!Y66+[1]SAN!Y37+[1]MER!Y73+[1]FUN!V60-[1]FUN!Y52</f>
        <v>7204163984.3577538</v>
      </c>
      <c r="T40" s="10">
        <f>+[1]ECO!AA48+[1]TEC!AA64+[1]TRANSF!AA66+[1]MER!AA73+[1]FUN!AA60-[1]FUN!AA52+[1]SAN!AA37</f>
        <v>3710322743</v>
      </c>
      <c r="U40" s="10">
        <f>+[1]ECO!AB48+[1]TEC!AB64+[1]TRANSF!AB66+[1]SAN!AB37+[1]MER!AB73+[1]FUN!AB60-[1]FUN!AB52+1</f>
        <v>7948337052</v>
      </c>
      <c r="V40" s="9">
        <f>+[1]ECO!AC48+[1]TEC!AC64+[1]TRANSF!AC66+[1]MER!AC73+[1]FUN!AC60-[1]FUN!AC52+[1]SAN!AC37</f>
        <v>7687069221</v>
      </c>
      <c r="W40" s="9">
        <f>+[1]ECO!AD48+[1]TEC!AD64+[1]TRANSF!AD66+[1]SAN!AD37+[1]MER!AD73+[1]FUN!AD60-[1]FUN!AD52</f>
        <v>6983418193</v>
      </c>
      <c r="X40" s="9">
        <f>+T40+U40+V40+W40</f>
        <v>26329147209</v>
      </c>
      <c r="AA40" s="3">
        <f>+X40-F40</f>
        <v>-4399253311.3521004</v>
      </c>
    </row>
    <row r="41" spans="1:28" ht="19.5" hidden="1" outlineLevel="1" x14ac:dyDescent="0.4">
      <c r="A41" s="1" t="s">
        <v>0</v>
      </c>
      <c r="B41" s="8">
        <f>+B39-B40</f>
        <v>0</v>
      </c>
      <c r="F41" s="8">
        <f>+F39-F40</f>
        <v>1.7134056091308594</v>
      </c>
      <c r="G41" s="8">
        <f>+G39-G40</f>
        <v>1421605911.6969213</v>
      </c>
      <c r="I41" s="8">
        <f>+I39-I40</f>
        <v>2476299255.6969209</v>
      </c>
      <c r="J41" s="8">
        <f>+J39-J40</f>
        <v>-0.316375732421875</v>
      </c>
      <c r="L41" s="8">
        <f>+L39-L40</f>
        <v>9.5525741577148438E-2</v>
      </c>
      <c r="M41" s="8">
        <f>+M39-M40</f>
        <v>1225164454.2509995</v>
      </c>
      <c r="O41" s="8">
        <f>+O39-O40</f>
        <v>-0.74900054931640625</v>
      </c>
      <c r="P41" s="8">
        <f>+P39-P40</f>
        <v>-0.1341400146484375</v>
      </c>
      <c r="R41" s="8">
        <f>+R39-R40</f>
        <v>1634005336.6422462</v>
      </c>
      <c r="T41" s="8">
        <f>+T39-T40</f>
        <v>2476299254.125</v>
      </c>
      <c r="U41" s="8">
        <f>+U39-U40</f>
        <v>0</v>
      </c>
      <c r="V41" s="8">
        <f>+V39-V40</f>
        <v>0</v>
      </c>
      <c r="W41" s="9">
        <f>+W39-W40</f>
        <v>1854751128</v>
      </c>
      <c r="X41" s="8">
        <f>+X39-X40</f>
        <v>4331050382.125</v>
      </c>
      <c r="AA41" s="3">
        <f>+X41-F41</f>
        <v>4331050380.4115944</v>
      </c>
    </row>
    <row r="42" spans="1:28" ht="19.5" hidden="1" outlineLevel="1" x14ac:dyDescent="0.4">
      <c r="A42" s="1" t="s">
        <v>2</v>
      </c>
      <c r="B42" s="10">
        <f>+CUOTAPPC2005+B18+B22+B28+VTAS2005+B33</f>
        <v>18520212474.554409</v>
      </c>
      <c r="C42" s="11"/>
      <c r="D42" s="11"/>
      <c r="E42" s="11"/>
      <c r="F42" s="10">
        <f>+F14+F18+F22+F28+F31+F33</f>
        <v>19901024590.554409</v>
      </c>
      <c r="G42" s="10">
        <f>G33+G31+G28+G22+G18+G14</f>
        <v>4220457522.1835909</v>
      </c>
      <c r="I42" s="10">
        <f>+I14+I18+I22+I28+I31+I33</f>
        <v>3972384676.1835909</v>
      </c>
      <c r="J42" s="10">
        <f>+J14+J18+J22+J28+J31+J33</f>
        <v>5970892770</v>
      </c>
      <c r="L42" s="10">
        <f>+L14+L22+L28+L31+L33+L18</f>
        <v>5699554043.7869778</v>
      </c>
      <c r="M42" s="10">
        <f>+M14+M18+M22+M28+M31+M33</f>
        <v>5233775709</v>
      </c>
      <c r="O42" s="10">
        <f>+O14+O18+O22+O28+O31+O33</f>
        <v>5132146794</v>
      </c>
      <c r="P42" s="10">
        <f>+P14+P18+P22+P28+P31+P33</f>
        <v>5076889070.519434</v>
      </c>
      <c r="R42" s="10">
        <f>+R14+R18+R22+R28+R31+R33</f>
        <v>5114742572</v>
      </c>
      <c r="T42" s="10">
        <f>+T14+T18+T22+T28+T31+T33</f>
        <v>3972384676.875</v>
      </c>
      <c r="U42" s="10">
        <f>+U14+U18+U22+U28+U31+U33</f>
        <v>5699554043.7869778</v>
      </c>
      <c r="V42" s="9">
        <f>+V14+V18+V22+V28+V31+V33</f>
        <v>5132146793</v>
      </c>
      <c r="W42" s="9">
        <f>+W14+W18+W22+W28+W31+W33</f>
        <v>5114742572</v>
      </c>
      <c r="X42" s="9">
        <f>+X14+X18+X22+X28+X31+X33</f>
        <v>19918828085.86198</v>
      </c>
      <c r="AA42" s="3">
        <f>+X42-F42</f>
        <v>17803495.307571411</v>
      </c>
    </row>
    <row r="43" spans="1:28" ht="19.5" hidden="1" outlineLevel="1" x14ac:dyDescent="0.4">
      <c r="A43" s="1" t="s">
        <v>1</v>
      </c>
      <c r="B43" s="10">
        <f>+[1]PPC!B60+[1]FUN!B52+[1]FUN!B58</f>
        <v>18520212474.554409</v>
      </c>
      <c r="C43" s="11"/>
      <c r="D43" s="11"/>
      <c r="E43" s="11"/>
      <c r="F43" s="10">
        <f>+[1]PPC!I60+[1]FUN!I52+[1]FUN!I58</f>
        <v>19901024590.554409</v>
      </c>
      <c r="G43" s="10">
        <f>+[1]PPC!J60+[1]FUN!J52</f>
        <v>4220457522.1835909</v>
      </c>
      <c r="I43" s="10">
        <f>+[1]PPC!M60+[1]FUN!M52</f>
        <v>3573602959.1835909</v>
      </c>
      <c r="J43" s="10">
        <f>+[1]PPC!N60+[1]FUN!N52</f>
        <v>5808429202.7869778</v>
      </c>
      <c r="L43" s="10">
        <f>+[1]PPC!Q60+[1]FUN!Q52</f>
        <v>5699554044</v>
      </c>
      <c r="M43" s="10">
        <f>+[1]PPC!U60+[1]FUN!U52</f>
        <v>5132146793</v>
      </c>
      <c r="O43" s="10">
        <f>+[1]PPC!U60+[1]FUN!U52</f>
        <v>5132146793</v>
      </c>
      <c r="P43" s="10">
        <f>+[1]PPC!V60+[1]FUN!V52</f>
        <v>3999020646.4914789</v>
      </c>
      <c r="R43" s="10">
        <f>+[1]PPC!Y60+[1]FUN!Y52</f>
        <v>3983877436.4395351</v>
      </c>
      <c r="T43" s="10">
        <f>+[1]PPC!AA60+[1]FUN!AA52</f>
        <v>3573602959</v>
      </c>
      <c r="U43" s="10">
        <f>+[1]PPC!AB60+[1]FUN!AB52</f>
        <v>5699554044</v>
      </c>
      <c r="V43" s="9">
        <f>+[1]PPC!U60+[1]FUN!AC52</f>
        <v>5132146793</v>
      </c>
      <c r="W43" s="9">
        <f>+[1]PPC!AD60+[1]FUN!AD52</f>
        <v>3463470741</v>
      </c>
      <c r="X43" s="9">
        <f>+T43+U43+V43+W43</f>
        <v>17868774537</v>
      </c>
      <c r="AA43" s="3">
        <f>+X43-F43</f>
        <v>-2032250053.554409</v>
      </c>
    </row>
    <row r="44" spans="1:28" ht="19.5" hidden="1" outlineLevel="1" x14ac:dyDescent="0.4">
      <c r="A44" s="1" t="s">
        <v>0</v>
      </c>
      <c r="B44" s="8">
        <f>+B42-B43</f>
        <v>0</v>
      </c>
      <c r="F44" s="8">
        <f>+F42-F43</f>
        <v>0</v>
      </c>
      <c r="G44" s="8">
        <f>+G42-G43</f>
        <v>0</v>
      </c>
      <c r="I44" s="8">
        <f>+I42-I43</f>
        <v>398781717</v>
      </c>
      <c r="J44" s="8">
        <f>+J42-J43</f>
        <v>162463567.21302223</v>
      </c>
      <c r="L44" s="8">
        <f>+L42-L43</f>
        <v>-0.21302223205566406</v>
      </c>
      <c r="M44" s="8">
        <f>+M42-M43</f>
        <v>101628916</v>
      </c>
      <c r="O44" s="8">
        <f>+O42-O43</f>
        <v>1</v>
      </c>
      <c r="P44" s="8">
        <f>+P42-P43</f>
        <v>1077868424.0279551</v>
      </c>
      <c r="R44" s="8">
        <f>+R42-R43</f>
        <v>1130865135.5604649</v>
      </c>
      <c r="T44" s="8">
        <f>+T42-T43</f>
        <v>398781717.875</v>
      </c>
      <c r="U44" s="8">
        <f>+U42-U43</f>
        <v>-0.21302223205566406</v>
      </c>
      <c r="V44" s="8">
        <f>+V42-V43</f>
        <v>0</v>
      </c>
      <c r="W44" s="9">
        <f>+W42-W43</f>
        <v>1651271831</v>
      </c>
      <c r="X44" s="8">
        <f>+X42-X43</f>
        <v>2050053548.8619804</v>
      </c>
      <c r="AA44" s="3">
        <f>+X44-F44</f>
        <v>2050053548.8619804</v>
      </c>
    </row>
    <row r="45" spans="1:28" ht="15.75" hidden="1" outlineLevel="1" x14ac:dyDescent="0.3">
      <c r="A45"/>
      <c r="J45" s="7"/>
      <c r="U45" s="6"/>
      <c r="V45" s="6"/>
      <c r="AA45" s="3">
        <f>+X45-F45</f>
        <v>0</v>
      </c>
    </row>
    <row r="46" spans="1:28" ht="15.75" hidden="1" outlineLevel="1" x14ac:dyDescent="0.3">
      <c r="A46"/>
      <c r="G46" s="6"/>
      <c r="I46" s="6"/>
      <c r="T46" s="6"/>
      <c r="U46" s="6"/>
      <c r="V46" s="5"/>
      <c r="AA46" s="3">
        <f>+X46-F46</f>
        <v>0</v>
      </c>
    </row>
    <row r="47" spans="1:28" ht="15.75" hidden="1" outlineLevel="1" x14ac:dyDescent="0.3">
      <c r="A47"/>
      <c r="V47" s="5"/>
      <c r="AA47" s="3">
        <f>+X47-F47</f>
        <v>0</v>
      </c>
    </row>
    <row r="48" spans="1:28" ht="15.75" hidden="1" outlineLevel="1" x14ac:dyDescent="0.3">
      <c r="A48"/>
      <c r="AA48" s="3">
        <f>+X48-F48</f>
        <v>0</v>
      </c>
    </row>
    <row r="49" spans="1:27" ht="15.75" hidden="1" outlineLevel="1" x14ac:dyDescent="0.3">
      <c r="A49"/>
      <c r="I49" s="4"/>
      <c r="L49" s="4"/>
      <c r="O49" s="4"/>
      <c r="P49" s="4"/>
      <c r="R49" s="4"/>
      <c r="AA49" s="3">
        <f>+X49-F49</f>
        <v>0</v>
      </c>
    </row>
    <row r="50" spans="1:27" ht="15.75" hidden="1" outlineLevel="1" x14ac:dyDescent="0.3">
      <c r="A50"/>
      <c r="AA50" s="3">
        <f>+X50-F50</f>
        <v>0</v>
      </c>
    </row>
    <row r="51" spans="1:27" ht="15.75" hidden="1" outlineLevel="1" x14ac:dyDescent="0.3">
      <c r="A51"/>
      <c r="AA51" s="3">
        <f>+X51-F51</f>
        <v>0</v>
      </c>
    </row>
    <row r="52" spans="1:27" ht="15.75" hidden="1" outlineLevel="1" x14ac:dyDescent="0.3">
      <c r="A52"/>
      <c r="AA52" s="3">
        <f>+X52-F52</f>
        <v>0</v>
      </c>
    </row>
    <row r="53" spans="1:27" collapsed="1" x14ac:dyDescent="0.3">
      <c r="A53"/>
    </row>
    <row r="54" spans="1:27" x14ac:dyDescent="0.3">
      <c r="A54"/>
    </row>
    <row r="55" spans="1:27" x14ac:dyDescent="0.3">
      <c r="A55"/>
    </row>
    <row r="56" spans="1:27" x14ac:dyDescent="0.3">
      <c r="A56"/>
    </row>
    <row r="57" spans="1:27" x14ac:dyDescent="0.3">
      <c r="A57"/>
    </row>
    <row r="58" spans="1:27" x14ac:dyDescent="0.3">
      <c r="A58"/>
    </row>
    <row r="59" spans="1:27" x14ac:dyDescent="0.3">
      <c r="A59"/>
    </row>
    <row r="60" spans="1:27" x14ac:dyDescent="0.3">
      <c r="A60"/>
    </row>
    <row r="61" spans="1:27" x14ac:dyDescent="0.3">
      <c r="A61"/>
    </row>
    <row r="62" spans="1:27" x14ac:dyDescent="0.3">
      <c r="A62"/>
    </row>
    <row r="63" spans="1:27" x14ac:dyDescent="0.3">
      <c r="A63"/>
    </row>
    <row r="64" spans="1:27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</sheetData>
  <mergeCells count="21">
    <mergeCell ref="X7:X9"/>
    <mergeCell ref="B7:B9"/>
    <mergeCell ref="A6:AB6"/>
    <mergeCell ref="A2:AB2"/>
    <mergeCell ref="A3:AB3"/>
    <mergeCell ref="A4:AB4"/>
    <mergeCell ref="A5:AB5"/>
    <mergeCell ref="Z7:Z9"/>
    <mergeCell ref="AB7:AB9"/>
    <mergeCell ref="AA7:AA9"/>
    <mergeCell ref="S7:S9"/>
    <mergeCell ref="F7:F9"/>
    <mergeCell ref="A7:A9"/>
    <mergeCell ref="D7:D9"/>
    <mergeCell ref="E7:E9"/>
    <mergeCell ref="C7:C9"/>
    <mergeCell ref="Y7:Y9"/>
    <mergeCell ref="H7:H9"/>
    <mergeCell ref="Q7:Q9"/>
    <mergeCell ref="K7:K9"/>
    <mergeCell ref="N7:N9"/>
  </mergeCells>
  <printOptions horizontalCentered="1" verticalCentered="1"/>
  <pageMargins left="0.78740157480314965" right="0" top="0.19685039370078741" bottom="0.19685039370078741" header="0" footer="0"/>
  <pageSetup scale="72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</vt:lpstr>
      <vt:lpstr>'Anexo 1'!CUOTAPPC2005</vt:lpstr>
      <vt:lpstr>'Anexo 1'!VTAS2005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Jeymy Pilar</dc:creator>
  <cp:lastModifiedBy>Jeymy Pilar</cp:lastModifiedBy>
  <dcterms:created xsi:type="dcterms:W3CDTF">2020-07-21T14:36:15Z</dcterms:created>
  <dcterms:modified xsi:type="dcterms:W3CDTF">2020-07-21T14:37:30Z</dcterms:modified>
</cp:coreProperties>
</file>