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7\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#REF!</definedName>
    <definedName name="_xlnm._FilterDatabase" hidden="1">#REF!</definedName>
    <definedName name="ANEXO" localSheetId="0" hidden="1">'[8]Inversión total en programas'!$A$50:$IV$50,'[8]Inversión total en programas'!$A$60:$IV$63</definedName>
    <definedName name="ANEXO" hidden="1">'[9]Inversión total en programas'!$A$50:$IV$50,'[9]Inversión total en programas'!$A$60:$IV$63</definedName>
    <definedName name="_xlnm.Print_Area" localSheetId="0">'Anexo 2 '!$A$1:$V$207</definedName>
    <definedName name="_xlnm.Print_Area">#REF!</definedName>
    <definedName name="AREAS">#REF!</definedName>
    <definedName name="ASISCALLCENTER" localSheetId="0">#REF!</definedName>
    <definedName name="ASISCALLCENTER">#REF!</definedName>
    <definedName name="ASISCONTABPPC" localSheetId="0">#REF!</definedName>
    <definedName name="ASISCONTABPPC">#REF!</definedName>
    <definedName name="ASISDESPACHOS" localSheetId="0">#REF!</definedName>
    <definedName name="ASISDESPACHOS">#REF!</definedName>
    <definedName name="ASISICA" localSheetId="0">#REF!</definedName>
    <definedName name="ASISICA">#REF!</definedName>
    <definedName name="AUXBODEGA" localSheetId="0">#REF!</definedName>
    <definedName name="AUXBODEGA">#REF!</definedName>
    <definedName name="cabezas" localSheetId="0">'[10]Anexo 1 Minagricultura'!#REF!</definedName>
    <definedName name="cabezas">'[11]Anexo 1 Minagricultura'!#REF!</definedName>
    <definedName name="CABEZAS_PROYEC" localSheetId="0">'[12]Anexo 1 Minagricultura'!$C$46</definedName>
    <definedName name="CABEZAS_PROYEC">'[13]Anexo 1 Minagricultura'!#REF!</definedName>
    <definedName name="CONTRATOS">#REF!</definedName>
    <definedName name="CUOTAPPC2005" localSheetId="0">'[12]Anexo 1 Minagricultura'!#REF!</definedName>
    <definedName name="CUOTAPPC2005">'[13]Anexo 1 Minagricultura'!#REF!</definedName>
    <definedName name="CUOTAPPC2013" localSheetId="0">'[12]Anexo 1 Minagricultura'!#REF!</definedName>
    <definedName name="CUOTAPPC2013">'[14]Anexo 1 Minagricultura'!#REF!</definedName>
    <definedName name="CUOTAPPC203" localSheetId="0">'[12]Anexo 1 Minagricultura'!#REF!</definedName>
    <definedName name="CUOTAPPC203">'[14]Anexo 1 Minagricultura'!#REF!</definedName>
    <definedName name="DIAG_PPC" localSheetId="0">#REF!</definedName>
    <definedName name="DIAG_PPC">'[9]Inversión total en programas'!$B$86</definedName>
    <definedName name="DIRECCION">[15]consecutivo!$M$9:$M$13</definedName>
    <definedName name="DISTRIBUIDOR" localSheetId="0">#REF!</definedName>
    <definedName name="DISTRIBUIDOR">#REF!</definedName>
    <definedName name="Dólar" localSheetId="0">#REF!</definedName>
    <definedName name="Dólar">#REF!</definedName>
    <definedName name="eeeee" localSheetId="0">'[12]Ejecución ingresos 2014'!#REF!</definedName>
    <definedName name="eeeee">#REF!</definedName>
    <definedName name="EPPC" localSheetId="0">'[12]Anexo 1 Minagricultura'!$C$54</definedName>
    <definedName name="EPPC">'[13]Anexo 1 Minagricultura'!#REF!</definedName>
    <definedName name="Euro" localSheetId="0">#REF!</definedName>
    <definedName name="Euro">#REF!</definedName>
    <definedName name="FDGFDG" localSheetId="0">#REF!</definedName>
    <definedName name="FDGFDG">#REF!</definedName>
    <definedName name="FECHA_DE_RECIBIDO">[16]BASE!$E$3:$E$177</definedName>
    <definedName name="FOMENTO" localSheetId="0">'[12]Anexo 1 Minagricultura'!$C$53</definedName>
    <definedName name="FOMENTO">'[13]Anexo 1 Minagricultura'!#REF!</definedName>
    <definedName name="FOMENTOS" localSheetId="0">'[17]Anexo 1 Minagricultura'!$C$51</definedName>
    <definedName name="FOMENTOS">'[18]Anexo 1 Minagricultura'!$C$51</definedName>
    <definedName name="fondo" localSheetId="0">#REF!</definedName>
    <definedName name="fondo">#REF!</definedName>
    <definedName name="GTOSEPPC" localSheetId="0">#REF!</definedName>
    <definedName name="GTOSEPPC">'[9]Inversión total en programas'!$C$35</definedName>
    <definedName name="HONORAUDI_JURIDIC" localSheetId="0">#REF!</definedName>
    <definedName name="HONORAUDI_JURIDIC">#REF!</definedName>
    <definedName name="HONTOTAL" localSheetId="0">#REF!</definedName>
    <definedName name="HONTOTAL">#REF!</definedName>
    <definedName name="Incremento" localSheetId="0">#REF!</definedName>
    <definedName name="Incremento">#REF!</definedName>
    <definedName name="Inflación" localSheetId="0">#REF!</definedName>
    <definedName name="Inflación">#REF!</definedName>
    <definedName name="JORTIZ" localSheetId="0">#REF!</definedName>
    <definedName name="JORTIZ">#REF!</definedName>
    <definedName name="LABORATORIOS" localSheetId="0">#REF!</definedName>
    <definedName name="LABORATORIOS">#REF!</definedName>
    <definedName name="NOMBDISTRI" localSheetId="0">#REF!</definedName>
    <definedName name="NOMBDISTRI">#REF!</definedName>
    <definedName name="ojo" localSheetId="0">#REF!</definedName>
    <definedName name="ojo">#REF!</definedName>
    <definedName name="Pasajes" localSheetId="0">#REF!</definedName>
    <definedName name="Pasajes">#REF!</definedName>
    <definedName name="ppc">'[19]Inversión total en programas'!$B$86</definedName>
    <definedName name="RESERV_FUTU" localSheetId="0">#REF!</definedName>
    <definedName name="RESERV_FUTU">#REF!</definedName>
    <definedName name="saldo" localSheetId="0">'[12]Ejecución ingresos 2014'!#REF!</definedName>
    <definedName name="saldo">#REF!</definedName>
    <definedName name="saldos" localSheetId="0">'[12]Ejecución ingresos 2014'!#REF!</definedName>
    <definedName name="saldos">#REF!</definedName>
    <definedName name="SUPERA2004" localSheetId="0">'[12]Anexo 1 Minagricultura'!#REF!</definedName>
    <definedName name="SUPERA2004">'[13]Anexo 1 Minagricultura'!#REF!</definedName>
    <definedName name="SUPERA2005" localSheetId="0">'[12]Anexo 1 Minagricultura'!#REF!</definedName>
    <definedName name="SUPERA2005">'[13]Anexo 1 Minagricultura'!#REF!</definedName>
    <definedName name="SUPERA2010">'[19]Anexo 1 Minagricultura'!$C$21</definedName>
    <definedName name="SUPERA2012" localSheetId="0">'[12]Anexo 1 Minagricultura'!#REF!</definedName>
    <definedName name="SUPERA2012">'[14]Anexo 1 Minagricultura'!#REF!</definedName>
    <definedName name="SUPERAVIT" localSheetId="0">#REF!</definedName>
    <definedName name="SUPERAVIT">#REF!</definedName>
    <definedName name="SUPERAVIT2005_FNP" localSheetId="0">#REF!</definedName>
    <definedName name="SUPERAVIT2005_FNP">#REF!</definedName>
    <definedName name="SUPERAVITPPC_2005" localSheetId="0">#REF!</definedName>
    <definedName name="SUPERAVITPPC_2005">#REF!</definedName>
    <definedName name="TIPOS">#REF!</definedName>
    <definedName name="_xlnm.Print_Titles" localSheetId="0">'Anexo 2 '!$1:$6</definedName>
    <definedName name="VTAS2005" localSheetId="0">'[13]Anexo 1 Minagricultura'!#REF!</definedName>
    <definedName name="VTAS2005">'[13]Anexo 1 Minagricultura'!#REF!</definedName>
    <definedName name="xx" localSheetId="0">[20]Ingresos!$C$19</definedName>
    <definedName name="xx">[21]Ingresos!$C$19</definedName>
    <definedName name="Z_4099E833_BB74_4680_85C9_A6CF399D1CE2_.wvu.Cols" localSheetId="0" hidden="1">#REF!,#REF!,#REF!,#REF!</definedName>
    <definedName name="Z_4099E833_BB74_4680_85C9_A6CF399D1CE2_.wvu.Cols" hidden="1">'[13]Nómina 2004'!$C$1:$E$65536,'[13]Nómina 2004'!$H$1:$I$65536,'[13]Nómina 2004'!$L$1:$P$65536,'[13]Nómina 2004'!$AF$1:$AH$65536</definedName>
    <definedName name="Z_4099E833_BB74_4680_85C9_A6CF399D1CE2_.wvu.FilterData" localSheetId="0" hidden="1">#REF!</definedName>
    <definedName name="Z_4099E833_BB74_4680_85C9_A6CF399D1CE2_.wvu.FilterData" hidden="1">#REF!</definedName>
    <definedName name="Z_4099E833_BB74_4680_85C9_A6CF399D1CE2_.wvu.PrintArea" localSheetId="0" hidden="1">#REF!</definedName>
    <definedName name="Z_4099E833_BB74_4680_85C9_A6CF399D1CE2_.wvu.PrintArea" hidden="1">#REF!</definedName>
    <definedName name="Z_4099E833_BB74_4680_85C9_A6CF399D1CE2_.wvu.PrintTitles" localSheetId="0" hidden="1">#REF!</definedName>
    <definedName name="Z_4099E833_BB74_4680_85C9_A6CF399D1CE2_.wvu.PrintTitles" hidden="1">#REF!</definedName>
    <definedName name="Z_4099E833_BB74_4680_85C9_A6CF399D1CE2_.wvu.Rows" localSheetId="0" hidden="1">#REF!,#REF!</definedName>
    <definedName name="Z_4099E833_BB74_4680_85C9_A6CF399D1CE2_.wvu.Rows" hidden="1">'[13]Inversión total en programas'!$A$50:$IV$50,'[13]Inversión total en programas'!$A$60:$IV$63</definedName>
    <definedName name="ZFRONTERA" localSheetId="0">'[22]Ingresos 2014'!#REF!</definedName>
    <definedName name="ZFRONTERA">'[23]Ingresos 2014'!#REF!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02" i="1" l="1"/>
  <c r="T202" i="1"/>
  <c r="O202" i="1"/>
  <c r="L202" i="1"/>
  <c r="K202" i="1"/>
  <c r="J202" i="1"/>
  <c r="H202" i="1"/>
  <c r="V201" i="1"/>
  <c r="T201" i="1"/>
  <c r="U201" i="1" s="1"/>
  <c r="O201" i="1"/>
  <c r="L201" i="1"/>
  <c r="K201" i="1"/>
  <c r="J201" i="1"/>
  <c r="H201" i="1"/>
  <c r="T200" i="1"/>
  <c r="S200" i="1"/>
  <c r="R200" i="1"/>
  <c r="Q200" i="1"/>
  <c r="P200" i="1"/>
  <c r="N200" i="1"/>
  <c r="M200" i="1"/>
  <c r="L200" i="1"/>
  <c r="K200" i="1"/>
  <c r="I200" i="1"/>
  <c r="H200" i="1"/>
  <c r="T198" i="1"/>
  <c r="O198" i="1"/>
  <c r="J198" i="1"/>
  <c r="H198" i="1"/>
  <c r="T196" i="1"/>
  <c r="O196" i="1"/>
  <c r="H196" i="1"/>
  <c r="J196" i="1" s="1"/>
  <c r="T194" i="1"/>
  <c r="J194" i="1"/>
  <c r="O194" i="1" s="1"/>
  <c r="V194" i="1" s="1"/>
  <c r="I194" i="1"/>
  <c r="T193" i="1"/>
  <c r="I193" i="1"/>
  <c r="S192" i="1"/>
  <c r="R192" i="1"/>
  <c r="Q192" i="1"/>
  <c r="P192" i="1"/>
  <c r="T192" i="1" s="1"/>
  <c r="N192" i="1"/>
  <c r="M192" i="1"/>
  <c r="L192" i="1"/>
  <c r="K192" i="1"/>
  <c r="T190" i="1"/>
  <c r="O190" i="1"/>
  <c r="H190" i="1"/>
  <c r="J190" i="1" s="1"/>
  <c r="T189" i="1"/>
  <c r="J189" i="1"/>
  <c r="O189" i="1" s="1"/>
  <c r="V189" i="1" s="1"/>
  <c r="H189" i="1"/>
  <c r="E189" i="1"/>
  <c r="V188" i="1"/>
  <c r="T188" i="1"/>
  <c r="H188" i="1"/>
  <c r="J188" i="1" s="1"/>
  <c r="O188" i="1" s="1"/>
  <c r="U188" i="1" s="1"/>
  <c r="E188" i="1"/>
  <c r="T187" i="1"/>
  <c r="H187" i="1"/>
  <c r="J187" i="1" s="1"/>
  <c r="O187" i="1" s="1"/>
  <c r="E187" i="1"/>
  <c r="T186" i="1"/>
  <c r="E186" i="1"/>
  <c r="H186" i="1" s="1"/>
  <c r="S185" i="1"/>
  <c r="S184" i="1" s="1"/>
  <c r="R185" i="1"/>
  <c r="R184" i="1" s="1"/>
  <c r="Q185" i="1"/>
  <c r="P185" i="1"/>
  <c r="T185" i="1" s="1"/>
  <c r="N185" i="1"/>
  <c r="N184" i="1" s="1"/>
  <c r="M185" i="1"/>
  <c r="L185" i="1"/>
  <c r="K185" i="1"/>
  <c r="K184" i="1" s="1"/>
  <c r="I185" i="1"/>
  <c r="G185" i="1"/>
  <c r="F185" i="1"/>
  <c r="E185" i="1"/>
  <c r="E184" i="1" s="1"/>
  <c r="T184" i="1"/>
  <c r="Q184" i="1"/>
  <c r="P184" i="1"/>
  <c r="M184" i="1"/>
  <c r="L184" i="1"/>
  <c r="T182" i="1"/>
  <c r="O182" i="1"/>
  <c r="D182" i="1"/>
  <c r="H182" i="1" s="1"/>
  <c r="J182" i="1" s="1"/>
  <c r="T181" i="1"/>
  <c r="D181" i="1"/>
  <c r="H181" i="1" s="1"/>
  <c r="J181" i="1" s="1"/>
  <c r="O181" i="1" s="1"/>
  <c r="T180" i="1"/>
  <c r="J180" i="1"/>
  <c r="O180" i="1" s="1"/>
  <c r="H180" i="1"/>
  <c r="T179" i="1"/>
  <c r="J179" i="1"/>
  <c r="O179" i="1" s="1"/>
  <c r="D179" i="1"/>
  <c r="H179" i="1" s="1"/>
  <c r="T178" i="1"/>
  <c r="O178" i="1"/>
  <c r="V178" i="1" s="1"/>
  <c r="J178" i="1"/>
  <c r="H178" i="1"/>
  <c r="D178" i="1"/>
  <c r="T177" i="1"/>
  <c r="D177" i="1"/>
  <c r="S176" i="1"/>
  <c r="R176" i="1"/>
  <c r="Q176" i="1"/>
  <c r="P176" i="1"/>
  <c r="T176" i="1" s="1"/>
  <c r="N176" i="1"/>
  <c r="M176" i="1"/>
  <c r="L176" i="1"/>
  <c r="L168" i="1" s="1"/>
  <c r="K176" i="1"/>
  <c r="T175" i="1"/>
  <c r="O175" i="1"/>
  <c r="V175" i="1" s="1"/>
  <c r="D175" i="1"/>
  <c r="H175" i="1" s="1"/>
  <c r="J175" i="1" s="1"/>
  <c r="T174" i="1"/>
  <c r="D174" i="1"/>
  <c r="H174" i="1" s="1"/>
  <c r="J174" i="1" s="1"/>
  <c r="O174" i="1" s="1"/>
  <c r="V174" i="1" s="1"/>
  <c r="T173" i="1"/>
  <c r="J173" i="1"/>
  <c r="O173" i="1" s="1"/>
  <c r="H173" i="1"/>
  <c r="D173" i="1"/>
  <c r="U172" i="1"/>
  <c r="T172" i="1"/>
  <c r="O172" i="1"/>
  <c r="D172" i="1"/>
  <c r="H172" i="1" s="1"/>
  <c r="J172" i="1" s="1"/>
  <c r="T171" i="1"/>
  <c r="D171" i="1"/>
  <c r="T170" i="1"/>
  <c r="J170" i="1"/>
  <c r="O170" i="1" s="1"/>
  <c r="V170" i="1" s="1"/>
  <c r="H170" i="1"/>
  <c r="D170" i="1"/>
  <c r="S169" i="1"/>
  <c r="S168" i="1" s="1"/>
  <c r="R169" i="1"/>
  <c r="R168" i="1" s="1"/>
  <c r="Q169" i="1"/>
  <c r="Q168" i="1" s="1"/>
  <c r="P169" i="1"/>
  <c r="N169" i="1"/>
  <c r="N168" i="1" s="1"/>
  <c r="M169" i="1"/>
  <c r="L169" i="1"/>
  <c r="K169" i="1"/>
  <c r="K168" i="1" s="1"/>
  <c r="M168" i="1"/>
  <c r="V167" i="1"/>
  <c r="T167" i="1"/>
  <c r="D167" i="1"/>
  <c r="H167" i="1" s="1"/>
  <c r="J167" i="1" s="1"/>
  <c r="O167" i="1" s="1"/>
  <c r="V166" i="1"/>
  <c r="U166" i="1"/>
  <c r="T166" i="1"/>
  <c r="O166" i="1"/>
  <c r="J166" i="1"/>
  <c r="D166" i="1"/>
  <c r="H166" i="1" s="1"/>
  <c r="T165" i="1"/>
  <c r="J165" i="1"/>
  <c r="O165" i="1" s="1"/>
  <c r="H165" i="1"/>
  <c r="D165" i="1"/>
  <c r="T164" i="1"/>
  <c r="H164" i="1"/>
  <c r="D164" i="1"/>
  <c r="S163" i="1"/>
  <c r="R163" i="1"/>
  <c r="Q163" i="1"/>
  <c r="P163" i="1"/>
  <c r="N163" i="1"/>
  <c r="M163" i="1"/>
  <c r="L163" i="1"/>
  <c r="K163" i="1"/>
  <c r="D163" i="1"/>
  <c r="T162" i="1"/>
  <c r="H162" i="1"/>
  <c r="J162" i="1" s="1"/>
  <c r="O162" i="1" s="1"/>
  <c r="V162" i="1" s="1"/>
  <c r="D162" i="1"/>
  <c r="U161" i="1"/>
  <c r="T161" i="1"/>
  <c r="D161" i="1"/>
  <c r="H161" i="1" s="1"/>
  <c r="J161" i="1" s="1"/>
  <c r="O161" i="1" s="1"/>
  <c r="V161" i="1" s="1"/>
  <c r="T160" i="1"/>
  <c r="D160" i="1"/>
  <c r="H160" i="1" s="1"/>
  <c r="J160" i="1" s="1"/>
  <c r="O160" i="1" s="1"/>
  <c r="U160" i="1" s="1"/>
  <c r="T159" i="1"/>
  <c r="O159" i="1"/>
  <c r="V159" i="1" s="1"/>
  <c r="D159" i="1"/>
  <c r="H159" i="1" s="1"/>
  <c r="J159" i="1" s="1"/>
  <c r="T158" i="1"/>
  <c r="O158" i="1"/>
  <c r="J158" i="1"/>
  <c r="D158" i="1"/>
  <c r="H158" i="1" s="1"/>
  <c r="V157" i="1"/>
  <c r="U157" i="1"/>
  <c r="T157" i="1"/>
  <c r="H157" i="1"/>
  <c r="J157" i="1" s="1"/>
  <c r="O157" i="1" s="1"/>
  <c r="D157" i="1"/>
  <c r="T156" i="1"/>
  <c r="D156" i="1"/>
  <c r="S155" i="1"/>
  <c r="S154" i="1" s="1"/>
  <c r="R155" i="1"/>
  <c r="Q155" i="1"/>
  <c r="P155" i="1"/>
  <c r="N155" i="1"/>
  <c r="M155" i="1"/>
  <c r="M154" i="1" s="1"/>
  <c r="L155" i="1"/>
  <c r="K155" i="1"/>
  <c r="K154" i="1" s="1"/>
  <c r="Q154" i="1"/>
  <c r="Q149" i="1" s="1"/>
  <c r="N154" i="1"/>
  <c r="V153" i="1"/>
  <c r="U153" i="1"/>
  <c r="T153" i="1"/>
  <c r="H153" i="1"/>
  <c r="J153" i="1" s="1"/>
  <c r="O153" i="1" s="1"/>
  <c r="D153" i="1"/>
  <c r="T152" i="1"/>
  <c r="D152" i="1"/>
  <c r="H152" i="1" s="1"/>
  <c r="J152" i="1" s="1"/>
  <c r="O152" i="1" s="1"/>
  <c r="U152" i="1" s="1"/>
  <c r="T151" i="1"/>
  <c r="D151" i="1"/>
  <c r="S150" i="1"/>
  <c r="R150" i="1"/>
  <c r="Q150" i="1"/>
  <c r="P150" i="1"/>
  <c r="N150" i="1"/>
  <c r="M150" i="1"/>
  <c r="L150" i="1"/>
  <c r="K150" i="1"/>
  <c r="M149" i="1"/>
  <c r="T147" i="1"/>
  <c r="O147" i="1"/>
  <c r="H147" i="1"/>
  <c r="J147" i="1" s="1"/>
  <c r="S146" i="1"/>
  <c r="R146" i="1"/>
  <c r="Q146" i="1"/>
  <c r="P146" i="1"/>
  <c r="O146" i="1"/>
  <c r="N146" i="1"/>
  <c r="M146" i="1"/>
  <c r="L146" i="1"/>
  <c r="K146" i="1"/>
  <c r="J146" i="1"/>
  <c r="H146" i="1"/>
  <c r="C146" i="1"/>
  <c r="Q145" i="1"/>
  <c r="T145" i="1" s="1"/>
  <c r="H145" i="1"/>
  <c r="J145" i="1" s="1"/>
  <c r="T144" i="1"/>
  <c r="H144" i="1"/>
  <c r="J144" i="1" s="1"/>
  <c r="O144" i="1" s="1"/>
  <c r="S143" i="1"/>
  <c r="R143" i="1"/>
  <c r="R135" i="1" s="1"/>
  <c r="P143" i="1"/>
  <c r="N143" i="1"/>
  <c r="M143" i="1"/>
  <c r="L143" i="1"/>
  <c r="K143" i="1"/>
  <c r="C143" i="1"/>
  <c r="H143" i="1" s="1"/>
  <c r="V142" i="1"/>
  <c r="T142" i="1"/>
  <c r="J142" i="1"/>
  <c r="O142" i="1" s="1"/>
  <c r="H142" i="1"/>
  <c r="T141" i="1"/>
  <c r="J141" i="1"/>
  <c r="H141" i="1"/>
  <c r="S140" i="1"/>
  <c r="R140" i="1"/>
  <c r="Q140" i="1"/>
  <c r="P140" i="1"/>
  <c r="N140" i="1"/>
  <c r="M140" i="1"/>
  <c r="M135" i="1" s="1"/>
  <c r="L140" i="1"/>
  <c r="K140" i="1"/>
  <c r="H140" i="1"/>
  <c r="C140" i="1"/>
  <c r="U139" i="1"/>
  <c r="T139" i="1"/>
  <c r="H139" i="1"/>
  <c r="J139" i="1" s="1"/>
  <c r="O139" i="1" s="1"/>
  <c r="V138" i="1"/>
  <c r="U138" i="1"/>
  <c r="T138" i="1"/>
  <c r="O138" i="1"/>
  <c r="J138" i="1"/>
  <c r="H138" i="1"/>
  <c r="T137" i="1"/>
  <c r="H137" i="1"/>
  <c r="J137" i="1" s="1"/>
  <c r="S136" i="1"/>
  <c r="R136" i="1"/>
  <c r="Q136" i="1"/>
  <c r="P136" i="1"/>
  <c r="T136" i="1" s="1"/>
  <c r="N136" i="1"/>
  <c r="N135" i="1" s="1"/>
  <c r="M136" i="1"/>
  <c r="L136" i="1"/>
  <c r="L135" i="1" s="1"/>
  <c r="K136" i="1"/>
  <c r="H136" i="1"/>
  <c r="H135" i="1" s="1"/>
  <c r="C136" i="1"/>
  <c r="J135" i="1"/>
  <c r="C135" i="1"/>
  <c r="T133" i="1"/>
  <c r="V133" i="1" s="1"/>
  <c r="H133" i="1"/>
  <c r="J133" i="1" s="1"/>
  <c r="O133" i="1" s="1"/>
  <c r="G133" i="1"/>
  <c r="T132" i="1"/>
  <c r="O132" i="1"/>
  <c r="G132" i="1"/>
  <c r="H132" i="1" s="1"/>
  <c r="J132" i="1" s="1"/>
  <c r="T131" i="1"/>
  <c r="J131" i="1"/>
  <c r="G131" i="1"/>
  <c r="H131" i="1" s="1"/>
  <c r="H130" i="1" s="1"/>
  <c r="T130" i="1"/>
  <c r="S130" i="1"/>
  <c r="R130" i="1"/>
  <c r="Q130" i="1"/>
  <c r="P130" i="1"/>
  <c r="N130" i="1"/>
  <c r="M130" i="1"/>
  <c r="L130" i="1"/>
  <c r="K130" i="1"/>
  <c r="T129" i="1"/>
  <c r="O129" i="1"/>
  <c r="H129" i="1"/>
  <c r="J129" i="1" s="1"/>
  <c r="G129" i="1"/>
  <c r="T128" i="1"/>
  <c r="G128" i="1"/>
  <c r="S127" i="1"/>
  <c r="R127" i="1"/>
  <c r="R112" i="1" s="1"/>
  <c r="Q127" i="1"/>
  <c r="P127" i="1"/>
  <c r="N127" i="1"/>
  <c r="M127" i="1"/>
  <c r="L127" i="1"/>
  <c r="K127" i="1"/>
  <c r="U126" i="1"/>
  <c r="T126" i="1"/>
  <c r="H126" i="1"/>
  <c r="J126" i="1" s="1"/>
  <c r="O126" i="1" s="1"/>
  <c r="V126" i="1" s="1"/>
  <c r="G126" i="1"/>
  <c r="T125" i="1"/>
  <c r="H125" i="1"/>
  <c r="J125" i="1" s="1"/>
  <c r="O125" i="1" s="1"/>
  <c r="U125" i="1" s="1"/>
  <c r="G125" i="1"/>
  <c r="T124" i="1"/>
  <c r="G124" i="1"/>
  <c r="H124" i="1" s="1"/>
  <c r="J124" i="1" s="1"/>
  <c r="O124" i="1" s="1"/>
  <c r="V124" i="1" s="1"/>
  <c r="T123" i="1"/>
  <c r="O123" i="1"/>
  <c r="J123" i="1"/>
  <c r="G123" i="1"/>
  <c r="H123" i="1" s="1"/>
  <c r="T122" i="1"/>
  <c r="H122" i="1"/>
  <c r="J122" i="1" s="1"/>
  <c r="G122" i="1"/>
  <c r="S121" i="1"/>
  <c r="R121" i="1"/>
  <c r="Q121" i="1"/>
  <c r="P121" i="1"/>
  <c r="T121" i="1" s="1"/>
  <c r="N121" i="1"/>
  <c r="M121" i="1"/>
  <c r="L121" i="1"/>
  <c r="K121" i="1"/>
  <c r="T120" i="1"/>
  <c r="J120" i="1"/>
  <c r="O120" i="1" s="1"/>
  <c r="G120" i="1"/>
  <c r="H120" i="1" s="1"/>
  <c r="T119" i="1"/>
  <c r="H119" i="1"/>
  <c r="G119" i="1"/>
  <c r="S118" i="1"/>
  <c r="R118" i="1"/>
  <c r="Q118" i="1"/>
  <c r="P118" i="1"/>
  <c r="T118" i="1" s="1"/>
  <c r="N118" i="1"/>
  <c r="M118" i="1"/>
  <c r="L118" i="1"/>
  <c r="K118" i="1"/>
  <c r="G118" i="1"/>
  <c r="U117" i="1"/>
  <c r="T117" i="1"/>
  <c r="G117" i="1"/>
  <c r="H117" i="1" s="1"/>
  <c r="J117" i="1" s="1"/>
  <c r="O117" i="1" s="1"/>
  <c r="V116" i="1"/>
  <c r="T116" i="1"/>
  <c r="G116" i="1"/>
  <c r="H116" i="1" s="1"/>
  <c r="J116" i="1" s="1"/>
  <c r="O116" i="1" s="1"/>
  <c r="T115" i="1"/>
  <c r="J115" i="1"/>
  <c r="O115" i="1" s="1"/>
  <c r="U115" i="1" s="1"/>
  <c r="G115" i="1"/>
  <c r="H115" i="1" s="1"/>
  <c r="T114" i="1"/>
  <c r="J114" i="1"/>
  <c r="H114" i="1"/>
  <c r="G114" i="1"/>
  <c r="S113" i="1"/>
  <c r="R113" i="1"/>
  <c r="Q113" i="1"/>
  <c r="Q112" i="1" s="1"/>
  <c r="P113" i="1"/>
  <c r="N113" i="1"/>
  <c r="M113" i="1"/>
  <c r="L113" i="1"/>
  <c r="L112" i="1" s="1"/>
  <c r="K113" i="1"/>
  <c r="G113" i="1"/>
  <c r="S112" i="1"/>
  <c r="T110" i="1"/>
  <c r="O110" i="1"/>
  <c r="V110" i="1" s="1"/>
  <c r="J110" i="1"/>
  <c r="H110" i="1"/>
  <c r="F110" i="1"/>
  <c r="U109" i="1"/>
  <c r="T109" i="1"/>
  <c r="F109" i="1"/>
  <c r="H109" i="1" s="1"/>
  <c r="J109" i="1" s="1"/>
  <c r="O109" i="1" s="1"/>
  <c r="V109" i="1" s="1"/>
  <c r="T108" i="1"/>
  <c r="F108" i="1"/>
  <c r="H108" i="1" s="1"/>
  <c r="J108" i="1" s="1"/>
  <c r="O108" i="1" s="1"/>
  <c r="U108" i="1" s="1"/>
  <c r="T107" i="1"/>
  <c r="F107" i="1"/>
  <c r="S106" i="1"/>
  <c r="S74" i="1" s="1"/>
  <c r="R106" i="1"/>
  <c r="Q106" i="1"/>
  <c r="P106" i="1"/>
  <c r="N106" i="1"/>
  <c r="M106" i="1"/>
  <c r="L106" i="1"/>
  <c r="K106" i="1"/>
  <c r="K74" i="1" s="1"/>
  <c r="T105" i="1"/>
  <c r="J105" i="1"/>
  <c r="O105" i="1" s="1"/>
  <c r="H105" i="1"/>
  <c r="F105" i="1"/>
  <c r="T104" i="1"/>
  <c r="O104" i="1"/>
  <c r="F104" i="1"/>
  <c r="H104" i="1" s="1"/>
  <c r="J104" i="1" s="1"/>
  <c r="T103" i="1"/>
  <c r="F103" i="1"/>
  <c r="H103" i="1" s="1"/>
  <c r="J103" i="1" s="1"/>
  <c r="O103" i="1" s="1"/>
  <c r="V102" i="1"/>
  <c r="T102" i="1"/>
  <c r="H102" i="1"/>
  <c r="J102" i="1" s="1"/>
  <c r="O102" i="1" s="1"/>
  <c r="F102" i="1"/>
  <c r="T101" i="1"/>
  <c r="F101" i="1"/>
  <c r="H101" i="1" s="1"/>
  <c r="J101" i="1" s="1"/>
  <c r="O101" i="1" s="1"/>
  <c r="T100" i="1"/>
  <c r="F100" i="1"/>
  <c r="H100" i="1" s="1"/>
  <c r="J100" i="1" s="1"/>
  <c r="O100" i="1" s="1"/>
  <c r="U100" i="1" s="1"/>
  <c r="V99" i="1"/>
  <c r="T99" i="1"/>
  <c r="F99" i="1"/>
  <c r="H99" i="1" s="1"/>
  <c r="J99" i="1" s="1"/>
  <c r="O99" i="1" s="1"/>
  <c r="T98" i="1"/>
  <c r="F98" i="1"/>
  <c r="H98" i="1" s="1"/>
  <c r="J98" i="1" s="1"/>
  <c r="O98" i="1" s="1"/>
  <c r="U97" i="1"/>
  <c r="T97" i="1"/>
  <c r="V97" i="1" s="1"/>
  <c r="J97" i="1"/>
  <c r="O97" i="1" s="1"/>
  <c r="H97" i="1"/>
  <c r="F97" i="1"/>
  <c r="T96" i="1"/>
  <c r="H96" i="1"/>
  <c r="J96" i="1" s="1"/>
  <c r="O96" i="1" s="1"/>
  <c r="F96" i="1"/>
  <c r="T95" i="1"/>
  <c r="F95" i="1"/>
  <c r="S94" i="1"/>
  <c r="R94" i="1"/>
  <c r="Q94" i="1"/>
  <c r="P94" i="1"/>
  <c r="N94" i="1"/>
  <c r="M94" i="1"/>
  <c r="L94" i="1"/>
  <c r="K94" i="1"/>
  <c r="T93" i="1"/>
  <c r="J93" i="1"/>
  <c r="O93" i="1" s="1"/>
  <c r="H93" i="1"/>
  <c r="F93" i="1"/>
  <c r="T92" i="1"/>
  <c r="H92" i="1"/>
  <c r="J92" i="1" s="1"/>
  <c r="O92" i="1" s="1"/>
  <c r="F92" i="1"/>
  <c r="T91" i="1"/>
  <c r="F91" i="1"/>
  <c r="S90" i="1"/>
  <c r="R90" i="1"/>
  <c r="Q90" i="1"/>
  <c r="P90" i="1"/>
  <c r="T90" i="1" s="1"/>
  <c r="N90" i="1"/>
  <c r="M90" i="1"/>
  <c r="L90" i="1"/>
  <c r="K90" i="1"/>
  <c r="T89" i="1"/>
  <c r="V89" i="1" s="1"/>
  <c r="H89" i="1"/>
  <c r="J89" i="1" s="1"/>
  <c r="O89" i="1" s="1"/>
  <c r="F89" i="1"/>
  <c r="T88" i="1"/>
  <c r="O88" i="1"/>
  <c r="H88" i="1"/>
  <c r="J88" i="1" s="1"/>
  <c r="F88" i="1"/>
  <c r="T87" i="1"/>
  <c r="V87" i="1" s="1"/>
  <c r="F87" i="1"/>
  <c r="H87" i="1" s="1"/>
  <c r="J87" i="1" s="1"/>
  <c r="O87" i="1" s="1"/>
  <c r="V86" i="1"/>
  <c r="T86" i="1"/>
  <c r="J86" i="1"/>
  <c r="O86" i="1" s="1"/>
  <c r="H86" i="1"/>
  <c r="F86" i="1"/>
  <c r="T85" i="1"/>
  <c r="H85" i="1"/>
  <c r="J85" i="1" s="1"/>
  <c r="O85" i="1" s="1"/>
  <c r="V85" i="1" s="1"/>
  <c r="F85" i="1"/>
  <c r="T84" i="1"/>
  <c r="H84" i="1"/>
  <c r="F84" i="1"/>
  <c r="S83" i="1"/>
  <c r="R83" i="1"/>
  <c r="Q83" i="1"/>
  <c r="P83" i="1"/>
  <c r="N83" i="1"/>
  <c r="M83" i="1"/>
  <c r="L83" i="1"/>
  <c r="K83" i="1"/>
  <c r="F83" i="1"/>
  <c r="T82" i="1"/>
  <c r="F82" i="1"/>
  <c r="H82" i="1" s="1"/>
  <c r="J82" i="1" s="1"/>
  <c r="O82" i="1" s="1"/>
  <c r="T81" i="1"/>
  <c r="F81" i="1"/>
  <c r="H81" i="1" s="1"/>
  <c r="J81" i="1" s="1"/>
  <c r="O81" i="1" s="1"/>
  <c r="T80" i="1"/>
  <c r="O80" i="1"/>
  <c r="J80" i="1"/>
  <c r="H80" i="1"/>
  <c r="F80" i="1"/>
  <c r="T79" i="1"/>
  <c r="H79" i="1"/>
  <c r="J79" i="1" s="1"/>
  <c r="O79" i="1" s="1"/>
  <c r="V79" i="1" s="1"/>
  <c r="F79" i="1"/>
  <c r="T78" i="1"/>
  <c r="F78" i="1"/>
  <c r="H78" i="1" s="1"/>
  <c r="J78" i="1" s="1"/>
  <c r="O78" i="1" s="1"/>
  <c r="U78" i="1" s="1"/>
  <c r="T77" i="1"/>
  <c r="F77" i="1"/>
  <c r="T76" i="1"/>
  <c r="H76" i="1"/>
  <c r="J76" i="1" s="1"/>
  <c r="F76" i="1"/>
  <c r="S75" i="1"/>
  <c r="R75" i="1"/>
  <c r="Q75" i="1"/>
  <c r="P75" i="1"/>
  <c r="T75" i="1" s="1"/>
  <c r="N75" i="1"/>
  <c r="M75" i="1"/>
  <c r="M74" i="1" s="1"/>
  <c r="L75" i="1"/>
  <c r="K75" i="1"/>
  <c r="Q74" i="1"/>
  <c r="L74" i="1"/>
  <c r="T72" i="1"/>
  <c r="B72" i="1"/>
  <c r="T71" i="1"/>
  <c r="J71" i="1"/>
  <c r="H71" i="1"/>
  <c r="B71" i="1"/>
  <c r="S70" i="1"/>
  <c r="R70" i="1"/>
  <c r="T70" i="1" s="1"/>
  <c r="Q70" i="1"/>
  <c r="P70" i="1"/>
  <c r="N70" i="1"/>
  <c r="M70" i="1"/>
  <c r="L70" i="1"/>
  <c r="K70" i="1"/>
  <c r="U69" i="1"/>
  <c r="T69" i="1"/>
  <c r="H69" i="1"/>
  <c r="J69" i="1" s="1"/>
  <c r="O69" i="1" s="1"/>
  <c r="B69" i="1"/>
  <c r="T68" i="1"/>
  <c r="J68" i="1"/>
  <c r="O68" i="1" s="1"/>
  <c r="B68" i="1"/>
  <c r="H68" i="1" s="1"/>
  <c r="T67" i="1"/>
  <c r="H67" i="1"/>
  <c r="B67" i="1"/>
  <c r="S66" i="1"/>
  <c r="R66" i="1"/>
  <c r="Q66" i="1"/>
  <c r="P66" i="1"/>
  <c r="N66" i="1"/>
  <c r="M66" i="1"/>
  <c r="L66" i="1"/>
  <c r="K66" i="1"/>
  <c r="B66" i="1"/>
  <c r="T65" i="1"/>
  <c r="B65" i="1"/>
  <c r="H65" i="1" s="1"/>
  <c r="J65" i="1" s="1"/>
  <c r="O65" i="1" s="1"/>
  <c r="T64" i="1"/>
  <c r="B64" i="1"/>
  <c r="T63" i="1"/>
  <c r="J63" i="1"/>
  <c r="H63" i="1"/>
  <c r="B63" i="1"/>
  <c r="T62" i="1"/>
  <c r="S62" i="1"/>
  <c r="R62" i="1"/>
  <c r="Q62" i="1"/>
  <c r="P62" i="1"/>
  <c r="N62" i="1"/>
  <c r="M62" i="1"/>
  <c r="L62" i="1"/>
  <c r="K62" i="1"/>
  <c r="T61" i="1"/>
  <c r="H61" i="1"/>
  <c r="J61" i="1" s="1"/>
  <c r="O61" i="1" s="1"/>
  <c r="B61" i="1"/>
  <c r="T60" i="1"/>
  <c r="B60" i="1"/>
  <c r="H60" i="1" s="1"/>
  <c r="J60" i="1" s="1"/>
  <c r="O60" i="1" s="1"/>
  <c r="T59" i="1"/>
  <c r="H59" i="1"/>
  <c r="B59" i="1"/>
  <c r="S58" i="1"/>
  <c r="R58" i="1"/>
  <c r="Q58" i="1"/>
  <c r="P58" i="1"/>
  <c r="N58" i="1"/>
  <c r="M58" i="1"/>
  <c r="L58" i="1"/>
  <c r="K58" i="1"/>
  <c r="B58" i="1"/>
  <c r="T57" i="1"/>
  <c r="B57" i="1"/>
  <c r="H57" i="1" s="1"/>
  <c r="J57" i="1" s="1"/>
  <c r="O57" i="1" s="1"/>
  <c r="V56" i="1"/>
  <c r="T56" i="1"/>
  <c r="U56" i="1" s="1"/>
  <c r="O56" i="1"/>
  <c r="J56" i="1"/>
  <c r="H56" i="1"/>
  <c r="T55" i="1"/>
  <c r="H55" i="1"/>
  <c r="J55" i="1" s="1"/>
  <c r="O55" i="1" s="1"/>
  <c r="V55" i="1" s="1"/>
  <c r="T54" i="1"/>
  <c r="O54" i="1"/>
  <c r="J54" i="1"/>
  <c r="H54" i="1"/>
  <c r="S53" i="1"/>
  <c r="R53" i="1"/>
  <c r="Q53" i="1"/>
  <c r="P53" i="1"/>
  <c r="N53" i="1"/>
  <c r="M53" i="1"/>
  <c r="L53" i="1"/>
  <c r="K53" i="1"/>
  <c r="B53" i="1"/>
  <c r="H53" i="1" s="1"/>
  <c r="J53" i="1" s="1"/>
  <c r="O53" i="1" s="1"/>
  <c r="U52" i="1"/>
  <c r="T52" i="1"/>
  <c r="H52" i="1"/>
  <c r="J52" i="1" s="1"/>
  <c r="O52" i="1" s="1"/>
  <c r="V52" i="1" s="1"/>
  <c r="V51" i="1"/>
  <c r="U51" i="1"/>
  <c r="T51" i="1"/>
  <c r="O51" i="1"/>
  <c r="J51" i="1"/>
  <c r="H51" i="1"/>
  <c r="T50" i="1"/>
  <c r="B50" i="1"/>
  <c r="H50" i="1" s="1"/>
  <c r="J50" i="1" s="1"/>
  <c r="O50" i="1" s="1"/>
  <c r="T49" i="1"/>
  <c r="S49" i="1"/>
  <c r="R49" i="1"/>
  <c r="R48" i="1" s="1"/>
  <c r="R45" i="1" s="1"/>
  <c r="R41" i="1" s="1"/>
  <c r="Q49" i="1"/>
  <c r="Q48" i="1" s="1"/>
  <c r="Q45" i="1" s="1"/>
  <c r="Q41" i="1" s="1"/>
  <c r="P49" i="1"/>
  <c r="N49" i="1"/>
  <c r="N48" i="1" s="1"/>
  <c r="N45" i="1" s="1"/>
  <c r="N41" i="1" s="1"/>
  <c r="M49" i="1"/>
  <c r="L49" i="1"/>
  <c r="L48" i="1" s="1"/>
  <c r="L45" i="1" s="1"/>
  <c r="K49" i="1"/>
  <c r="B49" i="1"/>
  <c r="B48" i="1" s="1"/>
  <c r="H48" i="1" s="1"/>
  <c r="J48" i="1" s="1"/>
  <c r="S48" i="1"/>
  <c r="S45" i="1" s="1"/>
  <c r="P48" i="1"/>
  <c r="P45" i="1" s="1"/>
  <c r="M48" i="1"/>
  <c r="K48" i="1"/>
  <c r="K45" i="1" s="1"/>
  <c r="K41" i="1" s="1"/>
  <c r="T47" i="1"/>
  <c r="V47" i="1" s="1"/>
  <c r="H47" i="1"/>
  <c r="J47" i="1" s="1"/>
  <c r="O47" i="1" s="1"/>
  <c r="B47" i="1"/>
  <c r="T46" i="1"/>
  <c r="H46" i="1"/>
  <c r="B46" i="1"/>
  <c r="M45" i="1"/>
  <c r="T44" i="1"/>
  <c r="H44" i="1"/>
  <c r="J44" i="1" s="1"/>
  <c r="O44" i="1" s="1"/>
  <c r="B44" i="1"/>
  <c r="T43" i="1"/>
  <c r="U43" i="1" s="1"/>
  <c r="J43" i="1"/>
  <c r="O43" i="1" s="1"/>
  <c r="B43" i="1"/>
  <c r="H43" i="1" s="1"/>
  <c r="S42" i="1"/>
  <c r="S41" i="1" s="1"/>
  <c r="R42" i="1"/>
  <c r="Q42" i="1"/>
  <c r="P42" i="1"/>
  <c r="N42" i="1"/>
  <c r="M42" i="1"/>
  <c r="L42" i="1"/>
  <c r="K42" i="1"/>
  <c r="E39" i="1"/>
  <c r="E204" i="1" s="1"/>
  <c r="C39" i="1"/>
  <c r="N37" i="1"/>
  <c r="L37" i="1"/>
  <c r="F37" i="1"/>
  <c r="S36" i="1"/>
  <c r="S37" i="1" s="1"/>
  <c r="R36" i="1"/>
  <c r="Q36" i="1"/>
  <c r="Q37" i="1" s="1"/>
  <c r="P36" i="1"/>
  <c r="T36" i="1" s="1"/>
  <c r="N36" i="1"/>
  <c r="M36" i="1"/>
  <c r="M37" i="1" s="1"/>
  <c r="L36" i="1"/>
  <c r="K36" i="1"/>
  <c r="K37" i="1" s="1"/>
  <c r="I36" i="1"/>
  <c r="I37" i="1" s="1"/>
  <c r="G36" i="1"/>
  <c r="F36" i="1"/>
  <c r="E36" i="1"/>
  <c r="E37" i="1" s="1"/>
  <c r="D36" i="1"/>
  <c r="C36" i="1"/>
  <c r="C37" i="1" s="1"/>
  <c r="C204" i="1" s="1"/>
  <c r="B36" i="1"/>
  <c r="T35" i="1"/>
  <c r="V35" i="1" s="1"/>
  <c r="J35" i="1"/>
  <c r="O35" i="1" s="1"/>
  <c r="H35" i="1"/>
  <c r="T34" i="1"/>
  <c r="O34" i="1"/>
  <c r="J34" i="1"/>
  <c r="H34" i="1"/>
  <c r="T33" i="1"/>
  <c r="H33" i="1"/>
  <c r="J33" i="1" s="1"/>
  <c r="O33" i="1" s="1"/>
  <c r="V33" i="1" s="1"/>
  <c r="T32" i="1"/>
  <c r="U32" i="1" s="1"/>
  <c r="J32" i="1"/>
  <c r="O32" i="1" s="1"/>
  <c r="H32" i="1"/>
  <c r="V31" i="1"/>
  <c r="T31" i="1"/>
  <c r="U31" i="1" s="1"/>
  <c r="J31" i="1"/>
  <c r="O31" i="1" s="1"/>
  <c r="H31" i="1"/>
  <c r="T30" i="1"/>
  <c r="J30" i="1"/>
  <c r="O30" i="1" s="1"/>
  <c r="V30" i="1" s="1"/>
  <c r="H30" i="1"/>
  <c r="T29" i="1"/>
  <c r="H29" i="1"/>
  <c r="J29" i="1" s="1"/>
  <c r="O29" i="1" s="1"/>
  <c r="T28" i="1"/>
  <c r="J28" i="1"/>
  <c r="O28" i="1" s="1"/>
  <c r="H28" i="1"/>
  <c r="T27" i="1"/>
  <c r="V27" i="1" s="1"/>
  <c r="J27" i="1"/>
  <c r="O27" i="1" s="1"/>
  <c r="H27" i="1"/>
  <c r="T26" i="1"/>
  <c r="V26" i="1" s="1"/>
  <c r="J26" i="1"/>
  <c r="O26" i="1" s="1"/>
  <c r="H26" i="1"/>
  <c r="T25" i="1"/>
  <c r="H25" i="1"/>
  <c r="J25" i="1" s="1"/>
  <c r="O25" i="1" s="1"/>
  <c r="V24" i="1"/>
  <c r="T24" i="1"/>
  <c r="J24" i="1"/>
  <c r="O24" i="1" s="1"/>
  <c r="H24" i="1"/>
  <c r="V23" i="1"/>
  <c r="U23" i="1"/>
  <c r="T23" i="1"/>
  <c r="J23" i="1"/>
  <c r="O23" i="1" s="1"/>
  <c r="H23" i="1"/>
  <c r="T22" i="1"/>
  <c r="J22" i="1"/>
  <c r="O22" i="1" s="1"/>
  <c r="H22" i="1"/>
  <c r="T21" i="1"/>
  <c r="J21" i="1"/>
  <c r="H21" i="1"/>
  <c r="S19" i="1"/>
  <c r="R19" i="1"/>
  <c r="R37" i="1" s="1"/>
  <c r="Q19" i="1"/>
  <c r="P19" i="1"/>
  <c r="T19" i="1" s="1"/>
  <c r="N19" i="1"/>
  <c r="M19" i="1"/>
  <c r="L19" i="1"/>
  <c r="K19" i="1"/>
  <c r="I19" i="1"/>
  <c r="G19" i="1"/>
  <c r="F19" i="1"/>
  <c r="E19" i="1"/>
  <c r="D19" i="1"/>
  <c r="D37" i="1" s="1"/>
  <c r="C19" i="1"/>
  <c r="B19" i="1"/>
  <c r="B37" i="1" s="1"/>
  <c r="T18" i="1"/>
  <c r="O18" i="1"/>
  <c r="H18" i="1"/>
  <c r="J18" i="1" s="1"/>
  <c r="T17" i="1"/>
  <c r="J17" i="1"/>
  <c r="O17" i="1" s="1"/>
  <c r="H17" i="1"/>
  <c r="T16" i="1"/>
  <c r="H16" i="1"/>
  <c r="J16" i="1" s="1"/>
  <c r="O16" i="1" s="1"/>
  <c r="U16" i="1" s="1"/>
  <c r="T15" i="1"/>
  <c r="H15" i="1"/>
  <c r="J15" i="1" s="1"/>
  <c r="O15" i="1" s="1"/>
  <c r="T14" i="1"/>
  <c r="H14" i="1"/>
  <c r="J14" i="1" s="1"/>
  <c r="O14" i="1" s="1"/>
  <c r="U14" i="1" s="1"/>
  <c r="T13" i="1"/>
  <c r="H13" i="1"/>
  <c r="J13" i="1" s="1"/>
  <c r="O13" i="1" s="1"/>
  <c r="T12" i="1"/>
  <c r="H12" i="1"/>
  <c r="J12" i="1" s="1"/>
  <c r="O12" i="1" s="1"/>
  <c r="U12" i="1" s="1"/>
  <c r="T11" i="1"/>
  <c r="O11" i="1"/>
  <c r="V11" i="1" s="1"/>
  <c r="H11" i="1"/>
  <c r="J11" i="1" s="1"/>
  <c r="T10" i="1"/>
  <c r="H10" i="1"/>
  <c r="J10" i="1" s="1"/>
  <c r="O10" i="1" s="1"/>
  <c r="T9" i="1"/>
  <c r="H9" i="1"/>
  <c r="J9" i="1" s="1"/>
  <c r="S8" i="1"/>
  <c r="R8" i="1"/>
  <c r="Q8" i="1"/>
  <c r="P8" i="1"/>
  <c r="N8" i="1"/>
  <c r="M8" i="1"/>
  <c r="L8" i="1"/>
  <c r="K8" i="1"/>
  <c r="I8" i="1"/>
  <c r="G8" i="1"/>
  <c r="F8" i="1"/>
  <c r="E8" i="1"/>
  <c r="D8" i="1"/>
  <c r="C8" i="1"/>
  <c r="B8" i="1"/>
  <c r="V13" i="1" l="1"/>
  <c r="U13" i="1"/>
  <c r="O145" i="1"/>
  <c r="J143" i="1"/>
  <c r="O143" i="1" s="1"/>
  <c r="R149" i="1"/>
  <c r="R39" i="1" s="1"/>
  <c r="R204" i="1" s="1"/>
  <c r="J8" i="1"/>
  <c r="O8" i="1" s="1"/>
  <c r="O9" i="1"/>
  <c r="J19" i="1"/>
  <c r="O19" i="1" s="1"/>
  <c r="V19" i="1" s="1"/>
  <c r="T45" i="1"/>
  <c r="P41" i="1"/>
  <c r="V17" i="1"/>
  <c r="U17" i="1"/>
  <c r="U19" i="1"/>
  <c r="O48" i="1"/>
  <c r="V15" i="1"/>
  <c r="U15" i="1"/>
  <c r="V44" i="1"/>
  <c r="U44" i="1"/>
  <c r="J36" i="1"/>
  <c r="O21" i="1"/>
  <c r="U21" i="1" s="1"/>
  <c r="G37" i="1"/>
  <c r="J42" i="1"/>
  <c r="S39" i="1"/>
  <c r="J59" i="1"/>
  <c r="H58" i="1"/>
  <c r="V65" i="1"/>
  <c r="U65" i="1"/>
  <c r="H77" i="1"/>
  <c r="F75" i="1"/>
  <c r="V104" i="1"/>
  <c r="U104" i="1"/>
  <c r="V129" i="1"/>
  <c r="U129" i="1"/>
  <c r="V147" i="1"/>
  <c r="U147" i="1"/>
  <c r="R154" i="1"/>
  <c r="T163" i="1"/>
  <c r="U181" i="1"/>
  <c r="V181" i="1"/>
  <c r="T8" i="1"/>
  <c r="V18" i="1"/>
  <c r="H19" i="1"/>
  <c r="U28" i="1"/>
  <c r="U35" i="1"/>
  <c r="H36" i="1"/>
  <c r="T42" i="1"/>
  <c r="H49" i="1"/>
  <c r="J49" i="1" s="1"/>
  <c r="O49" i="1" s="1"/>
  <c r="V61" i="1"/>
  <c r="O63" i="1"/>
  <c r="V93" i="1"/>
  <c r="U93" i="1"/>
  <c r="O114" i="1"/>
  <c r="U114" i="1" s="1"/>
  <c r="J113" i="1"/>
  <c r="H118" i="1"/>
  <c r="J119" i="1"/>
  <c r="U170" i="1"/>
  <c r="V184" i="1"/>
  <c r="U184" i="1"/>
  <c r="H8" i="1"/>
  <c r="U11" i="1"/>
  <c r="U18" i="1"/>
  <c r="V28" i="1"/>
  <c r="U30" i="1"/>
  <c r="L41" i="1"/>
  <c r="H42" i="1"/>
  <c r="U55" i="1"/>
  <c r="V57" i="1"/>
  <c r="U57" i="1"/>
  <c r="U61" i="1"/>
  <c r="B70" i="1"/>
  <c r="H72" i="1"/>
  <c r="R74" i="1"/>
  <c r="U79" i="1"/>
  <c r="U81" i="1"/>
  <c r="V81" i="1"/>
  <c r="H83" i="1"/>
  <c r="U132" i="1"/>
  <c r="V132" i="1"/>
  <c r="D155" i="1"/>
  <c r="D154" i="1" s="1"/>
  <c r="H156" i="1"/>
  <c r="T169" i="1"/>
  <c r="P168" i="1"/>
  <c r="T168" i="1" s="1"/>
  <c r="U25" i="1"/>
  <c r="U158" i="1"/>
  <c r="V158" i="1"/>
  <c r="V25" i="1"/>
  <c r="V32" i="1"/>
  <c r="U34" i="1"/>
  <c r="B62" i="1"/>
  <c r="H64" i="1"/>
  <c r="U105" i="1"/>
  <c r="V105" i="1"/>
  <c r="U182" i="1"/>
  <c r="V182" i="1"/>
  <c r="U27" i="1"/>
  <c r="B45" i="1"/>
  <c r="U47" i="1"/>
  <c r="V103" i="1"/>
  <c r="U103" i="1"/>
  <c r="P37" i="1"/>
  <c r="T37" i="1" s="1"/>
  <c r="V43" i="1"/>
  <c r="J46" i="1"/>
  <c r="H45" i="1"/>
  <c r="V60" i="1"/>
  <c r="U60" i="1"/>
  <c r="J67" i="1"/>
  <c r="H66" i="1"/>
  <c r="O76" i="1"/>
  <c r="V92" i="1"/>
  <c r="U92" i="1"/>
  <c r="V101" i="1"/>
  <c r="U101" i="1"/>
  <c r="G121" i="1"/>
  <c r="G112" i="1" s="1"/>
  <c r="G39" i="1" s="1"/>
  <c r="U123" i="1"/>
  <c r="V123" i="1"/>
  <c r="T127" i="1"/>
  <c r="U133" i="1"/>
  <c r="U174" i="1"/>
  <c r="V16" i="1"/>
  <c r="U26" i="1"/>
  <c r="U49" i="1"/>
  <c r="V49" i="1"/>
  <c r="J164" i="1"/>
  <c r="H163" i="1"/>
  <c r="U173" i="1"/>
  <c r="V173" i="1"/>
  <c r="D176" i="1"/>
  <c r="H177" i="1"/>
  <c r="U198" i="1"/>
  <c r="V198" i="1"/>
  <c r="T48" i="1"/>
  <c r="V68" i="1"/>
  <c r="U68" i="1"/>
  <c r="O131" i="1"/>
  <c r="J130" i="1"/>
  <c r="O130" i="1" s="1"/>
  <c r="V130" i="1" s="1"/>
  <c r="V187" i="1"/>
  <c r="U187" i="1"/>
  <c r="V10" i="1"/>
  <c r="U29" i="1"/>
  <c r="V34" i="1"/>
  <c r="J140" i="1"/>
  <c r="O140" i="1" s="1"/>
  <c r="O141" i="1"/>
  <c r="U10" i="1"/>
  <c r="V12" i="1"/>
  <c r="U22" i="1"/>
  <c r="V29" i="1"/>
  <c r="V14" i="1"/>
  <c r="V22" i="1"/>
  <c r="U24" i="1"/>
  <c r="U33" i="1"/>
  <c r="B42" i="1"/>
  <c r="V50" i="1"/>
  <c r="U50" i="1"/>
  <c r="T53" i="1"/>
  <c r="V69" i="1"/>
  <c r="O71" i="1"/>
  <c r="N74" i="1"/>
  <c r="N39" i="1" s="1"/>
  <c r="N204" i="1" s="1"/>
  <c r="V80" i="1"/>
  <c r="U80" i="1"/>
  <c r="U85" i="1"/>
  <c r="U87" i="1"/>
  <c r="U89" i="1"/>
  <c r="U98" i="1"/>
  <c r="V98" i="1"/>
  <c r="V115" i="1"/>
  <c r="H121" i="1"/>
  <c r="U137" i="1"/>
  <c r="T140" i="1"/>
  <c r="P135" i="1"/>
  <c r="N149" i="1"/>
  <c r="V180" i="1"/>
  <c r="U180" i="1"/>
  <c r="V190" i="1"/>
  <c r="U190" i="1"/>
  <c r="H151" i="1"/>
  <c r="D150" i="1"/>
  <c r="U189" i="1"/>
  <c r="V193" i="1"/>
  <c r="V196" i="1"/>
  <c r="U196" i="1"/>
  <c r="V54" i="1"/>
  <c r="U54" i="1"/>
  <c r="P74" i="1"/>
  <c r="T74" i="1" s="1"/>
  <c r="U99" i="1"/>
  <c r="P112" i="1"/>
  <c r="T112" i="1" s="1"/>
  <c r="T113" i="1"/>
  <c r="V114" i="1"/>
  <c r="V120" i="1"/>
  <c r="U120" i="1"/>
  <c r="V139" i="1"/>
  <c r="V144" i="1"/>
  <c r="U144" i="1"/>
  <c r="T155" i="1"/>
  <c r="V172" i="1"/>
  <c r="J186" i="1"/>
  <c r="H185" i="1"/>
  <c r="H184" i="1" s="1"/>
  <c r="J184" i="1" s="1"/>
  <c r="O184" i="1" s="1"/>
  <c r="U193" i="1"/>
  <c r="V200" i="1"/>
  <c r="V82" i="1"/>
  <c r="V96" i="1"/>
  <c r="H107" i="1"/>
  <c r="J107" i="1" s="1"/>
  <c r="O107" i="1" s="1"/>
  <c r="V107" i="1" s="1"/>
  <c r="F106" i="1"/>
  <c r="H106" i="1" s="1"/>
  <c r="J106" i="1" s="1"/>
  <c r="O106" i="1" s="1"/>
  <c r="V165" i="1"/>
  <c r="U178" i="1"/>
  <c r="M41" i="1"/>
  <c r="U82" i="1"/>
  <c r="T83" i="1"/>
  <c r="J84" i="1"/>
  <c r="U96" i="1"/>
  <c r="U102" i="1"/>
  <c r="K112" i="1"/>
  <c r="K39" i="1" s="1"/>
  <c r="K204" i="1" s="1"/>
  <c r="V117" i="1"/>
  <c r="O122" i="1"/>
  <c r="V122" i="1" s="1"/>
  <c r="J121" i="1"/>
  <c r="O121" i="1" s="1"/>
  <c r="V121" i="1" s="1"/>
  <c r="U142" i="1"/>
  <c r="U165" i="1"/>
  <c r="H171" i="1"/>
  <c r="D169" i="1"/>
  <c r="D168" i="1" s="1"/>
  <c r="U194" i="1"/>
  <c r="T58" i="1"/>
  <c r="T66" i="1"/>
  <c r="V78" i="1"/>
  <c r="U86" i="1"/>
  <c r="V88" i="1"/>
  <c r="U88" i="1"/>
  <c r="H95" i="1"/>
  <c r="F94" i="1"/>
  <c r="M112" i="1"/>
  <c r="H113" i="1"/>
  <c r="J136" i="1"/>
  <c r="O136" i="1" s="1"/>
  <c r="V136" i="1" s="1"/>
  <c r="O137" i="1"/>
  <c r="V137" i="1" s="1"/>
  <c r="K149" i="1"/>
  <c r="S149" i="1"/>
  <c r="U175" i="1"/>
  <c r="S204" i="1"/>
  <c r="H91" i="1"/>
  <c r="F90" i="1"/>
  <c r="T106" i="1"/>
  <c r="U107" i="1"/>
  <c r="U110" i="1"/>
  <c r="N112" i="1"/>
  <c r="V125" i="1"/>
  <c r="T146" i="1"/>
  <c r="L154" i="1"/>
  <c r="L149" i="1" s="1"/>
  <c r="V160" i="1"/>
  <c r="V179" i="1"/>
  <c r="U179" i="1"/>
  <c r="J200" i="1"/>
  <c r="O200" i="1" s="1"/>
  <c r="U200" i="1" s="1"/>
  <c r="U202" i="1"/>
  <c r="V108" i="1"/>
  <c r="U124" i="1"/>
  <c r="H128" i="1"/>
  <c r="G127" i="1"/>
  <c r="V141" i="1"/>
  <c r="U141" i="1"/>
  <c r="V152" i="1"/>
  <c r="P154" i="1"/>
  <c r="T154" i="1" s="1"/>
  <c r="U159" i="1"/>
  <c r="U162" i="1"/>
  <c r="T94" i="1"/>
  <c r="V100" i="1"/>
  <c r="U116" i="1"/>
  <c r="K135" i="1"/>
  <c r="O135" i="1" s="1"/>
  <c r="S135" i="1"/>
  <c r="U167" i="1"/>
  <c r="I192" i="1"/>
  <c r="J193" i="1"/>
  <c r="O193" i="1" s="1"/>
  <c r="T150" i="1"/>
  <c r="G130" i="1"/>
  <c r="Q143" i="1"/>
  <c r="Q135" i="1" s="1"/>
  <c r="Q39" i="1" s="1"/>
  <c r="Q204" i="1" s="1"/>
  <c r="H94" i="1" l="1"/>
  <c r="J95" i="1"/>
  <c r="J151" i="1"/>
  <c r="H150" i="1"/>
  <c r="U76" i="1"/>
  <c r="V76" i="1"/>
  <c r="V8" i="1"/>
  <c r="U8" i="1"/>
  <c r="G204" i="1"/>
  <c r="J128" i="1"/>
  <c r="H127" i="1"/>
  <c r="J171" i="1"/>
  <c r="H169" i="1"/>
  <c r="H168" i="1" s="1"/>
  <c r="B41" i="1"/>
  <c r="B39" i="1" s="1"/>
  <c r="J45" i="1"/>
  <c r="O45" i="1" s="1"/>
  <c r="O46" i="1"/>
  <c r="O113" i="1"/>
  <c r="V113" i="1" s="1"/>
  <c r="U42" i="1"/>
  <c r="V106" i="1"/>
  <c r="U106" i="1"/>
  <c r="J64" i="1"/>
  <c r="H62" i="1"/>
  <c r="H41" i="1" s="1"/>
  <c r="U122" i="1"/>
  <c r="L39" i="1"/>
  <c r="L204" i="1" s="1"/>
  <c r="O36" i="1"/>
  <c r="J37" i="1"/>
  <c r="O37" i="1" s="1"/>
  <c r="V37" i="1" s="1"/>
  <c r="U145" i="1"/>
  <c r="V145" i="1"/>
  <c r="T143" i="1"/>
  <c r="J185" i="1"/>
  <c r="O185" i="1" s="1"/>
  <c r="O186" i="1"/>
  <c r="V48" i="1"/>
  <c r="U48" i="1"/>
  <c r="U37" i="1"/>
  <c r="J72" i="1"/>
  <c r="H70" i="1"/>
  <c r="V163" i="1"/>
  <c r="U163" i="1"/>
  <c r="J58" i="1"/>
  <c r="O58" i="1" s="1"/>
  <c r="O59" i="1"/>
  <c r="T41" i="1"/>
  <c r="P149" i="1"/>
  <c r="T149" i="1" s="1"/>
  <c r="J91" i="1"/>
  <c r="H90" i="1"/>
  <c r="O84" i="1"/>
  <c r="J83" i="1"/>
  <c r="O83" i="1" s="1"/>
  <c r="V83" i="1" s="1"/>
  <c r="V71" i="1"/>
  <c r="U71" i="1"/>
  <c r="O67" i="1"/>
  <c r="J66" i="1"/>
  <c r="O66" i="1" s="1"/>
  <c r="F74" i="1"/>
  <c r="F39" i="1" s="1"/>
  <c r="F204" i="1" s="1"/>
  <c r="U45" i="1"/>
  <c r="V45" i="1"/>
  <c r="H37" i="1"/>
  <c r="U146" i="1"/>
  <c r="V146" i="1"/>
  <c r="H112" i="1"/>
  <c r="V66" i="1"/>
  <c r="U66" i="1"/>
  <c r="U130" i="1"/>
  <c r="U83" i="1"/>
  <c r="V131" i="1"/>
  <c r="U131" i="1"/>
  <c r="V21" i="1"/>
  <c r="V63" i="1"/>
  <c r="U63" i="1"/>
  <c r="J77" i="1"/>
  <c r="H75" i="1"/>
  <c r="H74" i="1" s="1"/>
  <c r="J74" i="1" s="1"/>
  <c r="O74" i="1" s="1"/>
  <c r="V74" i="1" s="1"/>
  <c r="V58" i="1"/>
  <c r="U58" i="1"/>
  <c r="T135" i="1"/>
  <c r="V53" i="1"/>
  <c r="U53" i="1"/>
  <c r="U121" i="1"/>
  <c r="O164" i="1"/>
  <c r="J163" i="1"/>
  <c r="O163" i="1" s="1"/>
  <c r="J156" i="1"/>
  <c r="H155" i="1"/>
  <c r="H154" i="1" s="1"/>
  <c r="U136" i="1"/>
  <c r="O42" i="1"/>
  <c r="V42" i="1" s="1"/>
  <c r="V9" i="1"/>
  <c r="U9" i="1"/>
  <c r="J192" i="1"/>
  <c r="O192" i="1" s="1"/>
  <c r="I204" i="1"/>
  <c r="M39" i="1"/>
  <c r="M204" i="1" s="1"/>
  <c r="D149" i="1"/>
  <c r="D39" i="1" s="1"/>
  <c r="D204" i="1" s="1"/>
  <c r="V140" i="1"/>
  <c r="U140" i="1"/>
  <c r="H176" i="1"/>
  <c r="J177" i="1"/>
  <c r="J118" i="1"/>
  <c r="O118" i="1" s="1"/>
  <c r="O119" i="1"/>
  <c r="P39" i="1" l="1"/>
  <c r="U74" i="1"/>
  <c r="U84" i="1"/>
  <c r="V84" i="1"/>
  <c r="U59" i="1"/>
  <c r="V59" i="1"/>
  <c r="V36" i="1"/>
  <c r="U36" i="1"/>
  <c r="O171" i="1"/>
  <c r="J169" i="1"/>
  <c r="V119" i="1"/>
  <c r="U119" i="1"/>
  <c r="U135" i="1"/>
  <c r="V135" i="1"/>
  <c r="J112" i="1"/>
  <c r="O112" i="1" s="1"/>
  <c r="J90" i="1"/>
  <c r="O90" i="1" s="1"/>
  <c r="O91" i="1"/>
  <c r="O128" i="1"/>
  <c r="J127" i="1"/>
  <c r="O127" i="1" s="1"/>
  <c r="J204" i="1"/>
  <c r="O204" i="1" s="1"/>
  <c r="U149" i="1"/>
  <c r="V149" i="1"/>
  <c r="U164" i="1"/>
  <c r="V164" i="1"/>
  <c r="O77" i="1"/>
  <c r="J75" i="1"/>
  <c r="O75" i="1" s="1"/>
  <c r="U113" i="1"/>
  <c r="O72" i="1"/>
  <c r="J70" i="1"/>
  <c r="O70" i="1" s="1"/>
  <c r="U118" i="1"/>
  <c r="V118" i="1"/>
  <c r="U67" i="1"/>
  <c r="V67" i="1"/>
  <c r="U186" i="1"/>
  <c r="V186" i="1"/>
  <c r="H149" i="1"/>
  <c r="J149" i="1" s="1"/>
  <c r="O149" i="1" s="1"/>
  <c r="O177" i="1"/>
  <c r="J176" i="1"/>
  <c r="O176" i="1" s="1"/>
  <c r="O156" i="1"/>
  <c r="J155" i="1"/>
  <c r="U185" i="1"/>
  <c r="V185" i="1"/>
  <c r="O151" i="1"/>
  <c r="J150" i="1"/>
  <c r="O150" i="1" s="1"/>
  <c r="U192" i="1"/>
  <c r="V192" i="1"/>
  <c r="V143" i="1"/>
  <c r="U143" i="1"/>
  <c r="O64" i="1"/>
  <c r="J62" i="1"/>
  <c r="U46" i="1"/>
  <c r="V46" i="1"/>
  <c r="O95" i="1"/>
  <c r="J94" i="1"/>
  <c r="O94" i="1" s="1"/>
  <c r="H39" i="1"/>
  <c r="J39" i="1" s="1"/>
  <c r="O39" i="1" s="1"/>
  <c r="B204" i="1"/>
  <c r="H204" i="1" s="1"/>
  <c r="U156" i="1" l="1"/>
  <c r="V156" i="1"/>
  <c r="V112" i="1"/>
  <c r="U112" i="1"/>
  <c r="U90" i="1"/>
  <c r="V90" i="1"/>
  <c r="U176" i="1"/>
  <c r="V176" i="1"/>
  <c r="V95" i="1"/>
  <c r="U95" i="1"/>
  <c r="U177" i="1"/>
  <c r="V177" i="1"/>
  <c r="U70" i="1"/>
  <c r="V70" i="1"/>
  <c r="V150" i="1"/>
  <c r="U150" i="1"/>
  <c r="V72" i="1"/>
  <c r="U72" i="1"/>
  <c r="J154" i="1"/>
  <c r="O154" i="1" s="1"/>
  <c r="O155" i="1"/>
  <c r="V94" i="1"/>
  <c r="U94" i="1"/>
  <c r="V151" i="1"/>
  <c r="U151" i="1"/>
  <c r="U127" i="1"/>
  <c r="V127" i="1"/>
  <c r="O62" i="1"/>
  <c r="J41" i="1"/>
  <c r="O41" i="1" s="1"/>
  <c r="V75" i="1"/>
  <c r="U75" i="1"/>
  <c r="V128" i="1"/>
  <c r="U128" i="1"/>
  <c r="J168" i="1"/>
  <c r="O168" i="1" s="1"/>
  <c r="O169" i="1"/>
  <c r="U64" i="1"/>
  <c r="V64" i="1"/>
  <c r="V77" i="1"/>
  <c r="U77" i="1"/>
  <c r="V91" i="1"/>
  <c r="U91" i="1"/>
  <c r="V171" i="1"/>
  <c r="U171" i="1"/>
  <c r="T39" i="1"/>
  <c r="P204" i="1"/>
  <c r="T204" i="1" s="1"/>
  <c r="U204" i="1" l="1"/>
  <c r="V204" i="1"/>
  <c r="V41" i="1"/>
  <c r="U41" i="1"/>
  <c r="V155" i="1"/>
  <c r="U155" i="1"/>
  <c r="U39" i="1"/>
  <c r="V39" i="1"/>
  <c r="V62" i="1"/>
  <c r="U62" i="1"/>
  <c r="V154" i="1"/>
  <c r="U154" i="1"/>
  <c r="V169" i="1"/>
  <c r="U169" i="1"/>
  <c r="V168" i="1"/>
  <c r="U168" i="1"/>
</calcChain>
</file>

<file path=xl/comments1.xml><?xml version="1.0" encoding="utf-8"?>
<comments xmlns="http://schemas.openxmlformats.org/spreadsheetml/2006/main">
  <authors>
    <author>Oscar Rubio</author>
  </authors>
  <commentList>
    <comment ref="V22" authorId="0" shapeId="0">
      <text>
        <r>
          <rPr>
            <sz val="9"/>
            <color indexed="81"/>
            <rFont val="Tahoma"/>
            <family val="2"/>
          </rPr>
          <t>Se redujo la cantidad de material impreso, priorizando la distribución y uso del material almacenado en la bodega del área PPC. Adicionalmente se optimizó el recurso, actualizando y unificando varios formatos de operación de los diferentes programas del área PPC</t>
        </r>
      </text>
    </comment>
    <comment ref="V25" authorId="0" shapeId="0">
      <text>
        <r>
          <rPr>
            <sz val="9"/>
            <color indexed="81"/>
            <rFont val="Tahoma"/>
            <family val="2"/>
          </rPr>
          <t>Se optimizo el recurso haciendo las reuniones en Porkcolombia y así no se generaron gastos de desplazamiento</t>
        </r>
      </text>
    </comment>
    <comment ref="V28" authorId="0" shapeId="0">
      <text>
        <r>
          <rPr>
            <sz val="9"/>
            <color indexed="81"/>
            <rFont val="Tahoma"/>
            <family val="2"/>
          </rPr>
          <t>Se tenia contemplado un recurso por funcionamiento para las polizas de los diferentes convenios interinstitucionales, sin embargo estos gastos los esta asumiendo cada área</t>
        </r>
      </text>
    </comment>
    <comment ref="V30" authorId="0" shapeId="0">
      <text>
        <r>
          <rPr>
            <sz val="9"/>
            <color indexed="81"/>
            <rFont val="Tahoma"/>
            <family val="2"/>
          </rPr>
          <t>Se optimizo el recurso en tiquetes aereos ya que se elimino el intermediario y todo el proceso se efectua por las diferentes áreas</t>
        </r>
      </text>
    </comment>
    <comment ref="V33" authorId="0" shapeId="0">
      <text>
        <r>
          <rPr>
            <sz val="9"/>
            <color indexed="81"/>
            <rFont val="Tahoma"/>
            <family val="2"/>
          </rPr>
          <t>Debido al espacio sumisnistrado por Porkcolombia en sus bodegas el área de mercadeo no tuvo que alquilar espacio externo para el almacenamiento de suvenires</t>
        </r>
      </text>
    </comment>
    <comment ref="V35" authorId="0" shapeId="0">
      <text>
        <r>
          <rPr>
            <sz val="9"/>
            <color indexed="81"/>
            <rFont val="Tahoma"/>
            <family val="2"/>
          </rPr>
          <t>No fue necesario ejecutar recurso en hospedaje de los miembros de Junta Directiva, debido a que las reuniones se programaron en horas de la mañana optimizando el recurso</t>
        </r>
      </text>
    </comment>
    <comment ref="V58" authorId="0" shapeId="0">
      <text>
        <r>
          <rPr>
            <sz val="9"/>
            <color indexed="81"/>
            <rFont val="Tahoma"/>
            <family val="2"/>
          </rPr>
          <t>Se asignó un recurso para el desarrollo de un nuevo aplicativo de captura y almacenamiento de información en conjunto con el área PPC. Dadas las caracteristicas especiales de la plataforma se selecciono al proveedor hasta finales del año 2017, por lo cual este recurso se ejecutara en el  año 2018.</t>
        </r>
      </text>
    </comment>
    <comment ref="V70" authorId="0" shapeId="0">
      <text>
        <r>
          <rPr>
            <sz val="9"/>
            <color indexed="81"/>
            <rFont val="Tahoma"/>
            <family val="2"/>
          </rPr>
          <t xml:space="preserve"> No se logro realizar el ejercicio de lanzamiento del manual del sello de producto y de expendio, debido a que se replantio la estrategia de unificando el manejo, documentación y página web de los 3 sellos.(granja, expendio y producto).
</t>
        </r>
      </text>
    </comment>
    <comment ref="V118" authorId="0" shapeId="0">
      <text>
        <r>
          <rPr>
            <sz val="9"/>
            <color indexed="81"/>
            <rFont val="Tahoma"/>
            <family val="2"/>
          </rPr>
          <t xml:space="preserve">se optimizó el recurso del programa sustituyendo las últimas visitas de consultoría por jornadas de trabajo vía virtual, desarrollando un nuevo concepto de campaña que permitiera llegar a más lugares y a menor costo, a través de cuñas radiales en emisoras regionales y realizando jornadas de capacitación conjunta con las demás áreas de la organización (Encuentros Regionales Porcícolas y Jornadas Técnico-Sanitarias).
</t>
        </r>
      </text>
    </comment>
    <comment ref="V127" authorId="0" shapeId="0">
      <text>
        <r>
          <rPr>
            <sz val="9"/>
            <color indexed="81"/>
            <rFont val="Tahoma"/>
            <family val="2"/>
          </rPr>
          <t xml:space="preserve">Para la vigencia 2017 se tenía proyectado adelantar una nueva fase del proyecto de caracterización de predios porcícolas, sin embargo, la Junta del FNP en cabeza del MADR, no aprobó su realización hasta tanto no se surtiera la depuración, actualización y cruce de las bases de datos existentes con otras fuentes oficiales como ICA, DANE, Agronet y el propio MADR. De manera paralela a este proceso de depuración, se consolidó una propuesta de desarrollo de una plataforma tecnológica para administrar la información unificada sobre predios, vacunación e identificación de porcinos, la cual será ejecutada en el 2018.
</t>
        </r>
      </text>
    </comment>
    <comment ref="V143" authorId="0" shapeId="0">
      <text>
        <r>
          <rPr>
            <sz val="9"/>
            <color indexed="81"/>
            <rFont val="Tahoma"/>
            <family val="2"/>
          </rPr>
          <t>No se ejecutó el valor estimado debido a que la contratista que laboraba como coordinadora del programa estuvo en licencia de maternidad desde septiembre y durante lo restante del año 2017, por lo cual se suspendió el contrato y no se generaron honorarios.</t>
        </r>
        <r>
          <rPr>
            <b/>
            <sz val="9"/>
            <color indexed="81"/>
            <rFont val="Tahoma"/>
            <family val="2"/>
          </rPr>
          <t xml:space="preserve">
</t>
        </r>
        <r>
          <rPr>
            <sz val="9"/>
            <color indexed="81"/>
            <rFont val="Tahoma"/>
            <family val="2"/>
          </rPr>
          <t xml:space="preserve">
</t>
        </r>
      </text>
    </comment>
    <comment ref="K146" authorId="0" shapeId="0">
      <text>
        <r>
          <rPr>
            <sz val="9"/>
            <color indexed="81"/>
            <rFont val="Tahoma"/>
            <family val="2"/>
          </rPr>
          <t xml:space="preserve">Se conforma por:
1.Honorarios coordinador </t>
        </r>
        <r>
          <rPr>
            <b/>
            <sz val="9"/>
            <color indexed="81"/>
            <rFont val="Tahoma"/>
            <family val="2"/>
          </rPr>
          <t>$39.540.828</t>
        </r>
        <r>
          <rPr>
            <sz val="9"/>
            <color indexed="81"/>
            <rFont val="Tahoma"/>
            <family val="2"/>
          </rPr>
          <t xml:space="preserve">(8.5 mensualidades de $4.651.862)
2.Movilizaciones </t>
        </r>
        <r>
          <rPr>
            <b/>
            <sz val="9"/>
            <color indexed="81"/>
            <rFont val="Tahoma"/>
            <family val="2"/>
          </rPr>
          <t>$23.800.000</t>
        </r>
        <r>
          <rPr>
            <sz val="9"/>
            <color indexed="81"/>
            <rFont val="Tahoma"/>
            <family val="2"/>
          </rPr>
          <t xml:space="preserve"> (34 movilizaciones)
3.Profesional apoyo zonificación </t>
        </r>
        <r>
          <rPr>
            <b/>
            <sz val="9"/>
            <color indexed="81"/>
            <rFont val="Tahoma"/>
            <family val="2"/>
          </rPr>
          <t>$19.762.500</t>
        </r>
        <r>
          <rPr>
            <sz val="9"/>
            <color indexed="81"/>
            <rFont val="Tahoma"/>
            <family val="2"/>
          </rPr>
          <t xml:space="preserve"> (8.5 mensualidades de $2.325.000)</t>
        </r>
      </text>
    </comment>
    <comment ref="V146" authorId="0" shapeId="0">
      <text>
        <r>
          <rPr>
            <sz val="9"/>
            <color indexed="81"/>
            <rFont val="Tahoma"/>
            <family val="2"/>
          </rPr>
          <t xml:space="preserve">Se optimizaron los recursos en el desarrollo y logística para la realización de reuniones y validación en campo del proyecto, debido a que se consiguieron salones gratuitos, hubo menores costos por desplazamiento de personal y se organizaron reuniones con una menor cantidad de participantes que eran representantes de un grupo importante de productores o voceros de una zona.
</t>
        </r>
      </text>
    </comment>
    <comment ref="V192" authorId="0" shapeId="0">
      <text>
        <r>
          <rPr>
            <sz val="9"/>
            <color indexed="81"/>
            <rFont val="Tahoma"/>
            <family val="2"/>
          </rPr>
          <t>Se tenia contemplado un mayor ingreso por cuota de fomento y recuperación de cartera sin embargo este fue menor</t>
        </r>
      </text>
    </comment>
  </commentList>
</comments>
</file>

<file path=xl/sharedStrings.xml><?xml version="1.0" encoding="utf-8"?>
<sst xmlns="http://schemas.openxmlformats.org/spreadsheetml/2006/main" count="212" uniqueCount="211">
  <si>
    <t>MINISTERIO DE AGRICULTURA  Y DESARROLLO RURAL</t>
  </si>
  <si>
    <t>DIRECCIÓN DE PLANEACIÓN Y SEGUIMIENTO PRESUPUESTAL</t>
  </si>
  <si>
    <t>EJECUCIÓN PRESUPUESTO DE GASTOS DE FUNCIONAMIENTO E INVERSIÓN ENERO-DICIEMBRE 2.017</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</si>
  <si>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</si>
  <si>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</si>
  <si>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</si>
  <si>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</si>
  <si>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</si>
  <si>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</si>
  <si>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</si>
  <si>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</si>
  <si>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</si>
  <si>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</si>
  <si>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PRESUPUESTO INICIAL</t>
  </si>
  <si>
    <t>ACUERDO 5/17</t>
  </si>
  <si>
    <t>ACUERDO 9/17</t>
  </si>
  <si>
    <t>ACUERDO 12/17</t>
  </si>
  <si>
    <t>PRESUPUESTO MODIFICADO</t>
  </si>
  <si>
    <t xml:space="preserve">EJECUCIÓN ENE-MAR </t>
  </si>
  <si>
    <t>EJECUCIÓN ABR-JUN</t>
  </si>
  <si>
    <t>EJECUCIÓN JUL-SEP</t>
  </si>
  <si>
    <t>EJECUCIÓN OCT-DIC</t>
  </si>
  <si>
    <t>EJECUCIÓN ENE-DIC</t>
  </si>
  <si>
    <t>ACUERDO 4/18</t>
  </si>
  <si>
    <t>%EJECUCIÓN ENE-JUN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</si>
  <si>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</si>
  <si>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</si>
  <si>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</si>
  <si>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</si>
  <si>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</si>
  <si>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</si>
  <si>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</si>
  <si>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</si>
  <si>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</si>
  <si>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</si>
  <si>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</si>
  <si>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</si>
  <si>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</si>
  <si>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</si>
  <si>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</si>
  <si>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</si>
  <si>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</si>
  <si>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</si>
  <si>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</si>
  <si>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</si>
  <si>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</si>
  <si>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</si>
  <si>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</si>
  <si>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</si>
  <si>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</si>
  <si>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</si>
  <si>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</si>
  <si>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</si>
  <si>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</si>
  <si>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</si>
  <si>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</si>
  <si>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</si>
  <si>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</si>
  <si>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</si>
  <si>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</si>
  <si>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 xml:space="preserve">Cadena Carnica Porcína </t>
  </si>
  <si>
    <t>Centro de servicios técnicos y financieros</t>
  </si>
  <si>
    <t>Atención de Solicitudes (Asistencia a Productores)</t>
  </si>
  <si>
    <t>Herramientas del centro de servicios</t>
  </si>
  <si>
    <t>Convenios</t>
  </si>
  <si>
    <t xml:space="preserve">   Contrapartidas Gobernaciones y/o Alcaldias</t>
  </si>
  <si>
    <t xml:space="preserve">     Convenio Gobernacion Cundinamarca</t>
  </si>
  <si>
    <t xml:space="preserve">     Convenio Pereira</t>
  </si>
  <si>
    <t xml:space="preserve">     Convenio Gobernación Valle</t>
  </si>
  <si>
    <t xml:space="preserve">   Contrapartidas FNP</t>
  </si>
  <si>
    <t xml:space="preserve">    Convenio Gobernacion Cundinamarca FNP</t>
  </si>
  <si>
    <t xml:space="preserve">    Convenio Pereira FNP</t>
  </si>
  <si>
    <t xml:space="preserve">    Convenio Gobernación Valle FNP</t>
  </si>
  <si>
    <t>Apoyo autorización sanitaria</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</si>
  <si>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</si>
  <si>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</si>
  <si>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</si>
  <si>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</si>
  <si>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</si>
  <si>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</si>
  <si>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</si>
  <si>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</si>
  <si>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</si>
  <si>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</si>
  <si>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</si>
  <si>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</si>
  <si>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Aseguramiento de la calidad</t>
  </si>
  <si>
    <t>Asesorias BPM y HACCP</t>
  </si>
  <si>
    <t>Sello de producto en la cadena de transformación</t>
  </si>
  <si>
    <t>TOTAL ÁREA MERCADEO</t>
  </si>
  <si>
    <t>Investigación de mercados</t>
  </si>
  <si>
    <t>Home panel de Nielsen</t>
  </si>
  <si>
    <t>Brand equity tracking</t>
  </si>
  <si>
    <t>Eye Trancking</t>
  </si>
  <si>
    <t>Monitoreo de Medios</t>
  </si>
  <si>
    <t>Estudio Neurologico de la campaña vigente</t>
  </si>
  <si>
    <t>Estudio Consumidor Shopper</t>
  </si>
  <si>
    <t>Estudio NSOP (LSDA)</t>
  </si>
  <si>
    <t>Comunicación integral</t>
  </si>
  <si>
    <t>Seguimiento y gestion comunicación integral.</t>
  </si>
  <si>
    <t>Porkcolombia.com</t>
  </si>
  <si>
    <t>Free Press ATL Influenciadores</t>
  </si>
  <si>
    <t>Kit Publicitario</t>
  </si>
  <si>
    <t>Desarrollo Digital (Concurso Innovador)</t>
  </si>
  <si>
    <t>Pauta digital</t>
  </si>
  <si>
    <t>Campaña de fomento al consumo</t>
  </si>
  <si>
    <t>Campaña de publicidad</t>
  </si>
  <si>
    <t>Consultoría MESA</t>
  </si>
  <si>
    <t>Pauta institucional</t>
  </si>
  <si>
    <t>Activaciones de consumo</t>
  </si>
  <si>
    <t xml:space="preserve">Cocina PorkColombia </t>
  </si>
  <si>
    <t>Asesores Gastronómicos Ejecutivos</t>
  </si>
  <si>
    <t>Viajes regionales equipo incentivo y sensibilizacion de las bondades de la carne de cerdo</t>
  </si>
  <si>
    <t>Capacitación anual contratistas</t>
  </si>
  <si>
    <t>Certificado PorkColombia (Expertos de carne de cerdo)</t>
  </si>
  <si>
    <t>Material de promocion al consumo</t>
  </si>
  <si>
    <t>ChefRegionales PorkColombia</t>
  </si>
  <si>
    <t>Festival PorkColombia</t>
  </si>
  <si>
    <t>Seguimiento gestión a eventos de sensibilización de las bondades de la carne de cerdo</t>
  </si>
  <si>
    <t>Agroexpo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</si>
  <si>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</si>
  <si>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</si>
  <si>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</si>
  <si>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</si>
  <si>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</si>
  <si>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</si>
  <si>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TOTAL ÁREA ERRADICACIÓN PPC</t>
  </si>
  <si>
    <t>Vacunación e identificación de porcinos</t>
  </si>
  <si>
    <t>Chapetas y tenazas</t>
  </si>
  <si>
    <t>Suministros clinicos y dotaciones</t>
  </si>
  <si>
    <t>Pago de Axilios de frío, flete y movilización</t>
  </si>
  <si>
    <t xml:space="preserve">Barridos </t>
  </si>
  <si>
    <t>Capacitación y divulgación</t>
  </si>
  <si>
    <t>Capacitación</t>
  </si>
  <si>
    <t>Divulgación</t>
  </si>
  <si>
    <t>Vigilancia Epidemiológica</t>
  </si>
  <si>
    <t>Diagnóstico Rutinario</t>
  </si>
  <si>
    <t>Vigilancia epidemiológica</t>
  </si>
  <si>
    <t>Determinació de factores de riesgo</t>
  </si>
  <si>
    <t>Trabajo con autoridades y puestos de control</t>
  </si>
  <si>
    <t>Equipos de comunicación puestos de control</t>
  </si>
  <si>
    <t>Administración del programa</t>
  </si>
  <si>
    <t>Administración de la base de datos</t>
  </si>
  <si>
    <t>Depuración, codificación y verificación de predios</t>
  </si>
  <si>
    <t>Ciclos de vacunación e identificación</t>
  </si>
  <si>
    <t>Contratación de personal</t>
  </si>
  <si>
    <t>Auxilios comités</t>
  </si>
  <si>
    <t>Recolección de desechos biológicos</t>
  </si>
  <si>
    <t>TOTAL ÁREA TÉCNICA</t>
  </si>
  <si>
    <t>Programa nacional de bioseguridad, sanidad y productividad-PNBSP</t>
  </si>
  <si>
    <t>Profesionales de acompañamiento    *(Certificación en granja y transporte)</t>
  </si>
  <si>
    <t>Taller técnico de bioseguridad, sanidad y productividad</t>
  </si>
  <si>
    <t>Pork d¨Or Colombia 2017</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</si>
  <si>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</si>
  <si>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</si>
  <si>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</si>
  <si>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</si>
  <si>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</si>
  <si>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</si>
  <si>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Zonificación y ordenamiento productivo</t>
  </si>
  <si>
    <t>Proyecto UPRA-Porkcolombia</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</si>
  <si>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</si>
  <si>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</si>
  <si>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</si>
  <si>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</si>
  <si>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</si>
  <si>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</si>
  <si>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</si>
  <si>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Gira técnica</t>
  </si>
  <si>
    <t>Capacitación en desposte y transformación de la carne de cerdo</t>
  </si>
  <si>
    <t>Capacitación para expendedores</t>
  </si>
  <si>
    <t>Curso virtual en tecnologías ambientales para porcicultura</t>
  </si>
  <si>
    <t>Cambios en la 2640</t>
  </si>
  <si>
    <t>Encuentros regionales</t>
  </si>
  <si>
    <t>Higiene ambiental</t>
  </si>
  <si>
    <t xml:space="preserve">  Talleres y seminarios</t>
  </si>
  <si>
    <t>Buenas practicas en el manejo de medicamentos veterinarios</t>
  </si>
  <si>
    <t>Capacitaciones técnico-sanitarias</t>
  </si>
  <si>
    <t>Talleres educación ambiental</t>
  </si>
  <si>
    <t>Material de apoyo</t>
  </si>
  <si>
    <t>Diagnostico</t>
  </si>
  <si>
    <t>Diagnostico rutinario con laboratorios oficiales</t>
  </si>
  <si>
    <t xml:space="preserve">  Diagnostico rutinario</t>
  </si>
  <si>
    <t xml:space="preserve">  Diagnostico integrado</t>
  </si>
  <si>
    <t xml:space="preserve">  Diagnóstico PRRS (incluido IFA)</t>
  </si>
  <si>
    <t xml:space="preserve">  Compras de insumos</t>
  </si>
  <si>
    <t xml:space="preserve">  Diagnóstico importados</t>
  </si>
  <si>
    <t xml:space="preserve">  Capacitación funcionarios laboratorios ICA</t>
  </si>
  <si>
    <t>Diagnostico rutinario con laboratorios privados</t>
  </si>
  <si>
    <t>Rutinario</t>
  </si>
  <si>
    <t>Combos</t>
  </si>
  <si>
    <t>PRRS</t>
  </si>
  <si>
    <t>Pruebas interlaboratorios</t>
  </si>
  <si>
    <t>Promoción del diagnóstico</t>
  </si>
  <si>
    <t>Inocuidad y Ambiente</t>
  </si>
  <si>
    <t>TOTAL ÁREA SANIDAD</t>
  </si>
  <si>
    <t>Control y monitoreo para la enfermedad en granjas de Colombia</t>
  </si>
  <si>
    <t>Apoyo programa PRRS</t>
  </si>
  <si>
    <t>Epidemiología de la enfermedad (Nacional)</t>
  </si>
  <si>
    <t>Sensibilización y divulgación</t>
  </si>
  <si>
    <t>Programa de vigilancia de influenza porcina</t>
  </si>
  <si>
    <t>Caracterización cerdos Asilvestrados</t>
  </si>
  <si>
    <t>CUOTA DE ADMINISTRACIÓN</t>
  </si>
  <si>
    <t>Cuota de administración FNP</t>
  </si>
  <si>
    <t>Cuota de administración PPC</t>
  </si>
  <si>
    <t>FONDO DE EMERGENCIA FNP</t>
  </si>
  <si>
    <t>FONDO DE EMERGENCIA PPC</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</si>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</sst>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_ ;_ * \-#,##0_ ;_ * &quot;-&quot;??_ ;_ @_ "/>
  </numFmts>
  <fonts count="14" x14ac:knownFonts="1">
    <font>
      <sz val="11"/>
      <color theme="1"/>
      <name val="Calibri"/>
      <family val="2"/>
      <scheme val="minor"/>
    </font>
    <font>
      <sz val="10"/>
      <name val="Arial"/>
      <family val="2"/>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1"/>
      <name val="Arial"/>
      <family val="2"/>
    </font>
    <font>
      <sz val="11"/>
      <color indexed="8"/>
      <name val="Arial"/>
      <family val="2"/>
    </font>
    <font>
      <b/>
      <sz val="10"/>
      <name val="Arial"/>
      <family val="2"/>
    </font>
    <font>
      <sz val="9"/>
      <name val="Times New Roman"/>
      <family val="1"/>
    </font>
    <font>
      <b/>
      <sz val="9"/>
      <name val="Times New Roman"/>
      <family val="1"/>
    </font>
    <font>
      <sz val="9"/>
      <color indexed="81"/>
      <name val="Tahoma"/>
      <family val="2"/>
    </font>
    <font>
      <b/>
      <sz val="9"/>
      <color indexed="81"/>
      <name val="Tahoma"/>
      <family val="2"/>
    </font>
  </fonts>
  <fills count="2">
    <fill>
      <patternFill patternType="none"/>
    </fill>
    <fill>
      <patternFill patternType="gray125"/>
    </fill>
  </fills>
  <borders count="26">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88">
    <xf numFmtId="0" fontId="0" fillId="0" borderId="0" xfId="0"/>
    <xf numFmtId="0" fontId="2" fillId="0" borderId="0" xfId="1" applyFont="1" applyFill="1" applyAlignment="1">
      <alignment horizontal="center"/>
    </xf>
    <xf numFmtId="0" fontId="1" fillId="0" borderId="0" xfId="1" applyFill="1"/>
    <xf numFmtId="3" fontId="3" fillId="0" borderId="1" xfId="1" applyNumberFormat="1" applyFont="1" applyFill="1" applyBorder="1" applyAlignment="1">
      <alignment horizontal="centerContinuous"/>
    </xf>
    <xf numFmtId="3" fontId="2" fillId="0" borderId="1" xfId="1" applyNumberFormat="1" applyFont="1" applyFill="1" applyBorder="1" applyAlignment="1">
      <alignment horizontal="centerContinuous"/>
    </xf>
    <xf numFmtId="0" fontId="3" fillId="0" borderId="1" xfId="1" applyFont="1" applyFill="1" applyBorder="1" applyAlignment="1">
      <alignment horizontal="centerContinuous"/>
    </xf>
    <xf numFmtId="0" fontId="2" fillId="0" borderId="1" xfId="1" applyFont="1" applyFill="1" applyBorder="1" applyAlignment="1">
      <alignment horizontal="centerContinuous"/>
    </xf>
    <xf numFmtId="0" fontId="4" fillId="0" borderId="1" xfId="1" applyFont="1" applyFill="1" applyBorder="1" applyAlignment="1">
      <alignment horizontal="centerContinuous"/>
    </xf>
    <xf numFmtId="1" fontId="1" fillId="0" borderId="0" xfId="1" applyNumberFormat="1" applyFill="1"/>
    <xf numFmtId="10" fontId="1" fillId="0" borderId="0" xfId="1" applyNumberFormat="1" applyFill="1"/>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10" fontId="2" fillId="0" borderId="5" xfId="2" applyNumberFormat="1" applyFont="1" applyFill="1" applyBorder="1" applyAlignment="1">
      <alignment horizontal="center" vertical="center" wrapText="1"/>
    </xf>
    <xf numFmtId="3" fontId="2" fillId="0" borderId="6" xfId="1" applyNumberFormat="1" applyFont="1" applyFill="1" applyBorder="1" applyAlignment="1"/>
    <xf numFmtId="0" fontId="5" fillId="0" borderId="7" xfId="1" applyFont="1" applyFill="1" applyBorder="1"/>
    <xf numFmtId="0" fontId="5" fillId="0" borderId="8" xfId="1" applyFont="1" applyFill="1" applyBorder="1"/>
    <xf numFmtId="10" fontId="5" fillId="0" borderId="9" xfId="1" applyNumberFormat="1" applyFont="1" applyFill="1" applyBorder="1"/>
    <xf numFmtId="3" fontId="6" fillId="0" borderId="6" xfId="1" applyNumberFormat="1" applyFont="1" applyFill="1" applyBorder="1" applyAlignment="1"/>
    <xf numFmtId="3" fontId="6" fillId="0" borderId="7" xfId="1" applyNumberFormat="1" applyFont="1" applyFill="1" applyBorder="1"/>
    <xf numFmtId="3" fontId="6" fillId="0" borderId="8" xfId="1" applyNumberFormat="1" applyFont="1" applyFill="1" applyBorder="1"/>
    <xf numFmtId="10" fontId="6" fillId="0" borderId="9" xfId="1" applyNumberFormat="1" applyFont="1" applyFill="1" applyBorder="1"/>
    <xf numFmtId="3" fontId="5" fillId="0" borderId="6" xfId="1" applyNumberFormat="1" applyFont="1" applyFill="1" applyBorder="1" applyAlignment="1"/>
    <xf numFmtId="3" fontId="5" fillId="0" borderId="7" xfId="1" applyNumberFormat="1" applyFont="1" applyFill="1" applyBorder="1"/>
    <xf numFmtId="3" fontId="7" fillId="0" borderId="7" xfId="1" applyNumberFormat="1" applyFont="1" applyFill="1" applyBorder="1"/>
    <xf numFmtId="3" fontId="5" fillId="0" borderId="8" xfId="1" applyNumberFormat="1" applyFont="1" applyFill="1" applyBorder="1"/>
    <xf numFmtId="0" fontId="1" fillId="0" borderId="0" xfId="1" applyFill="1" applyAlignment="1">
      <alignment horizontal="center"/>
    </xf>
    <xf numFmtId="3" fontId="8" fillId="0" borderId="7" xfId="1" applyNumberFormat="1" applyFont="1" applyFill="1" applyBorder="1"/>
    <xf numFmtId="3" fontId="1" fillId="0" borderId="0" xfId="1" applyNumberFormat="1" applyFill="1"/>
    <xf numFmtId="0" fontId="2" fillId="0" borderId="6" xfId="1" applyFont="1" applyFill="1" applyBorder="1" applyAlignment="1"/>
    <xf numFmtId="3" fontId="2" fillId="0" borderId="7" xfId="1" applyNumberFormat="1" applyFont="1" applyFill="1" applyBorder="1"/>
    <xf numFmtId="3" fontId="2" fillId="0" borderId="8" xfId="1" applyNumberFormat="1" applyFont="1" applyFill="1" applyBorder="1"/>
    <xf numFmtId="10" fontId="2" fillId="0" borderId="9" xfId="1" applyNumberFormat="1" applyFont="1" applyFill="1" applyBorder="1"/>
    <xf numFmtId="0" fontId="5" fillId="0" borderId="6" xfId="1" applyFont="1" applyFill="1" applyBorder="1" applyAlignment="1"/>
    <xf numFmtId="3" fontId="5" fillId="0" borderId="7" xfId="3" applyNumberFormat="1" applyFont="1" applyFill="1" applyBorder="1"/>
    <xf numFmtId="3" fontId="6" fillId="0" borderId="7" xfId="3" applyNumberFormat="1" applyFont="1" applyFill="1" applyBorder="1"/>
    <xf numFmtId="0" fontId="2" fillId="0" borderId="10" xfId="1" applyFont="1" applyFill="1" applyBorder="1" applyAlignment="1"/>
    <xf numFmtId="3" fontId="2" fillId="0" borderId="11" xfId="1" applyNumberFormat="1" applyFont="1" applyFill="1" applyBorder="1"/>
    <xf numFmtId="3" fontId="6" fillId="0" borderId="11" xfId="3" applyNumberFormat="1" applyFont="1" applyFill="1" applyBorder="1"/>
    <xf numFmtId="3" fontId="2" fillId="0" borderId="12" xfId="1" applyNumberFormat="1" applyFont="1" applyFill="1" applyBorder="1"/>
    <xf numFmtId="10" fontId="2" fillId="0" borderId="13" xfId="1" applyNumberFormat="1" applyFont="1" applyFill="1" applyBorder="1"/>
    <xf numFmtId="0" fontId="5" fillId="0" borderId="14" xfId="1" applyFont="1" applyFill="1" applyBorder="1" applyAlignment="1"/>
    <xf numFmtId="3" fontId="5" fillId="0" borderId="15" xfId="1" applyNumberFormat="1" applyFont="1" applyFill="1" applyBorder="1"/>
    <xf numFmtId="3" fontId="5" fillId="0" borderId="0" xfId="1" applyNumberFormat="1" applyFont="1" applyFill="1" applyBorder="1"/>
    <xf numFmtId="10" fontId="5" fillId="0" borderId="16" xfId="1" applyNumberFormat="1" applyFont="1" applyFill="1" applyBorder="1"/>
    <xf numFmtId="0" fontId="2" fillId="0" borderId="17" xfId="1" applyFont="1" applyFill="1" applyBorder="1" applyAlignment="1"/>
    <xf numFmtId="3" fontId="2" fillId="0" borderId="18" xfId="1" applyNumberFormat="1" applyFont="1" applyFill="1" applyBorder="1"/>
    <xf numFmtId="3" fontId="2" fillId="0" borderId="19" xfId="1" applyNumberFormat="1" applyFont="1" applyFill="1" applyBorder="1"/>
    <xf numFmtId="10" fontId="2" fillId="0" borderId="20" xfId="1" applyNumberFormat="1" applyFont="1" applyFill="1" applyBorder="1"/>
    <xf numFmtId="37" fontId="2" fillId="0" borderId="6" xfId="1" applyNumberFormat="1" applyFont="1" applyFill="1" applyBorder="1" applyAlignment="1"/>
    <xf numFmtId="0" fontId="9" fillId="0" borderId="0" xfId="1" applyFont="1" applyFill="1"/>
    <xf numFmtId="37" fontId="7" fillId="0" borderId="6" xfId="1" applyNumberFormat="1" applyFont="1" applyFill="1" applyBorder="1" applyAlignment="1">
      <alignment horizontal="left"/>
    </xf>
    <xf numFmtId="3" fontId="7" fillId="0" borderId="8" xfId="1" applyNumberFormat="1" applyFont="1" applyFill="1" applyBorder="1"/>
    <xf numFmtId="10" fontId="7" fillId="0" borderId="9" xfId="1" applyNumberFormat="1" applyFont="1" applyFill="1" applyBorder="1"/>
    <xf numFmtId="37" fontId="6" fillId="0" borderId="6" xfId="1" applyNumberFormat="1" applyFont="1" applyFill="1" applyBorder="1" applyAlignment="1">
      <alignment horizontal="left"/>
    </xf>
    <xf numFmtId="10" fontId="6" fillId="0" borderId="21" xfId="1" applyNumberFormat="1" applyFont="1" applyFill="1" applyBorder="1"/>
    <xf numFmtId="164" fontId="2" fillId="0" borderId="7" xfId="3" applyFont="1" applyFill="1" applyBorder="1"/>
    <xf numFmtId="164" fontId="7" fillId="0" borderId="7" xfId="3" applyFont="1" applyFill="1" applyBorder="1"/>
    <xf numFmtId="164" fontId="9" fillId="0" borderId="0" xfId="3" applyFont="1" applyFill="1"/>
    <xf numFmtId="10" fontId="2" fillId="0" borderId="21" xfId="1" applyNumberFormat="1" applyFont="1" applyFill="1" applyBorder="1"/>
    <xf numFmtId="37" fontId="7" fillId="0" borderId="6" xfId="1" applyNumberFormat="1" applyFont="1" applyFill="1" applyBorder="1" applyAlignment="1"/>
    <xf numFmtId="37" fontId="6" fillId="0" borderId="6" xfId="1" applyNumberFormat="1" applyFont="1" applyFill="1" applyBorder="1" applyAlignment="1"/>
    <xf numFmtId="3" fontId="6" fillId="0" borderId="7" xfId="4" applyNumberFormat="1" applyFont="1" applyFill="1" applyBorder="1"/>
    <xf numFmtId="3" fontId="6" fillId="0" borderId="8" xfId="4" applyNumberFormat="1" applyFont="1" applyFill="1" applyBorder="1"/>
    <xf numFmtId="10" fontId="6" fillId="0" borderId="9" xfId="4" applyNumberFormat="1" applyFont="1" applyFill="1" applyBorder="1"/>
    <xf numFmtId="165" fontId="1" fillId="0" borderId="0" xfId="1" applyNumberFormat="1" applyFont="1" applyFill="1"/>
    <xf numFmtId="0" fontId="1" fillId="0" borderId="0" xfId="1" applyFont="1" applyFill="1"/>
    <xf numFmtId="3" fontId="1" fillId="0" borderId="0" xfId="1" applyNumberFormat="1" applyFont="1" applyFill="1"/>
    <xf numFmtId="0" fontId="5" fillId="0" borderId="22" xfId="1" applyFont="1" applyFill="1" applyBorder="1" applyAlignment="1"/>
    <xf numFmtId="3" fontId="2" fillId="0" borderId="23" xfId="1" applyNumberFormat="1" applyFont="1" applyFill="1" applyBorder="1"/>
    <xf numFmtId="0" fontId="5" fillId="0" borderId="23" xfId="1" applyFont="1" applyFill="1" applyBorder="1"/>
    <xf numFmtId="3" fontId="5" fillId="0" borderId="23" xfId="1" applyNumberFormat="1" applyFont="1" applyFill="1" applyBorder="1"/>
    <xf numFmtId="0" fontId="5" fillId="0" borderId="24" xfId="1" applyFont="1" applyFill="1" applyBorder="1"/>
    <xf numFmtId="10" fontId="5" fillId="0" borderId="25" xfId="1" applyNumberFormat="1" applyFont="1" applyFill="1" applyBorder="1"/>
    <xf numFmtId="10" fontId="0" fillId="0" borderId="0" xfId="5" applyNumberFormat="1" applyFont="1" applyFill="1"/>
    <xf numFmtId="0" fontId="10" fillId="0" borderId="0" xfId="1" applyFont="1" applyFill="1" applyAlignment="1"/>
    <xf numFmtId="3" fontId="10" fillId="0" borderId="0" xfId="1" applyNumberFormat="1" applyFont="1" applyFill="1"/>
    <xf numFmtId="37" fontId="10" fillId="0" borderId="0" xfId="1" applyNumberFormat="1" applyFont="1" applyFill="1"/>
    <xf numFmtId="0" fontId="10" fillId="0" borderId="0" xfId="1" applyFont="1" applyFill="1"/>
    <xf numFmtId="3" fontId="11" fillId="0" borderId="0" xfId="1" applyNumberFormat="1" applyFont="1" applyFill="1"/>
    <xf numFmtId="1" fontId="10" fillId="0" borderId="0" xfId="1" applyNumberFormat="1" applyFont="1" applyFill="1"/>
    <xf numFmtId="10" fontId="10" fillId="0" borderId="0" xfId="1" applyNumberFormat="1" applyFont="1" applyFill="1"/>
    <xf numFmtId="37" fontId="1" fillId="0" borderId="0" xfId="1" applyNumberFormat="1" applyFill="1"/>
    <xf numFmtId="164" fontId="10" fillId="0" borderId="0" xfId="3" applyFont="1" applyFill="1"/>
    <xf numFmtId="1" fontId="10" fillId="0" borderId="0" xfId="5" applyNumberFormat="1" applyFont="1" applyFill="1"/>
    <xf numFmtId="10" fontId="10" fillId="0" borderId="0" xfId="5" applyNumberFormat="1" applyFont="1" applyFill="1"/>
    <xf numFmtId="165" fontId="10" fillId="0" borderId="0" xfId="6" applyNumberFormat="1" applyFont="1" applyFill="1"/>
    <xf numFmtId="164" fontId="10" fillId="0" borderId="0" xfId="6" applyFont="1" applyFill="1"/>
  </cellXfs>
  <cellStyles count="7">
    <cellStyle name="Millares 17" xfId="6"/>
    <cellStyle name="Millares 2 2 2" xfId="4"/>
    <cellStyle name="Millares 23" xfId="3"/>
    <cellStyle name="Normal" xfId="0" builtinId="0"/>
    <cellStyle name="Normal 14" xfId="1"/>
    <cellStyle name="Normal 6 2" xfId="2"/>
    <cellStyle name="Porcentaje 1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193;REA%20ECONOM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241;o%202010\A&#241;o%202010\MANEJO%20PTO%202010\PRESUPUESTO%20INGRESOS%20ESTIMADO%202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241;o%202015\PRESUPUESTO%202015\PRESUPUESTO%202015%20V.6\Presupuesto%202015%20version%2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241;o%202010\CIERRES%202010\ACUERDOS%202010\ANEXO%20ACUERDO%206-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A&#241;o%202014\PRESUPUESTO%202014\PRESUPUESTO%202014%20V.4\Presupuesto%202014%20version%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CONTRATOS%20ACP%20FNP\MATRIZ%20DE%20CONTROL%20A&#209;O%202011(borrado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PatriciaMart&#237;nez\Configuraci&#243;n%20local\Archivos%20temporales%20de%20Internet\Content.Outlook\RD6RDTKZ\A&#241;o%202008\Presupuesto%202009\nomina%202009%20pp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193;REA%20MERCADE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JefeControlRegional\Presupuesto%202008\Presupuesto%20200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JorgeOrtiz\Desktop\PPC2013\PRESUPUESTO%202014\PRESUPUESTO%20DEFINITIVO%202014%20NOV\Desagregado%20PPC%202014%20%20definitiv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Users\JorgeOrtiz\Desktop\PPC2013\PRESUPUESTO%202014\PRESUPUESTO%20DEFINITIVO%202014%20NOV\Desagregado%20PPC%202014%20%20defin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193;REA%20PP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193;REA%20INVESTIGACI&#211;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AREA%20SANIDA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241;o%202017\Acuerdos\Definitivo\ANEXO%20ACUERDO%2009-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7/CIERRE%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TABILIDAD/ANEXO%20CIERRE%20DE%20INGRESOS%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egado"/>
      <sheetName val="Generales"/>
      <sheetName val="Inversión"/>
      <sheetName val="Supuestos"/>
      <sheetName val="Ingresos"/>
      <sheetName val="Regionalización"/>
    </sheetNames>
    <sheetDataSet>
      <sheetData sheetId="0" refreshError="1">
        <row r="23">
          <cell r="D23">
            <v>385887326.64875001</v>
          </cell>
        </row>
        <row r="24">
          <cell r="D24">
            <v>17346252.870000005</v>
          </cell>
        </row>
        <row r="32">
          <cell r="D32">
            <v>470160046.50687748</v>
          </cell>
        </row>
        <row r="35">
          <cell r="D35">
            <v>150847192.98513001</v>
          </cell>
        </row>
        <row r="36">
          <cell r="D36">
            <v>65369157.05006326</v>
          </cell>
        </row>
        <row r="37">
          <cell r="D37">
            <v>58143470</v>
          </cell>
        </row>
        <row r="40">
          <cell r="D40">
            <v>143249743.42539349</v>
          </cell>
        </row>
        <row r="41">
          <cell r="D41">
            <v>187442610.21883804</v>
          </cell>
        </row>
        <row r="42">
          <cell r="D42">
            <v>21115389.0825</v>
          </cell>
        </row>
        <row r="45">
          <cell r="D45">
            <v>25703462.8125</v>
          </cell>
        </row>
        <row r="46">
          <cell r="D46">
            <v>153443250.00000003</v>
          </cell>
        </row>
        <row r="47">
          <cell r="D47">
            <v>16550250.870000001</v>
          </cell>
        </row>
        <row r="50">
          <cell r="D50">
            <v>374177107.00949156</v>
          </cell>
        </row>
        <row r="51">
          <cell r="D51">
            <v>109756876.83375001</v>
          </cell>
        </row>
      </sheetData>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sheetData sheetId="2"/>
      <sheetData sheetId="3">
        <row r="50">
          <cell r="A50" t="str">
            <v>Cadena avícola porcícola</v>
          </cell>
        </row>
      </sheetData>
      <sheetData sheetId="4"/>
      <sheetData sheetId="5"/>
      <sheetData sheetId="6">
        <row r="5">
          <cell r="E5" t="str">
            <v xml:space="preserve">FECHA </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Otros ingresos"/>
      <sheetName val="Anexo 2 "/>
      <sheetName val="Funcionamiento"/>
      <sheetName val="Nómina y honorarios II TRIM."/>
      <sheetName val="Inversión total en programas"/>
      <sheetName val="MODELO CONTRATISTAS"/>
      <sheetName val="Servicios personal 2005"/>
      <sheetName val="Nómina 2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8" refreshError="1"/>
      <sheetData sheetId="9" refreshError="1"/>
      <sheetData sheetId="10" refreshError="1">
        <row r="5">
          <cell r="E5" t="str">
            <v xml:space="preserve">FECHA </v>
          </cell>
          <cell r="H5" t="str">
            <v>DIAS</v>
          </cell>
          <cell r="I5" t="str">
            <v>SIN AUMENTO</v>
          </cell>
          <cell r="L5" t="str">
            <v>VAC</v>
          </cell>
          <cell r="M5" t="str">
            <v>DIAS REALES</v>
          </cell>
          <cell r="N5" t="str">
            <v>CON AUMENTO</v>
          </cell>
          <cell r="O5" t="str">
            <v>TOTAL SUELDO</v>
          </cell>
          <cell r="P5" t="str">
            <v>SUELDO MENOS</v>
          </cell>
        </row>
        <row r="6">
          <cell r="E6" t="str">
            <v>INGRESO</v>
          </cell>
          <cell r="N6" t="str">
            <v>SUELDO</v>
          </cell>
          <cell r="P6" t="str">
            <v>VACACIONES</v>
          </cell>
        </row>
        <row r="8">
          <cell r="L8">
            <v>0</v>
          </cell>
          <cell r="M8">
            <v>360</v>
          </cell>
          <cell r="N8" t="e">
            <v>#REF!</v>
          </cell>
          <cell r="O8" t="e">
            <v>#REF!</v>
          </cell>
          <cell r="P8" t="e">
            <v>#REF!</v>
          </cell>
        </row>
        <row r="9">
          <cell r="L9">
            <v>0</v>
          </cell>
          <cell r="M9">
            <v>360</v>
          </cell>
          <cell r="N9" t="e">
            <v>#REF!</v>
          </cell>
          <cell r="O9" t="e">
            <v>#REF!</v>
          </cell>
          <cell r="P9" t="e">
            <v>#REF!</v>
          </cell>
        </row>
        <row r="11">
          <cell r="L11">
            <v>0</v>
          </cell>
          <cell r="M11">
            <v>360</v>
          </cell>
          <cell r="N11" t="e">
            <v>#REF!</v>
          </cell>
          <cell r="O11" t="e">
            <v>#REF!</v>
          </cell>
          <cell r="P11" t="e">
            <v>#REF!</v>
          </cell>
        </row>
        <row r="12">
          <cell r="L12">
            <v>0</v>
          </cell>
          <cell r="M12">
            <v>360</v>
          </cell>
          <cell r="N12" t="e">
            <v>#REF!</v>
          </cell>
          <cell r="O12" t="e">
            <v>#REF!</v>
          </cell>
          <cell r="P12" t="e">
            <v>#REF!</v>
          </cell>
        </row>
        <row r="14">
          <cell r="C14" t="str">
            <v>*</v>
          </cell>
          <cell r="L14">
            <v>0</v>
          </cell>
          <cell r="M14">
            <v>360</v>
          </cell>
          <cell r="N14" t="e">
            <v>#REF!</v>
          </cell>
          <cell r="O14" t="e">
            <v>#REF!</v>
          </cell>
          <cell r="P14" t="e">
            <v>#REF!</v>
          </cell>
        </row>
        <row r="16">
          <cell r="C16" t="str">
            <v>*</v>
          </cell>
          <cell r="L16">
            <v>0</v>
          </cell>
          <cell r="M16">
            <v>360</v>
          </cell>
          <cell r="N16" t="e">
            <v>#REF!</v>
          </cell>
          <cell r="O16" t="e">
            <v>#REF!</v>
          </cell>
          <cell r="P16" t="e">
            <v>#REF!</v>
          </cell>
        </row>
        <row r="17">
          <cell r="C17" t="str">
            <v xml:space="preserve"> </v>
          </cell>
          <cell r="L17">
            <v>0</v>
          </cell>
          <cell r="M17">
            <v>360</v>
          </cell>
          <cell r="N17" t="e">
            <v>#REF!</v>
          </cell>
          <cell r="O17" t="e">
            <v>#REF!</v>
          </cell>
          <cell r="P17" t="e">
            <v>#REF!</v>
          </cell>
        </row>
        <row r="18">
          <cell r="C18" t="str">
            <v>*</v>
          </cell>
          <cell r="L18">
            <v>0</v>
          </cell>
          <cell r="M18">
            <v>360</v>
          </cell>
          <cell r="N18" t="e">
            <v>#REF!</v>
          </cell>
          <cell r="O18" t="e">
            <v>#REF!</v>
          </cell>
          <cell r="P18" t="e">
            <v>#REF!</v>
          </cell>
        </row>
        <row r="20">
          <cell r="L20">
            <v>0</v>
          </cell>
          <cell r="M20">
            <v>360</v>
          </cell>
          <cell r="N20" t="e">
            <v>#REF!</v>
          </cell>
          <cell r="O20" t="e">
            <v>#REF!</v>
          </cell>
          <cell r="P20" t="e">
            <v>#REF!</v>
          </cell>
        </row>
        <row r="21">
          <cell r="L21">
            <v>0</v>
          </cell>
          <cell r="M21">
            <v>1800</v>
          </cell>
          <cell r="N21" t="e">
            <v>#REF!</v>
          </cell>
          <cell r="O21" t="e">
            <v>#REF!</v>
          </cell>
          <cell r="P21" t="e">
            <v>#REF!</v>
          </cell>
        </row>
        <row r="22">
          <cell r="N22" t="e">
            <v>#REF!</v>
          </cell>
          <cell r="O22" t="e">
            <v>#REF!</v>
          </cell>
          <cell r="P22" t="e">
            <v>#REF!</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Superavit 2013"/>
      <sheetName val="Ejecución ingresos 2013"/>
      <sheetName val="Ejecucion de gastos  2013"/>
      <sheetName val="Anexo 2 "/>
      <sheetName val="Anexo 3"/>
      <sheetName val="Anexo 4"/>
      <sheetName val="Funcionamiento"/>
      <sheetName val="Nómina y honorarios 2014"/>
      <sheetName val="Comparativo nómina 2013-2014"/>
      <sheetName val="Comparativo gastos personal "/>
    </sheetNames>
    <sheetDataSet>
      <sheetData sheetId="0">
        <row r="2">
          <cell r="A2" t="str">
            <v>MINISTERIO DE AGRICULTURA Y DESARROLLO RURAL</v>
          </cell>
        </row>
      </sheetData>
      <sheetData sheetId="1">
        <row r="2">
          <cell r="A2" t="str">
            <v>MINISTERIO DE AGRICULTURA Y DESARROLLO RURAL</v>
          </cell>
        </row>
      </sheetData>
      <sheetData sheetId="2">
        <row r="1">
          <cell r="A1" t="str">
            <v xml:space="preserve"> MOVIMIENTO PPC 2013</v>
          </cell>
        </row>
      </sheetData>
      <sheetData sheetId="3">
        <row r="2">
          <cell r="A2" t="str">
            <v>SUPUESTOS CALCULO DE INGRESOS PPC</v>
          </cell>
        </row>
      </sheetData>
      <sheetData sheetId="4">
        <row r="9">
          <cell r="B9" t="str">
            <v>SUPERAVIT PROYECTADO  AÑO 2013</v>
          </cell>
        </row>
      </sheetData>
      <sheetData sheetId="5">
        <row r="3">
          <cell r="B3" t="str">
            <v>EJECUCIÓN PROYECTADA DE INGRESOS AÑO 2013</v>
          </cell>
        </row>
      </sheetData>
      <sheetData sheetId="6">
        <row r="1">
          <cell r="A1" t="str">
            <v>MINISTERIO DE AGRICULTURA  Y DESARROLLO RURAL</v>
          </cell>
        </row>
      </sheetData>
      <sheetData sheetId="7">
        <row r="1">
          <cell r="A1" t="str">
            <v>MINISTERIO DE AGRICULTURA  Y DESARROLLO RURAL</v>
          </cell>
        </row>
      </sheetData>
      <sheetData sheetId="8">
        <row r="1">
          <cell r="A1" t="str">
            <v>MINISTERIO DE AGRICULTURA Y DESARROLLO RURAL</v>
          </cell>
        </row>
      </sheetData>
      <sheetData sheetId="9">
        <row r="1">
          <cell r="A1" t="str">
            <v>MINISTERIO DE AGRICULTURA Y DESARROLLO RURAL</v>
          </cell>
        </row>
      </sheetData>
      <sheetData sheetId="10">
        <row r="2">
          <cell r="A2" t="str">
            <v>GASTOS GENERALES</v>
          </cell>
        </row>
      </sheetData>
      <sheetData sheetId="11">
        <row r="4">
          <cell r="A4" t="str">
            <v>FONDO NACIONAL DE LA PORCICULTURA</v>
          </cell>
        </row>
      </sheetData>
      <sheetData sheetId="12">
        <row r="1">
          <cell r="D1" t="str">
            <v>FONDO NACIONAL DE LA PORCICULTURA</v>
          </cell>
        </row>
      </sheetData>
      <sheetData sheetId="13">
        <row r="6">
          <cell r="B6" t="str">
            <v>Información obtenida hasta el acuerdo No 14 de 2013</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cutivo"/>
      <sheetName val="Vencimientos"/>
      <sheetName val="CONTROL CONTRATOS 2011"/>
      <sheetName val="Hoja1"/>
    </sheetNames>
    <sheetDataSet>
      <sheetData sheetId="0">
        <row r="9">
          <cell r="M9" t="str">
            <v>FUNCIONAMIENTO</v>
          </cell>
        </row>
        <row r="10">
          <cell r="M10" t="str">
            <v>MERCADEO</v>
          </cell>
        </row>
        <row r="11">
          <cell r="M11" t="str">
            <v>PPC</v>
          </cell>
        </row>
        <row r="12">
          <cell r="M12" t="str">
            <v>ECONOMICA</v>
          </cell>
        </row>
        <row r="13">
          <cell r="M13" t="str">
            <v>TECNICA</v>
          </cell>
        </row>
      </sheetData>
      <sheetData sheetId="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sheetName val="PROPUESTA 2017 Compacto "/>
      <sheetName val="Honorarios Contratistas"/>
    </sheetNames>
    <sheetDataSet>
      <sheetData sheetId="0"/>
      <sheetData sheetId="1">
        <row r="22">
          <cell r="C22">
            <v>48192457.785750002</v>
          </cell>
        </row>
        <row r="23">
          <cell r="C23">
            <v>88345262.726999998</v>
          </cell>
        </row>
        <row r="24">
          <cell r="C24">
            <v>22000245.756749999</v>
          </cell>
        </row>
        <row r="25">
          <cell r="C25">
            <v>26984013.77925</v>
          </cell>
        </row>
        <row r="26">
          <cell r="C26">
            <v>77861318.553000003</v>
          </cell>
        </row>
        <row r="27">
          <cell r="C27">
            <v>84461534.122500002</v>
          </cell>
        </row>
        <row r="29">
          <cell r="C29">
            <v>42300000</v>
          </cell>
        </row>
        <row r="31">
          <cell r="C31">
            <v>90759484.799999997</v>
          </cell>
        </row>
        <row r="32">
          <cell r="C32">
            <v>191945767.50000003</v>
          </cell>
        </row>
        <row r="33">
          <cell r="C33">
            <v>70455285</v>
          </cell>
        </row>
        <row r="34">
          <cell r="C34">
            <v>62364357.000000007</v>
          </cell>
        </row>
        <row r="35">
          <cell r="C35">
            <v>125816897.92500001</v>
          </cell>
        </row>
        <row r="36">
          <cell r="C36">
            <v>268750000</v>
          </cell>
        </row>
        <row r="38">
          <cell r="C38">
            <v>4874903842.3999996</v>
          </cell>
        </row>
        <row r="40">
          <cell r="C40">
            <v>60612651.397541255</v>
          </cell>
        </row>
        <row r="41">
          <cell r="C41">
            <v>50498151.602899507</v>
          </cell>
        </row>
        <row r="45">
          <cell r="C45">
            <v>178331040</v>
          </cell>
        </row>
        <row r="46">
          <cell r="C46">
            <v>82093132.799999997</v>
          </cell>
        </row>
        <row r="47">
          <cell r="C47">
            <v>33840000</v>
          </cell>
        </row>
        <row r="56">
          <cell r="C56">
            <v>41060504.25</v>
          </cell>
        </row>
        <row r="57">
          <cell r="C57">
            <v>84110400</v>
          </cell>
        </row>
        <row r="58">
          <cell r="C58">
            <v>85000000</v>
          </cell>
        </row>
        <row r="61">
          <cell r="C61">
            <v>165187957.09499997</v>
          </cell>
        </row>
        <row r="62">
          <cell r="C62">
            <v>550000000</v>
          </cell>
        </row>
        <row r="65">
          <cell r="C65">
            <v>66977781.93</v>
          </cell>
        </row>
        <row r="68">
          <cell r="C68">
            <v>606800000</v>
          </cell>
        </row>
        <row r="78">
          <cell r="C78">
            <v>130000000</v>
          </cell>
        </row>
        <row r="80">
          <cell r="C80">
            <v>110446942.248</v>
          </cell>
        </row>
        <row r="81">
          <cell r="C81">
            <v>164186265.59999999</v>
          </cell>
        </row>
        <row r="82">
          <cell r="C82">
            <v>60000000</v>
          </cell>
        </row>
        <row r="86">
          <cell r="C86">
            <v>126850000</v>
          </cell>
        </row>
      </sheetData>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CIÓN PPC 2016 - 2017"/>
      <sheetName val="CONSOLIDADO 2017"/>
      <sheetName val="JUSTIFICACIÓN PPC 2017"/>
      <sheetName val="INGRESOS 2017"/>
      <sheetName val="ADMON BD 2017"/>
      <sheetName val="CENSO 2017"/>
      <sheetName val="REUNIÓNES 2017"/>
      <sheetName val="VIGILANCIA 2017"/>
      <sheetName val="CHAPETAS ZL 2017"/>
      <sheetName val="VENTAS PPC 2017"/>
      <sheetName val="AUX COMITES 2017"/>
      <sheetName val="RECOLECCIÓN DESECHOS 2017"/>
      <sheetName val="VACUN - CHAPETE 2017"/>
      <sheetName val="TRABAJO CON AUTORIDADES"/>
      <sheetName val="BRIGADAS 2017"/>
      <sheetName val="ANEXO DIVULGACION 2017"/>
      <sheetName val="MATERIALES Y DOTACIONES 2017"/>
      <sheetName val="ARRI, MUEB Y EQUIP 2017"/>
      <sheetName val="CORRREO 2017"/>
      <sheetName val="ANEXO IMP Y PUBLIC 2017"/>
      <sheetName val="AUX Y GASTOS VIAJE 2017"/>
      <sheetName val="AUX DISTRIBUIDORES 2017"/>
      <sheetName val="CHAPETAS TECNIFICADOS ZONA 5"/>
      <sheetName val="CHAPETAS ZONA 4 2017"/>
      <sheetName val="Barridos Zona 5 2017"/>
      <sheetName val="NOMINA HONORARIOS 2015"/>
      <sheetName val="SIMULACROS"/>
      <sheetName val="LUCHA CONTRABANDO 2017"/>
    </sheetNames>
    <sheetDataSet>
      <sheetData sheetId="0">
        <row r="27">
          <cell r="O27">
            <v>1278360572.446125</v>
          </cell>
        </row>
        <row r="28">
          <cell r="O28">
            <v>400272293.51999998</v>
          </cell>
        </row>
        <row r="29">
          <cell r="O29">
            <v>98033016.420000002</v>
          </cell>
        </row>
        <row r="30">
          <cell r="O30">
            <v>1884598567.2024915</v>
          </cell>
        </row>
        <row r="34">
          <cell r="O34">
            <v>461966200</v>
          </cell>
        </row>
        <row r="38">
          <cell r="O38">
            <v>249131900</v>
          </cell>
        </row>
        <row r="51">
          <cell r="O51">
            <v>149675000</v>
          </cell>
        </row>
        <row r="52">
          <cell r="O52">
            <v>524070500.00000006</v>
          </cell>
        </row>
        <row r="53">
          <cell r="O53">
            <v>59650000</v>
          </cell>
        </row>
        <row r="54">
          <cell r="O54">
            <v>207912500</v>
          </cell>
        </row>
        <row r="55">
          <cell r="O55">
            <v>8100000</v>
          </cell>
        </row>
        <row r="57">
          <cell r="O57">
            <v>320941573.71249998</v>
          </cell>
        </row>
        <row r="62">
          <cell r="O62">
            <v>244391898.375</v>
          </cell>
        </row>
        <row r="64">
          <cell r="O64">
            <v>7511647162.2800026</v>
          </cell>
        </row>
        <row r="67">
          <cell r="O67">
            <v>122862549.60000001</v>
          </cell>
        </row>
        <row r="70">
          <cell r="O70">
            <v>79065228.420000002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Investigación"/>
    </sheetNames>
    <sheetDataSet>
      <sheetData sheetId="0" refreshError="1">
        <row r="12">
          <cell r="C12">
            <v>378000000</v>
          </cell>
        </row>
        <row r="20">
          <cell r="C20">
            <v>11066040</v>
          </cell>
        </row>
        <row r="21">
          <cell r="C21">
            <v>15930000</v>
          </cell>
        </row>
        <row r="26">
          <cell r="C26">
            <v>34150000</v>
          </cell>
        </row>
        <row r="27">
          <cell r="C27">
            <v>36278000</v>
          </cell>
        </row>
        <row r="28">
          <cell r="C28">
            <v>46728000</v>
          </cell>
        </row>
        <row r="30">
          <cell r="C30">
            <v>200000000</v>
          </cell>
        </row>
        <row r="31">
          <cell r="C31">
            <v>50000000</v>
          </cell>
        </row>
        <row r="32">
          <cell r="C32">
            <v>120000000</v>
          </cell>
        </row>
        <row r="33">
          <cell r="C33">
            <v>38000000</v>
          </cell>
        </row>
        <row r="37">
          <cell r="C37">
            <v>49000000</v>
          </cell>
        </row>
        <row r="40">
          <cell r="C40">
            <v>56000000</v>
          </cell>
        </row>
        <row r="41">
          <cell r="C41">
            <v>24750000</v>
          </cell>
        </row>
        <row r="42">
          <cell r="C42">
            <v>160000000</v>
          </cell>
        </row>
        <row r="45">
          <cell r="C45">
            <v>14804989.425000001</v>
          </cell>
        </row>
        <row r="46">
          <cell r="C46">
            <v>17759118.8475</v>
          </cell>
        </row>
        <row r="47">
          <cell r="C47">
            <v>22697651.25</v>
          </cell>
        </row>
        <row r="48">
          <cell r="C48">
            <v>61258860</v>
          </cell>
        </row>
        <row r="49">
          <cell r="C49">
            <v>21266325</v>
          </cell>
        </row>
        <row r="50">
          <cell r="C50">
            <v>20000000</v>
          </cell>
        </row>
        <row r="52">
          <cell r="C52">
            <v>55793979.18</v>
          </cell>
        </row>
        <row r="53">
          <cell r="C53">
            <v>52893757.935000002</v>
          </cell>
        </row>
        <row r="54">
          <cell r="C54">
            <v>107701616.25</v>
          </cell>
        </row>
        <row r="56">
          <cell r="C56">
            <v>21150000</v>
          </cell>
        </row>
        <row r="57">
          <cell r="C57">
            <v>31725000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2016 - 2017"/>
      <sheetName val="CONSOLIDADO SANIDAD"/>
      <sheetName val="JUSTIFICACIÓN 2017"/>
      <sheetName val="IMPRESOS 2017"/>
      <sheetName val="GRANJAS LIBRES PRRS 2017"/>
      <sheetName val="GRANJAS POSITIVAS 2017"/>
      <sheetName val="DESPLAZAMIENTOS 2017"/>
    </sheetNames>
    <sheetDataSet>
      <sheetData sheetId="0" refreshError="1">
        <row r="12">
          <cell r="C12">
            <v>46387237</v>
          </cell>
        </row>
        <row r="13">
          <cell r="C13">
            <v>120975000</v>
          </cell>
        </row>
        <row r="14">
          <cell r="C14">
            <v>37300000</v>
          </cell>
        </row>
        <row r="15">
          <cell r="C15">
            <v>44000000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
      <sheetName val="Funcionamiento"/>
    </sheetNames>
    <sheetDataSet>
      <sheetData sheetId="0">
        <row r="14">
          <cell r="B14">
            <v>21077193380.429871</v>
          </cell>
        </row>
        <row r="15">
          <cell r="B15">
            <v>12646316028.257923</v>
          </cell>
        </row>
        <row r="18">
          <cell r="B18">
            <v>187500000</v>
          </cell>
        </row>
        <row r="19">
          <cell r="B19">
            <v>112500000</v>
          </cell>
        </row>
      </sheetData>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sheetName val="Proyección ingresos programas"/>
      <sheetName val="ANEXO INGRESOS"/>
      <sheetName val="Anexo 2 "/>
      <sheetName val="Areas"/>
      <sheetName val="RES"/>
      <sheetName val="superavit"/>
      <sheetName val="ECO"/>
      <sheetName val="TEC"/>
      <sheetName val="TRANSF"/>
      <sheetName val="SAN"/>
      <sheetName val="MER"/>
      <sheetName val="PPC"/>
      <sheetName val="FUN"/>
      <sheetName val="BIOLOGICO"/>
      <sheetName val="CONCILIACIÓN INGRES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35">
          <cell r="C35" t="e">
            <v>#REF!</v>
          </cell>
        </row>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35">
          <cell r="C35" t="e">
            <v>#REF!</v>
          </cell>
        </row>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row r="86">
          <cell r="B86">
            <v>117000000</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78"/>
  <sheetViews>
    <sheetView tabSelected="1" zoomScale="90" zoomScaleNormal="90" zoomScaleSheetLayoutView="85" workbookViewId="0">
      <pane xSplit="9" ySplit="6" topLeftCell="J7" activePane="bottomRight" state="frozen"/>
      <selection pane="topRight" activeCell="J1" sqref="J1"/>
      <selection pane="bottomLeft" activeCell="A7" sqref="A7"/>
      <selection pane="bottomRight" activeCell="T143" sqref="T143"/>
    </sheetView>
  </sheetViews>
  <sheetFormatPr baseColWidth="10" defaultRowHeight="12.75" outlineLevelRow="2" outlineLevelCol="1" x14ac:dyDescent="0.2"/>
  <cols>
    <col min="1" max="1" width="78.28515625" style="2" customWidth="1"/>
    <col min="2" max="3" width="18.28515625" style="2" hidden="1" customWidth="1" outlineLevel="1"/>
    <col min="4" max="4" width="19.85546875" style="2" hidden="1" customWidth="1" outlineLevel="1"/>
    <col min="5" max="5" width="16.28515625" style="2" hidden="1" customWidth="1" outlineLevel="1"/>
    <col min="6" max="6" width="15.42578125" style="2" hidden="1" customWidth="1" outlineLevel="1"/>
    <col min="7" max="7" width="17.5703125" style="2" hidden="1" customWidth="1" outlineLevel="1"/>
    <col min="8" max="8" width="20" style="2" hidden="1" customWidth="1" outlineLevel="1"/>
    <col min="9" max="9" width="21.42578125" style="2" hidden="1" customWidth="1" outlineLevel="1"/>
    <col min="10" max="10" width="19.7109375" style="2" customWidth="1" collapsed="1"/>
    <col min="11" max="14" width="19.7109375" style="2" hidden="1" customWidth="1" outlineLevel="1"/>
    <col min="15" max="15" width="18.7109375" style="8" bestFit="1" customWidth="1" collapsed="1"/>
    <col min="16" max="19" width="18.7109375" style="8" hidden="1" customWidth="1" outlineLevel="1"/>
    <col min="20" max="20" width="18.7109375" style="8" customWidth="1" collapsed="1"/>
    <col min="21" max="21" width="18.7109375" style="8" customWidth="1"/>
    <col min="22" max="22" width="16.42578125" style="9" customWidth="1"/>
    <col min="23" max="25" width="14.5703125" style="2" customWidth="1"/>
    <col min="26" max="16384" width="11.42578125" style="2"/>
  </cols>
  <sheetData>
    <row r="1" spans="1:24" ht="15" x14ac:dyDescent="0.25">
      <c r="A1" s="1" t="s">
        <v>0</v>
      </c>
      <c r="B1" s="1"/>
      <c r="C1" s="1"/>
      <c r="D1" s="1"/>
      <c r="E1" s="1"/>
      <c r="F1" s="1"/>
      <c r="G1" s="1"/>
      <c r="H1" s="1"/>
      <c r="I1" s="1"/>
      <c r="J1" s="1"/>
      <c r="K1" s="1"/>
      <c r="L1" s="1"/>
      <c r="M1" s="1"/>
      <c r="N1" s="1"/>
      <c r="O1" s="1"/>
      <c r="P1" s="1"/>
      <c r="Q1" s="1"/>
      <c r="R1" s="1"/>
      <c r="S1" s="1"/>
      <c r="T1" s="1"/>
      <c r="U1" s="1"/>
      <c r="V1" s="1"/>
    </row>
    <row r="2" spans="1:24" ht="15" x14ac:dyDescent="0.25">
      <c r="A2" s="1" t="s">
        <v>1</v>
      </c>
      <c r="B2" s="1"/>
      <c r="C2" s="1"/>
      <c r="D2" s="1"/>
      <c r="E2" s="1"/>
      <c r="F2" s="1"/>
      <c r="G2" s="1"/>
      <c r="H2" s="1"/>
      <c r="I2" s="1"/>
      <c r="J2" s="1"/>
      <c r="K2" s="1"/>
      <c r="L2" s="1"/>
      <c r="M2" s="1"/>
      <c r="N2" s="1"/>
      <c r="O2" s="1"/>
      <c r="P2" s="1"/>
      <c r="Q2" s="1"/>
      <c r="R2" s="1"/>
      <c r="S2" s="1"/>
      <c r="T2" s="1"/>
      <c r="U2" s="1"/>
      <c r="V2" s="1"/>
    </row>
    <row r="3" spans="1:24" ht="15" x14ac:dyDescent="0.25">
      <c r="A3" s="1" t="s">
        <v>2</v>
      </c>
      <c r="B3" s="1"/>
      <c r="C3" s="1"/>
      <c r="D3" s="1"/>
      <c r="E3" s="1"/>
      <c r="F3" s="1"/>
      <c r="G3" s="1"/>
      <c r="H3" s="1"/>
      <c r="I3" s="1"/>
      <c r="J3" s="1"/>
      <c r="K3" s="1"/>
      <c r="L3" s="1"/>
      <c r="M3" s="1"/>
      <c r="N3" s="1"/>
      <c r="O3" s="1"/>
      <c r="P3" s="1"/>
      <c r="Q3" s="1"/>
      <c r="R3" s="1"/>
      <c r="S3" s="1"/>
      <c r="T3" s="1"/>
      <c r="U3" s="1"/>
      <c r="V3" s="1"/>
    </row>
    <row r="4" spans="1:24" ht="15" x14ac:dyDescent="0.25">
      <c r="A4" s="1" t="s">
        <v>3</v>
      </c>
      <c r="B4" s="1"/>
      <c r="C4" s="1"/>
      <c r="D4" s="1"/>
      <c r="E4" s="1"/>
      <c r="F4" s="1"/>
      <c r="G4" s="1"/>
      <c r="H4" s="1"/>
      <c r="I4" s="1"/>
      <c r="J4" s="1"/>
      <c r="K4" s="1"/>
      <c r="L4" s="1"/>
      <c r="M4" s="1"/>
      <c r="N4" s="1"/>
      <c r="O4" s="1"/>
      <c r="P4" s="1"/>
      <c r="Q4" s="1"/>
      <c r="R4" s="1"/>
      <c r="S4" s="1"/>
      <c r="T4" s="1"/>
      <c r="U4" s="1"/>
      <c r="V4" s="1"/>
    </row>
    <row r="5" spans="1:24" ht="15.75" thickBot="1" x14ac:dyDescent="0.3">
      <c r="A5" s="3"/>
      <c r="B5" s="4"/>
      <c r="C5" s="5"/>
      <c r="D5" s="5"/>
      <c r="E5" s="6"/>
      <c r="F5" s="6"/>
      <c r="G5" s="6"/>
      <c r="H5" s="7"/>
      <c r="I5" s="6"/>
    </row>
    <row r="6" spans="1:24" ht="73.5" customHeight="1" thickTop="1" x14ac:dyDescent="0.2">
      <c r="A6" s="10" t="s">
        <v>4</v>
      </c>
      <c r="B6" s="11" t="s">
        <v>5</v>
      </c>
      <c r="C6" s="11" t="s">
        <v>6</v>
      </c>
      <c r="D6" s="11" t="s">
        <v>7</v>
      </c>
      <c r="E6" s="11" t="s">
        <v>8</v>
      </c>
      <c r="F6" s="11" t="s">
        <v>9</v>
      </c>
      <c r="G6" s="11" t="s">
        <v>10</v>
      </c>
      <c r="H6" s="11" t="s">
        <v>11</v>
      </c>
      <c r="I6" s="11" t="s">
        <v>12</v>
      </c>
      <c r="J6" s="11" t="s">
        <v>13</v>
      </c>
      <c r="K6" s="12" t="s">
        <v>14</v>
      </c>
      <c r="L6" s="12" t="s">
        <v>15</v>
      </c>
      <c r="M6" s="12" t="s">
        <v>16</v>
      </c>
      <c r="N6" s="12" t="s">
        <v>15</v>
      </c>
      <c r="O6" s="11" t="s">
        <v>17</v>
      </c>
      <c r="P6" s="11" t="s">
        <v>18</v>
      </c>
      <c r="Q6" s="11" t="s">
        <v>19</v>
      </c>
      <c r="R6" s="11" t="s">
        <v>20</v>
      </c>
      <c r="S6" s="11" t="s">
        <v>21</v>
      </c>
      <c r="T6" s="11" t="s">
        <v>22</v>
      </c>
      <c r="U6" s="11" t="s">
        <v>23</v>
      </c>
      <c r="V6" s="13" t="s">
        <v>24</v>
      </c>
    </row>
    <row r="7" spans="1:24" ht="15" x14ac:dyDescent="0.25">
      <c r="A7" s="14" t="s">
        <v>25</v>
      </c>
      <c r="B7" s="15"/>
      <c r="C7" s="15"/>
      <c r="D7" s="15"/>
      <c r="E7" s="15"/>
      <c r="F7" s="15"/>
      <c r="G7" s="15"/>
      <c r="H7" s="15"/>
      <c r="I7" s="15"/>
      <c r="J7" s="15"/>
      <c r="K7" s="16"/>
      <c r="L7" s="16"/>
      <c r="M7" s="16"/>
      <c r="N7" s="16"/>
      <c r="O7" s="15"/>
      <c r="P7" s="15"/>
      <c r="Q7" s="15"/>
      <c r="R7" s="15"/>
      <c r="S7" s="15"/>
      <c r="T7" s="15"/>
      <c r="U7" s="15"/>
      <c r="V7" s="17"/>
    </row>
    <row r="8" spans="1:24" ht="15" x14ac:dyDescent="0.25">
      <c r="A8" s="18" t="s">
        <v>26</v>
      </c>
      <c r="B8" s="19">
        <f>SUM(B9:B18)</f>
        <v>1300724656.697902</v>
      </c>
      <c r="C8" s="19">
        <f t="shared" ref="C8:J8" si="0">SUM(C9:C18)</f>
        <v>384869413.94160259</v>
      </c>
      <c r="D8" s="19">
        <f t="shared" si="0"/>
        <v>331348519.80878377</v>
      </c>
      <c r="E8" s="19">
        <f t="shared" si="0"/>
        <v>44901257.802718826</v>
      </c>
      <c r="F8" s="19">
        <f t="shared" si="0"/>
        <v>340692164.63487905</v>
      </c>
      <c r="G8" s="19">
        <f>SUM(G9:G18)</f>
        <v>1294170895.97593</v>
      </c>
      <c r="H8" s="19">
        <f>SUM(H9:H18)</f>
        <v>3696706908.8618159</v>
      </c>
      <c r="I8" s="19">
        <f>SUM(I9:I18)</f>
        <v>367180168.58221859</v>
      </c>
      <c r="J8" s="19">
        <f t="shared" si="0"/>
        <v>4063887077.4440351</v>
      </c>
      <c r="K8" s="20">
        <f>SUM(K9:K18)</f>
        <v>0</v>
      </c>
      <c r="L8" s="20">
        <f>SUM(L9:L18)</f>
        <v>58401486.195814267</v>
      </c>
      <c r="M8" s="20">
        <f>SUM(M9:M18)</f>
        <v>-20000000</v>
      </c>
      <c r="N8" s="20">
        <f>SUM(N9:N18)</f>
        <v>0</v>
      </c>
      <c r="O8" s="19">
        <f>+J8+K8+L8+M8+N8</f>
        <v>4102288563.6398492</v>
      </c>
      <c r="P8" s="19">
        <f>SUM(P9:P18)</f>
        <v>962513910.07497942</v>
      </c>
      <c r="Q8" s="19">
        <f>SUM(Q9:Q18)</f>
        <v>984718505</v>
      </c>
      <c r="R8" s="19">
        <f>SUM(R9:R18)</f>
        <v>1002068463</v>
      </c>
      <c r="S8" s="19">
        <f>SUM(S9:S18)</f>
        <v>1005121125</v>
      </c>
      <c r="T8" s="19">
        <f>+P8+Q8+R8+S8</f>
        <v>3954422003.0749793</v>
      </c>
      <c r="U8" s="19">
        <f>+T8-O8</f>
        <v>-147866560.56486988</v>
      </c>
      <c r="V8" s="21">
        <f>IFERROR(T8/O8,0)</f>
        <v>0.96395510499298664</v>
      </c>
    </row>
    <row r="9" spans="1:24" ht="14.25" x14ac:dyDescent="0.2">
      <c r="A9" s="22" t="s">
        <v>27</v>
      </c>
      <c r="B9" s="23">
        <v>823975795.14833355</v>
      </c>
      <c r="C9" s="23">
        <v>270835936.16366673</v>
      </c>
      <c r="D9" s="23">
        <v>236070023.42666668</v>
      </c>
      <c r="E9" s="23">
        <v>29166799.917000007</v>
      </c>
      <c r="F9" s="23">
        <v>242139435.1196667</v>
      </c>
      <c r="G9" s="23">
        <v>858578402.20066702</v>
      </c>
      <c r="H9" s="24">
        <f t="shared" ref="H9:H19" si="1">+B9+C9+D9+G9+E9+F9</f>
        <v>2460766391.9760003</v>
      </c>
      <c r="I9" s="23">
        <v>160509360.04666668</v>
      </c>
      <c r="J9" s="23">
        <f t="shared" ref="J9:J18" si="2">+H9+I9</f>
        <v>2621275752.0226669</v>
      </c>
      <c r="K9" s="25"/>
      <c r="L9" s="25">
        <v>17330381.887999699</v>
      </c>
      <c r="M9" s="25"/>
      <c r="N9" s="25"/>
      <c r="O9" s="23">
        <f t="shared" ref="O9:O19" si="3">+J9+K9+L9+M9+N9</f>
        <v>2638606133.9106665</v>
      </c>
      <c r="P9" s="23">
        <v>624842688.89999986</v>
      </c>
      <c r="Q9" s="23">
        <v>638202036</v>
      </c>
      <c r="R9" s="23">
        <v>650282848</v>
      </c>
      <c r="S9" s="23">
        <v>643134036</v>
      </c>
      <c r="T9" s="23">
        <f t="shared" ref="T9:T19" si="4">+P9+Q9+R9+S9</f>
        <v>2556461608.8999996</v>
      </c>
      <c r="U9" s="23">
        <f t="shared" ref="U9:U19" si="5">+T9-O9</f>
        <v>-82144525.010666847</v>
      </c>
      <c r="V9" s="17">
        <f t="shared" ref="V9:V74" si="6">IFERROR(T9/O9,0)</f>
        <v>0.9688682126691941</v>
      </c>
      <c r="X9" s="26"/>
    </row>
    <row r="10" spans="1:24" ht="14.25" x14ac:dyDescent="0.2">
      <c r="A10" s="22" t="s">
        <v>28</v>
      </c>
      <c r="B10" s="23">
        <v>41661697.507500015</v>
      </c>
      <c r="C10" s="23">
        <v>13693951.828500003</v>
      </c>
      <c r="D10" s="23">
        <v>11936124.780000003</v>
      </c>
      <c r="E10" s="23">
        <v>1474725.8385000003</v>
      </c>
      <c r="F10" s="23">
        <v>12243005.146500003</v>
      </c>
      <c r="G10" s="23">
        <v>43411267.527000017</v>
      </c>
      <c r="H10" s="24">
        <f t="shared" si="1"/>
        <v>124420772.62800004</v>
      </c>
      <c r="I10" s="23">
        <v>6320254.5</v>
      </c>
      <c r="J10" s="23">
        <f t="shared" si="2"/>
        <v>130741027.12800004</v>
      </c>
      <c r="K10" s="25"/>
      <c r="L10" s="25">
        <v>876255.26399998367</v>
      </c>
      <c r="M10" s="25"/>
      <c r="N10" s="25"/>
      <c r="O10" s="23">
        <f t="shared" si="3"/>
        <v>131617282.39200002</v>
      </c>
      <c r="P10" s="23">
        <v>26492322.356562503</v>
      </c>
      <c r="Q10" s="23">
        <v>27785702</v>
      </c>
      <c r="R10" s="23">
        <v>27166812</v>
      </c>
      <c r="S10" s="23">
        <v>34101353</v>
      </c>
      <c r="T10" s="23">
        <f t="shared" si="4"/>
        <v>115546189.3565625</v>
      </c>
      <c r="U10" s="23">
        <f t="shared" si="5"/>
        <v>-16071093.035437524</v>
      </c>
      <c r="V10" s="17">
        <f t="shared" si="6"/>
        <v>0.87789526767789916</v>
      </c>
    </row>
    <row r="11" spans="1:24" ht="14.25" x14ac:dyDescent="0.2">
      <c r="A11" s="22" t="s">
        <v>29</v>
      </c>
      <c r="B11" s="23">
        <v>59374335.537500009</v>
      </c>
      <c r="C11" s="23">
        <v>12761426.072500002</v>
      </c>
      <c r="D11" s="23">
        <v>9831714.3250000011</v>
      </c>
      <c r="E11" s="23">
        <v>2457876.3975000004</v>
      </c>
      <c r="F11" s="23">
        <v>10343181.602500001</v>
      </c>
      <c r="G11" s="23">
        <v>62290285.570000008</v>
      </c>
      <c r="H11" s="24">
        <f t="shared" si="1"/>
        <v>157058819.50500003</v>
      </c>
      <c r="I11" s="23">
        <v>10533757.5</v>
      </c>
      <c r="J11" s="23">
        <f t="shared" si="2"/>
        <v>167592577.00500003</v>
      </c>
      <c r="K11" s="25"/>
      <c r="L11" s="25">
        <v>984688.9399999762</v>
      </c>
      <c r="M11" s="25"/>
      <c r="N11" s="25"/>
      <c r="O11" s="23">
        <f t="shared" si="3"/>
        <v>168577265.94499999</v>
      </c>
      <c r="P11" s="23">
        <v>40622391.154999994</v>
      </c>
      <c r="Q11" s="23">
        <v>40769024</v>
      </c>
      <c r="R11" s="23">
        <v>41417482</v>
      </c>
      <c r="S11" s="23">
        <v>41534433</v>
      </c>
      <c r="T11" s="23">
        <f t="shared" si="4"/>
        <v>164343330.155</v>
      </c>
      <c r="U11" s="23">
        <f t="shared" si="5"/>
        <v>-4233935.7899999917</v>
      </c>
      <c r="V11" s="17">
        <f t="shared" si="6"/>
        <v>0.97488430147288452</v>
      </c>
    </row>
    <row r="12" spans="1:24" ht="14.25" x14ac:dyDescent="0.2">
      <c r="A12" s="22" t="s">
        <v>30</v>
      </c>
      <c r="B12" s="27">
        <v>61196261.287500001</v>
      </c>
      <c r="C12" s="27">
        <v>0</v>
      </c>
      <c r="D12" s="27">
        <v>0</v>
      </c>
      <c r="E12" s="23">
        <v>0</v>
      </c>
      <c r="F12" s="24">
        <v>0</v>
      </c>
      <c r="G12" s="24"/>
      <c r="H12" s="24">
        <f t="shared" si="1"/>
        <v>61196261.287500001</v>
      </c>
      <c r="I12" s="23">
        <v>134613455.75999999</v>
      </c>
      <c r="J12" s="23">
        <f>+H12+I12</f>
        <v>195809717.04749998</v>
      </c>
      <c r="K12" s="25"/>
      <c r="L12" s="25">
        <v>33238760.105159998</v>
      </c>
      <c r="M12" s="25">
        <v>-20000000</v>
      </c>
      <c r="N12" s="25"/>
      <c r="O12" s="23">
        <f t="shared" si="3"/>
        <v>209048477.15265998</v>
      </c>
      <c r="P12" s="23">
        <v>46764639</v>
      </c>
      <c r="Q12" s="23">
        <v>48917105</v>
      </c>
      <c r="R12" s="23">
        <v>52383377</v>
      </c>
      <c r="S12" s="23">
        <v>54987828</v>
      </c>
      <c r="T12" s="23">
        <f t="shared" si="4"/>
        <v>203052949</v>
      </c>
      <c r="U12" s="23">
        <f t="shared" si="5"/>
        <v>-5995528.1526599824</v>
      </c>
      <c r="V12" s="17">
        <f t="shared" si="6"/>
        <v>0.97131991471872015</v>
      </c>
    </row>
    <row r="13" spans="1:24" ht="14.25" x14ac:dyDescent="0.2">
      <c r="A13" s="22" t="s">
        <v>31</v>
      </c>
      <c r="B13" s="23">
        <v>2709822.6</v>
      </c>
      <c r="C13" s="23">
        <v>677455.65</v>
      </c>
      <c r="D13" s="23">
        <v>677455.65</v>
      </c>
      <c r="E13" s="23">
        <v>0</v>
      </c>
      <c r="F13" s="23">
        <v>677455.65</v>
      </c>
      <c r="G13" s="23">
        <v>2032366.9500000002</v>
      </c>
      <c r="H13" s="24">
        <f t="shared" si="1"/>
        <v>6774556.5</v>
      </c>
      <c r="I13" s="23"/>
      <c r="J13" s="23">
        <f t="shared" si="2"/>
        <v>6774556.5</v>
      </c>
      <c r="K13" s="25"/>
      <c r="L13" s="25"/>
      <c r="M13" s="25"/>
      <c r="N13" s="25"/>
      <c r="O13" s="23">
        <f t="shared" si="3"/>
        <v>6774556.5</v>
      </c>
      <c r="P13" s="23">
        <v>0</v>
      </c>
      <c r="Q13" s="23">
        <v>2258186</v>
      </c>
      <c r="R13" s="23">
        <v>1580731</v>
      </c>
      <c r="S13" s="23">
        <v>2258188</v>
      </c>
      <c r="T13" s="23">
        <f t="shared" si="4"/>
        <v>6097105</v>
      </c>
      <c r="U13" s="23">
        <f t="shared" si="5"/>
        <v>-677451.5</v>
      </c>
      <c r="V13" s="17">
        <f t="shared" si="6"/>
        <v>0.9000006125862261</v>
      </c>
    </row>
    <row r="14" spans="1:24" ht="14.25" x14ac:dyDescent="0.2">
      <c r="A14" s="22" t="s">
        <v>32</v>
      </c>
      <c r="B14" s="23">
        <v>59374335.537500009</v>
      </c>
      <c r="C14" s="23">
        <v>12761426.072500002</v>
      </c>
      <c r="D14" s="23">
        <v>9831714.3250000011</v>
      </c>
      <c r="E14" s="23">
        <v>2457876.3975000004</v>
      </c>
      <c r="F14" s="23">
        <v>10343181.602500001</v>
      </c>
      <c r="G14" s="23">
        <v>62290285.570000008</v>
      </c>
      <c r="H14" s="24">
        <f t="shared" si="1"/>
        <v>157058819.50500003</v>
      </c>
      <c r="I14" s="23">
        <v>10533757.5</v>
      </c>
      <c r="J14" s="23">
        <f t="shared" si="2"/>
        <v>167592577.00500003</v>
      </c>
      <c r="K14" s="25"/>
      <c r="L14" s="25">
        <v>984688.9399999762</v>
      </c>
      <c r="M14" s="25"/>
      <c r="N14" s="25"/>
      <c r="O14" s="23">
        <f t="shared" si="3"/>
        <v>168577265.94499999</v>
      </c>
      <c r="P14" s="23">
        <v>40622391.154999994</v>
      </c>
      <c r="Q14" s="23">
        <v>40687637</v>
      </c>
      <c r="R14" s="23">
        <v>41418924</v>
      </c>
      <c r="S14" s="23">
        <v>41503770</v>
      </c>
      <c r="T14" s="23">
        <f t="shared" si="4"/>
        <v>164232722.155</v>
      </c>
      <c r="U14" s="23">
        <f t="shared" si="5"/>
        <v>-4344543.7899999917</v>
      </c>
      <c r="V14" s="17">
        <f t="shared" si="6"/>
        <v>0.97422817504100789</v>
      </c>
      <c r="W14" s="28"/>
      <c r="X14" s="28"/>
    </row>
    <row r="15" spans="1:24" ht="14.25" x14ac:dyDescent="0.2">
      <c r="A15" s="22" t="s">
        <v>33</v>
      </c>
      <c r="B15" s="23">
        <v>7124920.2645000005</v>
      </c>
      <c r="C15" s="23">
        <v>1531371.1287000002</v>
      </c>
      <c r="D15" s="23">
        <v>1179805.719</v>
      </c>
      <c r="E15" s="23">
        <v>294945.16770000005</v>
      </c>
      <c r="F15" s="23">
        <v>1241181.7923000001</v>
      </c>
      <c r="G15" s="23">
        <v>7474834.2684000013</v>
      </c>
      <c r="H15" s="24">
        <f t="shared" si="1"/>
        <v>18847058.340600003</v>
      </c>
      <c r="I15" s="23">
        <v>1264050.8999999999</v>
      </c>
      <c r="J15" s="23">
        <f t="shared" si="2"/>
        <v>20111109.240600001</v>
      </c>
      <c r="K15" s="25"/>
      <c r="L15" s="25">
        <v>118162.67279999741</v>
      </c>
      <c r="M15" s="25"/>
      <c r="N15" s="25"/>
      <c r="O15" s="23">
        <f t="shared" si="3"/>
        <v>20229271.913399998</v>
      </c>
      <c r="P15" s="23">
        <v>4874693.4466749998</v>
      </c>
      <c r="Q15" s="23">
        <v>4423242</v>
      </c>
      <c r="R15" s="23">
        <v>4965890</v>
      </c>
      <c r="S15" s="23">
        <v>3656646</v>
      </c>
      <c r="T15" s="23">
        <f t="shared" si="4"/>
        <v>17920471.446674999</v>
      </c>
      <c r="U15" s="23">
        <f t="shared" si="5"/>
        <v>-2308800.4667249992</v>
      </c>
      <c r="V15" s="17">
        <f t="shared" si="6"/>
        <v>0.88586833591397651</v>
      </c>
      <c r="W15" s="28"/>
      <c r="X15" s="28"/>
    </row>
    <row r="16" spans="1:24" ht="14.25" x14ac:dyDescent="0.2">
      <c r="A16" s="22" t="s">
        <v>34</v>
      </c>
      <c r="B16" s="23">
        <v>169177506.12322831</v>
      </c>
      <c r="C16" s="23">
        <v>49888604.197575875</v>
      </c>
      <c r="D16" s="23">
        <v>42477466.688077159</v>
      </c>
      <c r="E16" s="23">
        <v>6217560.4745988166</v>
      </c>
      <c r="F16" s="23">
        <v>43771298.522692293</v>
      </c>
      <c r="G16" s="23">
        <v>178508519.48058283</v>
      </c>
      <c r="H16" s="24">
        <f t="shared" si="1"/>
        <v>490040955.48675525</v>
      </c>
      <c r="I16" s="23">
        <v>31270643.735551931</v>
      </c>
      <c r="J16" s="23">
        <f t="shared" si="2"/>
        <v>521311599.22230721</v>
      </c>
      <c r="K16" s="25"/>
      <c r="L16" s="25">
        <v>3350552.8133746586</v>
      </c>
      <c r="M16" s="25"/>
      <c r="N16" s="25"/>
      <c r="O16" s="23">
        <f t="shared" si="3"/>
        <v>524662152.03568184</v>
      </c>
      <c r="P16" s="23">
        <v>125479176.33798215</v>
      </c>
      <c r="Q16" s="23">
        <v>127311473</v>
      </c>
      <c r="R16" s="23">
        <v>128428299</v>
      </c>
      <c r="S16" s="23">
        <v>128753471</v>
      </c>
      <c r="T16" s="23">
        <f t="shared" si="4"/>
        <v>509972419.33798218</v>
      </c>
      <c r="U16" s="23">
        <f t="shared" si="5"/>
        <v>-14689732.697699666</v>
      </c>
      <c r="V16" s="17">
        <f t="shared" si="6"/>
        <v>0.97200153919869448</v>
      </c>
    </row>
    <row r="17" spans="1:22" ht="14.25" x14ac:dyDescent="0.2">
      <c r="A17" s="22" t="s">
        <v>35</v>
      </c>
      <c r="B17" s="23">
        <v>33835547.863040008</v>
      </c>
      <c r="C17" s="23">
        <v>10097441.256960001</v>
      </c>
      <c r="D17" s="23">
        <v>8597428.8422400001</v>
      </c>
      <c r="E17" s="23">
        <v>1258432.7155200003</v>
      </c>
      <c r="F17" s="23">
        <v>8859300.088320002</v>
      </c>
      <c r="G17" s="23">
        <v>35371081.959679998</v>
      </c>
      <c r="H17" s="24">
        <f t="shared" si="1"/>
        <v>98019232.725759998</v>
      </c>
      <c r="I17" s="23">
        <v>5393283.8400000008</v>
      </c>
      <c r="J17" s="23">
        <f t="shared" si="2"/>
        <v>103412516.56576</v>
      </c>
      <c r="K17" s="25"/>
      <c r="L17" s="25">
        <v>674664.69887998328</v>
      </c>
      <c r="M17" s="25"/>
      <c r="N17" s="25"/>
      <c r="O17" s="23">
        <f t="shared" si="3"/>
        <v>104087181.26463999</v>
      </c>
      <c r="P17" s="23">
        <v>23422294.210560001</v>
      </c>
      <c r="Q17" s="23">
        <v>24154800</v>
      </c>
      <c r="R17" s="23">
        <v>24181100</v>
      </c>
      <c r="S17" s="23">
        <v>24522100</v>
      </c>
      <c r="T17" s="23">
        <f t="shared" si="4"/>
        <v>96280294.210559994</v>
      </c>
      <c r="U17" s="23">
        <f t="shared" si="5"/>
        <v>-7806887.0540799946</v>
      </c>
      <c r="V17" s="17">
        <f t="shared" si="6"/>
        <v>0.92499665223682914</v>
      </c>
    </row>
    <row r="18" spans="1:22" ht="14.25" x14ac:dyDescent="0.2">
      <c r="A18" s="22" t="s">
        <v>36</v>
      </c>
      <c r="B18" s="23">
        <v>42294434.828800008</v>
      </c>
      <c r="C18" s="23">
        <v>12621801.571200002</v>
      </c>
      <c r="D18" s="23">
        <v>10746786.052800002</v>
      </c>
      <c r="E18" s="23">
        <v>1573040.8944000003</v>
      </c>
      <c r="F18" s="23">
        <v>11074125.110400002</v>
      </c>
      <c r="G18" s="23">
        <v>44213852.449600004</v>
      </c>
      <c r="H18" s="24">
        <f t="shared" si="1"/>
        <v>122524040.90720002</v>
      </c>
      <c r="I18" s="23">
        <v>6741604.8000000007</v>
      </c>
      <c r="J18" s="23">
        <f t="shared" si="2"/>
        <v>129265645.70720002</v>
      </c>
      <c r="K18" s="25"/>
      <c r="L18" s="25">
        <v>843330.87359998794</v>
      </c>
      <c r="M18" s="25"/>
      <c r="N18" s="25"/>
      <c r="O18" s="23">
        <f t="shared" si="3"/>
        <v>130108976.58080001</v>
      </c>
      <c r="P18" s="23">
        <v>29393313.5132</v>
      </c>
      <c r="Q18" s="23">
        <v>30209300.000000007</v>
      </c>
      <c r="R18" s="23">
        <v>30243000</v>
      </c>
      <c r="S18" s="23">
        <v>30669300</v>
      </c>
      <c r="T18" s="23">
        <f t="shared" si="4"/>
        <v>120514913.51320001</v>
      </c>
      <c r="U18" s="23">
        <f t="shared" si="5"/>
        <v>-9594063.0675999969</v>
      </c>
      <c r="V18" s="17">
        <f t="shared" si="6"/>
        <v>0.92626132862061283</v>
      </c>
    </row>
    <row r="19" spans="1:22" ht="15" x14ac:dyDescent="0.25">
      <c r="A19" s="29" t="s">
        <v>37</v>
      </c>
      <c r="B19" s="30">
        <f t="shared" ref="B19:G19" si="7">SUM(B9:B18)</f>
        <v>1300724656.697902</v>
      </c>
      <c r="C19" s="30">
        <f t="shared" si="7"/>
        <v>384869413.94160259</v>
      </c>
      <c r="D19" s="30">
        <f t="shared" si="7"/>
        <v>331348519.80878377</v>
      </c>
      <c r="E19" s="30">
        <f t="shared" si="7"/>
        <v>44901257.802718826</v>
      </c>
      <c r="F19" s="30">
        <f t="shared" si="7"/>
        <v>340692164.63487905</v>
      </c>
      <c r="G19" s="30">
        <f t="shared" si="7"/>
        <v>1294170895.97593</v>
      </c>
      <c r="H19" s="30">
        <f t="shared" si="1"/>
        <v>3696706908.8618159</v>
      </c>
      <c r="I19" s="30">
        <f t="shared" ref="I19:N19" si="8">SUM(I9:I18)</f>
        <v>367180168.58221859</v>
      </c>
      <c r="J19" s="30">
        <f t="shared" si="8"/>
        <v>4063887077.4440351</v>
      </c>
      <c r="K19" s="31">
        <f t="shared" si="8"/>
        <v>0</v>
      </c>
      <c r="L19" s="31">
        <f t="shared" si="8"/>
        <v>58401486.195814267</v>
      </c>
      <c r="M19" s="31">
        <f t="shared" si="8"/>
        <v>-20000000</v>
      </c>
      <c r="N19" s="31">
        <f t="shared" si="8"/>
        <v>0</v>
      </c>
      <c r="O19" s="30">
        <f t="shared" si="3"/>
        <v>4102288563.6398492</v>
      </c>
      <c r="P19" s="30">
        <f>SUM(P9:P18)</f>
        <v>962513910.07497942</v>
      </c>
      <c r="Q19" s="30">
        <f>SUM(Q9:Q18)</f>
        <v>984718505</v>
      </c>
      <c r="R19" s="30">
        <f>SUM(R9:R18)</f>
        <v>1002068463</v>
      </c>
      <c r="S19" s="30">
        <f>SUM(S9:S18)</f>
        <v>1005121125</v>
      </c>
      <c r="T19" s="30">
        <f t="shared" si="4"/>
        <v>3954422003.0749793</v>
      </c>
      <c r="U19" s="30">
        <f t="shared" si="5"/>
        <v>-147866560.56486988</v>
      </c>
      <c r="V19" s="32">
        <f t="shared" si="6"/>
        <v>0.96395510499298664</v>
      </c>
    </row>
    <row r="20" spans="1:22" ht="15" x14ac:dyDescent="0.25">
      <c r="A20" s="14" t="s">
        <v>38</v>
      </c>
      <c r="B20" s="23"/>
      <c r="C20" s="23"/>
      <c r="D20" s="23"/>
      <c r="E20" s="23"/>
      <c r="F20" s="23"/>
      <c r="G20" s="23"/>
      <c r="H20" s="23"/>
      <c r="I20" s="30"/>
      <c r="J20" s="23"/>
      <c r="K20" s="25"/>
      <c r="L20" s="25"/>
      <c r="M20" s="25"/>
      <c r="N20" s="25"/>
      <c r="O20" s="23"/>
      <c r="P20" s="23"/>
      <c r="Q20" s="23"/>
      <c r="R20" s="23"/>
      <c r="S20" s="23"/>
      <c r="T20" s="23"/>
      <c r="U20" s="23"/>
      <c r="V20" s="17"/>
    </row>
    <row r="21" spans="1:22" ht="14.25" x14ac:dyDescent="0.2">
      <c r="A21" s="33" t="s">
        <v>39</v>
      </c>
      <c r="B21" s="34">
        <v>142765236</v>
      </c>
      <c r="C21" s="34">
        <v>3000000</v>
      </c>
      <c r="D21" s="34">
        <v>0</v>
      </c>
      <c r="E21" s="34">
        <v>0</v>
      </c>
      <c r="F21" s="34">
        <v>5000000</v>
      </c>
      <c r="G21" s="34">
        <v>2400000</v>
      </c>
      <c r="H21" s="34">
        <f t="shared" ref="H21:H35" si="9">+B21+C21+D21+G21+E21+F21</f>
        <v>153165236</v>
      </c>
      <c r="I21" s="23">
        <v>107456358.38000003</v>
      </c>
      <c r="J21" s="23">
        <f>+I21+H21</f>
        <v>260621594.38000003</v>
      </c>
      <c r="K21" s="25"/>
      <c r="L21" s="25"/>
      <c r="M21" s="25"/>
      <c r="N21" s="25"/>
      <c r="O21" s="23">
        <f t="shared" ref="O21:O37" si="10">+J21+K21+L21+M21+N21</f>
        <v>260621594.38000003</v>
      </c>
      <c r="P21" s="23">
        <v>66910450</v>
      </c>
      <c r="Q21" s="23">
        <v>63059856</v>
      </c>
      <c r="R21" s="23">
        <v>65078640</v>
      </c>
      <c r="S21" s="23">
        <v>57064839</v>
      </c>
      <c r="T21" s="23">
        <f t="shared" ref="T21:T37" si="11">+P21+Q21+R21+S21</f>
        <v>252113785</v>
      </c>
      <c r="U21" s="23">
        <f t="shared" ref="U21:U37" si="12">+T21-O21</f>
        <v>-8507809.380000025</v>
      </c>
      <c r="V21" s="17">
        <f t="shared" si="6"/>
        <v>0.9673557005119261</v>
      </c>
    </row>
    <row r="22" spans="1:22" ht="14.25" x14ac:dyDescent="0.2">
      <c r="A22" s="33" t="s">
        <v>40</v>
      </c>
      <c r="B22" s="23">
        <v>33828230.850000001</v>
      </c>
      <c r="C22" s="34">
        <v>4516371</v>
      </c>
      <c r="D22" s="34">
        <v>0</v>
      </c>
      <c r="E22" s="23">
        <v>0</v>
      </c>
      <c r="F22" s="34">
        <v>0</v>
      </c>
      <c r="G22" s="23">
        <v>15069375</v>
      </c>
      <c r="H22" s="34">
        <f t="shared" si="9"/>
        <v>53413976.850000001</v>
      </c>
      <c r="I22" s="23">
        <v>12789822.712500002</v>
      </c>
      <c r="J22" s="23">
        <f t="shared" ref="J22:J35" si="13">+H22+I22</f>
        <v>66203799.5625</v>
      </c>
      <c r="K22" s="25"/>
      <c r="L22" s="25"/>
      <c r="M22" s="25"/>
      <c r="N22" s="25"/>
      <c r="O22" s="23">
        <f t="shared" si="10"/>
        <v>66203799.5625</v>
      </c>
      <c r="P22" s="23">
        <v>867214.80000000075</v>
      </c>
      <c r="Q22" s="23">
        <v>7778116</v>
      </c>
      <c r="R22" s="23">
        <v>3900842</v>
      </c>
      <c r="S22" s="23">
        <v>32611847</v>
      </c>
      <c r="T22" s="23">
        <f t="shared" si="11"/>
        <v>45158019.799999997</v>
      </c>
      <c r="U22" s="23">
        <f t="shared" si="12"/>
        <v>-21045779.762500003</v>
      </c>
      <c r="V22" s="17">
        <f t="shared" si="6"/>
        <v>0.68210616457697959</v>
      </c>
    </row>
    <row r="23" spans="1:22" ht="14.25" x14ac:dyDescent="0.2">
      <c r="A23" s="33" t="s">
        <v>41</v>
      </c>
      <c r="B23" s="34">
        <v>0</v>
      </c>
      <c r="C23" s="34">
        <v>0</v>
      </c>
      <c r="D23" s="34">
        <v>0</v>
      </c>
      <c r="E23" s="34">
        <v>0</v>
      </c>
      <c r="F23" s="34"/>
      <c r="G23" s="34">
        <v>13549113.000000002</v>
      </c>
      <c r="H23" s="34">
        <f t="shared" si="9"/>
        <v>13549113.000000002</v>
      </c>
      <c r="I23" s="23">
        <v>21597401.812500004</v>
      </c>
      <c r="J23" s="23">
        <f t="shared" si="13"/>
        <v>35146514.812500007</v>
      </c>
      <c r="K23" s="25"/>
      <c r="L23" s="25"/>
      <c r="M23" s="25"/>
      <c r="N23" s="25"/>
      <c r="O23" s="23">
        <f t="shared" si="10"/>
        <v>35146514.812500007</v>
      </c>
      <c r="P23" s="23">
        <v>7265409</v>
      </c>
      <c r="Q23" s="23">
        <v>8405891</v>
      </c>
      <c r="R23" s="23">
        <v>6277556</v>
      </c>
      <c r="S23" s="23">
        <v>5640141</v>
      </c>
      <c r="T23" s="23">
        <f t="shared" si="11"/>
        <v>27588997</v>
      </c>
      <c r="U23" s="23">
        <f t="shared" si="12"/>
        <v>-7557517.8125000075</v>
      </c>
      <c r="V23" s="17">
        <f t="shared" si="6"/>
        <v>0.78497106035070807</v>
      </c>
    </row>
    <row r="24" spans="1:22" ht="14.25" x14ac:dyDescent="0.2">
      <c r="A24" s="33" t="s">
        <v>42</v>
      </c>
      <c r="B24" s="23">
        <v>23000000</v>
      </c>
      <c r="C24" s="34">
        <v>11937841.492500002</v>
      </c>
      <c r="D24" s="34">
        <v>7162964.6175000006</v>
      </c>
      <c r="E24" s="34">
        <v>3800000</v>
      </c>
      <c r="F24" s="34">
        <v>11289371.9175</v>
      </c>
      <c r="G24" s="34">
        <v>241147381.20999998</v>
      </c>
      <c r="H24" s="34">
        <f t="shared" si="9"/>
        <v>298337559.23750001</v>
      </c>
      <c r="I24" s="23">
        <v>54750997.597500011</v>
      </c>
      <c r="J24" s="23">
        <f t="shared" si="13"/>
        <v>353088556.83500004</v>
      </c>
      <c r="K24" s="25"/>
      <c r="L24" s="25"/>
      <c r="M24" s="25"/>
      <c r="N24" s="25"/>
      <c r="O24" s="23">
        <f t="shared" si="10"/>
        <v>353088556.83500004</v>
      </c>
      <c r="P24" s="23">
        <v>65317058.154375002</v>
      </c>
      <c r="Q24" s="23">
        <v>73334483.000000015</v>
      </c>
      <c r="R24" s="23">
        <v>61601573</v>
      </c>
      <c r="S24" s="23">
        <v>124667213</v>
      </c>
      <c r="T24" s="23">
        <f t="shared" si="11"/>
        <v>324920327.15437502</v>
      </c>
      <c r="U24" s="23">
        <f t="shared" si="12"/>
        <v>-28168229.680625021</v>
      </c>
      <c r="V24" s="17">
        <f t="shared" si="6"/>
        <v>0.92022332886367608</v>
      </c>
    </row>
    <row r="25" spans="1:22" ht="14.25" x14ac:dyDescent="0.2">
      <c r="A25" s="33" t="s">
        <v>43</v>
      </c>
      <c r="B25" s="34">
        <v>1000000</v>
      </c>
      <c r="C25" s="34">
        <v>2709297</v>
      </c>
      <c r="D25" s="34">
        <v>2115000</v>
      </c>
      <c r="E25" s="34">
        <v>0</v>
      </c>
      <c r="F25" s="34">
        <v>2300000</v>
      </c>
      <c r="G25" s="34">
        <v>3000000</v>
      </c>
      <c r="H25" s="34">
        <f t="shared" si="9"/>
        <v>11124297</v>
      </c>
      <c r="I25" s="23">
        <v>5121955.7774999999</v>
      </c>
      <c r="J25" s="23">
        <f t="shared" si="13"/>
        <v>16246252.7775</v>
      </c>
      <c r="K25" s="25"/>
      <c r="L25" s="25"/>
      <c r="M25" s="25"/>
      <c r="N25" s="25"/>
      <c r="O25" s="23">
        <f t="shared" si="10"/>
        <v>16246252.7775</v>
      </c>
      <c r="P25" s="23">
        <v>2414620.25</v>
      </c>
      <c r="Q25" s="23">
        <v>2529900</v>
      </c>
      <c r="R25" s="23">
        <v>2507400</v>
      </c>
      <c r="S25" s="23">
        <v>2616790</v>
      </c>
      <c r="T25" s="23">
        <f t="shared" si="11"/>
        <v>10068710.25</v>
      </c>
      <c r="U25" s="23">
        <f t="shared" si="12"/>
        <v>-6177542.5274999999</v>
      </c>
      <c r="V25" s="17">
        <f t="shared" si="6"/>
        <v>0.61975585311244863</v>
      </c>
    </row>
    <row r="26" spans="1:22" ht="14.25" x14ac:dyDescent="0.2">
      <c r="A26" s="22" t="s">
        <v>44</v>
      </c>
      <c r="B26" s="34">
        <v>0</v>
      </c>
      <c r="C26" s="34">
        <v>0</v>
      </c>
      <c r="D26" s="34">
        <v>0</v>
      </c>
      <c r="E26" s="34"/>
      <c r="F26" s="34"/>
      <c r="G26" s="34"/>
      <c r="H26" s="34">
        <f t="shared" si="9"/>
        <v>0</v>
      </c>
      <c r="I26" s="23">
        <v>25000000</v>
      </c>
      <c r="J26" s="23">
        <f t="shared" si="13"/>
        <v>25000000</v>
      </c>
      <c r="K26" s="25"/>
      <c r="L26" s="25"/>
      <c r="M26" s="25"/>
      <c r="N26" s="25"/>
      <c r="O26" s="23">
        <f t="shared" si="10"/>
        <v>25000000</v>
      </c>
      <c r="P26" s="23">
        <v>2244953</v>
      </c>
      <c r="Q26" s="23">
        <v>12960000</v>
      </c>
      <c r="R26" s="23">
        <v>8261700</v>
      </c>
      <c r="S26" s="23">
        <v>0</v>
      </c>
      <c r="T26" s="23">
        <f t="shared" si="11"/>
        <v>23466653</v>
      </c>
      <c r="U26" s="23">
        <f t="shared" si="12"/>
        <v>-1533347</v>
      </c>
      <c r="V26" s="17">
        <f t="shared" si="6"/>
        <v>0.93866612000000005</v>
      </c>
    </row>
    <row r="27" spans="1:22" ht="14.25" x14ac:dyDescent="0.2">
      <c r="A27" s="33" t="s">
        <v>45</v>
      </c>
      <c r="B27" s="34">
        <v>8738889.9000000004</v>
      </c>
      <c r="C27" s="34">
        <v>8738889.9000000004</v>
      </c>
      <c r="D27" s="34">
        <v>8738889.9000000004</v>
      </c>
      <c r="E27" s="34">
        <v>8738889.9000000004</v>
      </c>
      <c r="F27" s="34">
        <v>8738889.9000000004</v>
      </c>
      <c r="G27" s="34">
        <v>8738888.9000000004</v>
      </c>
      <c r="H27" s="34">
        <f t="shared" si="9"/>
        <v>52433338.399999999</v>
      </c>
      <c r="I27" s="23">
        <v>23391811.8825</v>
      </c>
      <c r="J27" s="23">
        <f t="shared" si="13"/>
        <v>75825150.282499999</v>
      </c>
      <c r="K27" s="25"/>
      <c r="L27" s="25"/>
      <c r="M27" s="25"/>
      <c r="N27" s="25"/>
      <c r="O27" s="23">
        <f t="shared" si="10"/>
        <v>75825150.282499999</v>
      </c>
      <c r="P27" s="23">
        <v>16380456.35</v>
      </c>
      <c r="Q27" s="23">
        <v>17754384.225000001</v>
      </c>
      <c r="R27" s="23">
        <v>15293053</v>
      </c>
      <c r="S27" s="23">
        <v>16629902</v>
      </c>
      <c r="T27" s="23">
        <f t="shared" si="11"/>
        <v>66057795.575000003</v>
      </c>
      <c r="U27" s="23">
        <f t="shared" si="12"/>
        <v>-9767354.7074999958</v>
      </c>
      <c r="V27" s="17">
        <f t="shared" si="6"/>
        <v>0.87118581801539474</v>
      </c>
    </row>
    <row r="28" spans="1:22" ht="14.25" x14ac:dyDescent="0.2">
      <c r="A28" s="33" t="s">
        <v>46</v>
      </c>
      <c r="B28" s="34">
        <v>3000000</v>
      </c>
      <c r="C28" s="34">
        <v>564546.375</v>
      </c>
      <c r="D28" s="34">
        <v>5287500.0000000009</v>
      </c>
      <c r="E28" s="34">
        <v>1500000</v>
      </c>
      <c r="F28" s="34"/>
      <c r="G28" s="34">
        <v>40000000</v>
      </c>
      <c r="H28" s="34">
        <f t="shared" si="9"/>
        <v>50352046.375</v>
      </c>
      <c r="I28" s="23">
        <v>24840040.5</v>
      </c>
      <c r="J28" s="23">
        <f t="shared" si="13"/>
        <v>75192086.875</v>
      </c>
      <c r="K28" s="25"/>
      <c r="L28" s="25"/>
      <c r="M28" s="25"/>
      <c r="N28" s="25"/>
      <c r="O28" s="23">
        <f t="shared" si="10"/>
        <v>75192086.875</v>
      </c>
      <c r="P28" s="23">
        <v>4607176</v>
      </c>
      <c r="Q28" s="23">
        <v>11029520</v>
      </c>
      <c r="R28" s="23">
        <v>11162820</v>
      </c>
      <c r="S28" s="23">
        <v>22462878</v>
      </c>
      <c r="T28" s="23">
        <f t="shared" si="11"/>
        <v>49262394</v>
      </c>
      <c r="U28" s="23">
        <f t="shared" si="12"/>
        <v>-25929692.875</v>
      </c>
      <c r="V28" s="17">
        <f t="shared" si="6"/>
        <v>0.65515396695790939</v>
      </c>
    </row>
    <row r="29" spans="1:22" ht="14.25" x14ac:dyDescent="0.2">
      <c r="A29" s="33" t="s">
        <v>47</v>
      </c>
      <c r="B29" s="34">
        <v>0</v>
      </c>
      <c r="C29" s="34">
        <v>0</v>
      </c>
      <c r="D29" s="34">
        <v>0</v>
      </c>
      <c r="E29" s="34"/>
      <c r="F29" s="34"/>
      <c r="G29" s="34">
        <v>70000000</v>
      </c>
      <c r="H29" s="34">
        <f t="shared" si="9"/>
        <v>70000000</v>
      </c>
      <c r="I29" s="23">
        <v>119352818.97250001</v>
      </c>
      <c r="J29" s="23">
        <f t="shared" si="13"/>
        <v>189352818.97250003</v>
      </c>
      <c r="K29" s="25"/>
      <c r="L29" s="25"/>
      <c r="M29" s="25"/>
      <c r="N29" s="25"/>
      <c r="O29" s="23">
        <f t="shared" si="10"/>
        <v>189352818.97250003</v>
      </c>
      <c r="P29" s="23">
        <v>28937970.000000004</v>
      </c>
      <c r="Q29" s="23">
        <v>44240922</v>
      </c>
      <c r="R29" s="23">
        <v>45614059</v>
      </c>
      <c r="S29" s="23">
        <v>46181042</v>
      </c>
      <c r="T29" s="23">
        <f t="shared" si="11"/>
        <v>164973993</v>
      </c>
      <c r="U29" s="23">
        <f t="shared" si="12"/>
        <v>-24378825.972500026</v>
      </c>
      <c r="V29" s="17">
        <f t="shared" si="6"/>
        <v>0.87125184560341506</v>
      </c>
    </row>
    <row r="30" spans="1:22" ht="14.25" x14ac:dyDescent="0.2">
      <c r="A30" s="33" t="s">
        <v>48</v>
      </c>
      <c r="B30" s="23">
        <v>15000000</v>
      </c>
      <c r="C30" s="23">
        <v>18343686.870000001</v>
      </c>
      <c r="D30" s="23">
        <v>8714845.8675000016</v>
      </c>
      <c r="E30" s="23"/>
      <c r="F30" s="34">
        <v>23875681.927500002</v>
      </c>
      <c r="G30" s="23">
        <v>349509396.77000004</v>
      </c>
      <c r="H30" s="34">
        <f t="shared" si="9"/>
        <v>415443611.43500006</v>
      </c>
      <c r="I30" s="23">
        <v>26692500</v>
      </c>
      <c r="J30" s="23">
        <f t="shared" si="13"/>
        <v>442136111.43500006</v>
      </c>
      <c r="K30" s="25"/>
      <c r="L30" s="25"/>
      <c r="M30" s="25">
        <v>-30000000</v>
      </c>
      <c r="N30" s="25"/>
      <c r="O30" s="23">
        <f t="shared" si="10"/>
        <v>412136111.43500006</v>
      </c>
      <c r="P30" s="23">
        <v>87200112.744874999</v>
      </c>
      <c r="Q30" s="23">
        <v>98890451</v>
      </c>
      <c r="R30" s="23">
        <v>85835361</v>
      </c>
      <c r="S30" s="23">
        <v>73807231</v>
      </c>
      <c r="T30" s="23">
        <f t="shared" si="11"/>
        <v>345733155.74487501</v>
      </c>
      <c r="U30" s="23">
        <f t="shared" si="12"/>
        <v>-66402955.690125048</v>
      </c>
      <c r="V30" s="17">
        <f t="shared" si="6"/>
        <v>0.83888100594019954</v>
      </c>
    </row>
    <row r="31" spans="1:22" ht="14.25" x14ac:dyDescent="0.2">
      <c r="A31" s="33" t="s">
        <v>49</v>
      </c>
      <c r="B31" s="34">
        <v>0</v>
      </c>
      <c r="C31" s="34">
        <v>0</v>
      </c>
      <c r="D31" s="34">
        <v>0</v>
      </c>
      <c r="E31" s="34"/>
      <c r="F31" s="34"/>
      <c r="G31" s="34"/>
      <c r="H31" s="34">
        <f t="shared" si="9"/>
        <v>0</v>
      </c>
      <c r="I31" s="23">
        <v>10757341</v>
      </c>
      <c r="J31" s="23">
        <f t="shared" si="13"/>
        <v>10757341</v>
      </c>
      <c r="K31" s="25"/>
      <c r="L31" s="25"/>
      <c r="M31" s="25"/>
      <c r="N31" s="25"/>
      <c r="O31" s="23">
        <f t="shared" si="10"/>
        <v>10757341</v>
      </c>
      <c r="P31" s="23">
        <v>4933562</v>
      </c>
      <c r="Q31" s="23">
        <v>1925004</v>
      </c>
      <c r="R31" s="23">
        <v>1891073</v>
      </c>
      <c r="S31" s="23">
        <v>1835789</v>
      </c>
      <c r="T31" s="23">
        <f t="shared" si="11"/>
        <v>10585428</v>
      </c>
      <c r="U31" s="23">
        <f t="shared" si="12"/>
        <v>-171913</v>
      </c>
      <c r="V31" s="17">
        <f t="shared" si="6"/>
        <v>0.98401900618377725</v>
      </c>
    </row>
    <row r="32" spans="1:22" ht="14.25" x14ac:dyDescent="0.2">
      <c r="A32" s="33" t="s">
        <v>50</v>
      </c>
      <c r="B32" s="23">
        <v>11000122.402500002</v>
      </c>
      <c r="C32" s="23">
        <v>4277825.4375</v>
      </c>
      <c r="D32" s="23">
        <v>1833353.9100000001</v>
      </c>
      <c r="E32" s="23"/>
      <c r="F32" s="23">
        <v>11000122.402500002</v>
      </c>
      <c r="G32" s="23">
        <v>9890852.4900000002</v>
      </c>
      <c r="H32" s="34">
        <f t="shared" si="9"/>
        <v>38002276.642500006</v>
      </c>
      <c r="I32" s="23">
        <v>31167014.355000004</v>
      </c>
      <c r="J32" s="23">
        <f t="shared" si="13"/>
        <v>69169290.997500002</v>
      </c>
      <c r="K32" s="25"/>
      <c r="L32" s="25"/>
      <c r="M32" s="25"/>
      <c r="N32" s="25"/>
      <c r="O32" s="23">
        <f t="shared" si="10"/>
        <v>69169290.997500002</v>
      </c>
      <c r="P32" s="23">
        <v>13955590.477500003</v>
      </c>
      <c r="Q32" s="23">
        <v>13654890</v>
      </c>
      <c r="R32" s="23">
        <v>14938491</v>
      </c>
      <c r="S32" s="23">
        <v>19130845</v>
      </c>
      <c r="T32" s="23">
        <f t="shared" si="11"/>
        <v>61679816.477500007</v>
      </c>
      <c r="U32" s="23">
        <f t="shared" si="12"/>
        <v>-7489474.5199999958</v>
      </c>
      <c r="V32" s="17">
        <f t="shared" si="6"/>
        <v>0.89172254895209657</v>
      </c>
    </row>
    <row r="33" spans="1:22" ht="14.25" x14ac:dyDescent="0.2">
      <c r="A33" s="33" t="s">
        <v>51</v>
      </c>
      <c r="B33" s="34">
        <v>17307278.25</v>
      </c>
      <c r="C33" s="34">
        <v>0</v>
      </c>
      <c r="D33" s="34">
        <v>0</v>
      </c>
      <c r="E33" s="34"/>
      <c r="F33" s="34">
        <v>23314717.305000003</v>
      </c>
      <c r="G33" s="34">
        <v>11222095.059999999</v>
      </c>
      <c r="H33" s="34">
        <f t="shared" si="9"/>
        <v>51844090.615000002</v>
      </c>
      <c r="I33" s="23">
        <v>56463503.890000008</v>
      </c>
      <c r="J33" s="23">
        <f>+H33+I33</f>
        <v>108307594.50500001</v>
      </c>
      <c r="K33" s="25"/>
      <c r="L33" s="25"/>
      <c r="M33" s="25"/>
      <c r="N33" s="25"/>
      <c r="O33" s="23">
        <f t="shared" si="10"/>
        <v>108307594.50500001</v>
      </c>
      <c r="P33" s="23">
        <v>20214016</v>
      </c>
      <c r="Q33" s="23">
        <v>17746703</v>
      </c>
      <c r="R33" s="23">
        <v>17669139</v>
      </c>
      <c r="S33" s="23">
        <v>32817371</v>
      </c>
      <c r="T33" s="23">
        <f t="shared" si="11"/>
        <v>88447229</v>
      </c>
      <c r="U33" s="23">
        <f t="shared" si="12"/>
        <v>-19860365.50500001</v>
      </c>
      <c r="V33" s="17">
        <f t="shared" si="6"/>
        <v>0.81662998245166307</v>
      </c>
    </row>
    <row r="34" spans="1:22" ht="14.25" x14ac:dyDescent="0.2">
      <c r="A34" s="33" t="s">
        <v>52</v>
      </c>
      <c r="B34" s="34">
        <v>0</v>
      </c>
      <c r="C34" s="34">
        <v>0</v>
      </c>
      <c r="D34" s="34">
        <v>0</v>
      </c>
      <c r="E34" s="34"/>
      <c r="F34" s="34"/>
      <c r="G34" s="34"/>
      <c r="H34" s="34">
        <f t="shared" si="9"/>
        <v>0</v>
      </c>
      <c r="I34" s="23">
        <v>54171821.502499998</v>
      </c>
      <c r="J34" s="23">
        <f t="shared" si="13"/>
        <v>54171821.502499998</v>
      </c>
      <c r="K34" s="25"/>
      <c r="L34" s="25"/>
      <c r="M34" s="25">
        <v>1288308</v>
      </c>
      <c r="N34" s="25"/>
      <c r="O34" s="23">
        <f t="shared" si="10"/>
        <v>55460129.502499998</v>
      </c>
      <c r="P34" s="23">
        <v>-0.2118750000372529</v>
      </c>
      <c r="Q34" s="23">
        <v>0</v>
      </c>
      <c r="R34" s="23">
        <v>0</v>
      </c>
      <c r="S34" s="23">
        <v>55460130</v>
      </c>
      <c r="T34" s="23">
        <f t="shared" si="11"/>
        <v>55460129.788125001</v>
      </c>
      <c r="U34" s="23">
        <f t="shared" si="12"/>
        <v>0.28562500327825546</v>
      </c>
      <c r="V34" s="17">
        <f t="shared" si="6"/>
        <v>1.0000000051500961</v>
      </c>
    </row>
    <row r="35" spans="1:22" ht="14.25" x14ac:dyDescent="0.2">
      <c r="A35" s="33" t="s">
        <v>53</v>
      </c>
      <c r="B35" s="34">
        <v>0</v>
      </c>
      <c r="C35" s="34">
        <v>0</v>
      </c>
      <c r="D35" s="34">
        <v>0</v>
      </c>
      <c r="E35" s="34"/>
      <c r="F35" s="34"/>
      <c r="G35" s="34"/>
      <c r="H35" s="34">
        <f t="shared" si="9"/>
        <v>0</v>
      </c>
      <c r="I35" s="23">
        <v>23696586.900000006</v>
      </c>
      <c r="J35" s="23">
        <f t="shared" si="13"/>
        <v>23696586.900000006</v>
      </c>
      <c r="K35" s="25"/>
      <c r="L35" s="25"/>
      <c r="M35" s="25"/>
      <c r="N35" s="25"/>
      <c r="O35" s="23">
        <f t="shared" si="10"/>
        <v>23696586.900000006</v>
      </c>
      <c r="P35" s="23">
        <v>1472300.0000000019</v>
      </c>
      <c r="Q35" s="23">
        <v>5309867</v>
      </c>
      <c r="R35" s="23">
        <v>1346680</v>
      </c>
      <c r="S35" s="23">
        <v>5183839</v>
      </c>
      <c r="T35" s="23">
        <f t="shared" si="11"/>
        <v>13312686.000000002</v>
      </c>
      <c r="U35" s="23">
        <f t="shared" si="12"/>
        <v>-10383900.900000004</v>
      </c>
      <c r="V35" s="17">
        <f t="shared" si="6"/>
        <v>0.56179761482865698</v>
      </c>
    </row>
    <row r="36" spans="1:22" ht="15" x14ac:dyDescent="0.25">
      <c r="A36" s="29" t="s">
        <v>54</v>
      </c>
      <c r="B36" s="30">
        <f>SUM(B21:B35)</f>
        <v>255639757.4025</v>
      </c>
      <c r="C36" s="30">
        <f t="shared" ref="C36:I36" si="14">SUM(C21:C35)</f>
        <v>54088458.075000003</v>
      </c>
      <c r="D36" s="30">
        <f t="shared" si="14"/>
        <v>33852554.295000002</v>
      </c>
      <c r="E36" s="30">
        <f>SUM(E21:E35)</f>
        <v>14038889.9</v>
      </c>
      <c r="F36" s="30">
        <f t="shared" si="14"/>
        <v>85518783.452500015</v>
      </c>
      <c r="G36" s="30">
        <f>SUM(G21:G35)</f>
        <v>764527102.42999995</v>
      </c>
      <c r="H36" s="35">
        <f t="shared" si="14"/>
        <v>1207665545.5550001</v>
      </c>
      <c r="I36" s="30">
        <f t="shared" si="14"/>
        <v>597249975.28250003</v>
      </c>
      <c r="J36" s="30">
        <f>SUM(J21:J35)</f>
        <v>1804915520.8375006</v>
      </c>
      <c r="K36" s="31">
        <f>SUM(K21:K35)</f>
        <v>0</v>
      </c>
      <c r="L36" s="31">
        <f>SUM(L21:L35)</f>
        <v>0</v>
      </c>
      <c r="M36" s="31">
        <f>SUM(M21:M35)</f>
        <v>-28711692</v>
      </c>
      <c r="N36" s="31">
        <f>SUM(N21:N35)</f>
        <v>0</v>
      </c>
      <c r="O36" s="30">
        <f t="shared" si="10"/>
        <v>1776203828.8375006</v>
      </c>
      <c r="P36" s="30">
        <f>SUM(P21:P35)</f>
        <v>322720888.56487501</v>
      </c>
      <c r="Q36" s="30">
        <f>SUM(Q21:Q35)</f>
        <v>378619987.22500002</v>
      </c>
      <c r="R36" s="30">
        <f>SUM(R21:R35)</f>
        <v>341378387</v>
      </c>
      <c r="S36" s="30">
        <f>SUM(S21:S35)</f>
        <v>496109857</v>
      </c>
      <c r="T36" s="30">
        <f t="shared" si="11"/>
        <v>1538829119.789875</v>
      </c>
      <c r="U36" s="30">
        <f t="shared" si="12"/>
        <v>-237374709.04762554</v>
      </c>
      <c r="V36" s="32">
        <f t="shared" si="6"/>
        <v>0.86635840707370626</v>
      </c>
    </row>
    <row r="37" spans="1:22" ht="15" x14ac:dyDescent="0.25">
      <c r="A37" s="36" t="s">
        <v>55</v>
      </c>
      <c r="B37" s="37">
        <f t="shared" ref="B37:G37" si="15">+B36+B19</f>
        <v>1556364414.1004019</v>
      </c>
      <c r="C37" s="37">
        <f t="shared" si="15"/>
        <v>438957872.01660258</v>
      </c>
      <c r="D37" s="37">
        <f t="shared" si="15"/>
        <v>365201074.10378379</v>
      </c>
      <c r="E37" s="37">
        <f t="shared" si="15"/>
        <v>58940147.702718824</v>
      </c>
      <c r="F37" s="37">
        <f t="shared" si="15"/>
        <v>426210948.0873791</v>
      </c>
      <c r="G37" s="37">
        <f t="shared" si="15"/>
        <v>2058697998.40593</v>
      </c>
      <c r="H37" s="38">
        <f>+B37+C37+D37+G37+E37+F37</f>
        <v>4904372454.4168167</v>
      </c>
      <c r="I37" s="37">
        <f t="shared" ref="I37:N37" si="16">+I36+I19</f>
        <v>964430143.86471868</v>
      </c>
      <c r="J37" s="37">
        <f t="shared" si="16"/>
        <v>5868802598.2815361</v>
      </c>
      <c r="K37" s="39">
        <f t="shared" si="16"/>
        <v>0</v>
      </c>
      <c r="L37" s="39">
        <f t="shared" si="16"/>
        <v>58401486.195814267</v>
      </c>
      <c r="M37" s="39">
        <f t="shared" si="16"/>
        <v>-48711692</v>
      </c>
      <c r="N37" s="39">
        <f t="shared" si="16"/>
        <v>0</v>
      </c>
      <c r="O37" s="37">
        <f t="shared" si="10"/>
        <v>5878492392.4773502</v>
      </c>
      <c r="P37" s="37">
        <f>+P36+P19</f>
        <v>1285234798.6398544</v>
      </c>
      <c r="Q37" s="37">
        <f>+Q36+Q19</f>
        <v>1363338492.2249999</v>
      </c>
      <c r="R37" s="37">
        <f>+R36+R19</f>
        <v>1343446850</v>
      </c>
      <c r="S37" s="37">
        <f>+S36+S19</f>
        <v>1501230982</v>
      </c>
      <c r="T37" s="37">
        <f t="shared" si="11"/>
        <v>5493251122.8648548</v>
      </c>
      <c r="U37" s="37">
        <f t="shared" si="12"/>
        <v>-385241269.61249542</v>
      </c>
      <c r="V37" s="40">
        <f t="shared" si="6"/>
        <v>0.93446597462548642</v>
      </c>
    </row>
    <row r="38" spans="1:22" ht="14.25" x14ac:dyDescent="0.2">
      <c r="A38" s="41"/>
      <c r="B38" s="42"/>
      <c r="C38" s="42"/>
      <c r="D38" s="42"/>
      <c r="E38" s="42"/>
      <c r="F38" s="42"/>
      <c r="G38" s="42"/>
      <c r="H38" s="42"/>
      <c r="I38" s="42"/>
      <c r="J38" s="42"/>
      <c r="K38" s="43"/>
      <c r="L38" s="43"/>
      <c r="M38" s="43"/>
      <c r="N38" s="43"/>
      <c r="O38" s="42"/>
      <c r="P38" s="42"/>
      <c r="Q38" s="42"/>
      <c r="R38" s="42"/>
      <c r="S38" s="42"/>
      <c r="T38" s="42"/>
      <c r="U38" s="42"/>
      <c r="V38" s="44"/>
    </row>
    <row r="39" spans="1:22" ht="15" x14ac:dyDescent="0.25">
      <c r="A39" s="45" t="s">
        <v>56</v>
      </c>
      <c r="B39" s="46">
        <f>+B41</f>
        <v>3352963890.9023829</v>
      </c>
      <c r="C39" s="46">
        <f>+C135</f>
        <v>1580111549.895</v>
      </c>
      <c r="D39" s="46">
        <f>+D149</f>
        <v>1671953337.8875</v>
      </c>
      <c r="E39" s="46">
        <f>+E184</f>
        <v>248662237</v>
      </c>
      <c r="F39" s="46">
        <f>+F74</f>
        <v>8671135294.2726898</v>
      </c>
      <c r="G39" s="46">
        <f>+G112</f>
        <v>13600678961.97612</v>
      </c>
      <c r="H39" s="46">
        <f>+B39+C39+D39+G39+E39+F39</f>
        <v>29125505271.933693</v>
      </c>
      <c r="I39" s="46">
        <v>0</v>
      </c>
      <c r="J39" s="46">
        <f>+I39+H39</f>
        <v>29125505271.933693</v>
      </c>
      <c r="K39" s="47">
        <f>+K41+K74+K112+K135+K149+K184</f>
        <v>873103328.10500002</v>
      </c>
      <c r="L39" s="47">
        <f>+L41+L74+L112+L135+L149+L184</f>
        <v>169163007</v>
      </c>
      <c r="M39" s="47">
        <f>+M41+M74+M112+M135+M149+M184</f>
        <v>-193500000</v>
      </c>
      <c r="N39" s="47">
        <f>+N41+N74+N112+N135+N149+N184</f>
        <v>0</v>
      </c>
      <c r="O39" s="46">
        <f>+J39+K39+L39+M39+N39</f>
        <v>29974271607.038692</v>
      </c>
      <c r="P39" s="46">
        <f>+P41+P74+P112+P135+P149+P184</f>
        <v>4472330251.7860003</v>
      </c>
      <c r="Q39" s="46">
        <f>+Q41+Q74+Q112+Q135+Q149+Q184</f>
        <v>8631668639</v>
      </c>
      <c r="R39" s="46">
        <f>+R41+R74+R112+R135+R149+R184</f>
        <v>7229960450.21</v>
      </c>
      <c r="S39" s="46">
        <f>+S41+S74+S112+S135+S149+S184</f>
        <v>8042927222</v>
      </c>
      <c r="T39" s="46">
        <f>+P39+Q39+R39+S39</f>
        <v>28376886562.995998</v>
      </c>
      <c r="U39" s="46">
        <f>+T39-O39</f>
        <v>-1597385044.0426941</v>
      </c>
      <c r="V39" s="48">
        <f t="shared" si="6"/>
        <v>0.94670812805781113</v>
      </c>
    </row>
    <row r="40" spans="1:22" ht="15" x14ac:dyDescent="0.25">
      <c r="A40" s="45"/>
      <c r="B40" s="46"/>
      <c r="C40" s="46"/>
      <c r="D40" s="46"/>
      <c r="E40" s="46"/>
      <c r="F40" s="46"/>
      <c r="G40" s="46"/>
      <c r="H40" s="46"/>
      <c r="I40" s="46"/>
      <c r="J40" s="46"/>
      <c r="K40" s="47"/>
      <c r="L40" s="47"/>
      <c r="M40" s="47"/>
      <c r="N40" s="47"/>
      <c r="O40" s="46"/>
      <c r="P40" s="46"/>
      <c r="Q40" s="46"/>
      <c r="R40" s="46"/>
      <c r="S40" s="46"/>
      <c r="T40" s="46"/>
      <c r="U40" s="46"/>
      <c r="V40" s="48"/>
    </row>
    <row r="41" spans="1:22" ht="15" x14ac:dyDescent="0.25">
      <c r="A41" s="45" t="s">
        <v>57</v>
      </c>
      <c r="B41" s="46">
        <f>+B42+B45+B58+B62+B66+B70</f>
        <v>3352963890.9023829</v>
      </c>
      <c r="C41" s="46"/>
      <c r="D41" s="46"/>
      <c r="E41" s="46"/>
      <c r="F41" s="46"/>
      <c r="G41" s="46"/>
      <c r="H41" s="46">
        <f>+H42+H45+H58+H62+H66+H70</f>
        <v>3352963890.9023829</v>
      </c>
      <c r="I41" s="46"/>
      <c r="J41" s="46">
        <f>+J42+J45+J58+J62+J66+J70</f>
        <v>3352963890.9023829</v>
      </c>
      <c r="K41" s="47">
        <f>+K42+K45+K58+K62+K66+K70</f>
        <v>0</v>
      </c>
      <c r="L41" s="47">
        <f>+L42+L45+L58+L62+L66+L70</f>
        <v>-110570668</v>
      </c>
      <c r="M41" s="47">
        <f>+M42+M45+M58+M62+M66+M70</f>
        <v>-133000000</v>
      </c>
      <c r="N41" s="47">
        <f>+N42+N45+N58+N62+N66+N70</f>
        <v>0</v>
      </c>
      <c r="O41" s="46">
        <f t="shared" ref="O41:O70" si="17">+J41+K41+L41+M41+N41</f>
        <v>3109393222.9023829</v>
      </c>
      <c r="P41" s="46">
        <f>+P42+P45+P58+P62+P66+P70</f>
        <v>477258715.82999998</v>
      </c>
      <c r="Q41" s="46">
        <f>+Q42+Q45+Q58+Q62+Q66+Q70</f>
        <v>722252333</v>
      </c>
      <c r="R41" s="46">
        <f>+R42+R45+R58+R62+R66+R70</f>
        <v>828338472.21000004</v>
      </c>
      <c r="S41" s="46">
        <f>+S42+S45+S58+S62+S66+S70</f>
        <v>847843263</v>
      </c>
      <c r="T41" s="46">
        <f>+P41+Q41+R41+S41</f>
        <v>2875692784.04</v>
      </c>
      <c r="U41" s="46">
        <f t="shared" ref="U41:U72" si="18">+T41-O41</f>
        <v>-233700438.86238289</v>
      </c>
      <c r="V41" s="48">
        <f t="shared" si="6"/>
        <v>0.92484050034551712</v>
      </c>
    </row>
    <row r="42" spans="1:22" s="50" customFormat="1" ht="15" x14ac:dyDescent="0.25">
      <c r="A42" s="49" t="s">
        <v>58</v>
      </c>
      <c r="B42" s="30">
        <f>+SUM(B43:B44)</f>
        <v>403233579.51875001</v>
      </c>
      <c r="C42" s="30"/>
      <c r="D42" s="30"/>
      <c r="E42" s="30"/>
      <c r="F42" s="30"/>
      <c r="G42" s="30"/>
      <c r="H42" s="30">
        <f>+SUM(H43:H44)</f>
        <v>403233579.51875001</v>
      </c>
      <c r="I42" s="30"/>
      <c r="J42" s="30">
        <f>+SUM(J43:J44)</f>
        <v>403233579.51875001</v>
      </c>
      <c r="K42" s="31">
        <f>+SUM(K43:K44)</f>
        <v>0</v>
      </c>
      <c r="L42" s="31">
        <f>+SUM(L43:L44)</f>
        <v>0</v>
      </c>
      <c r="M42" s="31">
        <f>+SUM(M43:M44)</f>
        <v>-108000000</v>
      </c>
      <c r="N42" s="31">
        <f>+SUM(N43:N44)</f>
        <v>0</v>
      </c>
      <c r="O42" s="30">
        <f t="shared" si="17"/>
        <v>295233579.51875001</v>
      </c>
      <c r="P42" s="30">
        <f>+SUM(P43:P44)</f>
        <v>29539637</v>
      </c>
      <c r="Q42" s="30">
        <f>+SUM(Q43:Q44)</f>
        <v>135892017</v>
      </c>
      <c r="R42" s="30">
        <f>+SUM(R43:R44)</f>
        <v>67288520.209999993</v>
      </c>
      <c r="S42" s="30">
        <f>+SUM(S43:S44)</f>
        <v>41463127</v>
      </c>
      <c r="T42" s="30">
        <f t="shared" ref="T42:T72" si="19">+P42+Q42+R42+S42</f>
        <v>274183301.20999998</v>
      </c>
      <c r="U42" s="30">
        <f t="shared" si="18"/>
        <v>-21050278.308750033</v>
      </c>
      <c r="V42" s="32">
        <f t="shared" si="6"/>
        <v>0.92869957969190575</v>
      </c>
    </row>
    <row r="43" spans="1:22" s="50" customFormat="1" ht="15" hidden="1" outlineLevel="1" x14ac:dyDescent="0.25">
      <c r="A43" s="51" t="s">
        <v>59</v>
      </c>
      <c r="B43" s="23">
        <f>+[1]Agregado!$D$23</f>
        <v>385887326.64875001</v>
      </c>
      <c r="C43" s="30"/>
      <c r="D43" s="30"/>
      <c r="E43" s="30"/>
      <c r="F43" s="30"/>
      <c r="G43" s="30"/>
      <c r="H43" s="23">
        <f>+B43+C43+D43+G43+E43+F43</f>
        <v>385887326.64875001</v>
      </c>
      <c r="I43" s="30"/>
      <c r="J43" s="24">
        <f>+H43+I43</f>
        <v>385887326.64875001</v>
      </c>
      <c r="K43" s="52"/>
      <c r="L43" s="52"/>
      <c r="M43" s="52">
        <v>-106072638</v>
      </c>
      <c r="N43" s="52"/>
      <c r="O43" s="24">
        <f t="shared" si="17"/>
        <v>279814688.64875001</v>
      </c>
      <c r="P43" s="24">
        <v>14120746</v>
      </c>
      <c r="Q43" s="24">
        <v>135892017</v>
      </c>
      <c r="R43" s="24">
        <v>67288520.209999993</v>
      </c>
      <c r="S43" s="24">
        <v>41463127</v>
      </c>
      <c r="T43" s="24">
        <f t="shared" si="19"/>
        <v>258764410.20999998</v>
      </c>
      <c r="U43" s="24">
        <f t="shared" si="18"/>
        <v>-21050278.438750029</v>
      </c>
      <c r="V43" s="53">
        <f t="shared" si="6"/>
        <v>0.92477064538533094</v>
      </c>
    </row>
    <row r="44" spans="1:22" s="50" customFormat="1" ht="15" hidden="1" outlineLevel="1" x14ac:dyDescent="0.25">
      <c r="A44" s="51" t="s">
        <v>60</v>
      </c>
      <c r="B44" s="23">
        <f>+[1]Agregado!$D$24</f>
        <v>17346252.870000005</v>
      </c>
      <c r="C44" s="30"/>
      <c r="D44" s="30"/>
      <c r="E44" s="30"/>
      <c r="F44" s="30"/>
      <c r="G44" s="30"/>
      <c r="H44" s="23">
        <f>+B44+C44+D44+G44+E44+F44</f>
        <v>17346252.870000005</v>
      </c>
      <c r="I44" s="30"/>
      <c r="J44" s="24">
        <f>+H44+I44</f>
        <v>17346252.870000005</v>
      </c>
      <c r="K44" s="52"/>
      <c r="L44" s="52"/>
      <c r="M44" s="52">
        <v>-1927362</v>
      </c>
      <c r="N44" s="52"/>
      <c r="O44" s="24">
        <f t="shared" si="17"/>
        <v>15418890.870000005</v>
      </c>
      <c r="P44" s="24">
        <v>15418891</v>
      </c>
      <c r="Q44" s="24">
        <v>0</v>
      </c>
      <c r="R44" s="24"/>
      <c r="S44" s="24"/>
      <c r="T44" s="24">
        <f t="shared" si="19"/>
        <v>15418891</v>
      </c>
      <c r="U44" s="24">
        <f t="shared" si="18"/>
        <v>0.12999999523162842</v>
      </c>
      <c r="V44" s="53">
        <f t="shared" si="6"/>
        <v>1.0000000084312157</v>
      </c>
    </row>
    <row r="45" spans="1:22" s="50" customFormat="1" ht="15" collapsed="1" x14ac:dyDescent="0.25">
      <c r="A45" s="54" t="s">
        <v>61</v>
      </c>
      <c r="B45" s="19">
        <f>+B46+B47+B48+B57</f>
        <v>1643931801.0959663</v>
      </c>
      <c r="C45" s="30"/>
      <c r="D45" s="30"/>
      <c r="E45" s="30"/>
      <c r="F45" s="30"/>
      <c r="G45" s="30"/>
      <c r="H45" s="19">
        <f>+H46+H47+H48+H57</f>
        <v>1643931801.0959663</v>
      </c>
      <c r="I45" s="30"/>
      <c r="J45" s="19">
        <f>+J46+J48+J57+J47</f>
        <v>1643931801.0959663</v>
      </c>
      <c r="K45" s="47">
        <f>+K46+K48+K57+K47</f>
        <v>0</v>
      </c>
      <c r="L45" s="47">
        <f>+L46+L48+L57+L47</f>
        <v>-110570668</v>
      </c>
      <c r="M45" s="47">
        <f>+M46+M48+M57+M47</f>
        <v>-25000000</v>
      </c>
      <c r="N45" s="47">
        <f>+N46+N48+N57+N47</f>
        <v>0</v>
      </c>
      <c r="O45" s="19">
        <f t="shared" si="17"/>
        <v>1508361133.0959663</v>
      </c>
      <c r="P45" s="19">
        <f>+P46+P47+P48+P57</f>
        <v>203984208</v>
      </c>
      <c r="Q45" s="19">
        <f>+Q46+Q47+Q48+Q57</f>
        <v>295999953</v>
      </c>
      <c r="R45" s="19">
        <f>+R46+R47+R48+R57</f>
        <v>453427303</v>
      </c>
      <c r="S45" s="19">
        <f>+S46+S47+S48+S57</f>
        <v>510391854</v>
      </c>
      <c r="T45" s="19">
        <f t="shared" si="19"/>
        <v>1463803318</v>
      </c>
      <c r="U45" s="19">
        <f t="shared" si="18"/>
        <v>-44557815.095966339</v>
      </c>
      <c r="V45" s="21">
        <f t="shared" si="6"/>
        <v>0.9704594515741003</v>
      </c>
    </row>
    <row r="46" spans="1:22" s="50" customFormat="1" ht="15" hidden="1" outlineLevel="1" x14ac:dyDescent="0.25">
      <c r="A46" s="51" t="s">
        <v>62</v>
      </c>
      <c r="B46" s="23">
        <f>334624622.82125+19769079</f>
        <v>354393701.82125002</v>
      </c>
      <c r="C46" s="30"/>
      <c r="D46" s="30"/>
      <c r="E46" s="30"/>
      <c r="F46" s="30"/>
      <c r="G46" s="30"/>
      <c r="H46" s="23">
        <f t="shared" ref="H46:H57" si="20">+B46+C46+D46+G46+E46+F46</f>
        <v>354393701.82125002</v>
      </c>
      <c r="I46" s="30"/>
      <c r="J46" s="24">
        <f t="shared" ref="J46:J57" si="21">+H46+I46</f>
        <v>354393701.82125002</v>
      </c>
      <c r="K46" s="52"/>
      <c r="L46" s="52"/>
      <c r="M46" s="52"/>
      <c r="N46" s="52"/>
      <c r="O46" s="24">
        <f t="shared" si="17"/>
        <v>354393701.82125002</v>
      </c>
      <c r="P46" s="24">
        <v>74543965</v>
      </c>
      <c r="Q46" s="24">
        <v>101842074</v>
      </c>
      <c r="R46" s="24">
        <v>92096203</v>
      </c>
      <c r="S46" s="24">
        <v>80068034</v>
      </c>
      <c r="T46" s="24">
        <f t="shared" si="19"/>
        <v>348550276</v>
      </c>
      <c r="U46" s="24">
        <f t="shared" si="18"/>
        <v>-5843425.8212500215</v>
      </c>
      <c r="V46" s="53">
        <f t="shared" si="6"/>
        <v>0.98351148513300235</v>
      </c>
    </row>
    <row r="47" spans="1:22" s="50" customFormat="1" ht="15" hidden="1" outlineLevel="1" x14ac:dyDescent="0.25">
      <c r="A47" s="51" t="s">
        <v>63</v>
      </c>
      <c r="B47" s="23">
        <f>89147131.767839+20475493</f>
        <v>109622624.767839</v>
      </c>
      <c r="C47" s="30"/>
      <c r="D47" s="30"/>
      <c r="E47" s="30"/>
      <c r="F47" s="30"/>
      <c r="G47" s="30"/>
      <c r="H47" s="23">
        <f t="shared" si="20"/>
        <v>109622624.767839</v>
      </c>
      <c r="I47" s="30"/>
      <c r="J47" s="24">
        <f t="shared" si="21"/>
        <v>109622624.767839</v>
      </c>
      <c r="K47" s="52"/>
      <c r="L47" s="52"/>
      <c r="M47" s="52"/>
      <c r="N47" s="52"/>
      <c r="O47" s="24">
        <f t="shared" si="17"/>
        <v>109622624.767839</v>
      </c>
      <c r="P47" s="24">
        <v>20152973</v>
      </c>
      <c r="Q47" s="24">
        <v>31011475</v>
      </c>
      <c r="R47" s="24">
        <v>33749738</v>
      </c>
      <c r="S47" s="24">
        <v>24566941</v>
      </c>
      <c r="T47" s="24">
        <f t="shared" si="19"/>
        <v>109481127</v>
      </c>
      <c r="U47" s="24">
        <f t="shared" si="18"/>
        <v>-141497.76783899963</v>
      </c>
      <c r="V47" s="53">
        <f t="shared" si="6"/>
        <v>0.99870922842671694</v>
      </c>
    </row>
    <row r="48" spans="1:22" s="50" customFormat="1" ht="15" hidden="1" outlineLevel="1" x14ac:dyDescent="0.25">
      <c r="A48" s="51" t="s">
        <v>64</v>
      </c>
      <c r="B48" s="19">
        <f>+B49+B53</f>
        <v>709755428</v>
      </c>
      <c r="C48" s="30"/>
      <c r="D48" s="30"/>
      <c r="E48" s="30"/>
      <c r="F48" s="30"/>
      <c r="G48" s="30"/>
      <c r="H48" s="19">
        <f t="shared" si="20"/>
        <v>709755428</v>
      </c>
      <c r="I48" s="19"/>
      <c r="J48" s="19">
        <f>+H48+I48</f>
        <v>709755428</v>
      </c>
      <c r="K48" s="19">
        <f>+K49+K53</f>
        <v>0</v>
      </c>
      <c r="L48" s="19">
        <f>+L49+L53</f>
        <v>-110570668</v>
      </c>
      <c r="M48" s="19">
        <f>+M49+M53</f>
        <v>-25000000</v>
      </c>
      <c r="N48" s="19">
        <f>+N49+N53</f>
        <v>0</v>
      </c>
      <c r="O48" s="19">
        <f t="shared" si="17"/>
        <v>574184760</v>
      </c>
      <c r="P48" s="19">
        <f>+P49+P53</f>
        <v>0</v>
      </c>
      <c r="Q48" s="19">
        <f>+Q49+Q53</f>
        <v>45139234</v>
      </c>
      <c r="R48" s="19">
        <f>+R49+R53</f>
        <v>210173361</v>
      </c>
      <c r="S48" s="19">
        <f>+S49+S53</f>
        <v>294764069</v>
      </c>
      <c r="T48" s="19">
        <f t="shared" si="19"/>
        <v>550076664</v>
      </c>
      <c r="U48" s="19">
        <f t="shared" si="18"/>
        <v>-24108096</v>
      </c>
      <c r="V48" s="55">
        <f t="shared" si="6"/>
        <v>0.95801334748069589</v>
      </c>
    </row>
    <row r="49" spans="1:22" s="50" customFormat="1" ht="15" hidden="1" outlineLevel="2" x14ac:dyDescent="0.25">
      <c r="A49" s="51" t="s">
        <v>65</v>
      </c>
      <c r="B49" s="19">
        <f>SUM(B50:B52)</f>
        <v>500000000</v>
      </c>
      <c r="C49" s="30"/>
      <c r="D49" s="30"/>
      <c r="E49" s="30"/>
      <c r="F49" s="30"/>
      <c r="G49" s="30"/>
      <c r="H49" s="19">
        <f>+B49+C49+D49+G49+E49+F49</f>
        <v>500000000</v>
      </c>
      <c r="I49" s="19"/>
      <c r="J49" s="19">
        <f>+H49+I49</f>
        <v>500000000</v>
      </c>
      <c r="K49" s="19">
        <f>+K50</f>
        <v>0</v>
      </c>
      <c r="L49" s="19">
        <f>+L50</f>
        <v>-110570668</v>
      </c>
      <c r="M49" s="19">
        <f>+M52</f>
        <v>-25000000</v>
      </c>
      <c r="N49" s="19">
        <f>+N50</f>
        <v>0</v>
      </c>
      <c r="O49" s="19">
        <f t="shared" si="17"/>
        <v>364429332</v>
      </c>
      <c r="P49" s="19">
        <f>SUM(P50:P52)</f>
        <v>0</v>
      </c>
      <c r="Q49" s="19">
        <f>SUM(Q50:Q52)</f>
        <v>9886417</v>
      </c>
      <c r="R49" s="19">
        <f>SUM(R50:R52)</f>
        <v>137360214</v>
      </c>
      <c r="S49" s="19">
        <f>SUM(S50:S52)</f>
        <v>210236742</v>
      </c>
      <c r="T49" s="19">
        <f t="shared" si="19"/>
        <v>357483373</v>
      </c>
      <c r="U49" s="19">
        <f t="shared" si="18"/>
        <v>-6945959</v>
      </c>
      <c r="V49" s="55">
        <f t="shared" si="6"/>
        <v>0.98094017580341197</v>
      </c>
    </row>
    <row r="50" spans="1:22" s="50" customFormat="1" ht="15" hidden="1" outlineLevel="2" x14ac:dyDescent="0.25">
      <c r="A50" s="51" t="s">
        <v>66</v>
      </c>
      <c r="B50" s="23">
        <f>50000000+110570668</f>
        <v>160570668</v>
      </c>
      <c r="C50" s="30"/>
      <c r="D50" s="30"/>
      <c r="E50" s="30"/>
      <c r="F50" s="30"/>
      <c r="G50" s="30"/>
      <c r="H50" s="23">
        <f>+B50+C50+D50+G50+E50+F50</f>
        <v>160570668</v>
      </c>
      <c r="I50" s="30"/>
      <c r="J50" s="24">
        <f>+H50+I50</f>
        <v>160570668</v>
      </c>
      <c r="K50" s="52"/>
      <c r="L50" s="52">
        <v>-110570668</v>
      </c>
      <c r="M50" s="52"/>
      <c r="N50" s="52"/>
      <c r="O50" s="24">
        <f t="shared" si="17"/>
        <v>50000000</v>
      </c>
      <c r="P50" s="24">
        <v>0</v>
      </c>
      <c r="Q50" s="24"/>
      <c r="R50" s="24"/>
      <c r="S50" s="24">
        <v>43054041</v>
      </c>
      <c r="T50" s="24">
        <f t="shared" si="19"/>
        <v>43054041</v>
      </c>
      <c r="U50" s="24">
        <f t="shared" si="18"/>
        <v>-6945959</v>
      </c>
      <c r="V50" s="53">
        <f t="shared" si="6"/>
        <v>0.86108081999999997</v>
      </c>
    </row>
    <row r="51" spans="1:22" s="50" customFormat="1" ht="15" hidden="1" outlineLevel="2" x14ac:dyDescent="0.25">
      <c r="A51" s="51" t="s">
        <v>67</v>
      </c>
      <c r="B51" s="23">
        <v>314429332</v>
      </c>
      <c r="C51" s="30"/>
      <c r="D51" s="30"/>
      <c r="E51" s="30"/>
      <c r="F51" s="30"/>
      <c r="G51" s="30"/>
      <c r="H51" s="23">
        <f t="shared" si="20"/>
        <v>314429332</v>
      </c>
      <c r="I51" s="30"/>
      <c r="J51" s="24">
        <f>+H51+I51</f>
        <v>314429332</v>
      </c>
      <c r="K51" s="52"/>
      <c r="L51" s="52"/>
      <c r="M51" s="52"/>
      <c r="N51" s="52"/>
      <c r="O51" s="24">
        <f t="shared" si="17"/>
        <v>314429332</v>
      </c>
      <c r="P51" s="24">
        <v>0</v>
      </c>
      <c r="Q51" s="24">
        <v>9886417</v>
      </c>
      <c r="R51" s="24">
        <v>137360214</v>
      </c>
      <c r="S51" s="24">
        <v>167182701</v>
      </c>
      <c r="T51" s="24">
        <f t="shared" si="19"/>
        <v>314429332</v>
      </c>
      <c r="U51" s="24">
        <f t="shared" si="18"/>
        <v>0</v>
      </c>
      <c r="V51" s="53">
        <f t="shared" si="6"/>
        <v>1</v>
      </c>
    </row>
    <row r="52" spans="1:22" s="50" customFormat="1" ht="15" hidden="1" outlineLevel="2" x14ac:dyDescent="0.25">
      <c r="A52" s="51" t="s">
        <v>68</v>
      </c>
      <c r="B52" s="23">
        <v>25000000</v>
      </c>
      <c r="C52" s="30"/>
      <c r="D52" s="30"/>
      <c r="E52" s="30"/>
      <c r="F52" s="30"/>
      <c r="G52" s="30"/>
      <c r="H52" s="23">
        <f>+B52+C52+D52+G52+E52+F52</f>
        <v>25000000</v>
      </c>
      <c r="I52" s="30"/>
      <c r="J52" s="24">
        <f>+H52+I52</f>
        <v>25000000</v>
      </c>
      <c r="K52" s="52"/>
      <c r="L52" s="52"/>
      <c r="M52" s="52">
        <v>-25000000</v>
      </c>
      <c r="N52" s="52"/>
      <c r="O52" s="24">
        <f t="shared" si="17"/>
        <v>0</v>
      </c>
      <c r="P52" s="24">
        <v>0</v>
      </c>
      <c r="Q52" s="24">
        <v>0</v>
      </c>
      <c r="R52" s="24"/>
      <c r="S52" s="24"/>
      <c r="T52" s="24">
        <f t="shared" si="19"/>
        <v>0</v>
      </c>
      <c r="U52" s="24">
        <f t="shared" si="18"/>
        <v>0</v>
      </c>
      <c r="V52" s="53">
        <f t="shared" si="6"/>
        <v>0</v>
      </c>
    </row>
    <row r="53" spans="1:22" s="50" customFormat="1" ht="15" hidden="1" outlineLevel="2" x14ac:dyDescent="0.25">
      <c r="A53" s="51" t="s">
        <v>69</v>
      </c>
      <c r="B53" s="19">
        <f>SUM(B54:B56)</f>
        <v>209755428</v>
      </c>
      <c r="C53" s="30"/>
      <c r="D53" s="30"/>
      <c r="E53" s="30"/>
      <c r="F53" s="30"/>
      <c r="G53" s="30"/>
      <c r="H53" s="19">
        <f t="shared" si="20"/>
        <v>209755428</v>
      </c>
      <c r="I53" s="19"/>
      <c r="J53" s="19">
        <f t="shared" si="21"/>
        <v>209755428</v>
      </c>
      <c r="K53" s="19">
        <f>+K56</f>
        <v>0</v>
      </c>
      <c r="L53" s="19">
        <f>+L56</f>
        <v>0</v>
      </c>
      <c r="M53" s="19">
        <f>+M56</f>
        <v>0</v>
      </c>
      <c r="N53" s="19">
        <f>+N56</f>
        <v>0</v>
      </c>
      <c r="O53" s="19">
        <f t="shared" si="17"/>
        <v>209755428</v>
      </c>
      <c r="P53" s="19">
        <f>SUM(P54:P56)</f>
        <v>0</v>
      </c>
      <c r="Q53" s="19">
        <f>SUM(Q54:Q56)</f>
        <v>35252817</v>
      </c>
      <c r="R53" s="19">
        <f>SUM(R54:R56)</f>
        <v>72813147</v>
      </c>
      <c r="S53" s="19">
        <f>SUM(S54:S56)</f>
        <v>84527327</v>
      </c>
      <c r="T53" s="19">
        <f t="shared" si="19"/>
        <v>192593291</v>
      </c>
      <c r="U53" s="19">
        <f t="shared" si="18"/>
        <v>-17162137</v>
      </c>
      <c r="V53" s="55">
        <f t="shared" si="6"/>
        <v>0.91818024847490476</v>
      </c>
    </row>
    <row r="54" spans="1:22" s="50" customFormat="1" ht="15" hidden="1" outlineLevel="2" x14ac:dyDescent="0.25">
      <c r="A54" s="51" t="s">
        <v>70</v>
      </c>
      <c r="B54" s="23">
        <v>50000000</v>
      </c>
      <c r="C54" s="30"/>
      <c r="D54" s="30"/>
      <c r="E54" s="30"/>
      <c r="F54" s="30"/>
      <c r="G54" s="30"/>
      <c r="H54" s="23">
        <f t="shared" si="20"/>
        <v>50000000</v>
      </c>
      <c r="I54" s="30"/>
      <c r="J54" s="24">
        <f t="shared" si="21"/>
        <v>50000000</v>
      </c>
      <c r="K54" s="52"/>
      <c r="L54" s="52"/>
      <c r="M54" s="52"/>
      <c r="N54" s="52"/>
      <c r="O54" s="24">
        <f t="shared" si="17"/>
        <v>50000000</v>
      </c>
      <c r="P54" s="24">
        <v>0</v>
      </c>
      <c r="Q54" s="24">
        <v>1633810</v>
      </c>
      <c r="R54" s="24">
        <v>15860934</v>
      </c>
      <c r="S54" s="24">
        <v>26201667</v>
      </c>
      <c r="T54" s="24">
        <f t="shared" si="19"/>
        <v>43696411</v>
      </c>
      <c r="U54" s="24">
        <f t="shared" si="18"/>
        <v>-6303589</v>
      </c>
      <c r="V54" s="53">
        <f t="shared" si="6"/>
        <v>0.87392822000000003</v>
      </c>
    </row>
    <row r="55" spans="1:22" s="50" customFormat="1" ht="15" hidden="1" outlineLevel="2" x14ac:dyDescent="0.25">
      <c r="A55" s="51" t="s">
        <v>71</v>
      </c>
      <c r="B55" s="23">
        <v>134755428</v>
      </c>
      <c r="C55" s="30"/>
      <c r="D55" s="30"/>
      <c r="E55" s="30"/>
      <c r="F55" s="30"/>
      <c r="G55" s="30"/>
      <c r="H55" s="23">
        <f>+B55+C55+D55+G55+E55+F55</f>
        <v>134755428</v>
      </c>
      <c r="I55" s="30"/>
      <c r="J55" s="24">
        <f>+H55+I55</f>
        <v>134755428</v>
      </c>
      <c r="K55" s="52"/>
      <c r="L55" s="52"/>
      <c r="M55" s="52"/>
      <c r="N55" s="52"/>
      <c r="O55" s="24">
        <f t="shared" si="17"/>
        <v>134755428</v>
      </c>
      <c r="P55" s="24">
        <v>0</v>
      </c>
      <c r="Q55" s="24">
        <v>33619007</v>
      </c>
      <c r="R55" s="24">
        <v>53872735</v>
      </c>
      <c r="S55" s="24">
        <v>45234485</v>
      </c>
      <c r="T55" s="24">
        <f t="shared" si="19"/>
        <v>132726227</v>
      </c>
      <c r="U55" s="24">
        <f t="shared" si="18"/>
        <v>-2029201</v>
      </c>
      <c r="V55" s="53">
        <f t="shared" si="6"/>
        <v>0.98494160101662098</v>
      </c>
    </row>
    <row r="56" spans="1:22" s="50" customFormat="1" ht="15" hidden="1" outlineLevel="2" x14ac:dyDescent="0.25">
      <c r="A56" s="51" t="s">
        <v>72</v>
      </c>
      <c r="B56" s="23">
        <v>25000000</v>
      </c>
      <c r="C56" s="30"/>
      <c r="D56" s="30"/>
      <c r="E56" s="30"/>
      <c r="F56" s="30"/>
      <c r="G56" s="30"/>
      <c r="H56" s="23">
        <f t="shared" si="20"/>
        <v>25000000</v>
      </c>
      <c r="I56" s="30"/>
      <c r="J56" s="24">
        <f t="shared" si="21"/>
        <v>25000000</v>
      </c>
      <c r="K56" s="52"/>
      <c r="L56" s="52"/>
      <c r="M56" s="52"/>
      <c r="N56" s="52"/>
      <c r="O56" s="24">
        <f t="shared" si="17"/>
        <v>25000000</v>
      </c>
      <c r="P56" s="24">
        <v>0</v>
      </c>
      <c r="Q56" s="24">
        <v>0</v>
      </c>
      <c r="R56" s="24">
        <v>3079478</v>
      </c>
      <c r="S56" s="24">
        <v>13091175</v>
      </c>
      <c r="T56" s="24">
        <f t="shared" si="19"/>
        <v>16170653</v>
      </c>
      <c r="U56" s="24">
        <f t="shared" si="18"/>
        <v>-8829347</v>
      </c>
      <c r="V56" s="53">
        <f t="shared" si="6"/>
        <v>0.64682611999999995</v>
      </c>
    </row>
    <row r="57" spans="1:22" s="50" customFormat="1" ht="15" hidden="1" outlineLevel="1" x14ac:dyDescent="0.25">
      <c r="A57" s="51" t="s">
        <v>73</v>
      </c>
      <c r="B57" s="19">
        <f>+[1]Agregado!$D$32</f>
        <v>470160046.50687748</v>
      </c>
      <c r="C57" s="30"/>
      <c r="D57" s="30"/>
      <c r="E57" s="30"/>
      <c r="F57" s="30"/>
      <c r="G57" s="30"/>
      <c r="H57" s="23">
        <f t="shared" si="20"/>
        <v>470160046.50687748</v>
      </c>
      <c r="I57" s="30"/>
      <c r="J57" s="24">
        <f t="shared" si="21"/>
        <v>470160046.50687748</v>
      </c>
      <c r="K57" s="52"/>
      <c r="L57" s="52"/>
      <c r="M57" s="52"/>
      <c r="N57" s="52"/>
      <c r="O57" s="24">
        <f t="shared" si="17"/>
        <v>470160046.50687748</v>
      </c>
      <c r="P57" s="24">
        <v>109287270.00000001</v>
      </c>
      <c r="Q57" s="24">
        <v>118007170</v>
      </c>
      <c r="R57" s="24">
        <v>117408001</v>
      </c>
      <c r="S57" s="24">
        <v>110992810</v>
      </c>
      <c r="T57" s="24">
        <f t="shared" si="19"/>
        <v>455695251</v>
      </c>
      <c r="U57" s="24">
        <f t="shared" si="18"/>
        <v>-14464795.506877482</v>
      </c>
      <c r="V57" s="53">
        <f t="shared" si="6"/>
        <v>0.96923431581576147</v>
      </c>
    </row>
    <row r="58" spans="1:22" s="50" customFormat="1" ht="15" collapsed="1" x14ac:dyDescent="0.25">
      <c r="A58" s="54" t="s">
        <v>74</v>
      </c>
      <c r="B58" s="19">
        <f>SUM(B59:B61)</f>
        <v>274359820.03519326</v>
      </c>
      <c r="C58" s="30"/>
      <c r="D58" s="30"/>
      <c r="E58" s="30"/>
      <c r="F58" s="30"/>
      <c r="G58" s="30"/>
      <c r="H58" s="19">
        <f>SUM(H59:H61)</f>
        <v>274359820.03519326</v>
      </c>
      <c r="I58" s="30"/>
      <c r="J58" s="19">
        <f>SUM(J59:J61)</f>
        <v>274359820.03519326</v>
      </c>
      <c r="K58" s="20">
        <f>SUM(K59:K61)</f>
        <v>0</v>
      </c>
      <c r="L58" s="20">
        <f>SUM(L59:L61)</f>
        <v>0</v>
      </c>
      <c r="M58" s="20">
        <f>SUM(M59:M61)</f>
        <v>0</v>
      </c>
      <c r="N58" s="20">
        <f>SUM(N59:N61)</f>
        <v>0</v>
      </c>
      <c r="O58" s="19">
        <f t="shared" si="17"/>
        <v>274359820.03519326</v>
      </c>
      <c r="P58" s="19">
        <f>SUM(P59:P61)</f>
        <v>59905646.829999998</v>
      </c>
      <c r="Q58" s="19">
        <f>SUM(Q59:Q61)</f>
        <v>50112270</v>
      </c>
      <c r="R58" s="19">
        <f>SUM(R59:R61)</f>
        <v>64682896</v>
      </c>
      <c r="S58" s="19">
        <f>SUM(S59:S61)</f>
        <v>46606971</v>
      </c>
      <c r="T58" s="19">
        <f t="shared" si="19"/>
        <v>221307783.82999998</v>
      </c>
      <c r="U58" s="19">
        <f t="shared" si="18"/>
        <v>-53052036.205193281</v>
      </c>
      <c r="V58" s="21">
        <f t="shared" si="6"/>
        <v>0.80663336126117857</v>
      </c>
    </row>
    <row r="59" spans="1:22" s="50" customFormat="1" ht="15" hidden="1" outlineLevel="1" x14ac:dyDescent="0.25">
      <c r="A59" s="51" t="s">
        <v>75</v>
      </c>
      <c r="B59" s="23">
        <f>+[1]Agregado!$D$35</f>
        <v>150847192.98513001</v>
      </c>
      <c r="C59" s="30"/>
      <c r="D59" s="30"/>
      <c r="E59" s="30"/>
      <c r="F59" s="30"/>
      <c r="G59" s="30"/>
      <c r="H59" s="23">
        <f>+B59+C59+D59+G59+E59+F59</f>
        <v>150847192.98513001</v>
      </c>
      <c r="I59" s="30"/>
      <c r="J59" s="24">
        <f>+H59+I59</f>
        <v>150847192.98513001</v>
      </c>
      <c r="K59" s="52"/>
      <c r="L59" s="52"/>
      <c r="M59" s="52"/>
      <c r="N59" s="52"/>
      <c r="O59" s="24">
        <f>+J59+K59+L59+M59+N59+23629797</f>
        <v>174476989.98513001</v>
      </c>
      <c r="P59" s="24">
        <v>31658790</v>
      </c>
      <c r="Q59" s="24">
        <v>35487637</v>
      </c>
      <c r="R59" s="24">
        <v>25672103</v>
      </c>
      <c r="S59" s="24">
        <v>28655271</v>
      </c>
      <c r="T59" s="24">
        <f t="shared" si="19"/>
        <v>121473801</v>
      </c>
      <c r="U59" s="24">
        <f t="shared" si="18"/>
        <v>-53003188.985130012</v>
      </c>
      <c r="V59" s="53">
        <f t="shared" si="6"/>
        <v>0.696216739011561</v>
      </c>
    </row>
    <row r="60" spans="1:22" s="50" customFormat="1" ht="15" hidden="1" outlineLevel="1" x14ac:dyDescent="0.25">
      <c r="A60" s="51" t="s">
        <v>76</v>
      </c>
      <c r="B60" s="23">
        <f>+[1]Agregado!$D$36</f>
        <v>65369157.05006326</v>
      </c>
      <c r="C60" s="30"/>
      <c r="D60" s="30"/>
      <c r="E60" s="30"/>
      <c r="F60" s="30"/>
      <c r="G60" s="30"/>
      <c r="H60" s="23">
        <f>+B60+C60+D60+G60+E60+F60</f>
        <v>65369157.05006326</v>
      </c>
      <c r="I60" s="30"/>
      <c r="J60" s="24">
        <f>+H60+I60</f>
        <v>65369157.05006326</v>
      </c>
      <c r="K60" s="52"/>
      <c r="L60" s="52"/>
      <c r="M60" s="52"/>
      <c r="N60" s="52"/>
      <c r="O60" s="24">
        <f>+J60+K60+L60+M60+N60-7197000</f>
        <v>58172157.05006326</v>
      </c>
      <c r="P60" s="24">
        <v>11089144</v>
      </c>
      <c r="Q60" s="24">
        <v>14624633</v>
      </c>
      <c r="R60" s="24">
        <v>14457833</v>
      </c>
      <c r="S60" s="24">
        <v>17951700</v>
      </c>
      <c r="T60" s="24">
        <f t="shared" si="19"/>
        <v>58123310</v>
      </c>
      <c r="U60" s="24">
        <f t="shared" si="18"/>
        <v>-48847.0500632599</v>
      </c>
      <c r="V60" s="53">
        <f t="shared" si="6"/>
        <v>0.99916030189457783</v>
      </c>
    </row>
    <row r="61" spans="1:22" s="50" customFormat="1" ht="15" hidden="1" outlineLevel="1" x14ac:dyDescent="0.25">
      <c r="A61" s="51" t="s">
        <v>77</v>
      </c>
      <c r="B61" s="23">
        <f>+[1]Agregado!$D$37</f>
        <v>58143470</v>
      </c>
      <c r="C61" s="30"/>
      <c r="D61" s="30"/>
      <c r="E61" s="30"/>
      <c r="F61" s="30"/>
      <c r="G61" s="30"/>
      <c r="H61" s="23">
        <f>+B61+C61+D61+G61+E61+F61</f>
        <v>58143470</v>
      </c>
      <c r="I61" s="30"/>
      <c r="J61" s="24">
        <f>+H61+I61</f>
        <v>58143470</v>
      </c>
      <c r="K61" s="52"/>
      <c r="L61" s="52"/>
      <c r="M61" s="52"/>
      <c r="N61" s="52"/>
      <c r="O61" s="24">
        <f>+J61+K61+L61+M61+N61-16432797</f>
        <v>41710673</v>
      </c>
      <c r="P61" s="24">
        <v>17157712.829999998</v>
      </c>
      <c r="Q61" s="24">
        <v>0</v>
      </c>
      <c r="R61" s="24">
        <v>24552960</v>
      </c>
      <c r="S61" s="24"/>
      <c r="T61" s="24">
        <f t="shared" si="19"/>
        <v>41710672.829999998</v>
      </c>
      <c r="U61" s="24">
        <f t="shared" si="18"/>
        <v>-0.17000000178813934</v>
      </c>
      <c r="V61" s="53">
        <f t="shared" si="6"/>
        <v>0.99999999592430455</v>
      </c>
    </row>
    <row r="62" spans="1:22" s="50" customFormat="1" ht="15" collapsed="1" x14ac:dyDescent="0.25">
      <c r="A62" s="54" t="s">
        <v>78</v>
      </c>
      <c r="B62" s="19">
        <f>SUM(B63:B65)</f>
        <v>351807742.72673154</v>
      </c>
      <c r="C62" s="30"/>
      <c r="D62" s="30"/>
      <c r="E62" s="30"/>
      <c r="F62" s="30"/>
      <c r="G62" s="30"/>
      <c r="H62" s="19">
        <f>SUM(H63:H65)</f>
        <v>351807742.72673154</v>
      </c>
      <c r="I62" s="30"/>
      <c r="J62" s="19">
        <f>SUM(J63:J65)</f>
        <v>351807742.72673154</v>
      </c>
      <c r="K62" s="20">
        <f>SUM(K63:K65)</f>
        <v>0</v>
      </c>
      <c r="L62" s="20">
        <f>SUM(L63:L65)</f>
        <v>0</v>
      </c>
      <c r="M62" s="20">
        <f>SUM(M63:M65)</f>
        <v>0</v>
      </c>
      <c r="N62" s="20">
        <f>SUM(N63:N65)</f>
        <v>0</v>
      </c>
      <c r="O62" s="19">
        <f t="shared" si="17"/>
        <v>351807742.72673154</v>
      </c>
      <c r="P62" s="19">
        <f>SUM(P63:P65)</f>
        <v>93627743</v>
      </c>
      <c r="Q62" s="19">
        <f>SUM(Q63:Q65)</f>
        <v>85791678</v>
      </c>
      <c r="R62" s="19">
        <f>SUM(R63:R65)</f>
        <v>81421753</v>
      </c>
      <c r="S62" s="19">
        <f>SUM(S63:S65)</f>
        <v>86555468</v>
      </c>
      <c r="T62" s="19">
        <f t="shared" si="19"/>
        <v>347396642</v>
      </c>
      <c r="U62" s="19">
        <f t="shared" si="18"/>
        <v>-4411100.7267315388</v>
      </c>
      <c r="V62" s="21">
        <f t="shared" si="6"/>
        <v>0.98746161556154866</v>
      </c>
    </row>
    <row r="63" spans="1:22" s="50" customFormat="1" ht="15" hidden="1" outlineLevel="1" x14ac:dyDescent="0.25">
      <c r="A63" s="51" t="s">
        <v>79</v>
      </c>
      <c r="B63" s="23">
        <f>+[1]Agregado!$D$40</f>
        <v>143249743.42539349</v>
      </c>
      <c r="C63" s="30"/>
      <c r="D63" s="30"/>
      <c r="E63" s="30"/>
      <c r="F63" s="30"/>
      <c r="G63" s="30"/>
      <c r="H63" s="23">
        <f>+B63+C63+D63+G63+E63+F63</f>
        <v>143249743.42539349</v>
      </c>
      <c r="I63" s="30"/>
      <c r="J63" s="24">
        <f>+H63+I63</f>
        <v>143249743.42539349</v>
      </c>
      <c r="K63" s="52"/>
      <c r="L63" s="52"/>
      <c r="M63" s="52"/>
      <c r="N63" s="52"/>
      <c r="O63" s="24">
        <f>+J63+K63+L63+M63+N63+1606000</f>
        <v>144855743.42539349</v>
      </c>
      <c r="P63" s="24">
        <v>31958724</v>
      </c>
      <c r="Q63" s="24">
        <v>38975078</v>
      </c>
      <c r="R63" s="24">
        <v>33755468</v>
      </c>
      <c r="S63" s="24">
        <v>39339320</v>
      </c>
      <c r="T63" s="24">
        <f t="shared" si="19"/>
        <v>144028590</v>
      </c>
      <c r="U63" s="24">
        <f t="shared" si="18"/>
        <v>-827153.42539349198</v>
      </c>
      <c r="V63" s="53">
        <f t="shared" si="6"/>
        <v>0.99428981270722272</v>
      </c>
    </row>
    <row r="64" spans="1:22" s="50" customFormat="1" ht="15" hidden="1" outlineLevel="1" x14ac:dyDescent="0.25">
      <c r="A64" s="51" t="s">
        <v>80</v>
      </c>
      <c r="B64" s="23">
        <f>+[1]Agregado!$D$41</f>
        <v>187442610.21883804</v>
      </c>
      <c r="C64" s="30"/>
      <c r="D64" s="30"/>
      <c r="E64" s="30"/>
      <c r="F64" s="30"/>
      <c r="G64" s="30"/>
      <c r="H64" s="23">
        <f>+B64+C64+D64+G64+E64+F64</f>
        <v>187442610.21883804</v>
      </c>
      <c r="I64" s="30"/>
      <c r="J64" s="24">
        <f>+H64+I64</f>
        <v>187442610.21883804</v>
      </c>
      <c r="K64" s="52"/>
      <c r="L64" s="52"/>
      <c r="M64" s="52"/>
      <c r="N64" s="52"/>
      <c r="O64" s="24">
        <f>+J64+K64+L64+M64+N64-806000</f>
        <v>186636610.21883804</v>
      </c>
      <c r="P64" s="24">
        <v>41865926</v>
      </c>
      <c r="Q64" s="24">
        <v>46816600</v>
      </c>
      <c r="R64" s="24">
        <v>47666285</v>
      </c>
      <c r="S64" s="24">
        <v>47216148</v>
      </c>
      <c r="T64" s="24">
        <f t="shared" si="19"/>
        <v>183564959</v>
      </c>
      <c r="U64" s="24">
        <f t="shared" si="18"/>
        <v>-3071651.2188380361</v>
      </c>
      <c r="V64" s="53">
        <f t="shared" si="6"/>
        <v>0.98354207561294427</v>
      </c>
    </row>
    <row r="65" spans="1:22" s="50" customFormat="1" ht="15" hidden="1" outlineLevel="1" x14ac:dyDescent="0.25">
      <c r="A65" s="51" t="s">
        <v>81</v>
      </c>
      <c r="B65" s="23">
        <f>+[1]Agregado!$D$42</f>
        <v>21115389.0825</v>
      </c>
      <c r="C65" s="30"/>
      <c r="D65" s="30"/>
      <c r="E65" s="30"/>
      <c r="F65" s="30"/>
      <c r="G65" s="30"/>
      <c r="H65" s="23">
        <f>+B65+C65+D65+G65+E65+F65</f>
        <v>21115389.0825</v>
      </c>
      <c r="I65" s="30"/>
      <c r="J65" s="24">
        <f>+H65+I65</f>
        <v>21115389.0825</v>
      </c>
      <c r="K65" s="52"/>
      <c r="L65" s="52"/>
      <c r="M65" s="52"/>
      <c r="N65" s="52"/>
      <c r="O65" s="24">
        <f>+J65+K65+L65+M65+N65-800000</f>
        <v>20315389.0825</v>
      </c>
      <c r="P65" s="24">
        <v>19803093</v>
      </c>
      <c r="Q65" s="24">
        <v>0</v>
      </c>
      <c r="R65" s="24"/>
      <c r="S65" s="24"/>
      <c r="T65" s="24">
        <f t="shared" si="19"/>
        <v>19803093</v>
      </c>
      <c r="U65" s="24">
        <f t="shared" si="18"/>
        <v>-512296.08249999955</v>
      </c>
      <c r="V65" s="53">
        <f t="shared" si="6"/>
        <v>0.97478285646316765</v>
      </c>
    </row>
    <row r="66" spans="1:22" s="50" customFormat="1" ht="15" collapsed="1" x14ac:dyDescent="0.25">
      <c r="A66" s="54" t="s">
        <v>82</v>
      </c>
      <c r="B66" s="19">
        <f>SUM(B67:B69)</f>
        <v>195696963.68250003</v>
      </c>
      <c r="C66" s="30"/>
      <c r="D66" s="30"/>
      <c r="E66" s="30"/>
      <c r="F66" s="30"/>
      <c r="G66" s="30"/>
      <c r="H66" s="19">
        <f>SUM(H67:H69)</f>
        <v>195696963.68250003</v>
      </c>
      <c r="I66" s="30"/>
      <c r="J66" s="19">
        <f>SUM(J67:J69)</f>
        <v>195696963.68250003</v>
      </c>
      <c r="K66" s="20">
        <f>SUM(K67:K69)</f>
        <v>0</v>
      </c>
      <c r="L66" s="20">
        <f>SUM(L67:L69)</f>
        <v>0</v>
      </c>
      <c r="M66" s="20">
        <f>SUM(M67:M69)</f>
        <v>0</v>
      </c>
      <c r="N66" s="20">
        <f>SUM(N67:N69)</f>
        <v>0</v>
      </c>
      <c r="O66" s="19">
        <f t="shared" si="17"/>
        <v>195696963.68250003</v>
      </c>
      <c r="P66" s="19">
        <f>SUM(P67:P69)</f>
        <v>14977305</v>
      </c>
      <c r="Q66" s="19">
        <f>SUM(Q67:Q69)</f>
        <v>36456580</v>
      </c>
      <c r="R66" s="19">
        <f>SUM(R67:R69)</f>
        <v>66262416</v>
      </c>
      <c r="S66" s="19">
        <f>SUM(S67:S69)</f>
        <v>59472313</v>
      </c>
      <c r="T66" s="19">
        <f t="shared" si="19"/>
        <v>177168614</v>
      </c>
      <c r="U66" s="19">
        <f t="shared" si="18"/>
        <v>-18528349.682500035</v>
      </c>
      <c r="V66" s="21">
        <f t="shared" si="6"/>
        <v>0.90532122045306462</v>
      </c>
    </row>
    <row r="67" spans="1:22" s="50" customFormat="1" ht="15" hidden="1" outlineLevel="1" x14ac:dyDescent="0.25">
      <c r="A67" s="51" t="s">
        <v>83</v>
      </c>
      <c r="B67" s="23">
        <f>+[1]Agregado!$D$45</f>
        <v>25703462.8125</v>
      </c>
      <c r="C67" s="30"/>
      <c r="D67" s="30"/>
      <c r="E67" s="30"/>
      <c r="F67" s="30"/>
      <c r="G67" s="30"/>
      <c r="H67" s="23">
        <f>+B67+C67+D67+G67+E67+F67</f>
        <v>25703462.8125</v>
      </c>
      <c r="I67" s="30"/>
      <c r="J67" s="24">
        <f>+H67+I67</f>
        <v>25703462.8125</v>
      </c>
      <c r="K67" s="52"/>
      <c r="L67" s="52"/>
      <c r="M67" s="52"/>
      <c r="N67" s="52"/>
      <c r="O67" s="24">
        <f>+J67+K67+L67+M67+N67-1000000</f>
        <v>24703462.8125</v>
      </c>
      <c r="P67" s="24">
        <v>4777205</v>
      </c>
      <c r="Q67" s="24">
        <v>7159462</v>
      </c>
      <c r="R67" s="24">
        <v>5312934</v>
      </c>
      <c r="S67" s="24">
        <v>4485060</v>
      </c>
      <c r="T67" s="24">
        <f t="shared" si="19"/>
        <v>21734661</v>
      </c>
      <c r="U67" s="24">
        <f t="shared" si="18"/>
        <v>-2968801.8125</v>
      </c>
      <c r="V67" s="53">
        <f t="shared" si="6"/>
        <v>0.87982244290878198</v>
      </c>
    </row>
    <row r="68" spans="1:22" s="50" customFormat="1" ht="15" hidden="1" outlineLevel="1" x14ac:dyDescent="0.25">
      <c r="A68" s="51" t="s">
        <v>84</v>
      </c>
      <c r="B68" s="23">
        <f>+[1]Agregado!$D$46</f>
        <v>153443250.00000003</v>
      </c>
      <c r="C68" s="30"/>
      <c r="D68" s="30"/>
      <c r="E68" s="30"/>
      <c r="F68" s="30"/>
      <c r="G68" s="30"/>
      <c r="H68" s="23">
        <f>+B68+C68+D68+G68+E68+F68</f>
        <v>153443250.00000003</v>
      </c>
      <c r="I68" s="30"/>
      <c r="J68" s="24">
        <f>+H68+I68</f>
        <v>153443250.00000003</v>
      </c>
      <c r="K68" s="52"/>
      <c r="L68" s="52"/>
      <c r="M68" s="52"/>
      <c r="N68" s="52"/>
      <c r="O68" s="24">
        <f>+J68+K68+L68+M68+N68-7536596</f>
        <v>145906654.00000003</v>
      </c>
      <c r="P68" s="24">
        <v>10200100</v>
      </c>
      <c r="Q68" s="24">
        <v>29297118</v>
      </c>
      <c r="R68" s="24">
        <v>43817293</v>
      </c>
      <c r="S68" s="24">
        <v>48685233</v>
      </c>
      <c r="T68" s="24">
        <f t="shared" si="19"/>
        <v>131999744</v>
      </c>
      <c r="U68" s="24">
        <f t="shared" si="18"/>
        <v>-13906910.00000003</v>
      </c>
      <c r="V68" s="53">
        <f t="shared" si="6"/>
        <v>0.90468625234871036</v>
      </c>
    </row>
    <row r="69" spans="1:22" s="50" customFormat="1" ht="15" hidden="1" outlineLevel="1" x14ac:dyDescent="0.25">
      <c r="A69" s="51" t="s">
        <v>85</v>
      </c>
      <c r="B69" s="23">
        <f>+[1]Agregado!$D$47</f>
        <v>16550250.870000001</v>
      </c>
      <c r="C69" s="30"/>
      <c r="D69" s="30"/>
      <c r="E69" s="30"/>
      <c r="F69" s="30"/>
      <c r="G69" s="30"/>
      <c r="H69" s="23">
        <f>+B69+C69+D69+G69+E69+F69</f>
        <v>16550250.870000001</v>
      </c>
      <c r="I69" s="30"/>
      <c r="J69" s="24">
        <f>+H69+I69</f>
        <v>16550250.870000001</v>
      </c>
      <c r="K69" s="52"/>
      <c r="L69" s="52"/>
      <c r="M69" s="52"/>
      <c r="N69" s="52"/>
      <c r="O69" s="24">
        <f>+J69+K69+L69+M69+N69+8533596</f>
        <v>25083846.870000001</v>
      </c>
      <c r="P69" s="24">
        <v>0</v>
      </c>
      <c r="Q69" s="24">
        <v>0</v>
      </c>
      <c r="R69" s="24">
        <v>17132189</v>
      </c>
      <c r="S69" s="24">
        <v>6302020</v>
      </c>
      <c r="T69" s="24">
        <f t="shared" si="19"/>
        <v>23434209</v>
      </c>
      <c r="U69" s="24">
        <f t="shared" si="18"/>
        <v>-1649637.870000001</v>
      </c>
      <c r="V69" s="53">
        <f t="shared" si="6"/>
        <v>0.93423505259980877</v>
      </c>
    </row>
    <row r="70" spans="1:22" s="50" customFormat="1" ht="15" collapsed="1" x14ac:dyDescent="0.25">
      <c r="A70" s="54" t="s">
        <v>86</v>
      </c>
      <c r="B70" s="19">
        <f>SUM(B71:B72)</f>
        <v>483933983.84324157</v>
      </c>
      <c r="C70" s="30"/>
      <c r="D70" s="30"/>
      <c r="E70" s="30"/>
      <c r="F70" s="30"/>
      <c r="G70" s="30"/>
      <c r="H70" s="19">
        <f>SUM(H71:H72)</f>
        <v>483933983.84324157</v>
      </c>
      <c r="I70" s="30"/>
      <c r="J70" s="19">
        <f>SUM(J71:J72)</f>
        <v>483933983.84324157</v>
      </c>
      <c r="K70" s="20">
        <f>SUM(K71:K72)</f>
        <v>0</v>
      </c>
      <c r="L70" s="20">
        <f>SUM(L71:L72)</f>
        <v>0</v>
      </c>
      <c r="M70" s="20">
        <f>SUM(M71:M72)</f>
        <v>0</v>
      </c>
      <c r="N70" s="20">
        <f>SUM(N71:N72)</f>
        <v>0</v>
      </c>
      <c r="O70" s="19">
        <f t="shared" si="17"/>
        <v>483933983.84324157</v>
      </c>
      <c r="P70" s="19">
        <f>SUM(P71:P72)</f>
        <v>75224176</v>
      </c>
      <c r="Q70" s="19">
        <f>SUM(Q71:Q72)</f>
        <v>117999835</v>
      </c>
      <c r="R70" s="19">
        <f>SUM(R71:R72)</f>
        <v>95255584</v>
      </c>
      <c r="S70" s="19">
        <f>SUM(S71:S72)</f>
        <v>103353530</v>
      </c>
      <c r="T70" s="19">
        <f t="shared" si="19"/>
        <v>391833125</v>
      </c>
      <c r="U70" s="19">
        <f t="shared" si="18"/>
        <v>-92100858.843241572</v>
      </c>
      <c r="V70" s="21">
        <f t="shared" si="6"/>
        <v>0.80968301066230686</v>
      </c>
    </row>
    <row r="71" spans="1:22" s="50" customFormat="1" ht="15" hidden="1" outlineLevel="1" x14ac:dyDescent="0.25">
      <c r="A71" s="51" t="s">
        <v>87</v>
      </c>
      <c r="B71" s="23">
        <f>+[1]Agregado!$D$50</f>
        <v>374177107.00949156</v>
      </c>
      <c r="C71" s="30"/>
      <c r="D71" s="30"/>
      <c r="E71" s="30"/>
      <c r="F71" s="30"/>
      <c r="G71" s="30"/>
      <c r="H71" s="23">
        <f>+B71+C71+D71+G71+E71+F71</f>
        <v>374177107.00949156</v>
      </c>
      <c r="I71" s="30"/>
      <c r="J71" s="24">
        <f>+H71+I71</f>
        <v>374177107.00949156</v>
      </c>
      <c r="K71" s="52"/>
      <c r="L71" s="52"/>
      <c r="M71" s="52"/>
      <c r="N71" s="52"/>
      <c r="O71" s="24">
        <f>+J71+K71+L71+M71+N71-20000000</f>
        <v>354177107.00949156</v>
      </c>
      <c r="P71" s="24">
        <v>72573581</v>
      </c>
      <c r="Q71" s="24">
        <v>66827955</v>
      </c>
      <c r="R71" s="24">
        <v>78477272</v>
      </c>
      <c r="S71" s="24">
        <v>85809228</v>
      </c>
      <c r="T71" s="24">
        <f t="shared" si="19"/>
        <v>303688036</v>
      </c>
      <c r="U71" s="24">
        <f t="shared" si="18"/>
        <v>-50489071.009491563</v>
      </c>
      <c r="V71" s="53">
        <f t="shared" si="6"/>
        <v>0.85744682530218275</v>
      </c>
    </row>
    <row r="72" spans="1:22" s="50" customFormat="1" ht="15" hidden="1" outlineLevel="1" x14ac:dyDescent="0.25">
      <c r="A72" s="51" t="s">
        <v>88</v>
      </c>
      <c r="B72" s="23">
        <f>+[1]Agregado!$D$51</f>
        <v>109756876.83375001</v>
      </c>
      <c r="C72" s="30"/>
      <c r="D72" s="30"/>
      <c r="E72" s="30"/>
      <c r="F72" s="30"/>
      <c r="G72" s="30"/>
      <c r="H72" s="23">
        <f>+B72+C72+D72+G72+E72+F72</f>
        <v>109756876.83375001</v>
      </c>
      <c r="I72" s="30"/>
      <c r="J72" s="24">
        <f>+H72+I72</f>
        <v>109756876.83375001</v>
      </c>
      <c r="K72" s="52"/>
      <c r="L72" s="52"/>
      <c r="M72" s="52"/>
      <c r="N72" s="52"/>
      <c r="O72" s="24">
        <f>+J72+K72+L72+M72+N72+20000000</f>
        <v>129756876.83375001</v>
      </c>
      <c r="P72" s="24">
        <v>2650595</v>
      </c>
      <c r="Q72" s="24">
        <v>51171880</v>
      </c>
      <c r="R72" s="24">
        <v>16778312</v>
      </c>
      <c r="S72" s="24">
        <v>17544302</v>
      </c>
      <c r="T72" s="24">
        <f t="shared" si="19"/>
        <v>88145089</v>
      </c>
      <c r="U72" s="24">
        <f t="shared" si="18"/>
        <v>-41611787.83375001</v>
      </c>
      <c r="V72" s="53">
        <f t="shared" si="6"/>
        <v>0.67930957611545484</v>
      </c>
    </row>
    <row r="73" spans="1:22" s="50" customFormat="1" ht="15" collapsed="1" x14ac:dyDescent="0.25">
      <c r="A73" s="51"/>
      <c r="B73" s="23"/>
      <c r="C73" s="30"/>
      <c r="D73" s="30"/>
      <c r="E73" s="30"/>
      <c r="F73" s="30"/>
      <c r="G73" s="30"/>
      <c r="H73" s="23"/>
      <c r="I73" s="30"/>
      <c r="J73" s="24"/>
      <c r="K73" s="52"/>
      <c r="L73" s="52"/>
      <c r="M73" s="52"/>
      <c r="N73" s="52"/>
      <c r="O73" s="24"/>
      <c r="P73" s="24"/>
      <c r="Q73" s="24"/>
      <c r="R73" s="24"/>
      <c r="S73" s="24"/>
      <c r="T73" s="24"/>
      <c r="U73" s="24"/>
      <c r="V73" s="53"/>
    </row>
    <row r="74" spans="1:22" s="50" customFormat="1" ht="15" x14ac:dyDescent="0.25">
      <c r="A74" s="54" t="s">
        <v>89</v>
      </c>
      <c r="B74" s="23"/>
      <c r="C74" s="30"/>
      <c r="D74" s="30"/>
      <c r="E74" s="30"/>
      <c r="F74" s="30">
        <f>+F75+F83+F90+F94+F106</f>
        <v>8671135294.2726898</v>
      </c>
      <c r="G74" s="30"/>
      <c r="H74" s="30">
        <f>+H75+H83+H90+H94+H106</f>
        <v>8671135294.2726898</v>
      </c>
      <c r="I74" s="30"/>
      <c r="J74" s="19">
        <f>+H74+I74</f>
        <v>8671135294.2726898</v>
      </c>
      <c r="K74" s="30">
        <f>+K75+K83+K90+K94+K106</f>
        <v>0</v>
      </c>
      <c r="L74" s="30">
        <f>+L75+L83+L90+L94+L106</f>
        <v>70000000</v>
      </c>
      <c r="M74" s="30">
        <f>+M75+M83+M90+M94+M106</f>
        <v>-204000000</v>
      </c>
      <c r="N74" s="30">
        <f>+N75+N83+N90+N94+N106</f>
        <v>0</v>
      </c>
      <c r="O74" s="19">
        <f t="shared" ref="O74:O108" si="22">+J74+K74+L74+M74+N74</f>
        <v>8537135294.2726898</v>
      </c>
      <c r="P74" s="30">
        <f>+P75+P83+P90+P94+P106</f>
        <v>990939300.07599998</v>
      </c>
      <c r="Q74" s="30">
        <f>+Q75+Q83+Q90+Q94+Q106</f>
        <v>3177050513</v>
      </c>
      <c r="R74" s="30">
        <f>+R75+R83+R90+R94+R106</f>
        <v>2182461416</v>
      </c>
      <c r="S74" s="30">
        <f>+S75+S83+S90+S94+S106</f>
        <v>2050792076</v>
      </c>
      <c r="T74" s="19">
        <f t="shared" ref="T74:T110" si="23">+P74+Q74+R74+S74</f>
        <v>8401243305.0760002</v>
      </c>
      <c r="U74" s="19">
        <f t="shared" ref="U74:U110" si="24">+T74-O74</f>
        <v>-135891989.19668961</v>
      </c>
      <c r="V74" s="21">
        <f t="shared" si="6"/>
        <v>0.98408224954712198</v>
      </c>
    </row>
    <row r="75" spans="1:22" s="50" customFormat="1" ht="15" x14ac:dyDescent="0.25">
      <c r="A75" s="54" t="s">
        <v>90</v>
      </c>
      <c r="B75" s="23"/>
      <c r="C75" s="30"/>
      <c r="D75" s="30"/>
      <c r="E75" s="30"/>
      <c r="F75" s="30">
        <f>SUM(F76:F82)</f>
        <v>390144832.72424996</v>
      </c>
      <c r="G75" s="30"/>
      <c r="H75" s="30">
        <f>SUM(H76:H82)</f>
        <v>390144832.72424996</v>
      </c>
      <c r="I75" s="30"/>
      <c r="J75" s="30">
        <f>SUM(J76:J82)</f>
        <v>390144832.72424996</v>
      </c>
      <c r="K75" s="30">
        <f>SUM(K76:K82)</f>
        <v>0</v>
      </c>
      <c r="L75" s="30">
        <f>SUM(L76:L82)</f>
        <v>0</v>
      </c>
      <c r="M75" s="30">
        <f>SUM(M76:M82)</f>
        <v>0</v>
      </c>
      <c r="N75" s="30">
        <f>SUM(N76:N82)</f>
        <v>0</v>
      </c>
      <c r="O75" s="30">
        <f t="shared" si="22"/>
        <v>390144832.72424996</v>
      </c>
      <c r="P75" s="30">
        <f>SUM(P76:P82)</f>
        <v>0</v>
      </c>
      <c r="Q75" s="30">
        <f>SUM(Q76:Q82)</f>
        <v>103218034</v>
      </c>
      <c r="R75" s="30">
        <f>SUM(R76:R82)</f>
        <v>90278022</v>
      </c>
      <c r="S75" s="30">
        <f>SUM(S76:S82)</f>
        <v>184360333</v>
      </c>
      <c r="T75" s="30">
        <f t="shared" si="23"/>
        <v>377856389</v>
      </c>
      <c r="U75" s="30">
        <f t="shared" si="24"/>
        <v>-12288443.724249959</v>
      </c>
      <c r="V75" s="32">
        <f t="shared" ref="V75:V110" si="25">IFERROR(T75/O75,0)</f>
        <v>0.96850286690087906</v>
      </c>
    </row>
    <row r="76" spans="1:22" s="50" customFormat="1" ht="15" hidden="1" outlineLevel="1" x14ac:dyDescent="0.25">
      <c r="A76" s="51" t="s">
        <v>91</v>
      </c>
      <c r="B76" s="23"/>
      <c r="C76" s="30"/>
      <c r="D76" s="30"/>
      <c r="E76" s="30"/>
      <c r="F76" s="24">
        <f>+'[2]PROPUESTA 2017 Compacto '!$C$22</f>
        <v>48192457.785750002</v>
      </c>
      <c r="G76" s="30"/>
      <c r="H76" s="23">
        <f t="shared" ref="H76:H81" si="26">+B76+C76+D76+G76+E76+F76</f>
        <v>48192457.785750002</v>
      </c>
      <c r="I76" s="30"/>
      <c r="J76" s="24">
        <f t="shared" ref="J76:J81" si="27">+H76+I76</f>
        <v>48192457.785750002</v>
      </c>
      <c r="K76" s="52"/>
      <c r="L76" s="52"/>
      <c r="M76" s="52"/>
      <c r="N76" s="52"/>
      <c r="O76" s="24">
        <f t="shared" si="22"/>
        <v>48192457.785750002</v>
      </c>
      <c r="P76" s="24">
        <v>0</v>
      </c>
      <c r="Q76" s="24">
        <v>0</v>
      </c>
      <c r="R76" s="24"/>
      <c r="S76" s="24">
        <v>48190000</v>
      </c>
      <c r="T76" s="24">
        <f t="shared" si="23"/>
        <v>48190000</v>
      </c>
      <c r="U76" s="24">
        <f t="shared" si="24"/>
        <v>-2457.7857500016689</v>
      </c>
      <c r="V76" s="53">
        <f t="shared" si="25"/>
        <v>0.99994900061414327</v>
      </c>
    </row>
    <row r="77" spans="1:22" s="50" customFormat="1" ht="15" hidden="1" outlineLevel="1" x14ac:dyDescent="0.25">
      <c r="A77" s="51" t="s">
        <v>92</v>
      </c>
      <c r="B77" s="23"/>
      <c r="C77" s="30"/>
      <c r="D77" s="30"/>
      <c r="E77" s="30"/>
      <c r="F77" s="24">
        <f>+'[2]PROPUESTA 2017 Compacto '!$C$23</f>
        <v>88345262.726999998</v>
      </c>
      <c r="G77" s="30"/>
      <c r="H77" s="23">
        <f t="shared" si="26"/>
        <v>88345262.726999998</v>
      </c>
      <c r="I77" s="30"/>
      <c r="J77" s="24">
        <f t="shared" si="27"/>
        <v>88345262.726999998</v>
      </c>
      <c r="K77" s="52"/>
      <c r="L77" s="52"/>
      <c r="M77" s="52"/>
      <c r="N77" s="52"/>
      <c r="O77" s="24">
        <f t="shared" si="22"/>
        <v>88345262.726999998</v>
      </c>
      <c r="P77" s="24">
        <v>0</v>
      </c>
      <c r="Q77" s="24">
        <v>0</v>
      </c>
      <c r="R77" s="24"/>
      <c r="S77" s="24">
        <v>83750000</v>
      </c>
      <c r="T77" s="24">
        <f t="shared" si="23"/>
        <v>83750000</v>
      </c>
      <c r="U77" s="24">
        <f t="shared" si="24"/>
        <v>-4595262.7269999981</v>
      </c>
      <c r="V77" s="53">
        <f t="shared" si="25"/>
        <v>0.9479851823951212</v>
      </c>
    </row>
    <row r="78" spans="1:22" s="50" customFormat="1" ht="15" hidden="1" outlineLevel="1" x14ac:dyDescent="0.25">
      <c r="A78" s="51" t="s">
        <v>93</v>
      </c>
      <c r="B78" s="23"/>
      <c r="C78" s="30"/>
      <c r="D78" s="30"/>
      <c r="E78" s="30"/>
      <c r="F78" s="24">
        <f>+'[2]PROPUESTA 2017 Compacto '!$C$24</f>
        <v>22000245.756749999</v>
      </c>
      <c r="G78" s="30"/>
      <c r="H78" s="23">
        <f t="shared" si="26"/>
        <v>22000245.756749999</v>
      </c>
      <c r="I78" s="30"/>
      <c r="J78" s="24">
        <f t="shared" si="27"/>
        <v>22000245.756749999</v>
      </c>
      <c r="K78" s="52"/>
      <c r="L78" s="52"/>
      <c r="M78" s="52"/>
      <c r="N78" s="52"/>
      <c r="O78" s="24">
        <f t="shared" si="22"/>
        <v>22000245.756749999</v>
      </c>
      <c r="P78" s="24">
        <v>0</v>
      </c>
      <c r="Q78" s="24">
        <v>21938681</v>
      </c>
      <c r="R78" s="24"/>
      <c r="S78" s="24">
        <v>0</v>
      </c>
      <c r="T78" s="24">
        <f t="shared" si="23"/>
        <v>21938681</v>
      </c>
      <c r="U78" s="24">
        <f t="shared" si="24"/>
        <v>-61564.756749998778</v>
      </c>
      <c r="V78" s="53">
        <f t="shared" si="25"/>
        <v>0.99720163322579658</v>
      </c>
    </row>
    <row r="79" spans="1:22" s="50" customFormat="1" ht="15" hidden="1" outlineLevel="1" x14ac:dyDescent="0.25">
      <c r="A79" s="51" t="s">
        <v>94</v>
      </c>
      <c r="B79" s="23"/>
      <c r="C79" s="30"/>
      <c r="D79" s="30"/>
      <c r="E79" s="30"/>
      <c r="F79" s="24">
        <f>+'[2]PROPUESTA 2017 Compacto '!$C$25</f>
        <v>26984013.77925</v>
      </c>
      <c r="G79" s="30"/>
      <c r="H79" s="23">
        <f t="shared" si="26"/>
        <v>26984013.77925</v>
      </c>
      <c r="I79" s="30"/>
      <c r="J79" s="24">
        <f t="shared" si="27"/>
        <v>26984013.77925</v>
      </c>
      <c r="K79" s="52"/>
      <c r="L79" s="52"/>
      <c r="M79" s="52"/>
      <c r="N79" s="52"/>
      <c r="O79" s="24">
        <f t="shared" si="22"/>
        <v>26984013.77925</v>
      </c>
      <c r="P79" s="24">
        <v>0</v>
      </c>
      <c r="Q79" s="24">
        <v>3418034</v>
      </c>
      <c r="R79" s="24">
        <v>6278022</v>
      </c>
      <c r="S79" s="24">
        <v>10621583</v>
      </c>
      <c r="T79" s="24">
        <f t="shared" si="23"/>
        <v>20317639</v>
      </c>
      <c r="U79" s="24">
        <f t="shared" si="24"/>
        <v>-6666374.7792499997</v>
      </c>
      <c r="V79" s="53">
        <f t="shared" si="25"/>
        <v>0.75295095704493498</v>
      </c>
    </row>
    <row r="80" spans="1:22" s="50" customFormat="1" ht="15" hidden="1" outlineLevel="1" x14ac:dyDescent="0.25">
      <c r="A80" s="51" t="s">
        <v>95</v>
      </c>
      <c r="B80" s="23"/>
      <c r="C80" s="30"/>
      <c r="D80" s="30"/>
      <c r="E80" s="30"/>
      <c r="F80" s="24">
        <f>+'[2]PROPUESTA 2017 Compacto '!$C$26</f>
        <v>77861318.553000003</v>
      </c>
      <c r="G80" s="30"/>
      <c r="H80" s="23">
        <f t="shared" si="26"/>
        <v>77861318.553000003</v>
      </c>
      <c r="I80" s="30"/>
      <c r="J80" s="24">
        <f t="shared" si="27"/>
        <v>77861318.553000003</v>
      </c>
      <c r="K80" s="52"/>
      <c r="L80" s="52"/>
      <c r="M80" s="52"/>
      <c r="N80" s="52"/>
      <c r="O80" s="24">
        <f t="shared" si="22"/>
        <v>77861318.553000003</v>
      </c>
      <c r="P80" s="24">
        <v>0</v>
      </c>
      <c r="Q80" s="24">
        <v>77861319</v>
      </c>
      <c r="R80" s="24"/>
      <c r="S80" s="24">
        <v>0</v>
      </c>
      <c r="T80" s="24">
        <f t="shared" si="23"/>
        <v>77861319</v>
      </c>
      <c r="U80" s="24">
        <f t="shared" si="24"/>
        <v>0.44699999690055847</v>
      </c>
      <c r="V80" s="53">
        <f t="shared" si="25"/>
        <v>1.0000000057409764</v>
      </c>
    </row>
    <row r="81" spans="1:22" s="50" customFormat="1" ht="15" hidden="1" outlineLevel="1" x14ac:dyDescent="0.25">
      <c r="A81" s="51" t="s">
        <v>96</v>
      </c>
      <c r="B81" s="23"/>
      <c r="C81" s="30"/>
      <c r="D81" s="30"/>
      <c r="E81" s="30"/>
      <c r="F81" s="24">
        <f>+'[2]PROPUESTA 2017 Compacto '!$C$27</f>
        <v>84461534.122500002</v>
      </c>
      <c r="G81" s="30"/>
      <c r="H81" s="23">
        <f t="shared" si="26"/>
        <v>84461534.122500002</v>
      </c>
      <c r="I81" s="30"/>
      <c r="J81" s="24">
        <f t="shared" si="27"/>
        <v>84461534.122500002</v>
      </c>
      <c r="K81" s="52"/>
      <c r="L81" s="52"/>
      <c r="M81" s="52"/>
      <c r="N81" s="52"/>
      <c r="O81" s="24">
        <f t="shared" si="22"/>
        <v>84461534.122500002</v>
      </c>
      <c r="P81" s="24">
        <v>0</v>
      </c>
      <c r="Q81" s="24">
        <v>0</v>
      </c>
      <c r="R81" s="24">
        <v>84000000</v>
      </c>
      <c r="S81" s="24">
        <v>0</v>
      </c>
      <c r="T81" s="24">
        <f t="shared" si="23"/>
        <v>84000000</v>
      </c>
      <c r="U81" s="24">
        <f t="shared" si="24"/>
        <v>-461534.12250000238</v>
      </c>
      <c r="V81" s="53">
        <f t="shared" si="25"/>
        <v>0.99453557021790995</v>
      </c>
    </row>
    <row r="82" spans="1:22" s="50" customFormat="1" ht="15" hidden="1" outlineLevel="1" x14ac:dyDescent="0.25">
      <c r="A82" s="51" t="s">
        <v>97</v>
      </c>
      <c r="B82" s="23"/>
      <c r="C82" s="30"/>
      <c r="D82" s="30"/>
      <c r="E82" s="30"/>
      <c r="F82" s="24">
        <f>+'[2]PROPUESTA 2017 Compacto '!$C$29</f>
        <v>42300000</v>
      </c>
      <c r="G82" s="30"/>
      <c r="H82" s="23">
        <f>+B82+C82+D82+G82+E82+F82</f>
        <v>42300000</v>
      </c>
      <c r="I82" s="30"/>
      <c r="J82" s="24">
        <f>+H82+I82</f>
        <v>42300000</v>
      </c>
      <c r="K82" s="52"/>
      <c r="L82" s="52"/>
      <c r="M82" s="52"/>
      <c r="N82" s="52"/>
      <c r="O82" s="24">
        <f t="shared" si="22"/>
        <v>42300000</v>
      </c>
      <c r="P82" s="24">
        <v>0</v>
      </c>
      <c r="Q82" s="24">
        <v>0</v>
      </c>
      <c r="R82" s="24"/>
      <c r="S82" s="24">
        <v>41798750</v>
      </c>
      <c r="T82" s="24">
        <f t="shared" si="23"/>
        <v>41798750</v>
      </c>
      <c r="U82" s="24">
        <f t="shared" si="24"/>
        <v>-501250</v>
      </c>
      <c r="V82" s="53">
        <f t="shared" si="25"/>
        <v>0.98815011820330967</v>
      </c>
    </row>
    <row r="83" spans="1:22" s="50" customFormat="1" ht="15" collapsed="1" x14ac:dyDescent="0.25">
      <c r="A83" s="54" t="s">
        <v>98</v>
      </c>
      <c r="B83" s="23"/>
      <c r="C83" s="30"/>
      <c r="D83" s="30"/>
      <c r="E83" s="30"/>
      <c r="F83" s="30">
        <f>SUM(F84:F89)</f>
        <v>810091792.22500002</v>
      </c>
      <c r="G83" s="30"/>
      <c r="H83" s="30">
        <f>SUM(H84:H89)</f>
        <v>810091792.22500002</v>
      </c>
      <c r="I83" s="30"/>
      <c r="J83" s="30">
        <f>SUM(J84:J89)</f>
        <v>810091792.22500002</v>
      </c>
      <c r="K83" s="31">
        <f>SUM(K84:K89)</f>
        <v>0</v>
      </c>
      <c r="L83" s="31">
        <f>SUM(L84:L89)</f>
        <v>0</v>
      </c>
      <c r="M83" s="31">
        <f>SUM(M84:M89)</f>
        <v>-119000000</v>
      </c>
      <c r="N83" s="31">
        <f>SUM(N84:N89)</f>
        <v>0</v>
      </c>
      <c r="O83" s="30">
        <f t="shared" si="22"/>
        <v>691091792.22500002</v>
      </c>
      <c r="P83" s="30">
        <f>SUM(P84:P89)</f>
        <v>13447000</v>
      </c>
      <c r="Q83" s="30">
        <f>SUM(Q84:Q89)</f>
        <v>53652960.00000003</v>
      </c>
      <c r="R83" s="30">
        <f>SUM(R84:R89)</f>
        <v>332851269</v>
      </c>
      <c r="S83" s="30">
        <f>SUM(S84:S89)</f>
        <v>280617031</v>
      </c>
      <c r="T83" s="30">
        <f t="shared" si="23"/>
        <v>680568260</v>
      </c>
      <c r="U83" s="30">
        <f t="shared" si="24"/>
        <v>-10523532.225000024</v>
      </c>
      <c r="V83" s="32">
        <f t="shared" si="25"/>
        <v>0.98477259845451348</v>
      </c>
    </row>
    <row r="84" spans="1:22" s="50" customFormat="1" ht="15" hidden="1" outlineLevel="1" x14ac:dyDescent="0.25">
      <c r="A84" s="51" t="s">
        <v>99</v>
      </c>
      <c r="B84" s="23"/>
      <c r="C84" s="30"/>
      <c r="D84" s="30"/>
      <c r="E84" s="30"/>
      <c r="F84" s="24">
        <f>+'[2]PROPUESTA 2017 Compacto '!$C$31</f>
        <v>90759484.799999997</v>
      </c>
      <c r="G84" s="30"/>
      <c r="H84" s="23">
        <f t="shared" ref="H84:H89" si="28">+B84+C84+D84+G84+E84+F84</f>
        <v>90759484.799999997</v>
      </c>
      <c r="I84" s="30"/>
      <c r="J84" s="24">
        <f t="shared" ref="J84:J89" si="29">+H84+I84</f>
        <v>90759484.799999997</v>
      </c>
      <c r="K84" s="52"/>
      <c r="L84" s="52"/>
      <c r="M84" s="52">
        <v>-49183102</v>
      </c>
      <c r="N84" s="52"/>
      <c r="O84" s="24">
        <f t="shared" si="22"/>
        <v>41576382.799999997</v>
      </c>
      <c r="P84" s="24">
        <v>0</v>
      </c>
      <c r="Q84" s="24">
        <v>448000.00000003353</v>
      </c>
      <c r="R84" s="24">
        <v>25430179</v>
      </c>
      <c r="S84" s="24">
        <v>13771654</v>
      </c>
      <c r="T84" s="24">
        <f t="shared" si="23"/>
        <v>39649833.00000003</v>
      </c>
      <c r="U84" s="24">
        <f t="shared" si="24"/>
        <v>-1926549.7999999672</v>
      </c>
      <c r="V84" s="53">
        <f t="shared" si="25"/>
        <v>0.95366239989497192</v>
      </c>
    </row>
    <row r="85" spans="1:22" s="50" customFormat="1" ht="15" hidden="1" outlineLevel="1" x14ac:dyDescent="0.25">
      <c r="A85" s="51" t="s">
        <v>100</v>
      </c>
      <c r="B85" s="23"/>
      <c r="C85" s="30"/>
      <c r="D85" s="30"/>
      <c r="E85" s="30"/>
      <c r="F85" s="24">
        <f>+'[2]PROPUESTA 2017 Compacto '!$C$32</f>
        <v>191945767.50000003</v>
      </c>
      <c r="G85" s="30"/>
      <c r="H85" s="23">
        <f t="shared" si="28"/>
        <v>191945767.50000003</v>
      </c>
      <c r="I85" s="30"/>
      <c r="J85" s="24">
        <f t="shared" si="29"/>
        <v>191945767.50000003</v>
      </c>
      <c r="K85" s="52"/>
      <c r="L85" s="52"/>
      <c r="M85" s="52">
        <v>-34000000</v>
      </c>
      <c r="N85" s="52"/>
      <c r="O85" s="24">
        <f t="shared" si="22"/>
        <v>157945767.50000003</v>
      </c>
      <c r="P85" s="24">
        <v>13447000</v>
      </c>
      <c r="Q85" s="24">
        <v>43204960</v>
      </c>
      <c r="R85" s="24">
        <v>29174221</v>
      </c>
      <c r="S85" s="24">
        <v>71868264</v>
      </c>
      <c r="T85" s="24">
        <f t="shared" si="23"/>
        <v>157694445</v>
      </c>
      <c r="U85" s="24">
        <f t="shared" si="24"/>
        <v>-251322.5000000298</v>
      </c>
      <c r="V85" s="53">
        <f t="shared" si="25"/>
        <v>0.99840880509824337</v>
      </c>
    </row>
    <row r="86" spans="1:22" s="50" customFormat="1" ht="15" hidden="1" outlineLevel="1" x14ac:dyDescent="0.25">
      <c r="A86" s="51" t="s">
        <v>101</v>
      </c>
      <c r="B86" s="23"/>
      <c r="C86" s="30"/>
      <c r="D86" s="30"/>
      <c r="E86" s="30"/>
      <c r="F86" s="24">
        <f>+'[2]PROPUESTA 2017 Compacto '!$C$33</f>
        <v>70455285</v>
      </c>
      <c r="G86" s="30"/>
      <c r="H86" s="23">
        <f t="shared" si="28"/>
        <v>70455285</v>
      </c>
      <c r="I86" s="30"/>
      <c r="J86" s="24">
        <f t="shared" si="29"/>
        <v>70455285</v>
      </c>
      <c r="K86" s="52"/>
      <c r="L86" s="52"/>
      <c r="M86" s="52"/>
      <c r="N86" s="52"/>
      <c r="O86" s="24">
        <f t="shared" si="22"/>
        <v>70455285</v>
      </c>
      <c r="P86" s="24">
        <v>0</v>
      </c>
      <c r="Q86" s="24">
        <v>0</v>
      </c>
      <c r="R86" s="24">
        <v>49394007</v>
      </c>
      <c r="S86" s="24">
        <v>20500000</v>
      </c>
      <c r="T86" s="24">
        <f t="shared" si="23"/>
        <v>69894007</v>
      </c>
      <c r="U86" s="24">
        <f t="shared" si="24"/>
        <v>-561278</v>
      </c>
      <c r="V86" s="53">
        <f t="shared" si="25"/>
        <v>0.99203355717033859</v>
      </c>
    </row>
    <row r="87" spans="1:22" s="50" customFormat="1" ht="15" hidden="1" outlineLevel="1" x14ac:dyDescent="0.25">
      <c r="A87" s="51" t="s">
        <v>102</v>
      </c>
      <c r="B87" s="23"/>
      <c r="C87" s="30"/>
      <c r="D87" s="30"/>
      <c r="E87" s="30"/>
      <c r="F87" s="24">
        <f>+'[2]PROPUESTA 2017 Compacto '!$C$34</f>
        <v>62364357.000000007</v>
      </c>
      <c r="G87" s="30"/>
      <c r="H87" s="23">
        <f t="shared" si="28"/>
        <v>62364357.000000007</v>
      </c>
      <c r="I87" s="30"/>
      <c r="J87" s="24">
        <f t="shared" si="29"/>
        <v>62364357.000000007</v>
      </c>
      <c r="K87" s="52"/>
      <c r="L87" s="52"/>
      <c r="M87" s="52"/>
      <c r="N87" s="52"/>
      <c r="O87" s="24">
        <f t="shared" si="22"/>
        <v>62364357.000000007</v>
      </c>
      <c r="P87" s="24">
        <v>0</v>
      </c>
      <c r="Q87" s="24">
        <v>0</v>
      </c>
      <c r="R87" s="24">
        <v>0</v>
      </c>
      <c r="S87" s="24">
        <v>57365089</v>
      </c>
      <c r="T87" s="24">
        <f t="shared" si="23"/>
        <v>57365089</v>
      </c>
      <c r="U87" s="24">
        <f t="shared" si="24"/>
        <v>-4999268.0000000075</v>
      </c>
      <c r="V87" s="53">
        <f t="shared" si="25"/>
        <v>0.91983773680212866</v>
      </c>
    </row>
    <row r="88" spans="1:22" s="50" customFormat="1" ht="15" hidden="1" outlineLevel="1" x14ac:dyDescent="0.25">
      <c r="A88" s="51" t="s">
        <v>103</v>
      </c>
      <c r="B88" s="23"/>
      <c r="C88" s="30"/>
      <c r="D88" s="30"/>
      <c r="E88" s="30"/>
      <c r="F88" s="24">
        <f>+'[2]PROPUESTA 2017 Compacto '!$C$35</f>
        <v>125816897.92500001</v>
      </c>
      <c r="G88" s="30"/>
      <c r="H88" s="23">
        <f t="shared" si="28"/>
        <v>125816897.92500001</v>
      </c>
      <c r="I88" s="30"/>
      <c r="J88" s="24">
        <f t="shared" si="29"/>
        <v>125816897.92500001</v>
      </c>
      <c r="K88" s="52"/>
      <c r="L88" s="52"/>
      <c r="M88" s="52">
        <v>-35816898</v>
      </c>
      <c r="N88" s="52"/>
      <c r="O88" s="24">
        <f t="shared" si="22"/>
        <v>89999999.925000012</v>
      </c>
      <c r="P88" s="24">
        <v>0</v>
      </c>
      <c r="Q88" s="24">
        <v>0</v>
      </c>
      <c r="R88" s="24">
        <v>88854040</v>
      </c>
      <c r="S88" s="24">
        <v>0</v>
      </c>
      <c r="T88" s="24">
        <f t="shared" si="23"/>
        <v>88854040</v>
      </c>
      <c r="U88" s="24">
        <f t="shared" si="24"/>
        <v>-1145959.9250000119</v>
      </c>
      <c r="V88" s="53">
        <f t="shared" si="25"/>
        <v>0.98726711193383354</v>
      </c>
    </row>
    <row r="89" spans="1:22" s="50" customFormat="1" ht="15" hidden="1" outlineLevel="1" x14ac:dyDescent="0.25">
      <c r="A89" s="51" t="s">
        <v>104</v>
      </c>
      <c r="B89" s="23"/>
      <c r="C89" s="30"/>
      <c r="D89" s="30"/>
      <c r="E89" s="30"/>
      <c r="F89" s="24">
        <f>+'[2]PROPUESTA 2017 Compacto '!$C$36</f>
        <v>268750000</v>
      </c>
      <c r="G89" s="30"/>
      <c r="H89" s="23">
        <f t="shared" si="28"/>
        <v>268750000</v>
      </c>
      <c r="I89" s="30"/>
      <c r="J89" s="24">
        <f t="shared" si="29"/>
        <v>268750000</v>
      </c>
      <c r="K89" s="52"/>
      <c r="L89" s="52"/>
      <c r="M89" s="52"/>
      <c r="N89" s="52"/>
      <c r="O89" s="24">
        <f t="shared" si="22"/>
        <v>268750000</v>
      </c>
      <c r="P89" s="24">
        <v>0</v>
      </c>
      <c r="Q89" s="24">
        <v>10000000</v>
      </c>
      <c r="R89" s="24">
        <v>139998822</v>
      </c>
      <c r="S89" s="24">
        <v>117112024</v>
      </c>
      <c r="T89" s="24">
        <f t="shared" si="23"/>
        <v>267110846</v>
      </c>
      <c r="U89" s="24">
        <f t="shared" si="24"/>
        <v>-1639154</v>
      </c>
      <c r="V89" s="53">
        <f t="shared" si="25"/>
        <v>0.99390082232558141</v>
      </c>
    </row>
    <row r="90" spans="1:22" s="50" customFormat="1" ht="15" collapsed="1" x14ac:dyDescent="0.25">
      <c r="A90" s="54" t="s">
        <v>105</v>
      </c>
      <c r="B90" s="23"/>
      <c r="C90" s="30"/>
      <c r="D90" s="30"/>
      <c r="E90" s="30"/>
      <c r="F90" s="30">
        <f>+SUM(F91:F93)</f>
        <v>4986014645.4004402</v>
      </c>
      <c r="G90" s="30"/>
      <c r="H90" s="30">
        <f>SUM(H91:H93)</f>
        <v>4986014645.4004402</v>
      </c>
      <c r="I90" s="30"/>
      <c r="J90" s="30">
        <f>SUM(J91:J93)</f>
        <v>4986014645.4004402</v>
      </c>
      <c r="K90" s="31">
        <f>SUM(K91:K93)</f>
        <v>0</v>
      </c>
      <c r="L90" s="31">
        <f>SUM(L91:L93)</f>
        <v>0</v>
      </c>
      <c r="M90" s="31">
        <f>SUM(M91:M93)</f>
        <v>-31000000</v>
      </c>
      <c r="N90" s="31">
        <f>SUM(N91:N93)</f>
        <v>0</v>
      </c>
      <c r="O90" s="30">
        <f t="shared" si="22"/>
        <v>4955014645.4004402</v>
      </c>
      <c r="P90" s="30">
        <f>+SUM(P91:P93)</f>
        <v>774246878.676</v>
      </c>
      <c r="Q90" s="30">
        <f>+SUM(Q91:Q93)</f>
        <v>2319556056</v>
      </c>
      <c r="R90" s="30">
        <f>+SUM(R91:R93)</f>
        <v>991234281</v>
      </c>
      <c r="S90" s="30">
        <f>+SUM(S91:S93)</f>
        <v>867891966</v>
      </c>
      <c r="T90" s="30">
        <f t="shared" si="23"/>
        <v>4952929181.6760006</v>
      </c>
      <c r="U90" s="30">
        <f t="shared" si="24"/>
        <v>-2085463.724439621</v>
      </c>
      <c r="V90" s="32">
        <f t="shared" si="25"/>
        <v>0.9995791205730592</v>
      </c>
    </row>
    <row r="91" spans="1:22" s="50" customFormat="1" ht="15" hidden="1" outlineLevel="1" x14ac:dyDescent="0.25">
      <c r="A91" s="51" t="s">
        <v>106</v>
      </c>
      <c r="B91" s="23"/>
      <c r="C91" s="30"/>
      <c r="D91" s="30"/>
      <c r="E91" s="30"/>
      <c r="F91" s="24">
        <f>+'[2]PROPUESTA 2017 Compacto '!$C$38</f>
        <v>4874903842.3999996</v>
      </c>
      <c r="G91" s="30"/>
      <c r="H91" s="23">
        <f>+B91+C91+D91+G91+E91+F91</f>
        <v>4874903842.3999996</v>
      </c>
      <c r="I91" s="30"/>
      <c r="J91" s="24">
        <f>+H91+I91</f>
        <v>4874903842.3999996</v>
      </c>
      <c r="K91" s="52"/>
      <c r="L91" s="52"/>
      <c r="M91" s="52"/>
      <c r="N91" s="52"/>
      <c r="O91" s="24">
        <f t="shared" si="22"/>
        <v>4874903842.3999996</v>
      </c>
      <c r="P91" s="24">
        <v>758207637</v>
      </c>
      <c r="Q91" s="24">
        <v>2310172654</v>
      </c>
      <c r="R91" s="24">
        <v>955348451</v>
      </c>
      <c r="S91" s="24">
        <v>849640399</v>
      </c>
      <c r="T91" s="24">
        <f t="shared" si="23"/>
        <v>4873369141</v>
      </c>
      <c r="U91" s="24">
        <f t="shared" si="24"/>
        <v>-1534701.3999996185</v>
      </c>
      <c r="V91" s="53">
        <f t="shared" si="25"/>
        <v>0.99968518324676447</v>
      </c>
    </row>
    <row r="92" spans="1:22" s="50" customFormat="1" ht="15" hidden="1" outlineLevel="1" x14ac:dyDescent="0.25">
      <c r="A92" s="51" t="s">
        <v>107</v>
      </c>
      <c r="B92" s="23"/>
      <c r="C92" s="30"/>
      <c r="D92" s="30"/>
      <c r="E92" s="30"/>
      <c r="F92" s="24">
        <f>+'[2]PROPUESTA 2017 Compacto '!$C$40</f>
        <v>60612651.397541255</v>
      </c>
      <c r="G92" s="30"/>
      <c r="H92" s="23">
        <f>+B92+C92+D92+G92+E92+F92</f>
        <v>60612651.397541255</v>
      </c>
      <c r="I92" s="30"/>
      <c r="J92" s="24">
        <f>+H92+I92</f>
        <v>60612651.397541255</v>
      </c>
      <c r="K92" s="52"/>
      <c r="L92" s="52"/>
      <c r="M92" s="52">
        <v>-14666866</v>
      </c>
      <c r="N92" s="52"/>
      <c r="O92" s="24">
        <f t="shared" si="22"/>
        <v>45945785.397541255</v>
      </c>
      <c r="P92" s="24">
        <v>7507224</v>
      </c>
      <c r="Q92" s="24">
        <v>9383402</v>
      </c>
      <c r="R92" s="24">
        <v>18821794</v>
      </c>
      <c r="S92" s="24">
        <v>9719549</v>
      </c>
      <c r="T92" s="24">
        <f t="shared" si="23"/>
        <v>45431969</v>
      </c>
      <c r="U92" s="24">
        <f t="shared" si="24"/>
        <v>-513816.39754125476</v>
      </c>
      <c r="V92" s="53">
        <f t="shared" si="25"/>
        <v>0.98881689815299678</v>
      </c>
    </row>
    <row r="93" spans="1:22" s="50" customFormat="1" ht="15" hidden="1" outlineLevel="1" x14ac:dyDescent="0.25">
      <c r="A93" s="51" t="s">
        <v>108</v>
      </c>
      <c r="B93" s="23"/>
      <c r="C93" s="30"/>
      <c r="D93" s="30"/>
      <c r="E93" s="30"/>
      <c r="F93" s="24">
        <f>+'[2]PROPUESTA 2017 Compacto '!$C$41</f>
        <v>50498151.602899507</v>
      </c>
      <c r="G93" s="30"/>
      <c r="H93" s="23">
        <f>+B93+C93+D93+G93+E93+F93</f>
        <v>50498151.602899507</v>
      </c>
      <c r="I93" s="30"/>
      <c r="J93" s="24">
        <f>+H93+I93</f>
        <v>50498151.602899507</v>
      </c>
      <c r="K93" s="52"/>
      <c r="L93" s="52"/>
      <c r="M93" s="52">
        <v>-16333134</v>
      </c>
      <c r="N93" s="52"/>
      <c r="O93" s="24">
        <f t="shared" si="22"/>
        <v>34165017.602899507</v>
      </c>
      <c r="P93" s="24">
        <v>8532017.675999999</v>
      </c>
      <c r="Q93" s="24">
        <v>0</v>
      </c>
      <c r="R93" s="24">
        <v>17064036</v>
      </c>
      <c r="S93" s="24">
        <v>8532018</v>
      </c>
      <c r="T93" s="24">
        <f t="shared" si="23"/>
        <v>34128071.675999999</v>
      </c>
      <c r="U93" s="24">
        <f t="shared" si="24"/>
        <v>-36945.926899507642</v>
      </c>
      <c r="V93" s="53">
        <f t="shared" si="25"/>
        <v>0.99891860360416229</v>
      </c>
    </row>
    <row r="94" spans="1:22" s="50" customFormat="1" ht="15" collapsed="1" x14ac:dyDescent="0.25">
      <c r="A94" s="54" t="s">
        <v>109</v>
      </c>
      <c r="B94" s="23"/>
      <c r="C94" s="30"/>
      <c r="D94" s="30"/>
      <c r="E94" s="30"/>
      <c r="F94" s="30">
        <f>SUM(F95:F105)</f>
        <v>2023400816.075</v>
      </c>
      <c r="G94" s="30"/>
      <c r="H94" s="30">
        <f>SUM(H95:H105)</f>
        <v>2023400816.075</v>
      </c>
      <c r="I94" s="30"/>
      <c r="J94" s="30">
        <f>SUM(J95:J105)</f>
        <v>2023400816.075</v>
      </c>
      <c r="K94" s="31">
        <f>SUM(K95:K105)</f>
        <v>0</v>
      </c>
      <c r="L94" s="31">
        <f>SUM(L95:L105)</f>
        <v>70000000</v>
      </c>
      <c r="M94" s="31">
        <f>SUM(M95:M105)</f>
        <v>-54000000</v>
      </c>
      <c r="N94" s="31">
        <f>SUM(N95:N105)</f>
        <v>0</v>
      </c>
      <c r="O94" s="30">
        <f t="shared" si="22"/>
        <v>2039400816.075</v>
      </c>
      <c r="P94" s="30">
        <f>SUM(P95:P105)</f>
        <v>141694088.40000001</v>
      </c>
      <c r="Q94" s="30">
        <f>SUM(Q95:Q105)</f>
        <v>601963754</v>
      </c>
      <c r="R94" s="30">
        <f>SUM(R95:R105)</f>
        <v>583013638</v>
      </c>
      <c r="S94" s="30">
        <f>SUM(S95:S105)</f>
        <v>637746072</v>
      </c>
      <c r="T94" s="30">
        <f t="shared" si="23"/>
        <v>1964417552.4000001</v>
      </c>
      <c r="U94" s="30">
        <f t="shared" si="24"/>
        <v>-74983263.674999952</v>
      </c>
      <c r="V94" s="32">
        <f t="shared" si="25"/>
        <v>0.96323269899474118</v>
      </c>
    </row>
    <row r="95" spans="1:22" s="50" customFormat="1" ht="15" hidden="1" outlineLevel="1" x14ac:dyDescent="0.25">
      <c r="A95" s="51" t="s">
        <v>110</v>
      </c>
      <c r="B95" s="23"/>
      <c r="C95" s="30"/>
      <c r="D95" s="30"/>
      <c r="E95" s="30"/>
      <c r="F95" s="24">
        <f>+'[2]PROPUESTA 2017 Compacto '!$C$45</f>
        <v>178331040</v>
      </c>
      <c r="G95" s="30"/>
      <c r="H95" s="23">
        <f t="shared" ref="H95:H110" si="30">+B95+C95+D95+G95+E95+F95</f>
        <v>178331040</v>
      </c>
      <c r="I95" s="30"/>
      <c r="J95" s="24">
        <f t="shared" ref="J95:J110" si="31">+H95+I95</f>
        <v>178331040</v>
      </c>
      <c r="K95" s="52"/>
      <c r="L95" s="52"/>
      <c r="M95" s="52"/>
      <c r="N95" s="52"/>
      <c r="O95" s="24">
        <f>+J95+K95+L95+M95+N95+1926598</f>
        <v>180257638</v>
      </c>
      <c r="P95" s="24">
        <v>6460708</v>
      </c>
      <c r="Q95" s="24">
        <v>35602538</v>
      </c>
      <c r="R95" s="24">
        <v>83813294</v>
      </c>
      <c r="S95" s="24">
        <v>49759659</v>
      </c>
      <c r="T95" s="24">
        <f t="shared" si="23"/>
        <v>175636199</v>
      </c>
      <c r="U95" s="24">
        <f t="shared" si="24"/>
        <v>-4621439</v>
      </c>
      <c r="V95" s="53">
        <f t="shared" si="25"/>
        <v>0.9743620350778146</v>
      </c>
    </row>
    <row r="96" spans="1:22" s="50" customFormat="1" ht="15" hidden="1" outlineLevel="1" x14ac:dyDescent="0.25">
      <c r="A96" s="51" t="s">
        <v>111</v>
      </c>
      <c r="B96" s="23"/>
      <c r="C96" s="30"/>
      <c r="D96" s="30"/>
      <c r="E96" s="30"/>
      <c r="F96" s="24">
        <f>+'[2]PROPUESTA 2017 Compacto '!$C$46</f>
        <v>82093132.799999997</v>
      </c>
      <c r="G96" s="30"/>
      <c r="H96" s="23">
        <f t="shared" si="30"/>
        <v>82093132.799999997</v>
      </c>
      <c r="I96" s="30"/>
      <c r="J96" s="24">
        <f t="shared" si="31"/>
        <v>82093132.799999997</v>
      </c>
      <c r="K96" s="52"/>
      <c r="L96" s="52"/>
      <c r="M96" s="52"/>
      <c r="N96" s="52"/>
      <c r="O96" s="24">
        <f t="shared" si="22"/>
        <v>82093132.799999997</v>
      </c>
      <c r="P96" s="24">
        <v>15636787.399999999</v>
      </c>
      <c r="Q96" s="24">
        <v>23455182</v>
      </c>
      <c r="R96" s="24">
        <v>17591386</v>
      </c>
      <c r="S96" s="24">
        <v>23455181</v>
      </c>
      <c r="T96" s="24">
        <f t="shared" si="23"/>
        <v>80138536.400000006</v>
      </c>
      <c r="U96" s="24">
        <f t="shared" si="24"/>
        <v>-1954596.3999999911</v>
      </c>
      <c r="V96" s="53">
        <f t="shared" si="25"/>
        <v>0.97619050055305001</v>
      </c>
    </row>
    <row r="97" spans="1:22" s="50" customFormat="1" ht="15" hidden="1" outlineLevel="1" x14ac:dyDescent="0.25">
      <c r="A97" s="51" t="s">
        <v>112</v>
      </c>
      <c r="B97" s="23"/>
      <c r="C97" s="30"/>
      <c r="D97" s="30"/>
      <c r="E97" s="30"/>
      <c r="F97" s="24">
        <f>+'[2]PROPUESTA 2017 Compacto '!$C$47</f>
        <v>33840000</v>
      </c>
      <c r="G97" s="30"/>
      <c r="H97" s="23">
        <f t="shared" si="30"/>
        <v>33840000</v>
      </c>
      <c r="I97" s="30"/>
      <c r="J97" s="24">
        <f t="shared" si="31"/>
        <v>33840000</v>
      </c>
      <c r="K97" s="52"/>
      <c r="L97" s="52"/>
      <c r="M97" s="52"/>
      <c r="N97" s="52"/>
      <c r="O97" s="24">
        <f t="shared" si="22"/>
        <v>33840000</v>
      </c>
      <c r="P97" s="24">
        <v>1137990</v>
      </c>
      <c r="Q97" s="24">
        <v>4768560</v>
      </c>
      <c r="R97" s="24">
        <v>3654342</v>
      </c>
      <c r="S97" s="24">
        <v>9537630</v>
      </c>
      <c r="T97" s="24">
        <f t="shared" si="23"/>
        <v>19098522</v>
      </c>
      <c r="U97" s="24">
        <f t="shared" si="24"/>
        <v>-14741478</v>
      </c>
      <c r="V97" s="53">
        <f t="shared" si="25"/>
        <v>0.56437712765957448</v>
      </c>
    </row>
    <row r="98" spans="1:22" s="50" customFormat="1" ht="15" hidden="1" outlineLevel="1" x14ac:dyDescent="0.25">
      <c r="A98" s="51" t="s">
        <v>113</v>
      </c>
      <c r="B98" s="23"/>
      <c r="C98" s="30"/>
      <c r="D98" s="30"/>
      <c r="E98" s="30"/>
      <c r="F98" s="24">
        <f>+'[2]PROPUESTA 2017 Compacto '!$C$56</f>
        <v>41060504.25</v>
      </c>
      <c r="G98" s="30"/>
      <c r="H98" s="23">
        <f t="shared" si="30"/>
        <v>41060504.25</v>
      </c>
      <c r="I98" s="30"/>
      <c r="J98" s="24">
        <f t="shared" si="31"/>
        <v>41060504.25</v>
      </c>
      <c r="K98" s="52"/>
      <c r="L98" s="52"/>
      <c r="M98" s="52">
        <v>-4000000</v>
      </c>
      <c r="N98" s="52"/>
      <c r="O98" s="24">
        <f t="shared" si="22"/>
        <v>37060504.25</v>
      </c>
      <c r="P98" s="24">
        <v>30940551</v>
      </c>
      <c r="Q98" s="24">
        <v>0</v>
      </c>
      <c r="R98" s="24">
        <v>4273422</v>
      </c>
      <c r="S98" s="24">
        <v>0</v>
      </c>
      <c r="T98" s="24">
        <f t="shared" si="23"/>
        <v>35213973</v>
      </c>
      <c r="U98" s="24">
        <f t="shared" si="24"/>
        <v>-1846531.25</v>
      </c>
      <c r="V98" s="53">
        <f t="shared" si="25"/>
        <v>0.95017522596174608</v>
      </c>
    </row>
    <row r="99" spans="1:22" s="50" customFormat="1" ht="15" hidden="1" outlineLevel="1" x14ac:dyDescent="0.25">
      <c r="A99" s="51" t="s">
        <v>114</v>
      </c>
      <c r="B99" s="23"/>
      <c r="C99" s="30"/>
      <c r="D99" s="30"/>
      <c r="E99" s="30"/>
      <c r="F99" s="24">
        <f>+'[2]PROPUESTA 2017 Compacto '!$C$57</f>
        <v>84110400</v>
      </c>
      <c r="G99" s="30"/>
      <c r="H99" s="23">
        <f t="shared" si="30"/>
        <v>84110400</v>
      </c>
      <c r="I99" s="30"/>
      <c r="J99" s="24">
        <f t="shared" si="31"/>
        <v>84110400</v>
      </c>
      <c r="K99" s="52"/>
      <c r="L99" s="52"/>
      <c r="M99" s="52"/>
      <c r="N99" s="52"/>
      <c r="O99" s="24">
        <f t="shared" si="22"/>
        <v>84110400</v>
      </c>
      <c r="P99" s="24">
        <v>3008973</v>
      </c>
      <c r="Q99" s="24">
        <v>8855992</v>
      </c>
      <c r="R99" s="24">
        <v>19603462</v>
      </c>
      <c r="S99" s="24">
        <v>49550959</v>
      </c>
      <c r="T99" s="24">
        <f t="shared" si="23"/>
        <v>81019386</v>
      </c>
      <c r="U99" s="24">
        <f t="shared" si="24"/>
        <v>-3091014</v>
      </c>
      <c r="V99" s="53">
        <f t="shared" si="25"/>
        <v>0.96325051361068315</v>
      </c>
    </row>
    <row r="100" spans="1:22" s="50" customFormat="1" ht="15" hidden="1" outlineLevel="1" x14ac:dyDescent="0.25">
      <c r="A100" s="51" t="s">
        <v>115</v>
      </c>
      <c r="B100" s="23"/>
      <c r="C100" s="30"/>
      <c r="D100" s="30"/>
      <c r="E100" s="30"/>
      <c r="F100" s="24">
        <f>+'[2]PROPUESTA 2017 Compacto '!$C$58</f>
        <v>85000000</v>
      </c>
      <c r="G100" s="30"/>
      <c r="H100" s="23">
        <f t="shared" si="30"/>
        <v>85000000</v>
      </c>
      <c r="I100" s="30"/>
      <c r="J100" s="24">
        <f t="shared" si="31"/>
        <v>85000000</v>
      </c>
      <c r="K100" s="52"/>
      <c r="L100" s="52"/>
      <c r="M100" s="52"/>
      <c r="N100" s="52"/>
      <c r="O100" s="24">
        <f>+J100+K100+L100+M100+N100-1926598</f>
        <v>83073402</v>
      </c>
      <c r="P100" s="24">
        <v>19275550</v>
      </c>
      <c r="Q100" s="24">
        <v>28628425</v>
      </c>
      <c r="R100" s="24">
        <v>3092110</v>
      </c>
      <c r="S100" s="24">
        <v>32128482</v>
      </c>
      <c r="T100" s="24">
        <f t="shared" si="23"/>
        <v>83124567</v>
      </c>
      <c r="U100" s="24">
        <f t="shared" si="24"/>
        <v>51165</v>
      </c>
      <c r="V100" s="53">
        <f t="shared" si="25"/>
        <v>1.0006159011039417</v>
      </c>
    </row>
    <row r="101" spans="1:22" s="50" customFormat="1" ht="15" hidden="1" outlineLevel="1" x14ac:dyDescent="0.25">
      <c r="A101" s="51" t="s">
        <v>116</v>
      </c>
      <c r="B101" s="23"/>
      <c r="C101" s="30"/>
      <c r="D101" s="30"/>
      <c r="E101" s="30"/>
      <c r="F101" s="24">
        <f>+'[2]PROPUESTA 2017 Compacto '!$C$61</f>
        <v>165187957.09499997</v>
      </c>
      <c r="G101" s="30"/>
      <c r="H101" s="23">
        <f t="shared" si="30"/>
        <v>165187957.09499997</v>
      </c>
      <c r="I101" s="30"/>
      <c r="J101" s="24">
        <f t="shared" si="31"/>
        <v>165187957.09499997</v>
      </c>
      <c r="K101" s="52"/>
      <c r="L101" s="52"/>
      <c r="M101" s="52"/>
      <c r="N101" s="52"/>
      <c r="O101" s="24">
        <f t="shared" si="22"/>
        <v>165187957.09499997</v>
      </c>
      <c r="P101" s="24">
        <v>28317936</v>
      </c>
      <c r="Q101" s="24">
        <v>41952496</v>
      </c>
      <c r="R101" s="24">
        <v>45512089</v>
      </c>
      <c r="S101" s="24">
        <v>22311115</v>
      </c>
      <c r="T101" s="24">
        <f t="shared" si="23"/>
        <v>138093636</v>
      </c>
      <c r="U101" s="24">
        <f t="shared" si="24"/>
        <v>-27094321.094999969</v>
      </c>
      <c r="V101" s="53">
        <f t="shared" si="25"/>
        <v>0.8359788354340022</v>
      </c>
    </row>
    <row r="102" spans="1:22" s="50" customFormat="1" ht="15" hidden="1" outlineLevel="1" x14ac:dyDescent="0.25">
      <c r="A102" s="51" t="s">
        <v>117</v>
      </c>
      <c r="B102" s="23"/>
      <c r="C102" s="30"/>
      <c r="D102" s="30"/>
      <c r="E102" s="30"/>
      <c r="F102" s="24">
        <f>+'[2]PROPUESTA 2017 Compacto '!$C$62</f>
        <v>550000000</v>
      </c>
      <c r="G102" s="30"/>
      <c r="H102" s="23">
        <f t="shared" si="30"/>
        <v>550000000</v>
      </c>
      <c r="I102" s="30"/>
      <c r="J102" s="24">
        <f t="shared" si="31"/>
        <v>550000000</v>
      </c>
      <c r="K102" s="52"/>
      <c r="L102" s="52"/>
      <c r="M102" s="52">
        <v>-50000000</v>
      </c>
      <c r="N102" s="52"/>
      <c r="O102" s="24">
        <f t="shared" si="22"/>
        <v>500000000</v>
      </c>
      <c r="P102" s="24">
        <v>0</v>
      </c>
      <c r="Q102" s="24">
        <v>0</v>
      </c>
      <c r="R102" s="24">
        <v>77456037</v>
      </c>
      <c r="S102" s="24">
        <v>412306793</v>
      </c>
      <c r="T102" s="24">
        <f t="shared" si="23"/>
        <v>489762830</v>
      </c>
      <c r="U102" s="24">
        <f t="shared" si="24"/>
        <v>-10237170</v>
      </c>
      <c r="V102" s="53">
        <f t="shared" si="25"/>
        <v>0.97952565999999996</v>
      </c>
    </row>
    <row r="103" spans="1:22" s="50" customFormat="1" ht="15" hidden="1" outlineLevel="1" x14ac:dyDescent="0.25">
      <c r="A103" s="51" t="s">
        <v>118</v>
      </c>
      <c r="B103" s="23"/>
      <c r="C103" s="30"/>
      <c r="D103" s="30"/>
      <c r="E103" s="30"/>
      <c r="F103" s="24">
        <f>+'[2]PROPUESTA 2017 Compacto '!$C$65</f>
        <v>66977781.93</v>
      </c>
      <c r="G103" s="30"/>
      <c r="H103" s="23">
        <f>+B103+C103+D103+G103+E103+F103</f>
        <v>66977781.93</v>
      </c>
      <c r="I103" s="30"/>
      <c r="J103" s="24">
        <f t="shared" si="31"/>
        <v>66977781.93</v>
      </c>
      <c r="K103" s="52"/>
      <c r="L103" s="52"/>
      <c r="M103" s="52"/>
      <c r="N103" s="52"/>
      <c r="O103" s="24">
        <f t="shared" si="22"/>
        <v>66977781.93</v>
      </c>
      <c r="P103" s="24">
        <v>11568593.000000004</v>
      </c>
      <c r="Q103" s="24">
        <v>13967586</v>
      </c>
      <c r="R103" s="24">
        <v>13955586</v>
      </c>
      <c r="S103" s="24">
        <v>26623655</v>
      </c>
      <c r="T103" s="24">
        <f t="shared" si="23"/>
        <v>66115420</v>
      </c>
      <c r="U103" s="24">
        <f t="shared" si="24"/>
        <v>-862361.9299999997</v>
      </c>
      <c r="V103" s="53">
        <f t="shared" si="25"/>
        <v>0.98712465678691375</v>
      </c>
    </row>
    <row r="104" spans="1:22" s="50" customFormat="1" ht="15" hidden="1" outlineLevel="1" x14ac:dyDescent="0.25">
      <c r="A104" s="51" t="s">
        <v>119</v>
      </c>
      <c r="B104" s="23"/>
      <c r="C104" s="30"/>
      <c r="D104" s="30"/>
      <c r="E104" s="30"/>
      <c r="F104" s="24">
        <f>+'[2]PROPUESTA 2017 Compacto '!$C$68</f>
        <v>606800000</v>
      </c>
      <c r="G104" s="30"/>
      <c r="H104" s="23">
        <f>+B104+C104+D104+G104+E104+F104</f>
        <v>606800000</v>
      </c>
      <c r="I104" s="30"/>
      <c r="J104" s="24">
        <f t="shared" si="31"/>
        <v>606800000</v>
      </c>
      <c r="K104" s="52"/>
      <c r="L104" s="52">
        <v>70000000</v>
      </c>
      <c r="M104" s="52"/>
      <c r="N104" s="52"/>
      <c r="O104" s="24">
        <f t="shared" si="22"/>
        <v>676800000</v>
      </c>
      <c r="P104" s="24">
        <v>357000</v>
      </c>
      <c r="Q104" s="24">
        <v>405885200</v>
      </c>
      <c r="R104" s="24">
        <v>269092770</v>
      </c>
      <c r="S104" s="24">
        <v>0</v>
      </c>
      <c r="T104" s="24">
        <f t="shared" si="23"/>
        <v>675334970</v>
      </c>
      <c r="U104" s="24">
        <f t="shared" si="24"/>
        <v>-1465030</v>
      </c>
      <c r="V104" s="53">
        <f t="shared" si="25"/>
        <v>0.99783535756501185</v>
      </c>
    </row>
    <row r="105" spans="1:22" s="50" customFormat="1" ht="15" hidden="1" outlineLevel="1" x14ac:dyDescent="0.25">
      <c r="A105" s="51" t="s">
        <v>120</v>
      </c>
      <c r="B105" s="23"/>
      <c r="C105" s="30"/>
      <c r="D105" s="30"/>
      <c r="E105" s="30"/>
      <c r="F105" s="24">
        <f>+'[2]PROPUESTA 2017 Compacto '!$C$78</f>
        <v>130000000</v>
      </c>
      <c r="G105" s="30"/>
      <c r="H105" s="23">
        <f>+B105+C105+D105+G105+E105+F105</f>
        <v>130000000</v>
      </c>
      <c r="I105" s="30"/>
      <c r="J105" s="24">
        <f t="shared" si="31"/>
        <v>130000000</v>
      </c>
      <c r="K105" s="52"/>
      <c r="L105" s="52"/>
      <c r="M105" s="52"/>
      <c r="N105" s="52"/>
      <c r="O105" s="24">
        <f t="shared" si="22"/>
        <v>130000000</v>
      </c>
      <c r="P105" s="24">
        <v>24990000</v>
      </c>
      <c r="Q105" s="24">
        <v>38847775</v>
      </c>
      <c r="R105" s="24">
        <v>44969140</v>
      </c>
      <c r="S105" s="24">
        <v>12072598</v>
      </c>
      <c r="T105" s="24">
        <f t="shared" si="23"/>
        <v>120879513</v>
      </c>
      <c r="U105" s="24">
        <f t="shared" si="24"/>
        <v>-9120487</v>
      </c>
      <c r="V105" s="53">
        <f t="shared" si="25"/>
        <v>0.92984240769230764</v>
      </c>
    </row>
    <row r="106" spans="1:22" s="50" customFormat="1" ht="15" collapsed="1" x14ac:dyDescent="0.25">
      <c r="A106" s="54" t="s">
        <v>121</v>
      </c>
      <c r="B106" s="19"/>
      <c r="C106" s="19"/>
      <c r="D106" s="19"/>
      <c r="E106" s="19"/>
      <c r="F106" s="19">
        <f>SUM(F107:F110)</f>
        <v>461483207.84799999</v>
      </c>
      <c r="G106" s="19"/>
      <c r="H106" s="19">
        <f t="shared" si="30"/>
        <v>461483207.84799999</v>
      </c>
      <c r="I106" s="19"/>
      <c r="J106" s="19">
        <f t="shared" si="31"/>
        <v>461483207.84799999</v>
      </c>
      <c r="K106" s="19">
        <f>SUM(K107:K110)</f>
        <v>0</v>
      </c>
      <c r="L106" s="19">
        <f>SUM(L107:L110)</f>
        <v>0</v>
      </c>
      <c r="M106" s="19">
        <f>SUM(M107:M110)</f>
        <v>0</v>
      </c>
      <c r="N106" s="19">
        <f>SUM(N107:N110)</f>
        <v>0</v>
      </c>
      <c r="O106" s="19">
        <f t="shared" si="22"/>
        <v>461483207.84799999</v>
      </c>
      <c r="P106" s="19">
        <f>SUM(P107:P110)</f>
        <v>61551333</v>
      </c>
      <c r="Q106" s="19">
        <f>SUM(Q107:Q110)</f>
        <v>98659709</v>
      </c>
      <c r="R106" s="19">
        <f>SUM(R107:R110)</f>
        <v>185084206</v>
      </c>
      <c r="S106" s="19">
        <f>SUM(S107:S110)</f>
        <v>80176674</v>
      </c>
      <c r="T106" s="19">
        <f t="shared" si="23"/>
        <v>425471922</v>
      </c>
      <c r="U106" s="19">
        <f t="shared" si="24"/>
        <v>-36011285.84799999</v>
      </c>
      <c r="V106" s="21">
        <f t="shared" si="25"/>
        <v>0.92196620540988106</v>
      </c>
    </row>
    <row r="107" spans="1:22" s="50" customFormat="1" ht="15" hidden="1" outlineLevel="1" x14ac:dyDescent="0.25">
      <c r="A107" s="51" t="s">
        <v>122</v>
      </c>
      <c r="B107" s="23"/>
      <c r="C107" s="30"/>
      <c r="D107" s="30"/>
      <c r="E107" s="30"/>
      <c r="F107" s="24">
        <f>+'[2]PROPUESTA 2017 Compacto '!$C$80</f>
        <v>110446942.248</v>
      </c>
      <c r="G107" s="30"/>
      <c r="H107" s="23">
        <f t="shared" si="30"/>
        <v>110446942.248</v>
      </c>
      <c r="I107" s="30"/>
      <c r="J107" s="24">
        <f t="shared" si="31"/>
        <v>110446942.248</v>
      </c>
      <c r="K107" s="52"/>
      <c r="L107" s="52"/>
      <c r="M107" s="52"/>
      <c r="N107" s="52"/>
      <c r="O107" s="24">
        <f t="shared" si="22"/>
        <v>110446942.248</v>
      </c>
      <c r="P107" s="24">
        <v>20632449</v>
      </c>
      <c r="Q107" s="24">
        <v>25759342</v>
      </c>
      <c r="R107" s="24">
        <v>28485484</v>
      </c>
      <c r="S107" s="24">
        <v>23897006</v>
      </c>
      <c r="T107" s="24">
        <f t="shared" si="23"/>
        <v>98774281</v>
      </c>
      <c r="U107" s="24">
        <f t="shared" si="24"/>
        <v>-11672661.247999996</v>
      </c>
      <c r="V107" s="53">
        <f t="shared" si="25"/>
        <v>0.89431431046963761</v>
      </c>
    </row>
    <row r="108" spans="1:22" s="50" customFormat="1" ht="15" hidden="1" outlineLevel="1" x14ac:dyDescent="0.25">
      <c r="A108" s="51" t="s">
        <v>123</v>
      </c>
      <c r="B108" s="23"/>
      <c r="C108" s="30"/>
      <c r="D108" s="30"/>
      <c r="E108" s="30"/>
      <c r="F108" s="24">
        <f>+'[2]PROPUESTA 2017 Compacto '!$C$81</f>
        <v>164186265.59999999</v>
      </c>
      <c r="G108" s="30"/>
      <c r="H108" s="23">
        <f t="shared" si="30"/>
        <v>164186265.59999999</v>
      </c>
      <c r="I108" s="30"/>
      <c r="J108" s="24">
        <f t="shared" si="31"/>
        <v>164186265.59999999</v>
      </c>
      <c r="K108" s="52"/>
      <c r="L108" s="52"/>
      <c r="M108" s="52"/>
      <c r="N108" s="52"/>
      <c r="O108" s="24">
        <f t="shared" si="22"/>
        <v>164186265.59999999</v>
      </c>
      <c r="P108" s="24">
        <v>31273574</v>
      </c>
      <c r="Q108" s="24">
        <v>46910364</v>
      </c>
      <c r="R108" s="24">
        <v>39091970</v>
      </c>
      <c r="S108" s="24">
        <v>29318926</v>
      </c>
      <c r="T108" s="24">
        <f t="shared" si="23"/>
        <v>146594834</v>
      </c>
      <c r="U108" s="24">
        <f t="shared" si="24"/>
        <v>-17591431.599999994</v>
      </c>
      <c r="V108" s="53">
        <f t="shared" si="25"/>
        <v>0.89285686268754505</v>
      </c>
    </row>
    <row r="109" spans="1:22" s="50" customFormat="1" ht="15" hidden="1" outlineLevel="1" x14ac:dyDescent="0.25">
      <c r="A109" s="51" t="s">
        <v>124</v>
      </c>
      <c r="B109" s="23"/>
      <c r="C109" s="30"/>
      <c r="D109" s="30"/>
      <c r="E109" s="30"/>
      <c r="F109" s="24">
        <f>+'[2]PROPUESTA 2017 Compacto '!$C$82</f>
        <v>60000000</v>
      </c>
      <c r="G109" s="30"/>
      <c r="H109" s="23">
        <f t="shared" si="30"/>
        <v>60000000</v>
      </c>
      <c r="I109" s="30"/>
      <c r="J109" s="24">
        <f t="shared" si="31"/>
        <v>60000000</v>
      </c>
      <c r="K109" s="52"/>
      <c r="L109" s="52"/>
      <c r="M109" s="52"/>
      <c r="N109" s="52"/>
      <c r="O109" s="24">
        <f>+J109+K109+L109+M109+N109-1200000</f>
        <v>58800000</v>
      </c>
      <c r="P109" s="24">
        <v>7711200</v>
      </c>
      <c r="Q109" s="24">
        <v>16890860</v>
      </c>
      <c r="R109" s="24">
        <v>12938699</v>
      </c>
      <c r="S109" s="24">
        <v>16386300</v>
      </c>
      <c r="T109" s="24">
        <f t="shared" si="23"/>
        <v>53927059</v>
      </c>
      <c r="U109" s="24">
        <f t="shared" si="24"/>
        <v>-4872941</v>
      </c>
      <c r="V109" s="53">
        <f t="shared" si="25"/>
        <v>0.91712685374149661</v>
      </c>
    </row>
    <row r="110" spans="1:22" s="50" customFormat="1" ht="15" hidden="1" outlineLevel="1" x14ac:dyDescent="0.25">
      <c r="A110" s="51" t="s">
        <v>125</v>
      </c>
      <c r="B110" s="23"/>
      <c r="C110" s="30"/>
      <c r="D110" s="30"/>
      <c r="E110" s="30"/>
      <c r="F110" s="24">
        <f>+'[2]PROPUESTA 2017 Compacto '!$C$86</f>
        <v>126850000</v>
      </c>
      <c r="G110" s="30"/>
      <c r="H110" s="23">
        <f t="shared" si="30"/>
        <v>126850000</v>
      </c>
      <c r="I110" s="30"/>
      <c r="J110" s="24">
        <f t="shared" si="31"/>
        <v>126850000</v>
      </c>
      <c r="K110" s="52"/>
      <c r="L110" s="52"/>
      <c r="M110" s="52"/>
      <c r="N110" s="52"/>
      <c r="O110" s="24">
        <f>+J110+K110+L110+M110+N110+1200000</f>
        <v>128050000</v>
      </c>
      <c r="P110" s="24">
        <v>1934110</v>
      </c>
      <c r="Q110" s="24">
        <v>9099143</v>
      </c>
      <c r="R110" s="24">
        <v>104568053</v>
      </c>
      <c r="S110" s="24">
        <v>10574442</v>
      </c>
      <c r="T110" s="24">
        <f t="shared" si="23"/>
        <v>126175748</v>
      </c>
      <c r="U110" s="24">
        <f t="shared" si="24"/>
        <v>-1874252</v>
      </c>
      <c r="V110" s="53">
        <f t="shared" si="25"/>
        <v>0.98536312377977353</v>
      </c>
    </row>
    <row r="111" spans="1:22" s="50" customFormat="1" ht="15" collapsed="1" x14ac:dyDescent="0.25">
      <c r="A111" s="51"/>
      <c r="B111" s="23"/>
      <c r="C111" s="30"/>
      <c r="D111" s="30"/>
      <c r="E111" s="30"/>
      <c r="F111" s="24"/>
      <c r="G111" s="30"/>
      <c r="H111" s="23"/>
      <c r="I111" s="30"/>
      <c r="J111" s="24"/>
      <c r="K111" s="52"/>
      <c r="L111" s="52"/>
      <c r="M111" s="52"/>
      <c r="N111" s="52"/>
      <c r="O111" s="24"/>
      <c r="P111" s="24"/>
      <c r="Q111" s="24"/>
      <c r="R111" s="24"/>
      <c r="S111" s="24"/>
      <c r="T111" s="24"/>
      <c r="U111" s="24"/>
      <c r="V111" s="53"/>
    </row>
    <row r="112" spans="1:22" s="50" customFormat="1" ht="15" x14ac:dyDescent="0.25">
      <c r="A112" s="54" t="s">
        <v>126</v>
      </c>
      <c r="B112" s="30"/>
      <c r="C112" s="30"/>
      <c r="D112" s="30"/>
      <c r="E112" s="30"/>
      <c r="F112" s="30"/>
      <c r="G112" s="30">
        <f>+G113+G118+G121+G127+G130</f>
        <v>13600678961.97612</v>
      </c>
      <c r="H112" s="30">
        <f>+H113+H118+H121+H127+H130</f>
        <v>13600678961.97612</v>
      </c>
      <c r="I112" s="30"/>
      <c r="J112" s="30">
        <f>+J113+J118+J121+J127+J130</f>
        <v>13600678961.97612</v>
      </c>
      <c r="K112" s="31">
        <f>+K113+K118+K121+K127+K130</f>
        <v>240000000</v>
      </c>
      <c r="L112" s="31">
        <f>+L113+L118+L121+L127+L130</f>
        <v>0</v>
      </c>
      <c r="M112" s="31">
        <f>+M113+M118+M121+M127+M130</f>
        <v>195000000</v>
      </c>
      <c r="N112" s="31">
        <f>+N113+N118+N121+N127+N130</f>
        <v>0</v>
      </c>
      <c r="O112" s="30">
        <f t="shared" ref="O112:O133" si="32">+J112+K112+L112+M112+N112</f>
        <v>14035678961.97612</v>
      </c>
      <c r="P112" s="30">
        <f>+P113+P118+P121+P127+P130</f>
        <v>2436428315</v>
      </c>
      <c r="Q112" s="30">
        <f>+Q113+Q118+Q121+Q127+Q130</f>
        <v>3698848127</v>
      </c>
      <c r="R112" s="30">
        <f>+R113+R118+R121+R127+R130</f>
        <v>3300176378</v>
      </c>
      <c r="S112" s="30">
        <f>+S113+S118+S121+S127+S130</f>
        <v>3611620358</v>
      </c>
      <c r="T112" s="30">
        <f t="shared" ref="T112:T133" si="33">+P112+Q112+R112+S112</f>
        <v>13047073178</v>
      </c>
      <c r="U112" s="30">
        <f t="shared" ref="U112:U133" si="34">+T112-O112</f>
        <v>-988605783.97612</v>
      </c>
      <c r="V112" s="32">
        <f t="shared" ref="V112:V133" si="35">IFERROR(T112/O112,0)</f>
        <v>0.92956480504759764</v>
      </c>
    </row>
    <row r="113" spans="1:22" s="50" customFormat="1" ht="15" x14ac:dyDescent="0.25">
      <c r="A113" s="54" t="s">
        <v>127</v>
      </c>
      <c r="B113" s="30"/>
      <c r="C113" s="30"/>
      <c r="D113" s="30"/>
      <c r="E113" s="19"/>
      <c r="F113" s="30"/>
      <c r="G113" s="19">
        <f>SUM(G114:G117)</f>
        <v>3661264449.5886164</v>
      </c>
      <c r="H113" s="19">
        <f>SUM(H114:H117)</f>
        <v>3661264449.5886164</v>
      </c>
      <c r="I113" s="30"/>
      <c r="J113" s="19">
        <f>SUM(J114:J117)</f>
        <v>3661264449.5886164</v>
      </c>
      <c r="K113" s="20">
        <f>SUM(K114:K117)</f>
        <v>240000000</v>
      </c>
      <c r="L113" s="20">
        <f>SUM(L114:L117)</f>
        <v>0</v>
      </c>
      <c r="M113" s="20">
        <f>SUM(M114:M117)</f>
        <v>300000000</v>
      </c>
      <c r="N113" s="20">
        <f>SUM(N114:N117)</f>
        <v>0</v>
      </c>
      <c r="O113" s="19">
        <f t="shared" si="32"/>
        <v>4201264449.5886164</v>
      </c>
      <c r="P113" s="19">
        <f>SUM(P114:P117)</f>
        <v>574367651</v>
      </c>
      <c r="Q113" s="19">
        <f>SUM(Q114:Q117)</f>
        <v>1206217092</v>
      </c>
      <c r="R113" s="19">
        <f>SUM(R114:R117)</f>
        <v>1084243295</v>
      </c>
      <c r="S113" s="19">
        <f>SUM(S114:S117)</f>
        <v>1207414368</v>
      </c>
      <c r="T113" s="19">
        <f t="shared" si="33"/>
        <v>4072242406</v>
      </c>
      <c r="U113" s="19">
        <f t="shared" si="34"/>
        <v>-129022043.58861637</v>
      </c>
      <c r="V113" s="21">
        <f t="shared" si="35"/>
        <v>0.96928971143407783</v>
      </c>
    </row>
    <row r="114" spans="1:22" s="50" customFormat="1" ht="15" hidden="1" outlineLevel="1" x14ac:dyDescent="0.25">
      <c r="A114" s="51" t="s">
        <v>128</v>
      </c>
      <c r="B114" s="30"/>
      <c r="C114" s="30"/>
      <c r="D114" s="30"/>
      <c r="E114" s="23"/>
      <c r="F114" s="30"/>
      <c r="G114" s="23">
        <f>+'[3]COMPARACIÓN PPC 2016 - 2017'!$O$27</f>
        <v>1278360572.446125</v>
      </c>
      <c r="H114" s="23">
        <f>+B114+C114+D114+G114+E114+F114</f>
        <v>1278360572.446125</v>
      </c>
      <c r="I114" s="30"/>
      <c r="J114" s="24">
        <f>+H114+I114</f>
        <v>1278360572.446125</v>
      </c>
      <c r="K114" s="52"/>
      <c r="L114" s="52"/>
      <c r="M114" s="52">
        <v>300000000</v>
      </c>
      <c r="N114" s="52"/>
      <c r="O114" s="24">
        <f t="shared" si="32"/>
        <v>1578360572.446125</v>
      </c>
      <c r="P114" s="24">
        <v>0</v>
      </c>
      <c r="Q114" s="24">
        <v>718578219</v>
      </c>
      <c r="R114" s="24">
        <v>517078800</v>
      </c>
      <c r="S114" s="24">
        <v>340778191</v>
      </c>
      <c r="T114" s="24">
        <f t="shared" si="33"/>
        <v>1576435210</v>
      </c>
      <c r="U114" s="24">
        <f t="shared" si="34"/>
        <v>-1925362.4461250305</v>
      </c>
      <c r="V114" s="53">
        <f t="shared" si="35"/>
        <v>0.99878015044234081</v>
      </c>
    </row>
    <row r="115" spans="1:22" s="50" customFormat="1" ht="15" hidden="1" outlineLevel="1" x14ac:dyDescent="0.25">
      <c r="A115" s="51" t="s">
        <v>129</v>
      </c>
      <c r="B115" s="30"/>
      <c r="C115" s="30"/>
      <c r="D115" s="30"/>
      <c r="E115" s="23"/>
      <c r="F115" s="30"/>
      <c r="G115" s="23">
        <f>+'[3]COMPARACIÓN PPC 2016 - 2017'!$O$28</f>
        <v>400272293.51999998</v>
      </c>
      <c r="H115" s="23">
        <f>+B115+C115+D115+G115+E115+F115</f>
        <v>400272293.51999998</v>
      </c>
      <c r="I115" s="30"/>
      <c r="J115" s="24">
        <f>+H115+I115</f>
        <v>400272293.51999998</v>
      </c>
      <c r="K115" s="52"/>
      <c r="L115" s="52"/>
      <c r="M115" s="52"/>
      <c r="N115" s="52"/>
      <c r="O115" s="24">
        <f t="shared" si="32"/>
        <v>400272293.51999998</v>
      </c>
      <c r="P115" s="24">
        <v>151166468</v>
      </c>
      <c r="Q115" s="24">
        <v>76507827</v>
      </c>
      <c r="R115" s="24">
        <v>44423617</v>
      </c>
      <c r="S115" s="24">
        <v>102993639</v>
      </c>
      <c r="T115" s="24">
        <f t="shared" si="33"/>
        <v>375091551</v>
      </c>
      <c r="U115" s="24">
        <f t="shared" si="34"/>
        <v>-25180742.519999981</v>
      </c>
      <c r="V115" s="53">
        <f t="shared" si="35"/>
        <v>0.93709096800440472</v>
      </c>
    </row>
    <row r="116" spans="1:22" s="50" customFormat="1" ht="15" hidden="1" outlineLevel="1" x14ac:dyDescent="0.25">
      <c r="A116" s="51" t="s">
        <v>130</v>
      </c>
      <c r="B116" s="30"/>
      <c r="C116" s="30"/>
      <c r="D116" s="30"/>
      <c r="E116" s="23"/>
      <c r="F116" s="30"/>
      <c r="G116" s="23">
        <f>+'[3]COMPARACIÓN PPC 2016 - 2017'!$O$29</f>
        <v>98033016.420000002</v>
      </c>
      <c r="H116" s="23">
        <f>+B116+C116+D116+G116+E116+F116</f>
        <v>98033016.420000002</v>
      </c>
      <c r="I116" s="30"/>
      <c r="J116" s="24">
        <f>+H116+I116</f>
        <v>98033016.420000002</v>
      </c>
      <c r="K116" s="52"/>
      <c r="L116" s="52"/>
      <c r="M116" s="52"/>
      <c r="N116" s="52"/>
      <c r="O116" s="24">
        <f t="shared" si="32"/>
        <v>98033016.420000002</v>
      </c>
      <c r="P116" s="24">
        <v>12075504</v>
      </c>
      <c r="Q116" s="24">
        <v>22052822</v>
      </c>
      <c r="R116" s="24">
        <v>22744504</v>
      </c>
      <c r="S116" s="24">
        <v>21974734</v>
      </c>
      <c r="T116" s="24">
        <f t="shared" si="33"/>
        <v>78847564</v>
      </c>
      <c r="U116" s="24">
        <f t="shared" si="34"/>
        <v>-19185452.420000002</v>
      </c>
      <c r="V116" s="53">
        <f t="shared" si="35"/>
        <v>0.80429601046035015</v>
      </c>
    </row>
    <row r="117" spans="1:22" s="50" customFormat="1" ht="15" hidden="1" outlineLevel="1" x14ac:dyDescent="0.25">
      <c r="A117" s="51" t="s">
        <v>131</v>
      </c>
      <c r="B117" s="30"/>
      <c r="C117" s="30"/>
      <c r="D117" s="30"/>
      <c r="E117" s="23"/>
      <c r="F117" s="30"/>
      <c r="G117" s="23">
        <f>+'[3]COMPARACIÓN PPC 2016 - 2017'!$O$30</f>
        <v>1884598567.2024915</v>
      </c>
      <c r="H117" s="23">
        <f>+B117+C117+D117+G117+E117+F117</f>
        <v>1884598567.2024915</v>
      </c>
      <c r="I117" s="30"/>
      <c r="J117" s="24">
        <f>+H117+I117</f>
        <v>1884598567.2024915</v>
      </c>
      <c r="K117" s="52">
        <v>240000000</v>
      </c>
      <c r="L117" s="52"/>
      <c r="M117" s="52"/>
      <c r="N117" s="52"/>
      <c r="O117" s="24">
        <f t="shared" si="32"/>
        <v>2124598567.2024915</v>
      </c>
      <c r="P117" s="24">
        <v>411125679</v>
      </c>
      <c r="Q117" s="24">
        <v>389078224</v>
      </c>
      <c r="R117" s="24">
        <v>499996374</v>
      </c>
      <c r="S117" s="24">
        <v>741667804</v>
      </c>
      <c r="T117" s="24">
        <f t="shared" si="33"/>
        <v>2041868081</v>
      </c>
      <c r="U117" s="24">
        <f t="shared" si="34"/>
        <v>-82730486.202491522</v>
      </c>
      <c r="V117" s="53">
        <f t="shared" si="35"/>
        <v>0.96106065047788081</v>
      </c>
    </row>
    <row r="118" spans="1:22" s="50" customFormat="1" ht="15" collapsed="1" x14ac:dyDescent="0.25">
      <c r="A118" s="54" t="s">
        <v>132</v>
      </c>
      <c r="B118" s="30"/>
      <c r="C118" s="30"/>
      <c r="D118" s="30"/>
      <c r="E118" s="19"/>
      <c r="F118" s="30"/>
      <c r="G118" s="19">
        <f>SUM(G119:G120)</f>
        <v>711098100</v>
      </c>
      <c r="H118" s="19">
        <f>SUM(H119:H120)</f>
        <v>711098100</v>
      </c>
      <c r="I118" s="30"/>
      <c r="J118" s="19">
        <f>SUM(J119:J120)</f>
        <v>711098100</v>
      </c>
      <c r="K118" s="20">
        <f>SUM(K119:K120)</f>
        <v>0</v>
      </c>
      <c r="L118" s="20">
        <f>SUM(L119:L120)</f>
        <v>0</v>
      </c>
      <c r="M118" s="20">
        <f>SUM(M119:M120)</f>
        <v>-105000000</v>
      </c>
      <c r="N118" s="20">
        <f>SUM(N119:N120)</f>
        <v>0</v>
      </c>
      <c r="O118" s="19">
        <f t="shared" si="32"/>
        <v>606098100</v>
      </c>
      <c r="P118" s="19">
        <f>SUM(P119:P120)</f>
        <v>105295934</v>
      </c>
      <c r="Q118" s="19">
        <f>SUM(Q119:Q120)</f>
        <v>101866050</v>
      </c>
      <c r="R118" s="19">
        <f>SUM(R119:R120)</f>
        <v>128713892</v>
      </c>
      <c r="S118" s="19">
        <f>SUM(S119:S120)</f>
        <v>137302305</v>
      </c>
      <c r="T118" s="19">
        <f t="shared" si="33"/>
        <v>473178181</v>
      </c>
      <c r="U118" s="19">
        <f t="shared" si="34"/>
        <v>-132919919</v>
      </c>
      <c r="V118" s="21">
        <f t="shared" si="35"/>
        <v>0.78069570091046314</v>
      </c>
    </row>
    <row r="119" spans="1:22" s="50" customFormat="1" ht="15" hidden="1" outlineLevel="1" x14ac:dyDescent="0.25">
      <c r="A119" s="51" t="s">
        <v>133</v>
      </c>
      <c r="B119" s="30"/>
      <c r="C119" s="30"/>
      <c r="D119" s="30"/>
      <c r="E119" s="23"/>
      <c r="F119" s="30"/>
      <c r="G119" s="23">
        <f>+'[3]COMPARACIÓN PPC 2016 - 2017'!$O$34</f>
        <v>461966200</v>
      </c>
      <c r="H119" s="23">
        <f>+B119+C119+D119+G119+E119+F119</f>
        <v>461966200</v>
      </c>
      <c r="I119" s="30"/>
      <c r="J119" s="24">
        <f>+H119+I119</f>
        <v>461966200</v>
      </c>
      <c r="K119" s="52"/>
      <c r="L119" s="52"/>
      <c r="M119" s="52">
        <v>-55000000</v>
      </c>
      <c r="N119" s="52"/>
      <c r="O119" s="24">
        <f t="shared" si="32"/>
        <v>406966200</v>
      </c>
      <c r="P119" s="24">
        <v>85077834</v>
      </c>
      <c r="Q119" s="24">
        <v>90513450</v>
      </c>
      <c r="R119" s="24">
        <v>95600592</v>
      </c>
      <c r="S119" s="24">
        <v>45412521</v>
      </c>
      <c r="T119" s="24">
        <f t="shared" si="33"/>
        <v>316604397</v>
      </c>
      <c r="U119" s="24">
        <f t="shared" si="34"/>
        <v>-90361803</v>
      </c>
      <c r="V119" s="53">
        <f t="shared" si="35"/>
        <v>0.77796238852268318</v>
      </c>
    </row>
    <row r="120" spans="1:22" s="50" customFormat="1" ht="15" hidden="1" outlineLevel="1" x14ac:dyDescent="0.25">
      <c r="A120" s="51" t="s">
        <v>134</v>
      </c>
      <c r="B120" s="30"/>
      <c r="C120" s="30"/>
      <c r="D120" s="30"/>
      <c r="E120" s="23"/>
      <c r="F120" s="30"/>
      <c r="G120" s="23">
        <f>+'[3]COMPARACIÓN PPC 2016 - 2017'!$O$38</f>
        <v>249131900</v>
      </c>
      <c r="H120" s="23">
        <f>+B120+C120+D120+G120+E120+F120</f>
        <v>249131900</v>
      </c>
      <c r="I120" s="30"/>
      <c r="J120" s="24">
        <f>+H120+I120</f>
        <v>249131900</v>
      </c>
      <c r="K120" s="52"/>
      <c r="L120" s="52"/>
      <c r="M120" s="52">
        <v>-50000000</v>
      </c>
      <c r="N120" s="52"/>
      <c r="O120" s="24">
        <f t="shared" si="32"/>
        <v>199131900</v>
      </c>
      <c r="P120" s="24">
        <v>20218100</v>
      </c>
      <c r="Q120" s="24">
        <v>11352600</v>
      </c>
      <c r="R120" s="24">
        <v>33113300</v>
      </c>
      <c r="S120" s="24">
        <v>91889784</v>
      </c>
      <c r="T120" s="24">
        <f t="shared" si="33"/>
        <v>156573784</v>
      </c>
      <c r="U120" s="24">
        <f t="shared" si="34"/>
        <v>-42558116</v>
      </c>
      <c r="V120" s="53">
        <f t="shared" si="35"/>
        <v>0.78628177604894045</v>
      </c>
    </row>
    <row r="121" spans="1:22" s="50" customFormat="1" ht="15" collapsed="1" x14ac:dyDescent="0.25">
      <c r="A121" s="54" t="s">
        <v>135</v>
      </c>
      <c r="B121" s="30"/>
      <c r="C121" s="30"/>
      <c r="D121" s="30"/>
      <c r="E121" s="19"/>
      <c r="F121" s="30"/>
      <c r="G121" s="19">
        <f>SUM(G122:G126)</f>
        <v>949408000</v>
      </c>
      <c r="H121" s="19">
        <f>SUM(H122:H126)</f>
        <v>949408000</v>
      </c>
      <c r="I121" s="30"/>
      <c r="J121" s="19">
        <f>SUM(J122:J126)</f>
        <v>949408000</v>
      </c>
      <c r="K121" s="20">
        <f>SUM(K122:K126)</f>
        <v>0</v>
      </c>
      <c r="L121" s="20">
        <f>SUM(L122:L126)</f>
        <v>0</v>
      </c>
      <c r="M121" s="20">
        <f>SUM(M122:M126)</f>
        <v>0</v>
      </c>
      <c r="N121" s="20">
        <f>SUM(N122:N126)</f>
        <v>0</v>
      </c>
      <c r="O121" s="19">
        <f t="shared" si="32"/>
        <v>949408000</v>
      </c>
      <c r="P121" s="19">
        <f>SUM(P122:P126)</f>
        <v>57454188</v>
      </c>
      <c r="Q121" s="19">
        <f>SUM(Q122:Q126)</f>
        <v>250150082</v>
      </c>
      <c r="R121" s="19">
        <f>SUM(R122:R126)</f>
        <v>359205096</v>
      </c>
      <c r="S121" s="19">
        <f>SUM(S122:S126)</f>
        <v>280890451</v>
      </c>
      <c r="T121" s="19">
        <f t="shared" si="33"/>
        <v>947699817</v>
      </c>
      <c r="U121" s="19">
        <f t="shared" si="34"/>
        <v>-1708183</v>
      </c>
      <c r="V121" s="21">
        <f t="shared" si="35"/>
        <v>0.99820079144056084</v>
      </c>
    </row>
    <row r="122" spans="1:22" s="50" customFormat="1" ht="15" hidden="1" outlineLevel="1" x14ac:dyDescent="0.25">
      <c r="A122" s="51" t="s">
        <v>136</v>
      </c>
      <c r="B122" s="30"/>
      <c r="C122" s="30"/>
      <c r="D122" s="30"/>
      <c r="E122" s="23"/>
      <c r="F122" s="30"/>
      <c r="G122" s="23">
        <f>+'[3]COMPARACIÓN PPC 2016 - 2017'!$O$51</f>
        <v>149675000</v>
      </c>
      <c r="H122" s="23">
        <f>+B122+C122+D122+G122+E122+F122</f>
        <v>149675000</v>
      </c>
      <c r="I122" s="30"/>
      <c r="J122" s="24">
        <f>+H122+I122</f>
        <v>149675000</v>
      </c>
      <c r="K122" s="52"/>
      <c r="L122" s="52"/>
      <c r="M122" s="52"/>
      <c r="N122" s="52"/>
      <c r="O122" s="24">
        <f t="shared" si="32"/>
        <v>149675000</v>
      </c>
      <c r="P122" s="24">
        <v>0</v>
      </c>
      <c r="Q122" s="24">
        <v>27293602</v>
      </c>
      <c r="R122" s="24">
        <v>105000000</v>
      </c>
      <c r="S122" s="24">
        <v>16744880</v>
      </c>
      <c r="T122" s="24">
        <f t="shared" si="33"/>
        <v>149038482</v>
      </c>
      <c r="U122" s="24">
        <f t="shared" si="34"/>
        <v>-636518</v>
      </c>
      <c r="V122" s="53">
        <f t="shared" si="35"/>
        <v>0.99574733255386672</v>
      </c>
    </row>
    <row r="123" spans="1:22" s="50" customFormat="1" ht="15" hidden="1" outlineLevel="1" x14ac:dyDescent="0.25">
      <c r="A123" s="51" t="s">
        <v>137</v>
      </c>
      <c r="B123" s="30"/>
      <c r="C123" s="30"/>
      <c r="D123" s="30"/>
      <c r="E123" s="23"/>
      <c r="F123" s="30"/>
      <c r="G123" s="23">
        <f>+'[3]COMPARACIÓN PPC 2016 - 2017'!$O$52</f>
        <v>524070500.00000006</v>
      </c>
      <c r="H123" s="23">
        <f>+B123+C123+D123+G123+E123+F123</f>
        <v>524070500.00000006</v>
      </c>
      <c r="I123" s="30"/>
      <c r="J123" s="24">
        <f>+H123+I123</f>
        <v>524070500.00000006</v>
      </c>
      <c r="K123" s="52"/>
      <c r="L123" s="52"/>
      <c r="M123" s="52"/>
      <c r="N123" s="52"/>
      <c r="O123" s="24">
        <f>+J123+K123+L123+M123+N123+37387187</f>
        <v>561457687</v>
      </c>
      <c r="P123" s="24">
        <v>26005453</v>
      </c>
      <c r="Q123" s="24">
        <v>158568206</v>
      </c>
      <c r="R123" s="24">
        <v>191518573</v>
      </c>
      <c r="S123" s="24">
        <v>185314230</v>
      </c>
      <c r="T123" s="24">
        <f t="shared" si="33"/>
        <v>561406462</v>
      </c>
      <c r="U123" s="24">
        <f t="shared" si="34"/>
        <v>-51225</v>
      </c>
      <c r="V123" s="53">
        <f t="shared" si="35"/>
        <v>0.99990876427345099</v>
      </c>
    </row>
    <row r="124" spans="1:22" s="50" customFormat="1" ht="15" hidden="1" outlineLevel="1" x14ac:dyDescent="0.25">
      <c r="A124" s="51" t="s">
        <v>138</v>
      </c>
      <c r="B124" s="30"/>
      <c r="C124" s="30"/>
      <c r="D124" s="30"/>
      <c r="E124" s="23"/>
      <c r="F124" s="30"/>
      <c r="G124" s="23">
        <f>+'[3]COMPARACIÓN PPC 2016 - 2017'!$O$53</f>
        <v>59650000</v>
      </c>
      <c r="H124" s="23">
        <f>+B124+C124+D124+G124+E124+F124</f>
        <v>59650000</v>
      </c>
      <c r="I124" s="30"/>
      <c r="J124" s="24">
        <f>+H124+I124</f>
        <v>59650000</v>
      </c>
      <c r="K124" s="52"/>
      <c r="L124" s="52"/>
      <c r="M124" s="52"/>
      <c r="N124" s="52"/>
      <c r="O124" s="24">
        <f>+J124+K124+L124+M124+N124-35687187</f>
        <v>23962813</v>
      </c>
      <c r="P124" s="24">
        <v>0</v>
      </c>
      <c r="Q124" s="24">
        <v>12298078</v>
      </c>
      <c r="R124" s="24">
        <v>11664735</v>
      </c>
      <c r="S124" s="24">
        <v>0</v>
      </c>
      <c r="T124" s="24">
        <f t="shared" si="33"/>
        <v>23962813</v>
      </c>
      <c r="U124" s="24">
        <f t="shared" si="34"/>
        <v>0</v>
      </c>
      <c r="V124" s="53">
        <f t="shared" si="35"/>
        <v>1</v>
      </c>
    </row>
    <row r="125" spans="1:22" s="50" customFormat="1" ht="15" hidden="1" outlineLevel="1" x14ac:dyDescent="0.25">
      <c r="A125" s="51" t="s">
        <v>139</v>
      </c>
      <c r="B125" s="30"/>
      <c r="C125" s="30"/>
      <c r="D125" s="30"/>
      <c r="E125" s="23"/>
      <c r="F125" s="30"/>
      <c r="G125" s="23">
        <f>+'[3]COMPARACIÓN PPC 2016 - 2017'!$O$54</f>
        <v>207912500</v>
      </c>
      <c r="H125" s="23">
        <f>+B125+C125+D125+G125+E125+F125</f>
        <v>207912500</v>
      </c>
      <c r="I125" s="30"/>
      <c r="J125" s="24">
        <f>+H125+I125</f>
        <v>207912500</v>
      </c>
      <c r="K125" s="52"/>
      <c r="L125" s="52"/>
      <c r="M125" s="52"/>
      <c r="N125" s="52"/>
      <c r="O125" s="24">
        <f>+J125+K125+L125+M125+N125-500000</f>
        <v>207412500</v>
      </c>
      <c r="P125" s="24">
        <v>29817595</v>
      </c>
      <c r="Q125" s="24">
        <v>50344701</v>
      </c>
      <c r="R125" s="24">
        <v>49783157</v>
      </c>
      <c r="S125" s="24">
        <v>77126737</v>
      </c>
      <c r="T125" s="24">
        <f t="shared" si="33"/>
        <v>207072190</v>
      </c>
      <c r="U125" s="24">
        <f t="shared" si="34"/>
        <v>-340310</v>
      </c>
      <c r="V125" s="53">
        <f t="shared" si="35"/>
        <v>0.99835925992888563</v>
      </c>
    </row>
    <row r="126" spans="1:22" s="50" customFormat="1" ht="15" hidden="1" outlineLevel="1" x14ac:dyDescent="0.25">
      <c r="A126" s="51" t="s">
        <v>140</v>
      </c>
      <c r="B126" s="30"/>
      <c r="C126" s="30"/>
      <c r="D126" s="30"/>
      <c r="E126" s="23"/>
      <c r="F126" s="30"/>
      <c r="G126" s="23">
        <f>+'[3]COMPARACIÓN PPC 2016 - 2017'!$O$55</f>
        <v>8100000</v>
      </c>
      <c r="H126" s="23">
        <f>+B126+C126+D126+G126+E126+F126</f>
        <v>8100000</v>
      </c>
      <c r="I126" s="30"/>
      <c r="J126" s="24">
        <f>+H126+I126</f>
        <v>8100000</v>
      </c>
      <c r="K126" s="52"/>
      <c r="L126" s="52"/>
      <c r="M126" s="52"/>
      <c r="N126" s="52"/>
      <c r="O126" s="24">
        <f>+J126+K126+L126+M126+N126-1200000</f>
        <v>6900000</v>
      </c>
      <c r="P126" s="24">
        <v>1631140</v>
      </c>
      <c r="Q126" s="24">
        <v>1645495</v>
      </c>
      <c r="R126" s="24">
        <v>1238631</v>
      </c>
      <c r="S126" s="24">
        <v>1704604</v>
      </c>
      <c r="T126" s="24">
        <f t="shared" si="33"/>
        <v>6219870</v>
      </c>
      <c r="U126" s="24">
        <f t="shared" si="34"/>
        <v>-680130</v>
      </c>
      <c r="V126" s="53">
        <f t="shared" si="35"/>
        <v>0.90143043478260865</v>
      </c>
    </row>
    <row r="127" spans="1:22" s="50" customFormat="1" ht="15" collapsed="1" x14ac:dyDescent="0.25">
      <c r="A127" s="54" t="s">
        <v>141</v>
      </c>
      <c r="B127" s="30"/>
      <c r="C127" s="30"/>
      <c r="D127" s="30"/>
      <c r="E127" s="19"/>
      <c r="F127" s="30"/>
      <c r="G127" s="19">
        <f>SUM(G128:G129)</f>
        <v>565333472.08749998</v>
      </c>
      <c r="H127" s="19">
        <f>SUM(H128:H129)</f>
        <v>565333472.08749998</v>
      </c>
      <c r="I127" s="30"/>
      <c r="J127" s="19">
        <f>SUM(J128:J129)</f>
        <v>565333472.08749998</v>
      </c>
      <c r="K127" s="20">
        <f>SUM(K128:K129)</f>
        <v>0</v>
      </c>
      <c r="L127" s="20">
        <f>SUM(L128:L129)</f>
        <v>0</v>
      </c>
      <c r="M127" s="20">
        <f>SUM(M128:M129)</f>
        <v>0</v>
      </c>
      <c r="N127" s="20">
        <f>SUM(N128:N129)</f>
        <v>0</v>
      </c>
      <c r="O127" s="19">
        <f t="shared" si="32"/>
        <v>565333472.08749998</v>
      </c>
      <c r="P127" s="19">
        <f>SUM(P128:P129)</f>
        <v>57527212</v>
      </c>
      <c r="Q127" s="19">
        <f>SUM(Q128:Q129)</f>
        <v>126207367</v>
      </c>
      <c r="R127" s="19">
        <f>SUM(R128:R129)</f>
        <v>63727701</v>
      </c>
      <c r="S127" s="19">
        <f>SUM(S128:S129)</f>
        <v>71870730</v>
      </c>
      <c r="T127" s="19">
        <f t="shared" si="33"/>
        <v>319333010</v>
      </c>
      <c r="U127" s="19">
        <f t="shared" si="34"/>
        <v>-246000462.08749998</v>
      </c>
      <c r="V127" s="21">
        <f t="shared" si="35"/>
        <v>0.56485777999462761</v>
      </c>
    </row>
    <row r="128" spans="1:22" s="50" customFormat="1" ht="15" hidden="1" outlineLevel="1" x14ac:dyDescent="0.25">
      <c r="A128" s="51" t="s">
        <v>142</v>
      </c>
      <c r="B128" s="30"/>
      <c r="C128" s="30"/>
      <c r="D128" s="30"/>
      <c r="E128" s="23"/>
      <c r="F128" s="30"/>
      <c r="G128" s="23">
        <f>+'[3]COMPARACIÓN PPC 2016 - 2017'!$O$57</f>
        <v>320941573.71249998</v>
      </c>
      <c r="H128" s="23">
        <f>+B128+C128+D128+G128+E128+F128</f>
        <v>320941573.71249998</v>
      </c>
      <c r="I128" s="30"/>
      <c r="J128" s="24">
        <f>+H128+I128</f>
        <v>320941573.71249998</v>
      </c>
      <c r="K128" s="52"/>
      <c r="L128" s="52"/>
      <c r="M128" s="52"/>
      <c r="N128" s="52"/>
      <c r="O128" s="24">
        <f t="shared" si="32"/>
        <v>320941573.71249998</v>
      </c>
      <c r="P128" s="24">
        <v>54094062</v>
      </c>
      <c r="Q128" s="24">
        <v>116411751</v>
      </c>
      <c r="R128" s="24">
        <v>51876688</v>
      </c>
      <c r="S128" s="24">
        <v>60691917</v>
      </c>
      <c r="T128" s="24">
        <f t="shared" si="33"/>
        <v>283074418</v>
      </c>
      <c r="U128" s="24">
        <f t="shared" si="34"/>
        <v>-37867155.712499976</v>
      </c>
      <c r="V128" s="53">
        <f t="shared" si="35"/>
        <v>0.88201230749114035</v>
      </c>
    </row>
    <row r="129" spans="1:22" s="50" customFormat="1" ht="15" hidden="1" outlineLevel="1" x14ac:dyDescent="0.25">
      <c r="A129" s="51" t="s">
        <v>143</v>
      </c>
      <c r="B129" s="30"/>
      <c r="C129" s="30"/>
      <c r="D129" s="30"/>
      <c r="E129" s="23"/>
      <c r="F129" s="30"/>
      <c r="G129" s="23">
        <f>+'[3]COMPARACIÓN PPC 2016 - 2017'!$O$62</f>
        <v>244391898.375</v>
      </c>
      <c r="H129" s="23">
        <f>+B129+C129+D129+G129+E129+F129</f>
        <v>244391898.375</v>
      </c>
      <c r="I129" s="30"/>
      <c r="J129" s="24">
        <f>+H129+I129</f>
        <v>244391898.375</v>
      </c>
      <c r="K129" s="52"/>
      <c r="L129" s="52"/>
      <c r="M129" s="52"/>
      <c r="N129" s="52"/>
      <c r="O129" s="24">
        <f t="shared" si="32"/>
        <v>244391898.375</v>
      </c>
      <c r="P129" s="24">
        <v>3433150</v>
      </c>
      <c r="Q129" s="24">
        <v>9795616</v>
      </c>
      <c r="R129" s="24">
        <v>11851013</v>
      </c>
      <c r="S129" s="24">
        <v>11178813</v>
      </c>
      <c r="T129" s="24">
        <f t="shared" si="33"/>
        <v>36258592</v>
      </c>
      <c r="U129" s="24">
        <f t="shared" si="34"/>
        <v>-208133306.375</v>
      </c>
      <c r="V129" s="53">
        <f t="shared" si="35"/>
        <v>0.14836249581548758</v>
      </c>
    </row>
    <row r="130" spans="1:22" s="50" customFormat="1" ht="15" collapsed="1" x14ac:dyDescent="0.25">
      <c r="A130" s="54" t="s">
        <v>144</v>
      </c>
      <c r="B130" s="30"/>
      <c r="C130" s="30"/>
      <c r="D130" s="30"/>
      <c r="E130" s="30"/>
      <c r="F130" s="30"/>
      <c r="G130" s="30">
        <f>SUM(G131:G133)</f>
        <v>7713574940.3000031</v>
      </c>
      <c r="H130" s="30">
        <f>SUM(H131:H133)</f>
        <v>7713574940.3000031</v>
      </c>
      <c r="I130" s="30"/>
      <c r="J130" s="30">
        <f>SUM(J131:J133)</f>
        <v>7713574940.3000031</v>
      </c>
      <c r="K130" s="31">
        <f>SUM(K131:K133)</f>
        <v>0</v>
      </c>
      <c r="L130" s="31">
        <f>SUM(L131:L133)</f>
        <v>0</v>
      </c>
      <c r="M130" s="31">
        <f>SUM(M131:M133)</f>
        <v>0</v>
      </c>
      <c r="N130" s="31">
        <f>SUM(N131:N133)</f>
        <v>0</v>
      </c>
      <c r="O130" s="30">
        <f t="shared" si="32"/>
        <v>7713574940.3000031</v>
      </c>
      <c r="P130" s="30">
        <f>SUM(P131:P133)</f>
        <v>1641783330</v>
      </c>
      <c r="Q130" s="30">
        <f>SUM(Q131:Q133)</f>
        <v>2014407536</v>
      </c>
      <c r="R130" s="30">
        <f>SUM(R131:R133)</f>
        <v>1664286394</v>
      </c>
      <c r="S130" s="30">
        <f>SUM(S131:S133)</f>
        <v>1914142504</v>
      </c>
      <c r="T130" s="30">
        <f t="shared" si="33"/>
        <v>7234619764</v>
      </c>
      <c r="U130" s="30">
        <f t="shared" si="34"/>
        <v>-478955176.30000305</v>
      </c>
      <c r="V130" s="32">
        <f t="shared" si="35"/>
        <v>0.93790749684719144</v>
      </c>
    </row>
    <row r="131" spans="1:22" s="50" customFormat="1" ht="15" hidden="1" outlineLevel="1" x14ac:dyDescent="0.25">
      <c r="A131" s="51" t="s">
        <v>145</v>
      </c>
      <c r="B131" s="30"/>
      <c r="C131" s="30"/>
      <c r="D131" s="30"/>
      <c r="E131" s="24"/>
      <c r="F131" s="30"/>
      <c r="G131" s="24">
        <f>+'[3]COMPARACIÓN PPC 2016 - 2017'!$O$64</f>
        <v>7511647162.2800026</v>
      </c>
      <c r="H131" s="23">
        <f>+B131+C131+D131+G131+E131+F131</f>
        <v>7511647162.2800026</v>
      </c>
      <c r="I131" s="30"/>
      <c r="J131" s="24">
        <f>+H131+I131</f>
        <v>7511647162.2800026</v>
      </c>
      <c r="K131" s="52"/>
      <c r="L131" s="52"/>
      <c r="M131" s="52"/>
      <c r="N131" s="52"/>
      <c r="O131" s="24">
        <f t="shared" si="32"/>
        <v>7511647162.2800026</v>
      </c>
      <c r="P131" s="24">
        <v>1610848514</v>
      </c>
      <c r="Q131" s="24">
        <v>1971837595</v>
      </c>
      <c r="R131" s="24">
        <v>1614767859</v>
      </c>
      <c r="S131" s="24">
        <v>1854698551</v>
      </c>
      <c r="T131" s="24">
        <f t="shared" si="33"/>
        <v>7052152519</v>
      </c>
      <c r="U131" s="24">
        <f t="shared" si="34"/>
        <v>-459494643.28000259</v>
      </c>
      <c r="V131" s="53">
        <f t="shared" si="35"/>
        <v>0.93882904330392791</v>
      </c>
    </row>
    <row r="132" spans="1:22" s="50" customFormat="1" ht="15" hidden="1" outlineLevel="1" x14ac:dyDescent="0.25">
      <c r="A132" s="51" t="s">
        <v>146</v>
      </c>
      <c r="B132" s="30"/>
      <c r="C132" s="30"/>
      <c r="D132" s="30"/>
      <c r="E132" s="24"/>
      <c r="F132" s="30"/>
      <c r="G132" s="24">
        <f>+'[3]COMPARACIÓN PPC 2016 - 2017'!$O$67</f>
        <v>122862549.60000001</v>
      </c>
      <c r="H132" s="23">
        <f>+B132+C132+D132+G132+E132+F132</f>
        <v>122862549.60000001</v>
      </c>
      <c r="I132" s="30"/>
      <c r="J132" s="24">
        <f>+H132+I132</f>
        <v>122862549.60000001</v>
      </c>
      <c r="K132" s="52"/>
      <c r="L132" s="52"/>
      <c r="M132" s="52"/>
      <c r="N132" s="52"/>
      <c r="O132" s="24">
        <f t="shared" si="32"/>
        <v>122862549.60000001</v>
      </c>
      <c r="P132" s="24">
        <v>12286260</v>
      </c>
      <c r="Q132" s="24">
        <v>24572520</v>
      </c>
      <c r="R132" s="24">
        <v>32763349</v>
      </c>
      <c r="S132" s="24">
        <v>34128492</v>
      </c>
      <c r="T132" s="24">
        <f t="shared" si="33"/>
        <v>103750621</v>
      </c>
      <c r="U132" s="24">
        <f t="shared" si="34"/>
        <v>-19111928.600000009</v>
      </c>
      <c r="V132" s="53">
        <f t="shared" si="35"/>
        <v>0.84444463620344723</v>
      </c>
    </row>
    <row r="133" spans="1:22" s="50" customFormat="1" ht="15" hidden="1" outlineLevel="1" x14ac:dyDescent="0.25">
      <c r="A133" s="51" t="s">
        <v>147</v>
      </c>
      <c r="B133" s="30"/>
      <c r="C133" s="30"/>
      <c r="D133" s="30"/>
      <c r="E133" s="24"/>
      <c r="F133" s="30"/>
      <c r="G133" s="24">
        <f>+'[3]COMPARACIÓN PPC 2016 - 2017'!$O$70</f>
        <v>79065228.420000002</v>
      </c>
      <c r="H133" s="23">
        <f>+B133+C133+D133+G133+E133+F133</f>
        <v>79065228.420000002</v>
      </c>
      <c r="I133" s="30"/>
      <c r="J133" s="24">
        <f>+H133+I133</f>
        <v>79065228.420000002</v>
      </c>
      <c r="K133" s="52"/>
      <c r="L133" s="52"/>
      <c r="M133" s="52"/>
      <c r="N133" s="52"/>
      <c r="O133" s="24">
        <f t="shared" si="32"/>
        <v>79065228.420000002</v>
      </c>
      <c r="P133" s="24">
        <v>18648556</v>
      </c>
      <c r="Q133" s="24">
        <v>17997421</v>
      </c>
      <c r="R133" s="24">
        <v>16755186</v>
      </c>
      <c r="S133" s="24">
        <v>25315461</v>
      </c>
      <c r="T133" s="24">
        <f t="shared" si="33"/>
        <v>78716624</v>
      </c>
      <c r="U133" s="24">
        <f t="shared" si="34"/>
        <v>-348604.42000000179</v>
      </c>
      <c r="V133" s="53">
        <f t="shared" si="35"/>
        <v>0.99559092629002233</v>
      </c>
    </row>
    <row r="134" spans="1:22" s="50" customFormat="1" ht="15" collapsed="1" x14ac:dyDescent="0.25">
      <c r="A134" s="51"/>
      <c r="B134" s="30"/>
      <c r="C134" s="30"/>
      <c r="D134" s="30"/>
      <c r="E134" s="24"/>
      <c r="F134" s="30"/>
      <c r="G134" s="24"/>
      <c r="H134" s="23"/>
      <c r="I134" s="30"/>
      <c r="J134" s="24"/>
      <c r="K134" s="52"/>
      <c r="L134" s="52"/>
      <c r="M134" s="52"/>
      <c r="N134" s="52"/>
      <c r="O134" s="24"/>
      <c r="P134" s="24"/>
      <c r="Q134" s="24"/>
      <c r="R134" s="24"/>
      <c r="S134" s="24"/>
      <c r="T134" s="24"/>
      <c r="U134" s="24"/>
      <c r="V134" s="53"/>
    </row>
    <row r="135" spans="1:22" s="58" customFormat="1" ht="15" x14ac:dyDescent="0.25">
      <c r="A135" s="54" t="s">
        <v>148</v>
      </c>
      <c r="B135" s="56"/>
      <c r="C135" s="19">
        <f>+C136+C140+C143+C146</f>
        <v>1580111549.895</v>
      </c>
      <c r="D135" s="56"/>
      <c r="E135" s="57"/>
      <c r="F135" s="56"/>
      <c r="G135" s="57"/>
      <c r="H135" s="19">
        <f>+H136+H140+H143+H146</f>
        <v>1580111549.895</v>
      </c>
      <c r="I135" s="56"/>
      <c r="J135" s="19">
        <f>+H135+I135</f>
        <v>1580111549.895</v>
      </c>
      <c r="K135" s="19">
        <f>+K136+K140+K143+K146</f>
        <v>83103328.105000004</v>
      </c>
      <c r="L135" s="19">
        <f>+L136+L140+L143+L146</f>
        <v>16000000</v>
      </c>
      <c r="M135" s="19">
        <f>+M136+M140+M143+M146</f>
        <v>3000000</v>
      </c>
      <c r="N135" s="19">
        <f>+N136+N140+N143+N146</f>
        <v>0</v>
      </c>
      <c r="O135" s="19">
        <f t="shared" ref="O135:O147" si="36">+J135+K135+L135+M135+N135</f>
        <v>1682214878</v>
      </c>
      <c r="P135" s="19">
        <f>+P136+P140+P143+P146</f>
        <v>325765985.88</v>
      </c>
      <c r="Q135" s="19">
        <f>+Q136+Q140+Q143+Q146</f>
        <v>384702748</v>
      </c>
      <c r="R135" s="19">
        <f>+R136+R140+R143+R146</f>
        <v>390754914</v>
      </c>
      <c r="S135" s="19">
        <f>+S136+S140+S143+S146</f>
        <v>462740476</v>
      </c>
      <c r="T135" s="19">
        <f t="shared" ref="T135:T147" si="37">+P135+Q135+R135+S135</f>
        <v>1563964123.8800001</v>
      </c>
      <c r="U135" s="19">
        <f t="shared" ref="U135:U147" si="38">+T135-O135</f>
        <v>-118250754.11999989</v>
      </c>
      <c r="V135" s="55">
        <f t="shared" ref="V135:V147" si="39">IFERROR(T135/O135,0)</f>
        <v>0.92970532143872775</v>
      </c>
    </row>
    <row r="136" spans="1:22" s="50" customFormat="1" ht="15" x14ac:dyDescent="0.25">
      <c r="A136" s="54" t="s">
        <v>149</v>
      </c>
      <c r="B136" s="56"/>
      <c r="C136" s="30">
        <f>SUM(C137:C139)</f>
        <v>416703112.57500005</v>
      </c>
      <c r="D136" s="30"/>
      <c r="E136" s="30"/>
      <c r="F136" s="30"/>
      <c r="G136" s="30"/>
      <c r="H136" s="19">
        <f>+B136+C136+D136+G136+E136+F136</f>
        <v>416703112.57500005</v>
      </c>
      <c r="I136" s="19"/>
      <c r="J136" s="30">
        <f>SUM(J137:J139)</f>
        <v>416703112.57500005</v>
      </c>
      <c r="K136" s="30">
        <f>SUM(K137:K139)</f>
        <v>0</v>
      </c>
      <c r="L136" s="30">
        <f>SUM(L137:L139)</f>
        <v>0</v>
      </c>
      <c r="M136" s="30">
        <f>SUM(M137:M139)</f>
        <v>0</v>
      </c>
      <c r="N136" s="30">
        <f>SUM(N137:N139)</f>
        <v>0</v>
      </c>
      <c r="O136" s="30">
        <f t="shared" si="36"/>
        <v>416703112.57500005</v>
      </c>
      <c r="P136" s="30">
        <f>SUM(P137:P139)</f>
        <v>69685925.800000012</v>
      </c>
      <c r="Q136" s="30">
        <f>SUM(Q137:Q139)</f>
        <v>97215414</v>
      </c>
      <c r="R136" s="30">
        <f>SUM(R137:R139)</f>
        <v>93138584</v>
      </c>
      <c r="S136" s="30">
        <f>SUM(S137:S139)</f>
        <v>133448398</v>
      </c>
      <c r="T136" s="30">
        <f t="shared" si="37"/>
        <v>393488321.80000001</v>
      </c>
      <c r="U136" s="30">
        <f t="shared" si="38"/>
        <v>-23214790.775000036</v>
      </c>
      <c r="V136" s="59">
        <f t="shared" si="39"/>
        <v>0.94428937515838274</v>
      </c>
    </row>
    <row r="137" spans="1:22" s="50" customFormat="1" ht="15" hidden="1" outlineLevel="1" x14ac:dyDescent="0.25">
      <c r="A137" s="51" t="s">
        <v>150</v>
      </c>
      <c r="B137" s="56"/>
      <c r="C137" s="24">
        <v>292453112.57500005</v>
      </c>
      <c r="D137" s="30"/>
      <c r="E137" s="30"/>
      <c r="F137" s="30"/>
      <c r="G137" s="30"/>
      <c r="H137" s="24">
        <f>+B137+C137+D137+G137+E137+F137</f>
        <v>292453112.57500005</v>
      </c>
      <c r="I137" s="19"/>
      <c r="J137" s="24">
        <f t="shared" ref="J137:J145" si="40">+H137+I137</f>
        <v>292453112.57500005</v>
      </c>
      <c r="K137" s="52"/>
      <c r="L137" s="52"/>
      <c r="M137" s="52"/>
      <c r="N137" s="52"/>
      <c r="O137" s="24">
        <f>+J137+K137+L137+M137+N137-5369000</f>
        <v>287084112.57500005</v>
      </c>
      <c r="P137" s="24">
        <v>69685925.800000012</v>
      </c>
      <c r="Q137" s="24">
        <v>77464934</v>
      </c>
      <c r="R137" s="24">
        <v>71200594</v>
      </c>
      <c r="S137" s="24">
        <v>46848849</v>
      </c>
      <c r="T137" s="24">
        <f t="shared" si="37"/>
        <v>265200302.80000001</v>
      </c>
      <c r="U137" s="24">
        <f t="shared" si="38"/>
        <v>-21883809.775000036</v>
      </c>
      <c r="V137" s="53">
        <f t="shared" si="39"/>
        <v>0.92377213222036825</v>
      </c>
    </row>
    <row r="138" spans="1:22" s="50" customFormat="1" ht="15" hidden="1" outlineLevel="1" x14ac:dyDescent="0.25">
      <c r="A138" s="51" t="s">
        <v>151</v>
      </c>
      <c r="B138" s="56"/>
      <c r="C138" s="24">
        <v>45250000</v>
      </c>
      <c r="D138" s="30"/>
      <c r="E138" s="30"/>
      <c r="F138" s="30"/>
      <c r="G138" s="30"/>
      <c r="H138" s="24">
        <f t="shared" ref="H138:H145" si="41">+B138+C138+D138+G138+E138+F138</f>
        <v>45250000</v>
      </c>
      <c r="I138" s="19"/>
      <c r="J138" s="24">
        <f t="shared" si="40"/>
        <v>45250000</v>
      </c>
      <c r="K138" s="52"/>
      <c r="L138" s="52"/>
      <c r="M138" s="52"/>
      <c r="N138" s="52"/>
      <c r="O138" s="24">
        <f t="shared" si="36"/>
        <v>45250000</v>
      </c>
      <c r="P138" s="24">
        <v>0</v>
      </c>
      <c r="Q138" s="24">
        <v>0</v>
      </c>
      <c r="R138" s="24">
        <v>0</v>
      </c>
      <c r="S138" s="24">
        <v>43921396</v>
      </c>
      <c r="T138" s="24">
        <f t="shared" si="37"/>
        <v>43921396</v>
      </c>
      <c r="U138" s="24">
        <f t="shared" si="38"/>
        <v>-1328604</v>
      </c>
      <c r="V138" s="53">
        <f t="shared" si="39"/>
        <v>0.9706385856353591</v>
      </c>
    </row>
    <row r="139" spans="1:22" s="50" customFormat="1" ht="15" hidden="1" outlineLevel="1" x14ac:dyDescent="0.25">
      <c r="A139" s="51" t="s">
        <v>152</v>
      </c>
      <c r="B139" s="56"/>
      <c r="C139" s="24">
        <v>79000000</v>
      </c>
      <c r="D139" s="30"/>
      <c r="E139" s="30"/>
      <c r="F139" s="30"/>
      <c r="G139" s="30"/>
      <c r="H139" s="24">
        <f t="shared" si="41"/>
        <v>79000000</v>
      </c>
      <c r="I139" s="19"/>
      <c r="J139" s="24">
        <f t="shared" si="40"/>
        <v>79000000</v>
      </c>
      <c r="K139" s="52"/>
      <c r="L139" s="52"/>
      <c r="M139" s="52"/>
      <c r="N139" s="52"/>
      <c r="O139" s="24">
        <f>+J139+K139+L139+M139+N139+5369000</f>
        <v>84369000</v>
      </c>
      <c r="P139" s="24">
        <v>0</v>
      </c>
      <c r="Q139" s="24">
        <v>19750480</v>
      </c>
      <c r="R139" s="24">
        <v>21937990</v>
      </c>
      <c r="S139" s="24">
        <v>42678153</v>
      </c>
      <c r="T139" s="24">
        <f t="shared" si="37"/>
        <v>84366623</v>
      </c>
      <c r="U139" s="24">
        <f t="shared" si="38"/>
        <v>-2377</v>
      </c>
      <c r="V139" s="53">
        <f t="shared" si="39"/>
        <v>0.99997182614467395</v>
      </c>
    </row>
    <row r="140" spans="1:22" s="50" customFormat="1" ht="15" collapsed="1" x14ac:dyDescent="0.25">
      <c r="A140" s="54" t="s">
        <v>153</v>
      </c>
      <c r="B140" s="56"/>
      <c r="C140" s="30">
        <f>SUM(C141:C142)</f>
        <v>968567958.02499998</v>
      </c>
      <c r="D140" s="30"/>
      <c r="E140" s="30"/>
      <c r="F140" s="30"/>
      <c r="G140" s="30"/>
      <c r="H140" s="19">
        <f>+B140+C140+D140+G140+E140+F140</f>
        <v>968567958.02499998</v>
      </c>
      <c r="I140" s="19"/>
      <c r="J140" s="30">
        <f>SUM(J141:J142)</f>
        <v>968567958.02499998</v>
      </c>
      <c r="K140" s="31">
        <f>SUM(K141:K142)</f>
        <v>0</v>
      </c>
      <c r="L140" s="31">
        <f>SUM(L141:L142)</f>
        <v>16000000</v>
      </c>
      <c r="M140" s="31">
        <f>SUM(M141:M142)</f>
        <v>16000000</v>
      </c>
      <c r="N140" s="31">
        <f>SUM(N141:N142)</f>
        <v>0</v>
      </c>
      <c r="O140" s="30">
        <f t="shared" si="36"/>
        <v>1000567958.025</v>
      </c>
      <c r="P140" s="30">
        <f>SUM(P141:P142)</f>
        <v>203657173.59999999</v>
      </c>
      <c r="Q140" s="30">
        <f>SUM(Q141:Q142)</f>
        <v>242103122</v>
      </c>
      <c r="R140" s="30">
        <f>SUM(R141:R142)</f>
        <v>223772436</v>
      </c>
      <c r="S140" s="30">
        <f>SUM(S141:S142)</f>
        <v>283105711</v>
      </c>
      <c r="T140" s="30">
        <f t="shared" si="37"/>
        <v>952638442.60000002</v>
      </c>
      <c r="U140" s="30">
        <f t="shared" si="38"/>
        <v>-47929515.424999952</v>
      </c>
      <c r="V140" s="32">
        <f t="shared" si="39"/>
        <v>0.95209769107576958</v>
      </c>
    </row>
    <row r="141" spans="1:22" s="50" customFormat="1" ht="15" hidden="1" outlineLevel="1" x14ac:dyDescent="0.25">
      <c r="A141" s="51" t="s">
        <v>154</v>
      </c>
      <c r="B141" s="56"/>
      <c r="C141" s="24">
        <v>718137458.02499998</v>
      </c>
      <c r="D141" s="30"/>
      <c r="E141" s="30"/>
      <c r="F141" s="30"/>
      <c r="G141" s="30"/>
      <c r="H141" s="24">
        <f t="shared" si="41"/>
        <v>718137458.02499998</v>
      </c>
      <c r="I141" s="19"/>
      <c r="J141" s="24">
        <f t="shared" si="40"/>
        <v>718137458.02499998</v>
      </c>
      <c r="K141" s="52"/>
      <c r="L141" s="52"/>
      <c r="M141" s="52"/>
      <c r="N141" s="52"/>
      <c r="O141" s="24">
        <f t="shared" si="36"/>
        <v>718137458.02499998</v>
      </c>
      <c r="P141" s="24">
        <v>170413648.59999999</v>
      </c>
      <c r="Q141" s="24">
        <v>189909231</v>
      </c>
      <c r="R141" s="24">
        <v>188596194</v>
      </c>
      <c r="S141" s="24">
        <v>167942089</v>
      </c>
      <c r="T141" s="24">
        <f t="shared" si="37"/>
        <v>716861162.60000002</v>
      </c>
      <c r="U141" s="24">
        <f t="shared" si="38"/>
        <v>-1276295.4249999523</v>
      </c>
      <c r="V141" s="53">
        <f t="shared" si="39"/>
        <v>0.99822277001326465</v>
      </c>
    </row>
    <row r="142" spans="1:22" s="50" customFormat="1" ht="15" hidden="1" outlineLevel="1" x14ac:dyDescent="0.25">
      <c r="A142" s="51" t="s">
        <v>155</v>
      </c>
      <c r="B142" s="56"/>
      <c r="C142" s="24">
        <v>250430500</v>
      </c>
      <c r="D142" s="30"/>
      <c r="E142" s="30"/>
      <c r="F142" s="30"/>
      <c r="G142" s="30"/>
      <c r="H142" s="24">
        <f>+B142+C142+D142+G142+E142+F142</f>
        <v>250430500</v>
      </c>
      <c r="I142" s="19"/>
      <c r="J142" s="24">
        <f t="shared" si="40"/>
        <v>250430500</v>
      </c>
      <c r="K142" s="52"/>
      <c r="L142" s="52">
        <v>16000000</v>
      </c>
      <c r="M142" s="52">
        <v>16000000</v>
      </c>
      <c r="N142" s="52"/>
      <c r="O142" s="24">
        <f t="shared" si="36"/>
        <v>282430500</v>
      </c>
      <c r="P142" s="24">
        <v>33243525</v>
      </c>
      <c r="Q142" s="24">
        <v>52193891</v>
      </c>
      <c r="R142" s="24">
        <v>35176242</v>
      </c>
      <c r="S142" s="24">
        <v>115163622</v>
      </c>
      <c r="T142" s="24">
        <f t="shared" si="37"/>
        <v>235777280</v>
      </c>
      <c r="U142" s="24">
        <f t="shared" si="38"/>
        <v>-46653220</v>
      </c>
      <c r="V142" s="53">
        <f t="shared" si="39"/>
        <v>0.83481522002758202</v>
      </c>
    </row>
    <row r="143" spans="1:22" s="50" customFormat="1" ht="15" collapsed="1" x14ac:dyDescent="0.25">
      <c r="A143" s="54" t="s">
        <v>156</v>
      </c>
      <c r="B143" s="56"/>
      <c r="C143" s="30">
        <f>SUM(C144:C145)</f>
        <v>194840479.29500002</v>
      </c>
      <c r="D143" s="30"/>
      <c r="E143" s="30"/>
      <c r="F143" s="30"/>
      <c r="G143" s="30"/>
      <c r="H143" s="19">
        <f>+B143+C143+D143+G143+E143+F143</f>
        <v>194840479.29500002</v>
      </c>
      <c r="I143" s="19"/>
      <c r="J143" s="30">
        <f>SUM(J144:J145)</f>
        <v>194840479.29500002</v>
      </c>
      <c r="K143" s="31">
        <f>SUM(K144:K145)</f>
        <v>0</v>
      </c>
      <c r="L143" s="31">
        <f>SUM(L144:L145)</f>
        <v>0</v>
      </c>
      <c r="M143" s="31">
        <f>SUM(M144:M145)</f>
        <v>0</v>
      </c>
      <c r="N143" s="31">
        <f>SUM(N144:N145)</f>
        <v>0</v>
      </c>
      <c r="O143" s="30">
        <f t="shared" si="36"/>
        <v>194840479.29500002</v>
      </c>
      <c r="P143" s="30">
        <f>SUM(P144:P145)</f>
        <v>52422886.480000004</v>
      </c>
      <c r="Q143" s="30">
        <f>SUM(Q144:Q145)</f>
        <v>38730977</v>
      </c>
      <c r="R143" s="30">
        <f>SUM(R144:R145)</f>
        <v>50172707</v>
      </c>
      <c r="S143" s="30">
        <f>SUM(S144:S145)</f>
        <v>21387658</v>
      </c>
      <c r="T143" s="30">
        <f t="shared" si="37"/>
        <v>162714228.48000002</v>
      </c>
      <c r="U143" s="30">
        <f t="shared" si="38"/>
        <v>-32126250.814999998</v>
      </c>
      <c r="V143" s="32">
        <f t="shared" si="39"/>
        <v>0.83511511092949553</v>
      </c>
    </row>
    <row r="144" spans="1:22" s="50" customFormat="1" ht="15" hidden="1" outlineLevel="1" x14ac:dyDescent="0.25">
      <c r="A144" s="51" t="s">
        <v>157</v>
      </c>
      <c r="B144" s="56"/>
      <c r="C144" s="24">
        <v>82496414.495000005</v>
      </c>
      <c r="D144" s="30"/>
      <c r="E144" s="30"/>
      <c r="F144" s="30"/>
      <c r="G144" s="30"/>
      <c r="H144" s="24">
        <f t="shared" si="41"/>
        <v>82496414.495000005</v>
      </c>
      <c r="I144" s="19"/>
      <c r="J144" s="24">
        <f t="shared" si="40"/>
        <v>82496414.495000005</v>
      </c>
      <c r="K144" s="52"/>
      <c r="L144" s="52"/>
      <c r="M144" s="52"/>
      <c r="N144" s="52"/>
      <c r="O144" s="24">
        <f t="shared" si="36"/>
        <v>82496414.495000005</v>
      </c>
      <c r="P144" s="24">
        <v>13514695.680000003</v>
      </c>
      <c r="Q144" s="24">
        <v>18786476</v>
      </c>
      <c r="R144" s="24">
        <v>16977867</v>
      </c>
      <c r="S144" s="24">
        <v>10357260</v>
      </c>
      <c r="T144" s="24">
        <f t="shared" si="37"/>
        <v>59636298.680000007</v>
      </c>
      <c r="U144" s="24">
        <f t="shared" si="38"/>
        <v>-22860115.814999998</v>
      </c>
      <c r="V144" s="53">
        <f t="shared" si="39"/>
        <v>0.72289564395085903</v>
      </c>
    </row>
    <row r="145" spans="1:22" s="50" customFormat="1" ht="15" hidden="1" outlineLevel="1" x14ac:dyDescent="0.25">
      <c r="A145" s="51" t="s">
        <v>158</v>
      </c>
      <c r="B145" s="56"/>
      <c r="C145" s="24">
        <v>112344064.80000001</v>
      </c>
      <c r="D145" s="30"/>
      <c r="E145" s="30"/>
      <c r="F145" s="30"/>
      <c r="G145" s="30"/>
      <c r="H145" s="24">
        <f t="shared" si="41"/>
        <v>112344064.80000001</v>
      </c>
      <c r="I145" s="19"/>
      <c r="J145" s="24">
        <f t="shared" si="40"/>
        <v>112344064.80000001</v>
      </c>
      <c r="K145" s="52"/>
      <c r="L145" s="52"/>
      <c r="M145" s="52"/>
      <c r="N145" s="52"/>
      <c r="O145" s="24">
        <f t="shared" si="36"/>
        <v>112344064.80000001</v>
      </c>
      <c r="P145" s="24">
        <v>38908190.799999997</v>
      </c>
      <c r="Q145" s="24">
        <f>19944502-1</f>
        <v>19944501</v>
      </c>
      <c r="R145" s="24">
        <v>33194840</v>
      </c>
      <c r="S145" s="24">
        <v>11030398</v>
      </c>
      <c r="T145" s="24">
        <f t="shared" si="37"/>
        <v>103077929.8</v>
      </c>
      <c r="U145" s="24">
        <f t="shared" si="38"/>
        <v>-9266135.0000000149</v>
      </c>
      <c r="V145" s="53">
        <f t="shared" si="39"/>
        <v>0.91752003084011591</v>
      </c>
    </row>
    <row r="146" spans="1:22" s="50" customFormat="1" ht="15" collapsed="1" x14ac:dyDescent="0.25">
      <c r="A146" s="54" t="s">
        <v>159</v>
      </c>
      <c r="B146" s="56"/>
      <c r="C146" s="30">
        <f>SUM(C147:C148)</f>
        <v>0</v>
      </c>
      <c r="D146" s="30"/>
      <c r="E146" s="30"/>
      <c r="F146" s="30"/>
      <c r="G146" s="30"/>
      <c r="H146" s="19">
        <f>+B146+C146+D146+G146+E146+F146</f>
        <v>0</v>
      </c>
      <c r="I146" s="19"/>
      <c r="J146" s="30">
        <f>SUM(J147:J148)</f>
        <v>0</v>
      </c>
      <c r="K146" s="31">
        <f>SUM(K147:K148)</f>
        <v>83103328.105000004</v>
      </c>
      <c r="L146" s="31">
        <f>SUM(L147:L148)</f>
        <v>0</v>
      </c>
      <c r="M146" s="31">
        <f>SUM(M147:M148)</f>
        <v>-13000000</v>
      </c>
      <c r="N146" s="31">
        <f>SUM(N147:N148)</f>
        <v>0</v>
      </c>
      <c r="O146" s="30">
        <f t="shared" si="36"/>
        <v>70103328.105000004</v>
      </c>
      <c r="P146" s="30">
        <f>SUM(P147:P148)</f>
        <v>0</v>
      </c>
      <c r="Q146" s="30">
        <f>SUM(Q147:Q148)</f>
        <v>6653235.0000000037</v>
      </c>
      <c r="R146" s="30">
        <f>SUM(R147:R148)</f>
        <v>23671187</v>
      </c>
      <c r="S146" s="30">
        <f>SUM(S147:S148)</f>
        <v>24798709</v>
      </c>
      <c r="T146" s="30">
        <f t="shared" si="37"/>
        <v>55123131</v>
      </c>
      <c r="U146" s="30">
        <f t="shared" si="38"/>
        <v>-14980197.105000004</v>
      </c>
      <c r="V146" s="32">
        <f t="shared" si="39"/>
        <v>0.78631261154159715</v>
      </c>
    </row>
    <row r="147" spans="1:22" s="50" customFormat="1" ht="15" hidden="1" outlineLevel="1" x14ac:dyDescent="0.25">
      <c r="A147" s="51" t="s">
        <v>160</v>
      </c>
      <c r="B147" s="56"/>
      <c r="C147" s="24"/>
      <c r="D147" s="30"/>
      <c r="E147" s="30"/>
      <c r="F147" s="30"/>
      <c r="G147" s="30"/>
      <c r="H147" s="24">
        <f>+B147+C147+D147+G147+E147+F147</f>
        <v>0</v>
      </c>
      <c r="I147" s="19"/>
      <c r="J147" s="24">
        <f>+H147+I147</f>
        <v>0</v>
      </c>
      <c r="K147" s="52">
        <v>83103328.105000004</v>
      </c>
      <c r="L147" s="52"/>
      <c r="M147" s="52">
        <v>-13000000</v>
      </c>
      <c r="N147" s="52"/>
      <c r="O147" s="24">
        <f t="shared" si="36"/>
        <v>70103328.105000004</v>
      </c>
      <c r="P147" s="24">
        <v>0</v>
      </c>
      <c r="Q147" s="24">
        <v>6653235.0000000037</v>
      </c>
      <c r="R147" s="24">
        <v>23671187</v>
      </c>
      <c r="S147" s="24">
        <v>24798709</v>
      </c>
      <c r="T147" s="24">
        <f t="shared" si="37"/>
        <v>55123131</v>
      </c>
      <c r="U147" s="24">
        <f t="shared" si="38"/>
        <v>-14980197.105000004</v>
      </c>
      <c r="V147" s="53">
        <f t="shared" si="39"/>
        <v>0.78631261154159715</v>
      </c>
    </row>
    <row r="148" spans="1:22" s="50" customFormat="1" ht="15" collapsed="1" x14ac:dyDescent="0.25">
      <c r="A148" s="51"/>
      <c r="B148" s="56"/>
      <c r="C148" s="30"/>
      <c r="D148" s="30"/>
      <c r="E148" s="30"/>
      <c r="F148" s="30"/>
      <c r="G148" s="30"/>
      <c r="H148" s="24"/>
      <c r="I148" s="30"/>
      <c r="J148" s="24"/>
      <c r="K148" s="52"/>
      <c r="L148" s="52"/>
      <c r="M148" s="52"/>
      <c r="N148" s="52"/>
      <c r="O148" s="24"/>
      <c r="P148" s="24"/>
      <c r="Q148" s="24"/>
      <c r="R148" s="24"/>
      <c r="S148" s="24"/>
      <c r="T148" s="24"/>
      <c r="U148" s="24"/>
      <c r="V148" s="53"/>
    </row>
    <row r="149" spans="1:22" s="50" customFormat="1" ht="15" x14ac:dyDescent="0.25">
      <c r="A149" s="54" t="s">
        <v>161</v>
      </c>
      <c r="B149" s="56"/>
      <c r="C149" s="30"/>
      <c r="D149" s="30">
        <f>+D150+D154+D168</f>
        <v>1671953337.8875</v>
      </c>
      <c r="E149" s="30"/>
      <c r="F149" s="30"/>
      <c r="G149" s="30"/>
      <c r="H149" s="30">
        <f>+H150+H154+H168</f>
        <v>1671953337.8875</v>
      </c>
      <c r="I149" s="30"/>
      <c r="J149" s="19">
        <f>+H149+I149</f>
        <v>1671953337.8875</v>
      </c>
      <c r="K149" s="30">
        <f>+K150+K154+K168</f>
        <v>0</v>
      </c>
      <c r="L149" s="30">
        <f>+L150+L154+L168</f>
        <v>193733675</v>
      </c>
      <c r="M149" s="30">
        <f>+M150+M154+M168</f>
        <v>-22500000</v>
      </c>
      <c r="N149" s="30">
        <f>+N150+N154+N168</f>
        <v>0</v>
      </c>
      <c r="O149" s="19">
        <f>+J149+K149+L149+M149+N149</f>
        <v>1843187012.8875</v>
      </c>
      <c r="P149" s="30">
        <f>+P150+P154+P168</f>
        <v>171706596</v>
      </c>
      <c r="Q149" s="30">
        <f>+Q150+Q154+Q168</f>
        <v>398541722</v>
      </c>
      <c r="R149" s="30">
        <f>+R150+R154+R168</f>
        <v>477064137</v>
      </c>
      <c r="S149" s="30">
        <f>+S150+S154+S168</f>
        <v>733257750</v>
      </c>
      <c r="T149" s="19">
        <f t="shared" ref="T149:T182" si="42">+P149+Q149+R149+S149</f>
        <v>1780570205</v>
      </c>
      <c r="U149" s="19">
        <f t="shared" ref="U149:U182" si="43">+T149-O149</f>
        <v>-62616807.887500048</v>
      </c>
      <c r="V149" s="59">
        <f t="shared" ref="V149:V182" si="44">IFERROR(T149/O149,0)</f>
        <v>0.96602796816075331</v>
      </c>
    </row>
    <row r="150" spans="1:22" s="50" customFormat="1" ht="15" x14ac:dyDescent="0.25">
      <c r="A150" s="54" t="s">
        <v>162</v>
      </c>
      <c r="B150" s="30"/>
      <c r="C150" s="30"/>
      <c r="D150" s="30">
        <f>SUM(D151:D153)</f>
        <v>404996040</v>
      </c>
      <c r="E150" s="30"/>
      <c r="F150" s="30"/>
      <c r="G150" s="30"/>
      <c r="H150" s="30">
        <f>SUM(H151:H153)</f>
        <v>404996040</v>
      </c>
      <c r="I150" s="30"/>
      <c r="J150" s="30">
        <f>SUM(J151:J153)</f>
        <v>404996040</v>
      </c>
      <c r="K150" s="30">
        <f>SUM(K151:K153)</f>
        <v>0</v>
      </c>
      <c r="L150" s="30">
        <f>SUM(L151:L153)</f>
        <v>0</v>
      </c>
      <c r="M150" s="30">
        <f>SUM(M151:M153)</f>
        <v>0</v>
      </c>
      <c r="N150" s="30">
        <f>SUM(N151:N153)</f>
        <v>0</v>
      </c>
      <c r="O150" s="30">
        <f>+J150+K150+L150+M150+N150</f>
        <v>404996040</v>
      </c>
      <c r="P150" s="30">
        <f>SUM(P151:P153)</f>
        <v>54366870</v>
      </c>
      <c r="Q150" s="30">
        <f>SUM(Q151:Q153)</f>
        <v>87923329</v>
      </c>
      <c r="R150" s="30">
        <f>SUM(R151:R153)</f>
        <v>122995451</v>
      </c>
      <c r="S150" s="30">
        <f>SUM(S151:S153)</f>
        <v>132577035</v>
      </c>
      <c r="T150" s="30">
        <f t="shared" si="42"/>
        <v>397862685</v>
      </c>
      <c r="U150" s="30">
        <f t="shared" si="43"/>
        <v>-7133355</v>
      </c>
      <c r="V150" s="59">
        <f t="shared" si="44"/>
        <v>0.98238660555792101</v>
      </c>
    </row>
    <row r="151" spans="1:22" s="50" customFormat="1" ht="15" hidden="1" outlineLevel="1" x14ac:dyDescent="0.25">
      <c r="A151" s="51" t="s">
        <v>163</v>
      </c>
      <c r="B151" s="30"/>
      <c r="C151" s="30"/>
      <c r="D151" s="24">
        <f>+'[4]Consolidado Investigación'!$C$12</f>
        <v>378000000</v>
      </c>
      <c r="E151" s="30"/>
      <c r="F151" s="30"/>
      <c r="G151" s="30"/>
      <c r="H151" s="23">
        <f>+B151+C151+D151+G151+E151+F151</f>
        <v>378000000</v>
      </c>
      <c r="I151" s="30"/>
      <c r="J151" s="24">
        <f>+H151+I151</f>
        <v>378000000</v>
      </c>
      <c r="K151" s="52"/>
      <c r="L151" s="52"/>
      <c r="M151" s="52"/>
      <c r="N151" s="52"/>
      <c r="O151" s="24">
        <f>+J151+K151+L151+M151+N151+3257909</f>
        <v>381257909</v>
      </c>
      <c r="P151" s="24">
        <v>48278739</v>
      </c>
      <c r="Q151" s="24">
        <v>87203329</v>
      </c>
      <c r="R151" s="24">
        <v>108513165</v>
      </c>
      <c r="S151" s="24">
        <v>131758235</v>
      </c>
      <c r="T151" s="24">
        <f t="shared" si="42"/>
        <v>375753468</v>
      </c>
      <c r="U151" s="24">
        <f t="shared" si="43"/>
        <v>-5504441</v>
      </c>
      <c r="V151" s="53">
        <f t="shared" si="44"/>
        <v>0.98556242147359618</v>
      </c>
    </row>
    <row r="152" spans="1:22" s="50" customFormat="1" ht="15" hidden="1" outlineLevel="1" x14ac:dyDescent="0.25">
      <c r="A152" s="51" t="s">
        <v>164</v>
      </c>
      <c r="B152" s="30"/>
      <c r="C152" s="30"/>
      <c r="D152" s="24">
        <f>+'[4]Consolidado Investigación'!$C$20</f>
        <v>11066040</v>
      </c>
      <c r="E152" s="30"/>
      <c r="F152" s="30"/>
      <c r="G152" s="30"/>
      <c r="H152" s="23">
        <f>+B152+C152+D152+G152+E152+F152</f>
        <v>11066040</v>
      </c>
      <c r="I152" s="30"/>
      <c r="J152" s="24">
        <f>+H152+I152</f>
        <v>11066040</v>
      </c>
      <c r="K152" s="52"/>
      <c r="L152" s="52"/>
      <c r="M152" s="52"/>
      <c r="N152" s="52"/>
      <c r="O152" s="24">
        <f>+J152+K152+L152+M152+N152-4007909</f>
        <v>7058131</v>
      </c>
      <c r="P152" s="24">
        <v>6088131</v>
      </c>
      <c r="Q152" s="24">
        <v>720000</v>
      </c>
      <c r="R152" s="24">
        <v>250000</v>
      </c>
      <c r="S152" s="24">
        <v>0</v>
      </c>
      <c r="T152" s="24">
        <f t="shared" si="42"/>
        <v>7058131</v>
      </c>
      <c r="U152" s="24">
        <f t="shared" si="43"/>
        <v>0</v>
      </c>
      <c r="V152" s="53">
        <f t="shared" si="44"/>
        <v>1</v>
      </c>
    </row>
    <row r="153" spans="1:22" s="50" customFormat="1" ht="15" hidden="1" outlineLevel="1" x14ac:dyDescent="0.25">
      <c r="A153" s="51" t="s">
        <v>165</v>
      </c>
      <c r="B153" s="30"/>
      <c r="C153" s="30"/>
      <c r="D153" s="24">
        <f>+'[4]Consolidado Investigación'!$C$21</f>
        <v>15930000</v>
      </c>
      <c r="E153" s="30"/>
      <c r="F153" s="30"/>
      <c r="G153" s="30"/>
      <c r="H153" s="23">
        <f>+B153+C153+D153+G153+E153+F153</f>
        <v>15930000</v>
      </c>
      <c r="I153" s="30"/>
      <c r="J153" s="24">
        <f>+H153+I153</f>
        <v>15930000</v>
      </c>
      <c r="K153" s="52"/>
      <c r="L153" s="52"/>
      <c r="M153" s="52"/>
      <c r="N153" s="52"/>
      <c r="O153" s="24">
        <f>+J153+K153+L153+M153+N153+750000</f>
        <v>16680000</v>
      </c>
      <c r="P153" s="24">
        <v>0</v>
      </c>
      <c r="Q153" s="24">
        <v>0</v>
      </c>
      <c r="R153" s="24">
        <v>14232286</v>
      </c>
      <c r="S153" s="24">
        <v>818800</v>
      </c>
      <c r="T153" s="24">
        <f t="shared" si="42"/>
        <v>15051086</v>
      </c>
      <c r="U153" s="24">
        <f t="shared" si="43"/>
        <v>-1628914</v>
      </c>
      <c r="V153" s="53">
        <f t="shared" si="44"/>
        <v>0.90234328537170261</v>
      </c>
    </row>
    <row r="154" spans="1:22" s="50" customFormat="1" ht="15" collapsed="1" x14ac:dyDescent="0.25">
      <c r="A154" s="54" t="s">
        <v>166</v>
      </c>
      <c r="B154" s="30"/>
      <c r="C154" s="30"/>
      <c r="D154" s="30">
        <f>+D155+D163</f>
        <v>814906000</v>
      </c>
      <c r="E154" s="30"/>
      <c r="F154" s="30"/>
      <c r="G154" s="30"/>
      <c r="H154" s="30">
        <f>+H155+H163</f>
        <v>814906000</v>
      </c>
      <c r="I154" s="30"/>
      <c r="J154" s="30">
        <f>+J155+J163</f>
        <v>814906000</v>
      </c>
      <c r="K154" s="31">
        <f>+K155+K163</f>
        <v>0</v>
      </c>
      <c r="L154" s="31">
        <f>+L155+L163</f>
        <v>150000000</v>
      </c>
      <c r="M154" s="31">
        <f>+M155+M163</f>
        <v>-22500000</v>
      </c>
      <c r="N154" s="31">
        <f>+N155+N163</f>
        <v>0</v>
      </c>
      <c r="O154" s="30">
        <f>+J154+K154+L154+M154+N154</f>
        <v>942406000</v>
      </c>
      <c r="P154" s="30">
        <f>+P155+P163</f>
        <v>69944745</v>
      </c>
      <c r="Q154" s="30">
        <f>+Q155+Q163</f>
        <v>206259595</v>
      </c>
      <c r="R154" s="30">
        <f>+R155+R163</f>
        <v>212556528</v>
      </c>
      <c r="S154" s="30">
        <f>+S155+S163</f>
        <v>405092880</v>
      </c>
      <c r="T154" s="30">
        <f t="shared" si="42"/>
        <v>893853748</v>
      </c>
      <c r="U154" s="30">
        <f t="shared" si="43"/>
        <v>-48552252</v>
      </c>
      <c r="V154" s="32">
        <f t="shared" si="44"/>
        <v>0.94848053598979631</v>
      </c>
    </row>
    <row r="155" spans="1:22" s="50" customFormat="1" ht="15" hidden="1" outlineLevel="1" x14ac:dyDescent="0.25">
      <c r="A155" s="54" t="s">
        <v>167</v>
      </c>
      <c r="B155" s="30"/>
      <c r="C155" s="30"/>
      <c r="D155" s="30">
        <f>SUM(D156:D162)</f>
        <v>525156000</v>
      </c>
      <c r="E155" s="30"/>
      <c r="F155" s="30"/>
      <c r="G155" s="30"/>
      <c r="H155" s="30">
        <f>SUM(H156:H162)</f>
        <v>525156000</v>
      </c>
      <c r="I155" s="30"/>
      <c r="J155" s="30">
        <f>SUM(J156:J162)</f>
        <v>525156000</v>
      </c>
      <c r="K155" s="31">
        <f>SUM(K156:K162)</f>
        <v>0</v>
      </c>
      <c r="L155" s="31">
        <f>SUM(L156:L162)</f>
        <v>150000000</v>
      </c>
      <c r="M155" s="31">
        <f>SUM(M156:M162)</f>
        <v>-22500000</v>
      </c>
      <c r="N155" s="31">
        <f>SUM(N156:N162)</f>
        <v>0</v>
      </c>
      <c r="O155" s="30">
        <f>+J155+K155+L155+M155+N155</f>
        <v>652656000</v>
      </c>
      <c r="P155" s="30">
        <f>SUM(P156:P162)</f>
        <v>40193401</v>
      </c>
      <c r="Q155" s="30">
        <f>SUM(Q156:Q162)</f>
        <v>141149291</v>
      </c>
      <c r="R155" s="30">
        <f>SUM(R156:R162)</f>
        <v>148052319</v>
      </c>
      <c r="S155" s="30">
        <f>SUM(S156:S162)</f>
        <v>284415562</v>
      </c>
      <c r="T155" s="30">
        <f t="shared" si="42"/>
        <v>613810573</v>
      </c>
      <c r="U155" s="30">
        <f t="shared" si="43"/>
        <v>-38845427</v>
      </c>
      <c r="V155" s="32">
        <f t="shared" si="44"/>
        <v>0.94048100837194482</v>
      </c>
    </row>
    <row r="156" spans="1:22" s="50" customFormat="1" ht="15" hidden="1" outlineLevel="2" x14ac:dyDescent="0.25">
      <c r="A156" s="51" t="s">
        <v>168</v>
      </c>
      <c r="B156" s="30"/>
      <c r="C156" s="30"/>
      <c r="D156" s="24">
        <f>+'[4]Consolidado Investigación'!$C$26</f>
        <v>34150000</v>
      </c>
      <c r="E156" s="30"/>
      <c r="F156" s="30"/>
      <c r="G156" s="30"/>
      <c r="H156" s="23">
        <f t="shared" ref="H156:H161" si="45">+B156+C156+D156+G156+E156+F156</f>
        <v>34150000</v>
      </c>
      <c r="I156" s="30"/>
      <c r="J156" s="24">
        <f t="shared" ref="J156:J161" si="46">+H156+I156</f>
        <v>34150000</v>
      </c>
      <c r="K156" s="52"/>
      <c r="L156" s="52">
        <v>150000000</v>
      </c>
      <c r="M156" s="52">
        <v>-22500000</v>
      </c>
      <c r="N156" s="52"/>
      <c r="O156" s="24">
        <f>+J156+K156+L156+M156+N156-15000000</f>
        <v>146650000</v>
      </c>
      <c r="P156" s="24">
        <v>0</v>
      </c>
      <c r="Q156" s="24">
        <v>315000</v>
      </c>
      <c r="R156" s="24">
        <v>3885408</v>
      </c>
      <c r="S156" s="24">
        <v>134548196</v>
      </c>
      <c r="T156" s="24">
        <f t="shared" si="42"/>
        <v>138748604</v>
      </c>
      <c r="U156" s="24">
        <f t="shared" si="43"/>
        <v>-7901396</v>
      </c>
      <c r="V156" s="53">
        <f t="shared" si="44"/>
        <v>0.94612072280941018</v>
      </c>
    </row>
    <row r="157" spans="1:22" s="50" customFormat="1" ht="15" hidden="1" outlineLevel="2" x14ac:dyDescent="0.25">
      <c r="A157" s="51" t="s">
        <v>169</v>
      </c>
      <c r="B157" s="30"/>
      <c r="C157" s="30"/>
      <c r="D157" s="24">
        <f>+'[4]Consolidado Investigación'!$C$27</f>
        <v>36278000</v>
      </c>
      <c r="E157" s="30"/>
      <c r="F157" s="30"/>
      <c r="G157" s="30"/>
      <c r="H157" s="23">
        <f t="shared" si="45"/>
        <v>36278000</v>
      </c>
      <c r="I157" s="30"/>
      <c r="J157" s="24">
        <f t="shared" si="46"/>
        <v>36278000</v>
      </c>
      <c r="K157" s="52"/>
      <c r="L157" s="52"/>
      <c r="M157" s="52"/>
      <c r="N157" s="52"/>
      <c r="O157" s="24">
        <f>+J157+K157+L157+M157+N157-10272882</f>
        <v>26005118</v>
      </c>
      <c r="P157" s="24">
        <v>6066046</v>
      </c>
      <c r="Q157" s="24">
        <v>19939072</v>
      </c>
      <c r="R157" s="24">
        <v>0</v>
      </c>
      <c r="S157" s="24">
        <v>0</v>
      </c>
      <c r="T157" s="24">
        <f t="shared" si="42"/>
        <v>26005118</v>
      </c>
      <c r="U157" s="24">
        <f t="shared" si="43"/>
        <v>0</v>
      </c>
      <c r="V157" s="53">
        <f t="shared" si="44"/>
        <v>1</v>
      </c>
    </row>
    <row r="158" spans="1:22" s="50" customFormat="1" ht="15" hidden="1" outlineLevel="2" x14ac:dyDescent="0.25">
      <c r="A158" s="51" t="s">
        <v>170</v>
      </c>
      <c r="B158" s="30"/>
      <c r="C158" s="30"/>
      <c r="D158" s="24">
        <f>+'[4]Consolidado Investigación'!$C$28</f>
        <v>46728000</v>
      </c>
      <c r="E158" s="30"/>
      <c r="F158" s="30"/>
      <c r="G158" s="30"/>
      <c r="H158" s="23">
        <f t="shared" si="45"/>
        <v>46728000</v>
      </c>
      <c r="I158" s="30"/>
      <c r="J158" s="24">
        <f t="shared" si="46"/>
        <v>46728000</v>
      </c>
      <c r="K158" s="52"/>
      <c r="L158" s="52"/>
      <c r="M158" s="52"/>
      <c r="N158" s="52"/>
      <c r="O158" s="24">
        <f>+J158+K158+L158+M158+N158</f>
        <v>46728000</v>
      </c>
      <c r="P158" s="24">
        <v>0</v>
      </c>
      <c r="Q158" s="24">
        <v>22673780</v>
      </c>
      <c r="R158" s="24">
        <v>11723513</v>
      </c>
      <c r="S158" s="24">
        <v>10911775</v>
      </c>
      <c r="T158" s="24">
        <f t="shared" si="42"/>
        <v>45309068</v>
      </c>
      <c r="U158" s="24">
        <f t="shared" si="43"/>
        <v>-1418932</v>
      </c>
      <c r="V158" s="53">
        <f t="shared" si="44"/>
        <v>0.9696342235918507</v>
      </c>
    </row>
    <row r="159" spans="1:22" s="50" customFormat="1" ht="15" hidden="1" outlineLevel="2" x14ac:dyDescent="0.25">
      <c r="A159" s="51" t="s">
        <v>171</v>
      </c>
      <c r="B159" s="30"/>
      <c r="C159" s="30"/>
      <c r="D159" s="24">
        <f>+'[4]Consolidado Investigación'!$C$30</f>
        <v>200000000</v>
      </c>
      <c r="E159" s="30"/>
      <c r="F159" s="30"/>
      <c r="G159" s="30"/>
      <c r="H159" s="23">
        <f t="shared" si="45"/>
        <v>200000000</v>
      </c>
      <c r="I159" s="30"/>
      <c r="J159" s="24">
        <f t="shared" si="46"/>
        <v>200000000</v>
      </c>
      <c r="K159" s="52"/>
      <c r="L159" s="52"/>
      <c r="M159" s="52"/>
      <c r="N159" s="52"/>
      <c r="O159" s="24">
        <f>+J159+K159+L159+M159+N159+44055308</f>
        <v>244055308</v>
      </c>
      <c r="P159" s="24">
        <v>11495808</v>
      </c>
      <c r="Q159" s="24">
        <v>58303193</v>
      </c>
      <c r="R159" s="24">
        <v>90958594</v>
      </c>
      <c r="S159" s="24">
        <v>69757218</v>
      </c>
      <c r="T159" s="24">
        <f t="shared" si="42"/>
        <v>230514813</v>
      </c>
      <c r="U159" s="24">
        <f t="shared" si="43"/>
        <v>-13540495</v>
      </c>
      <c r="V159" s="53">
        <f t="shared" si="44"/>
        <v>0.94451874408730341</v>
      </c>
    </row>
    <row r="160" spans="1:22" s="50" customFormat="1" ht="15" hidden="1" outlineLevel="2" x14ac:dyDescent="0.25">
      <c r="A160" s="51" t="s">
        <v>172</v>
      </c>
      <c r="B160" s="30"/>
      <c r="C160" s="30"/>
      <c r="D160" s="24">
        <f>+'[4]Consolidado Investigación'!$C$31</f>
        <v>50000000</v>
      </c>
      <c r="E160" s="30"/>
      <c r="F160" s="30"/>
      <c r="G160" s="30"/>
      <c r="H160" s="23">
        <f t="shared" si="45"/>
        <v>50000000</v>
      </c>
      <c r="I160" s="30"/>
      <c r="J160" s="24">
        <f t="shared" si="46"/>
        <v>50000000</v>
      </c>
      <c r="K160" s="52"/>
      <c r="L160" s="52"/>
      <c r="M160" s="52"/>
      <c r="N160" s="52"/>
      <c r="O160" s="24">
        <f>+J160+K160+L160+M160+N160-18782426</f>
        <v>31217574</v>
      </c>
      <c r="P160" s="24">
        <v>0</v>
      </c>
      <c r="Q160" s="24">
        <v>6885574</v>
      </c>
      <c r="R160" s="24">
        <v>22332000</v>
      </c>
      <c r="S160" s="24">
        <v>940000</v>
      </c>
      <c r="T160" s="24">
        <f t="shared" si="42"/>
        <v>30157574</v>
      </c>
      <c r="U160" s="24">
        <f t="shared" si="43"/>
        <v>-1060000</v>
      </c>
      <c r="V160" s="53">
        <f t="shared" si="44"/>
        <v>0.96604476696363406</v>
      </c>
    </row>
    <row r="161" spans="1:22" s="50" customFormat="1" ht="15" hidden="1" outlineLevel="2" x14ac:dyDescent="0.25">
      <c r="A161" s="51" t="s">
        <v>173</v>
      </c>
      <c r="B161" s="30"/>
      <c r="C161" s="30"/>
      <c r="D161" s="24">
        <f>+'[4]Consolidado Investigación'!$C$32</f>
        <v>120000000</v>
      </c>
      <c r="E161" s="30"/>
      <c r="F161" s="30"/>
      <c r="G161" s="30"/>
      <c r="H161" s="23">
        <f t="shared" si="45"/>
        <v>120000000</v>
      </c>
      <c r="I161" s="30"/>
      <c r="J161" s="24">
        <f t="shared" si="46"/>
        <v>120000000</v>
      </c>
      <c r="K161" s="52"/>
      <c r="L161" s="52"/>
      <c r="M161" s="52"/>
      <c r="N161" s="52"/>
      <c r="O161" s="24">
        <f>+J161+K161+L161+M161+N161</f>
        <v>120000000</v>
      </c>
      <c r="P161" s="24">
        <v>22631547</v>
      </c>
      <c r="Q161" s="24">
        <v>33032672</v>
      </c>
      <c r="R161" s="24">
        <v>19152804</v>
      </c>
      <c r="S161" s="24">
        <v>32072496</v>
      </c>
      <c r="T161" s="24">
        <f t="shared" si="42"/>
        <v>106889519</v>
      </c>
      <c r="U161" s="24">
        <f t="shared" si="43"/>
        <v>-13110481</v>
      </c>
      <c r="V161" s="53">
        <f t="shared" si="44"/>
        <v>0.89074599166666668</v>
      </c>
    </row>
    <row r="162" spans="1:22" s="50" customFormat="1" ht="15" hidden="1" outlineLevel="2" x14ac:dyDescent="0.25">
      <c r="A162" s="51" t="s">
        <v>174</v>
      </c>
      <c r="B162" s="30"/>
      <c r="C162" s="30"/>
      <c r="D162" s="24">
        <f>+'[4]Consolidado Investigación'!$C$33</f>
        <v>38000000</v>
      </c>
      <c r="E162" s="30"/>
      <c r="F162" s="30"/>
      <c r="G162" s="30"/>
      <c r="H162" s="23">
        <f>+B162+C162+D162+G162+E162+F162</f>
        <v>38000000</v>
      </c>
      <c r="I162" s="30"/>
      <c r="J162" s="24">
        <f>+H162+I162</f>
        <v>38000000</v>
      </c>
      <c r="K162" s="52"/>
      <c r="L162" s="52"/>
      <c r="M162" s="52"/>
      <c r="N162" s="52"/>
      <c r="O162" s="24">
        <f>+J162+K162+L162+M162+N162</f>
        <v>38000000</v>
      </c>
      <c r="P162" s="24">
        <v>0</v>
      </c>
      <c r="Q162" s="24">
        <v>0</v>
      </c>
      <c r="R162" s="24"/>
      <c r="S162" s="24">
        <v>36185877</v>
      </c>
      <c r="T162" s="24">
        <f t="shared" si="42"/>
        <v>36185877</v>
      </c>
      <c r="U162" s="24">
        <f t="shared" si="43"/>
        <v>-1814123</v>
      </c>
      <c r="V162" s="53">
        <f t="shared" si="44"/>
        <v>0.95225992105263157</v>
      </c>
    </row>
    <row r="163" spans="1:22" s="50" customFormat="1" ht="15" hidden="1" outlineLevel="1" x14ac:dyDescent="0.25">
      <c r="A163" s="54" t="s">
        <v>175</v>
      </c>
      <c r="B163" s="30"/>
      <c r="C163" s="30"/>
      <c r="D163" s="30">
        <f>SUM(D164:D167)</f>
        <v>289750000</v>
      </c>
      <c r="E163" s="30"/>
      <c r="F163" s="30"/>
      <c r="G163" s="30"/>
      <c r="H163" s="30">
        <f>SUM(H164:H167)</f>
        <v>289750000</v>
      </c>
      <c r="I163" s="30"/>
      <c r="J163" s="30">
        <f>SUM(J164:J167)</f>
        <v>289750000</v>
      </c>
      <c r="K163" s="31">
        <f>SUM(K164:K167)</f>
        <v>0</v>
      </c>
      <c r="L163" s="31">
        <f>SUM(L164:L167)</f>
        <v>0</v>
      </c>
      <c r="M163" s="31">
        <f>SUM(M164:M167)</f>
        <v>0</v>
      </c>
      <c r="N163" s="31">
        <f>SUM(N164:N167)</f>
        <v>0</v>
      </c>
      <c r="O163" s="30">
        <f>+J163+K163+L163+M163+N163</f>
        <v>289750000</v>
      </c>
      <c r="P163" s="30">
        <f>SUM(P164:P167)</f>
        <v>29751344</v>
      </c>
      <c r="Q163" s="30">
        <f>SUM(Q164:Q167)</f>
        <v>65110304</v>
      </c>
      <c r="R163" s="30">
        <f>SUM(R164:R167)</f>
        <v>64504209</v>
      </c>
      <c r="S163" s="30">
        <f>SUM(S164:S167)</f>
        <v>120677318</v>
      </c>
      <c r="T163" s="30">
        <f t="shared" si="42"/>
        <v>280043175</v>
      </c>
      <c r="U163" s="30">
        <f t="shared" si="43"/>
        <v>-9706825</v>
      </c>
      <c r="V163" s="32">
        <f t="shared" si="44"/>
        <v>0.96649930974978426</v>
      </c>
    </row>
    <row r="164" spans="1:22" s="50" customFormat="1" ht="15" hidden="1" outlineLevel="2" x14ac:dyDescent="0.25">
      <c r="A164" s="51" t="s">
        <v>176</v>
      </c>
      <c r="B164" s="30"/>
      <c r="C164" s="30"/>
      <c r="D164" s="24">
        <f>+'[4]Consolidado Investigación'!$C$37</f>
        <v>49000000</v>
      </c>
      <c r="E164" s="30"/>
      <c r="F164" s="30"/>
      <c r="G164" s="30"/>
      <c r="H164" s="23">
        <f>+B164+C164+D164+G164+E164+F164</f>
        <v>49000000</v>
      </c>
      <c r="I164" s="30"/>
      <c r="J164" s="24">
        <f>+H164+I164</f>
        <v>49000000</v>
      </c>
      <c r="K164" s="52"/>
      <c r="L164" s="52"/>
      <c r="M164" s="52"/>
      <c r="N164" s="52"/>
      <c r="O164" s="24">
        <f>+J164+K164+L164+M164+N164</f>
        <v>49000000</v>
      </c>
      <c r="P164" s="24">
        <v>0</v>
      </c>
      <c r="Q164" s="24">
        <v>6396375</v>
      </c>
      <c r="R164" s="24">
        <v>11369362</v>
      </c>
      <c r="S164" s="24">
        <v>29516882</v>
      </c>
      <c r="T164" s="24">
        <f t="shared" si="42"/>
        <v>47282619</v>
      </c>
      <c r="U164" s="24">
        <f t="shared" si="43"/>
        <v>-1717381</v>
      </c>
      <c r="V164" s="53">
        <f t="shared" si="44"/>
        <v>0.9649514081632653</v>
      </c>
    </row>
    <row r="165" spans="1:22" s="50" customFormat="1" ht="15" hidden="1" outlineLevel="2" x14ac:dyDescent="0.25">
      <c r="A165" s="51" t="s">
        <v>177</v>
      </c>
      <c r="B165" s="30"/>
      <c r="C165" s="30"/>
      <c r="D165" s="24">
        <f>+'[4]Consolidado Investigación'!$C$40</f>
        <v>56000000</v>
      </c>
      <c r="E165" s="30"/>
      <c r="F165" s="30"/>
      <c r="G165" s="30"/>
      <c r="H165" s="23">
        <f>+B165+C165+D165+G165+E165+F165</f>
        <v>56000000</v>
      </c>
      <c r="I165" s="30"/>
      <c r="J165" s="24">
        <f>+H165+I165</f>
        <v>56000000</v>
      </c>
      <c r="K165" s="52"/>
      <c r="L165" s="52"/>
      <c r="M165" s="52"/>
      <c r="N165" s="52"/>
      <c r="O165" s="24">
        <f>+J165+K165+L165+M165+N165-8600000</f>
        <v>47400000</v>
      </c>
      <c r="P165" s="24">
        <v>1913090</v>
      </c>
      <c r="Q165" s="24">
        <v>9598984</v>
      </c>
      <c r="R165" s="24">
        <v>14131355</v>
      </c>
      <c r="S165" s="24">
        <v>21695806</v>
      </c>
      <c r="T165" s="24">
        <f t="shared" si="42"/>
        <v>47339235</v>
      </c>
      <c r="U165" s="24">
        <f t="shared" si="43"/>
        <v>-60765</v>
      </c>
      <c r="V165" s="53">
        <f t="shared" si="44"/>
        <v>0.9987180379746835</v>
      </c>
    </row>
    <row r="166" spans="1:22" s="50" customFormat="1" ht="15" hidden="1" outlineLevel="2" x14ac:dyDescent="0.25">
      <c r="A166" s="51" t="s">
        <v>178</v>
      </c>
      <c r="B166" s="30"/>
      <c r="C166" s="30"/>
      <c r="D166" s="24">
        <f>+'[4]Consolidado Investigación'!$C$41</f>
        <v>24750000</v>
      </c>
      <c r="E166" s="30"/>
      <c r="F166" s="30"/>
      <c r="G166" s="30"/>
      <c r="H166" s="23">
        <f>+B166+C166+D166+G166+E166+F166</f>
        <v>24750000</v>
      </c>
      <c r="I166" s="30"/>
      <c r="J166" s="24">
        <f>+H166+I166</f>
        <v>24750000</v>
      </c>
      <c r="K166" s="52"/>
      <c r="L166" s="52"/>
      <c r="M166" s="52"/>
      <c r="N166" s="52"/>
      <c r="O166" s="24">
        <f>+J166+K166+L166+M166+N166+2600000</f>
        <v>27350000</v>
      </c>
      <c r="P166" s="24">
        <v>1940700</v>
      </c>
      <c r="Q166" s="24">
        <v>4900270</v>
      </c>
      <c r="R166" s="24">
        <v>6983207</v>
      </c>
      <c r="S166" s="24">
        <v>13510280</v>
      </c>
      <c r="T166" s="24">
        <f t="shared" si="42"/>
        <v>27334457</v>
      </c>
      <c r="U166" s="24">
        <f t="shared" si="43"/>
        <v>-15543</v>
      </c>
      <c r="V166" s="53">
        <f t="shared" si="44"/>
        <v>0.99943170018281535</v>
      </c>
    </row>
    <row r="167" spans="1:22" s="50" customFormat="1" ht="15" hidden="1" outlineLevel="2" x14ac:dyDescent="0.25">
      <c r="A167" s="51" t="s">
        <v>179</v>
      </c>
      <c r="B167" s="30"/>
      <c r="C167" s="30"/>
      <c r="D167" s="24">
        <f>+'[4]Consolidado Investigación'!$C$42</f>
        <v>160000000</v>
      </c>
      <c r="E167" s="30"/>
      <c r="F167" s="30"/>
      <c r="G167" s="30"/>
      <c r="H167" s="23">
        <f>+B167+C167+D167+G167+E167+F167</f>
        <v>160000000</v>
      </c>
      <c r="I167" s="30"/>
      <c r="J167" s="24">
        <f>+H167+I167</f>
        <v>160000000</v>
      </c>
      <c r="K167" s="52"/>
      <c r="L167" s="52"/>
      <c r="M167" s="52"/>
      <c r="N167" s="52"/>
      <c r="O167" s="24">
        <f>+J167+K167+L167+M167+N167+6000000</f>
        <v>166000000</v>
      </c>
      <c r="P167" s="24">
        <v>25897554</v>
      </c>
      <c r="Q167" s="24">
        <v>44214675</v>
      </c>
      <c r="R167" s="24">
        <v>32020285</v>
      </c>
      <c r="S167" s="24">
        <v>55954350</v>
      </c>
      <c r="T167" s="24">
        <f t="shared" si="42"/>
        <v>158086864</v>
      </c>
      <c r="U167" s="24">
        <f t="shared" si="43"/>
        <v>-7913136</v>
      </c>
      <c r="V167" s="53">
        <f t="shared" si="44"/>
        <v>0.95233050602409641</v>
      </c>
    </row>
    <row r="168" spans="1:22" s="50" customFormat="1" ht="15" collapsed="1" x14ac:dyDescent="0.25">
      <c r="A168" s="54" t="s">
        <v>180</v>
      </c>
      <c r="B168" s="30"/>
      <c r="C168" s="30"/>
      <c r="D168" s="30">
        <f>+D169+D176+D181+D182</f>
        <v>452051297.88750005</v>
      </c>
      <c r="E168" s="30"/>
      <c r="F168" s="30"/>
      <c r="G168" s="30"/>
      <c r="H168" s="30">
        <f>+H169+H176+H181+H182</f>
        <v>452051297.88750005</v>
      </c>
      <c r="I168" s="30"/>
      <c r="J168" s="30">
        <f>+J169+J176+J181+J182</f>
        <v>452051297.88750005</v>
      </c>
      <c r="K168" s="31">
        <f>+K169+K176+K181+K182</f>
        <v>0</v>
      </c>
      <c r="L168" s="31">
        <f>+L169+L176+L181+L182</f>
        <v>43733675</v>
      </c>
      <c r="M168" s="31">
        <f>+M169+M176+M181+M182</f>
        <v>0</v>
      </c>
      <c r="N168" s="31">
        <f>+N169+N176+N181+N182</f>
        <v>0</v>
      </c>
      <c r="O168" s="30">
        <f>+J168+K168+L168+M168+N168</f>
        <v>495784972.88750005</v>
      </c>
      <c r="P168" s="30">
        <f>+P169+P176+P181+P182</f>
        <v>47394981</v>
      </c>
      <c r="Q168" s="30">
        <f>+Q169+Q176+Q181+Q182</f>
        <v>104358798</v>
      </c>
      <c r="R168" s="30">
        <f>+R169+R176+R181+R182</f>
        <v>141512158</v>
      </c>
      <c r="S168" s="30">
        <f>+S169+S176+S181+S182</f>
        <v>195587835</v>
      </c>
      <c r="T168" s="30">
        <f t="shared" si="42"/>
        <v>488853772</v>
      </c>
      <c r="U168" s="30">
        <f t="shared" si="43"/>
        <v>-6931200.8875000477</v>
      </c>
      <c r="V168" s="32">
        <f t="shared" si="44"/>
        <v>0.98601974390806546</v>
      </c>
    </row>
    <row r="169" spans="1:22" s="50" customFormat="1" ht="15" hidden="1" outlineLevel="1" x14ac:dyDescent="0.25">
      <c r="A169" s="54" t="s">
        <v>181</v>
      </c>
      <c r="B169" s="30"/>
      <c r="C169" s="30"/>
      <c r="D169" s="30">
        <f>SUM(D170:D175)</f>
        <v>157786944.52250001</v>
      </c>
      <c r="E169" s="30"/>
      <c r="F169" s="30"/>
      <c r="G169" s="30"/>
      <c r="H169" s="30">
        <f>SUM(H170:H175)</f>
        <v>157786944.52250001</v>
      </c>
      <c r="I169" s="30"/>
      <c r="J169" s="30">
        <f>SUM(J170:J175)</f>
        <v>157786944.52250001</v>
      </c>
      <c r="K169" s="31">
        <f>SUM(K170:K175)</f>
        <v>0</v>
      </c>
      <c r="L169" s="31">
        <f>SUM(L170:L175)</f>
        <v>43733675</v>
      </c>
      <c r="M169" s="31">
        <f>SUM(M170:M175)</f>
        <v>0</v>
      </c>
      <c r="N169" s="31">
        <f>SUM(N170:N175)</f>
        <v>0</v>
      </c>
      <c r="O169" s="30">
        <f>+J169+K169+L169+M169+N169+1200000</f>
        <v>202720619.52250001</v>
      </c>
      <c r="P169" s="30">
        <f>SUM(P170:P175)</f>
        <v>28130168</v>
      </c>
      <c r="Q169" s="30">
        <f>SUM(Q170:Q175)</f>
        <v>33871960</v>
      </c>
      <c r="R169" s="30">
        <f>SUM(R170:R175)</f>
        <v>56879812</v>
      </c>
      <c r="S169" s="30">
        <f>SUM(S170:S175)</f>
        <v>78495035</v>
      </c>
      <c r="T169" s="30">
        <f t="shared" si="42"/>
        <v>197376975</v>
      </c>
      <c r="U169" s="30">
        <f t="shared" si="43"/>
        <v>-5343644.5225000083</v>
      </c>
      <c r="V169" s="32">
        <f t="shared" si="44"/>
        <v>0.97364035027573048</v>
      </c>
    </row>
    <row r="170" spans="1:22" s="50" customFormat="1" ht="15" hidden="1" outlineLevel="2" x14ac:dyDescent="0.25">
      <c r="A170" s="51" t="s">
        <v>182</v>
      </c>
      <c r="B170" s="30"/>
      <c r="C170" s="30"/>
      <c r="D170" s="23">
        <f>+'[4]Consolidado Investigación'!$C$45</f>
        <v>14804989.425000001</v>
      </c>
      <c r="E170" s="30"/>
      <c r="F170" s="30"/>
      <c r="G170" s="30"/>
      <c r="H170" s="23">
        <f t="shared" ref="H170:H175" si="47">+B170+C170+D170+G170+E170+F170</f>
        <v>14804989.425000001</v>
      </c>
      <c r="I170" s="30"/>
      <c r="J170" s="24">
        <f t="shared" ref="J170:J175" si="48">+H170+I170</f>
        <v>14804989.425000001</v>
      </c>
      <c r="K170" s="52"/>
      <c r="L170" s="52"/>
      <c r="M170" s="52"/>
      <c r="N170" s="52"/>
      <c r="O170" s="24">
        <f>+J170+K170+L170+M170+N170+2160000</f>
        <v>16964989.425000001</v>
      </c>
      <c r="P170" s="24">
        <v>3496800</v>
      </c>
      <c r="Q170" s="24">
        <v>4489875</v>
      </c>
      <c r="R170" s="24">
        <v>4479500</v>
      </c>
      <c r="S170" s="24">
        <v>4421175</v>
      </c>
      <c r="T170" s="24">
        <f t="shared" si="42"/>
        <v>16887350</v>
      </c>
      <c r="U170" s="24">
        <f t="shared" si="43"/>
        <v>-77639.425000000745</v>
      </c>
      <c r="V170" s="53">
        <f t="shared" si="44"/>
        <v>0.99542355005034133</v>
      </c>
    </row>
    <row r="171" spans="1:22" s="50" customFormat="1" ht="15" hidden="1" outlineLevel="2" x14ac:dyDescent="0.25">
      <c r="A171" s="51" t="s">
        <v>183</v>
      </c>
      <c r="B171" s="30"/>
      <c r="C171" s="30"/>
      <c r="D171" s="23">
        <f>+'[4]Consolidado Investigación'!$C$46</f>
        <v>17759118.8475</v>
      </c>
      <c r="E171" s="30"/>
      <c r="F171" s="30"/>
      <c r="G171" s="30"/>
      <c r="H171" s="23">
        <f t="shared" si="47"/>
        <v>17759118.8475</v>
      </c>
      <c r="I171" s="30"/>
      <c r="J171" s="24">
        <f t="shared" si="48"/>
        <v>17759118.8475</v>
      </c>
      <c r="K171" s="52"/>
      <c r="L171" s="52"/>
      <c r="M171" s="52"/>
      <c r="N171" s="52"/>
      <c r="O171" s="24">
        <f>+J171+K171+L171+M171+N171-600000</f>
        <v>17159118.8475</v>
      </c>
      <c r="P171" s="24">
        <v>3977200</v>
      </c>
      <c r="Q171" s="24">
        <v>3397870</v>
      </c>
      <c r="R171" s="24">
        <v>3994200</v>
      </c>
      <c r="S171" s="24">
        <v>5785010</v>
      </c>
      <c r="T171" s="24">
        <f t="shared" si="42"/>
        <v>17154280</v>
      </c>
      <c r="U171" s="24">
        <f t="shared" si="43"/>
        <v>-4838.847500000149</v>
      </c>
      <c r="V171" s="53">
        <f t="shared" si="44"/>
        <v>0.99971800139954714</v>
      </c>
    </row>
    <row r="172" spans="1:22" s="50" customFormat="1" ht="15" hidden="1" outlineLevel="2" x14ac:dyDescent="0.25">
      <c r="A172" s="51" t="s">
        <v>184</v>
      </c>
      <c r="B172" s="30"/>
      <c r="C172" s="30"/>
      <c r="D172" s="23">
        <f>+'[4]Consolidado Investigación'!$C$47</f>
        <v>22697651.25</v>
      </c>
      <c r="E172" s="30"/>
      <c r="F172" s="30"/>
      <c r="G172" s="30"/>
      <c r="H172" s="23">
        <f t="shared" si="47"/>
        <v>22697651.25</v>
      </c>
      <c r="I172" s="30"/>
      <c r="J172" s="24">
        <f t="shared" si="48"/>
        <v>22697651.25</v>
      </c>
      <c r="K172" s="52"/>
      <c r="L172" s="52"/>
      <c r="M172" s="52"/>
      <c r="N172" s="52"/>
      <c r="O172" s="24">
        <f>+J172+K172+L172+M172+N172-2160000</f>
        <v>20537651.25</v>
      </c>
      <c r="P172" s="24">
        <v>4814525</v>
      </c>
      <c r="Q172" s="24">
        <v>5459300</v>
      </c>
      <c r="R172" s="24">
        <v>5484950</v>
      </c>
      <c r="S172" s="24">
        <v>4730650</v>
      </c>
      <c r="T172" s="24">
        <f t="shared" si="42"/>
        <v>20489425</v>
      </c>
      <c r="U172" s="24">
        <f t="shared" si="43"/>
        <v>-48226.25</v>
      </c>
      <c r="V172" s="53">
        <f t="shared" si="44"/>
        <v>0.99765181278944937</v>
      </c>
    </row>
    <row r="173" spans="1:22" s="50" customFormat="1" ht="15" hidden="1" outlineLevel="2" x14ac:dyDescent="0.25">
      <c r="A173" s="51" t="s">
        <v>185</v>
      </c>
      <c r="B173" s="30"/>
      <c r="C173" s="30"/>
      <c r="D173" s="23">
        <f>+'[4]Consolidado Investigación'!$C$48</f>
        <v>61258860</v>
      </c>
      <c r="E173" s="30"/>
      <c r="F173" s="30"/>
      <c r="G173" s="30"/>
      <c r="H173" s="23">
        <f t="shared" si="47"/>
        <v>61258860</v>
      </c>
      <c r="I173" s="30"/>
      <c r="J173" s="24">
        <f t="shared" si="48"/>
        <v>61258860</v>
      </c>
      <c r="K173" s="52"/>
      <c r="L173" s="52">
        <v>20000000</v>
      </c>
      <c r="M173" s="52"/>
      <c r="N173" s="52"/>
      <c r="O173" s="24">
        <f>+J173+K173+L173+M173+N173-3900000</f>
        <v>77358860</v>
      </c>
      <c r="P173" s="24">
        <v>5956663</v>
      </c>
      <c r="Q173" s="24">
        <v>13564915</v>
      </c>
      <c r="R173" s="24">
        <v>19970630</v>
      </c>
      <c r="S173" s="24">
        <v>37764700</v>
      </c>
      <c r="T173" s="24">
        <f t="shared" si="42"/>
        <v>77256908</v>
      </c>
      <c r="U173" s="24">
        <f t="shared" si="43"/>
        <v>-101952</v>
      </c>
      <c r="V173" s="53">
        <f t="shared" si="44"/>
        <v>0.99868209019626197</v>
      </c>
    </row>
    <row r="174" spans="1:22" s="50" customFormat="1" ht="15" hidden="1" outlineLevel="2" x14ac:dyDescent="0.25">
      <c r="A174" s="51" t="s">
        <v>186</v>
      </c>
      <c r="B174" s="30"/>
      <c r="C174" s="30"/>
      <c r="D174" s="23">
        <f>+'[4]Consolidado Investigación'!$C$49</f>
        <v>21266325</v>
      </c>
      <c r="E174" s="30"/>
      <c r="F174" s="30"/>
      <c r="G174" s="30"/>
      <c r="H174" s="23">
        <f t="shared" si="47"/>
        <v>21266325</v>
      </c>
      <c r="I174" s="30"/>
      <c r="J174" s="24">
        <f t="shared" si="48"/>
        <v>21266325</v>
      </c>
      <c r="K174" s="52"/>
      <c r="L174" s="52">
        <v>23733675</v>
      </c>
      <c r="M174" s="52"/>
      <c r="N174" s="52"/>
      <c r="O174" s="24">
        <f>+J174+K174+L174+M174+N174+6300000</f>
        <v>51300000</v>
      </c>
      <c r="P174" s="24">
        <v>9884980</v>
      </c>
      <c r="Q174" s="24">
        <v>6960000</v>
      </c>
      <c r="R174" s="24">
        <v>22950532</v>
      </c>
      <c r="S174" s="24">
        <v>6730000</v>
      </c>
      <c r="T174" s="24">
        <f t="shared" si="42"/>
        <v>46525512</v>
      </c>
      <c r="U174" s="24">
        <f t="shared" si="43"/>
        <v>-4774488</v>
      </c>
      <c r="V174" s="53">
        <f t="shared" si="44"/>
        <v>0.90693005847953212</v>
      </c>
    </row>
    <row r="175" spans="1:22" s="50" customFormat="1" ht="15" hidden="1" outlineLevel="2" x14ac:dyDescent="0.25">
      <c r="A175" s="51" t="s">
        <v>187</v>
      </c>
      <c r="B175" s="30"/>
      <c r="C175" s="30"/>
      <c r="D175" s="23">
        <f>+'[4]Consolidado Investigación'!$C$50</f>
        <v>20000000</v>
      </c>
      <c r="E175" s="30"/>
      <c r="F175" s="30"/>
      <c r="G175" s="30"/>
      <c r="H175" s="23">
        <f t="shared" si="47"/>
        <v>20000000</v>
      </c>
      <c r="I175" s="30"/>
      <c r="J175" s="24">
        <f t="shared" si="48"/>
        <v>20000000</v>
      </c>
      <c r="K175" s="52"/>
      <c r="L175" s="52"/>
      <c r="M175" s="52"/>
      <c r="N175" s="52"/>
      <c r="O175" s="24">
        <f>+J175+K175+L175+M175+N175-600000</f>
        <v>19400000</v>
      </c>
      <c r="P175" s="24">
        <v>0</v>
      </c>
      <c r="Q175" s="24">
        <v>0</v>
      </c>
      <c r="R175" s="24"/>
      <c r="S175" s="24">
        <v>19063500</v>
      </c>
      <c r="T175" s="24">
        <f t="shared" si="42"/>
        <v>19063500</v>
      </c>
      <c r="U175" s="24">
        <f t="shared" si="43"/>
        <v>-336500</v>
      </c>
      <c r="V175" s="53">
        <f t="shared" si="44"/>
        <v>0.98265463917525775</v>
      </c>
    </row>
    <row r="176" spans="1:22" s="50" customFormat="1" ht="15" hidden="1" outlineLevel="1" x14ac:dyDescent="0.25">
      <c r="A176" s="54" t="s">
        <v>188</v>
      </c>
      <c r="B176" s="30"/>
      <c r="C176" s="30"/>
      <c r="D176" s="30">
        <f>SUM(D177:D180)</f>
        <v>241389353.36500001</v>
      </c>
      <c r="E176" s="30"/>
      <c r="F176" s="30"/>
      <c r="G176" s="30"/>
      <c r="H176" s="30">
        <f>SUM(H177:H180)</f>
        <v>241389353.36500001</v>
      </c>
      <c r="I176" s="30"/>
      <c r="J176" s="30">
        <f>SUM(J177:J180)</f>
        <v>241389353.36500001</v>
      </c>
      <c r="K176" s="31">
        <f>SUM(K177:K180)</f>
        <v>0</v>
      </c>
      <c r="L176" s="31">
        <f>SUM(L177:L180)</f>
        <v>0</v>
      </c>
      <c r="M176" s="31">
        <f>SUM(M177:M180)</f>
        <v>0</v>
      </c>
      <c r="N176" s="31">
        <f>SUM(N177:N180)</f>
        <v>0</v>
      </c>
      <c r="O176" s="30">
        <f>+J176+K176+L176+M176+N176+4900000</f>
        <v>246289353.36500001</v>
      </c>
      <c r="P176" s="30">
        <f>SUM(P177:P180)</f>
        <v>14273075</v>
      </c>
      <c r="Q176" s="30">
        <f>SUM(Q177:Q180)</f>
        <v>57392570</v>
      </c>
      <c r="R176" s="30">
        <f>SUM(R177:R180)</f>
        <v>73076316</v>
      </c>
      <c r="S176" s="30">
        <f>SUM(S177:S180)</f>
        <v>100274419</v>
      </c>
      <c r="T176" s="30">
        <f t="shared" si="42"/>
        <v>245016380</v>
      </c>
      <c r="U176" s="30">
        <f t="shared" si="43"/>
        <v>-1272973.3650000095</v>
      </c>
      <c r="V176" s="32">
        <f t="shared" si="44"/>
        <v>0.99483139101383133</v>
      </c>
    </row>
    <row r="177" spans="1:22" s="50" customFormat="1" ht="15" hidden="1" outlineLevel="2" x14ac:dyDescent="0.25">
      <c r="A177" s="51" t="s">
        <v>189</v>
      </c>
      <c r="B177" s="30"/>
      <c r="C177" s="30"/>
      <c r="D177" s="23">
        <f>+'[4]Consolidado Investigación'!$C$52</f>
        <v>55793979.18</v>
      </c>
      <c r="E177" s="30"/>
      <c r="F177" s="30"/>
      <c r="G177" s="30"/>
      <c r="H177" s="23">
        <f t="shared" ref="H177:H182" si="49">+B177+C177+D177+G177+E177+F177</f>
        <v>55793979.18</v>
      </c>
      <c r="I177" s="30"/>
      <c r="J177" s="24">
        <f t="shared" ref="J177:J182" si="50">+H177+I177</f>
        <v>55793979.18</v>
      </c>
      <c r="K177" s="52"/>
      <c r="L177" s="52"/>
      <c r="M177" s="52"/>
      <c r="N177" s="52"/>
      <c r="O177" s="24">
        <f>+J177+K177+L177+M177+N177+25800000</f>
        <v>81593979.180000007</v>
      </c>
      <c r="P177" s="24">
        <v>0</v>
      </c>
      <c r="Q177" s="24">
        <v>19997475</v>
      </c>
      <c r="R177" s="24">
        <v>25249725</v>
      </c>
      <c r="S177" s="24">
        <v>36342230</v>
      </c>
      <c r="T177" s="24">
        <f t="shared" si="42"/>
        <v>81589430</v>
      </c>
      <c r="U177" s="24">
        <f t="shared" si="43"/>
        <v>-4549.1800000071526</v>
      </c>
      <c r="V177" s="53">
        <f t="shared" si="44"/>
        <v>0.99994424613132338</v>
      </c>
    </row>
    <row r="178" spans="1:22" s="50" customFormat="1" ht="15" hidden="1" outlineLevel="2" x14ac:dyDescent="0.25">
      <c r="A178" s="51" t="s">
        <v>190</v>
      </c>
      <c r="B178" s="30"/>
      <c r="C178" s="30"/>
      <c r="D178" s="23">
        <f>+'[4]Consolidado Investigación'!$C$53</f>
        <v>52893757.935000002</v>
      </c>
      <c r="E178" s="30"/>
      <c r="F178" s="30"/>
      <c r="G178" s="30"/>
      <c r="H178" s="23">
        <f t="shared" si="49"/>
        <v>52893757.935000002</v>
      </c>
      <c r="I178" s="30"/>
      <c r="J178" s="24">
        <f t="shared" si="50"/>
        <v>52893757.935000002</v>
      </c>
      <c r="K178" s="52"/>
      <c r="L178" s="52"/>
      <c r="M178" s="52"/>
      <c r="N178" s="52"/>
      <c r="O178" s="24">
        <f>+J178+K178+L178+M178+N178+2100000</f>
        <v>54993757.935000002</v>
      </c>
      <c r="P178" s="24">
        <v>0</v>
      </c>
      <c r="Q178" s="24">
        <v>7829095</v>
      </c>
      <c r="R178" s="24">
        <v>16826036</v>
      </c>
      <c r="S178" s="24">
        <v>30244547</v>
      </c>
      <c r="T178" s="24">
        <f t="shared" si="42"/>
        <v>54899678</v>
      </c>
      <c r="U178" s="24">
        <f t="shared" si="43"/>
        <v>-94079.935000002384</v>
      </c>
      <c r="V178" s="53">
        <f t="shared" si="44"/>
        <v>0.99828926157199149</v>
      </c>
    </row>
    <row r="179" spans="1:22" s="50" customFormat="1" ht="15" hidden="1" outlineLevel="2" x14ac:dyDescent="0.25">
      <c r="A179" s="51" t="s">
        <v>191</v>
      </c>
      <c r="B179" s="30"/>
      <c r="C179" s="30"/>
      <c r="D179" s="23">
        <f>+'[4]Consolidado Investigación'!$C$54</f>
        <v>107701616.25</v>
      </c>
      <c r="E179" s="30"/>
      <c r="F179" s="30"/>
      <c r="G179" s="30"/>
      <c r="H179" s="23">
        <f t="shared" si="49"/>
        <v>107701616.25</v>
      </c>
      <c r="I179" s="30"/>
      <c r="J179" s="24">
        <f t="shared" si="50"/>
        <v>107701616.25</v>
      </c>
      <c r="K179" s="52"/>
      <c r="L179" s="52"/>
      <c r="M179" s="52"/>
      <c r="N179" s="52"/>
      <c r="O179" s="24">
        <f>+J179+K179+L179+M179+N179</f>
        <v>107701616.25</v>
      </c>
      <c r="P179" s="24">
        <v>14273075</v>
      </c>
      <c r="Q179" s="24">
        <v>29566000</v>
      </c>
      <c r="R179" s="24">
        <v>31000555</v>
      </c>
      <c r="S179" s="24">
        <v>32854576</v>
      </c>
      <c r="T179" s="24">
        <f t="shared" si="42"/>
        <v>107694206</v>
      </c>
      <c r="U179" s="24">
        <f t="shared" si="43"/>
        <v>-7410.25</v>
      </c>
      <c r="V179" s="53">
        <f t="shared" si="44"/>
        <v>0.99993119648285689</v>
      </c>
    </row>
    <row r="180" spans="1:22" s="50" customFormat="1" ht="15" hidden="1" outlineLevel="2" x14ac:dyDescent="0.25">
      <c r="A180" s="51" t="s">
        <v>192</v>
      </c>
      <c r="B180" s="30"/>
      <c r="C180" s="30"/>
      <c r="D180" s="23">
        <v>25000000</v>
      </c>
      <c r="E180" s="30"/>
      <c r="F180" s="30"/>
      <c r="G180" s="30"/>
      <c r="H180" s="23">
        <f t="shared" si="49"/>
        <v>25000000</v>
      </c>
      <c r="I180" s="30"/>
      <c r="J180" s="24">
        <f t="shared" si="50"/>
        <v>25000000</v>
      </c>
      <c r="K180" s="52"/>
      <c r="L180" s="52"/>
      <c r="M180" s="52"/>
      <c r="N180" s="52"/>
      <c r="O180" s="24">
        <f>+J180+K180+L180+M180+N180-23000000</f>
        <v>2000000</v>
      </c>
      <c r="P180" s="24">
        <v>0</v>
      </c>
      <c r="Q180" s="24">
        <v>0</v>
      </c>
      <c r="R180" s="24"/>
      <c r="S180" s="24">
        <v>833066</v>
      </c>
      <c r="T180" s="24">
        <f t="shared" si="42"/>
        <v>833066</v>
      </c>
      <c r="U180" s="24">
        <f t="shared" si="43"/>
        <v>-1166934</v>
      </c>
      <c r="V180" s="53">
        <f t="shared" si="44"/>
        <v>0.41653299999999999</v>
      </c>
    </row>
    <row r="181" spans="1:22" s="50" customFormat="1" ht="15" hidden="1" outlineLevel="1" x14ac:dyDescent="0.25">
      <c r="A181" s="54" t="s">
        <v>193</v>
      </c>
      <c r="B181" s="30"/>
      <c r="C181" s="30"/>
      <c r="D181" s="30">
        <f>+'[4]Consolidado Investigación'!$C$56</f>
        <v>21150000</v>
      </c>
      <c r="E181" s="30"/>
      <c r="F181" s="30"/>
      <c r="G181" s="30"/>
      <c r="H181" s="19">
        <f t="shared" si="49"/>
        <v>21150000</v>
      </c>
      <c r="I181" s="19"/>
      <c r="J181" s="19">
        <f t="shared" si="50"/>
        <v>21150000</v>
      </c>
      <c r="K181" s="20"/>
      <c r="L181" s="20"/>
      <c r="M181" s="20"/>
      <c r="N181" s="20"/>
      <c r="O181" s="19">
        <f>+J181+K181+L181+M181+N181-2800000</f>
        <v>18350000</v>
      </c>
      <c r="P181" s="30">
        <v>4991738</v>
      </c>
      <c r="Q181" s="30">
        <v>5752468</v>
      </c>
      <c r="R181" s="30">
        <v>4306640</v>
      </c>
      <c r="S181" s="30">
        <v>3111120</v>
      </c>
      <c r="T181" s="19">
        <f t="shared" si="42"/>
        <v>18161966</v>
      </c>
      <c r="U181" s="19">
        <f t="shared" si="43"/>
        <v>-188034</v>
      </c>
      <c r="V181" s="21">
        <f t="shared" si="44"/>
        <v>0.98975291553133515</v>
      </c>
    </row>
    <row r="182" spans="1:22" s="50" customFormat="1" ht="15" hidden="1" outlineLevel="1" x14ac:dyDescent="0.25">
      <c r="A182" s="54" t="s">
        <v>194</v>
      </c>
      <c r="B182" s="30"/>
      <c r="C182" s="30"/>
      <c r="D182" s="30">
        <f>+'[4]Consolidado Investigación'!$C$57</f>
        <v>31725000</v>
      </c>
      <c r="E182" s="30"/>
      <c r="F182" s="30"/>
      <c r="G182" s="30"/>
      <c r="H182" s="19">
        <f t="shared" si="49"/>
        <v>31725000</v>
      </c>
      <c r="I182" s="19"/>
      <c r="J182" s="19">
        <f t="shared" si="50"/>
        <v>31725000</v>
      </c>
      <c r="K182" s="20"/>
      <c r="L182" s="20"/>
      <c r="M182" s="20"/>
      <c r="N182" s="20"/>
      <c r="O182" s="19">
        <f>+J182+K182+L182+M182+N182-3300000</f>
        <v>28425000</v>
      </c>
      <c r="P182" s="30">
        <v>0</v>
      </c>
      <c r="Q182" s="30">
        <v>7341800</v>
      </c>
      <c r="R182" s="30">
        <v>7249390</v>
      </c>
      <c r="S182" s="30">
        <v>13707261</v>
      </c>
      <c r="T182" s="19">
        <f t="shared" si="42"/>
        <v>28298451</v>
      </c>
      <c r="U182" s="19">
        <f t="shared" si="43"/>
        <v>-126549</v>
      </c>
      <c r="V182" s="21">
        <f t="shared" si="44"/>
        <v>0.99554796833773085</v>
      </c>
    </row>
    <row r="183" spans="1:22" s="50" customFormat="1" ht="15" collapsed="1" x14ac:dyDescent="0.25">
      <c r="A183" s="51"/>
      <c r="B183" s="30"/>
      <c r="C183" s="30"/>
      <c r="D183" s="30"/>
      <c r="E183" s="30"/>
      <c r="F183" s="30"/>
      <c r="G183" s="30"/>
      <c r="H183" s="23"/>
      <c r="I183" s="30"/>
      <c r="J183" s="24"/>
      <c r="K183" s="52"/>
      <c r="L183" s="52"/>
      <c r="M183" s="52"/>
      <c r="N183" s="52"/>
      <c r="O183" s="24"/>
      <c r="P183" s="24"/>
      <c r="Q183" s="24"/>
      <c r="R183" s="24"/>
      <c r="S183" s="24"/>
      <c r="T183" s="24"/>
      <c r="U183" s="24"/>
      <c r="V183" s="53"/>
    </row>
    <row r="184" spans="1:22" s="50" customFormat="1" ht="15" x14ac:dyDescent="0.25">
      <c r="A184" s="54" t="s">
        <v>195</v>
      </c>
      <c r="B184" s="30"/>
      <c r="C184" s="30"/>
      <c r="D184" s="30"/>
      <c r="E184" s="19">
        <f>+E185</f>
        <v>248662237</v>
      </c>
      <c r="F184" s="19"/>
      <c r="G184" s="19"/>
      <c r="H184" s="19">
        <f>+H185</f>
        <v>248662237</v>
      </c>
      <c r="I184" s="19"/>
      <c r="J184" s="19">
        <f>+H184+I184</f>
        <v>248662237</v>
      </c>
      <c r="K184" s="19">
        <f>+K185</f>
        <v>550000000</v>
      </c>
      <c r="L184" s="19">
        <f>+L185</f>
        <v>0</v>
      </c>
      <c r="M184" s="19">
        <f>+M185</f>
        <v>-32000000</v>
      </c>
      <c r="N184" s="19">
        <f>+N185</f>
        <v>0</v>
      </c>
      <c r="O184" s="19">
        <f t="shared" ref="O184:O190" si="51">+J184+K184+L184+M184+N184</f>
        <v>766662237</v>
      </c>
      <c r="P184" s="19">
        <f>+P185</f>
        <v>70231339</v>
      </c>
      <c r="Q184" s="19">
        <f>+Q185</f>
        <v>250273196</v>
      </c>
      <c r="R184" s="19">
        <f>+R185</f>
        <v>51165133</v>
      </c>
      <c r="S184" s="19">
        <f>+S185</f>
        <v>336673299</v>
      </c>
      <c r="T184" s="19">
        <f t="shared" ref="T184:T190" si="52">+P184+Q184+R184+S184</f>
        <v>708342967</v>
      </c>
      <c r="U184" s="19">
        <f t="shared" ref="U184:U190" si="53">+T184-O184</f>
        <v>-58319270</v>
      </c>
      <c r="V184" s="55">
        <f t="shared" ref="V184:V190" si="54">IFERROR(T184/O184,0)</f>
        <v>0.92393094744276549</v>
      </c>
    </row>
    <row r="185" spans="1:22" s="50" customFormat="1" ht="15" x14ac:dyDescent="0.25">
      <c r="A185" s="54" t="s">
        <v>196</v>
      </c>
      <c r="B185" s="30"/>
      <c r="C185" s="30"/>
      <c r="D185" s="30"/>
      <c r="E185" s="30">
        <f>SUM(E186:E190)</f>
        <v>248662237</v>
      </c>
      <c r="F185" s="30">
        <f t="shared" ref="F185:K185" si="55">SUM(F186:F190)</f>
        <v>0</v>
      </c>
      <c r="G185" s="30">
        <f t="shared" si="55"/>
        <v>0</v>
      </c>
      <c r="H185" s="30">
        <f t="shared" si="55"/>
        <v>248662237</v>
      </c>
      <c r="I185" s="30">
        <f t="shared" si="55"/>
        <v>0</v>
      </c>
      <c r="J185" s="30">
        <f t="shared" si="55"/>
        <v>248662237</v>
      </c>
      <c r="K185" s="30">
        <f t="shared" si="55"/>
        <v>550000000</v>
      </c>
      <c r="L185" s="30">
        <f>SUM(L186:L190)</f>
        <v>0</v>
      </c>
      <c r="M185" s="30">
        <f>SUM(M186:M190)</f>
        <v>-32000000</v>
      </c>
      <c r="N185" s="30">
        <f>SUM(N186:N190)</f>
        <v>0</v>
      </c>
      <c r="O185" s="30">
        <f t="shared" si="51"/>
        <v>766662237</v>
      </c>
      <c r="P185" s="30">
        <f>SUM(P186:P190)</f>
        <v>70231339</v>
      </c>
      <c r="Q185" s="30">
        <f>SUM(Q186:Q190)</f>
        <v>250273196</v>
      </c>
      <c r="R185" s="30">
        <f>SUM(R186:R190)</f>
        <v>51165133</v>
      </c>
      <c r="S185" s="30">
        <f>SUM(S186:S190)</f>
        <v>336673299</v>
      </c>
      <c r="T185" s="30">
        <f t="shared" si="52"/>
        <v>708342967</v>
      </c>
      <c r="U185" s="30">
        <f t="shared" si="53"/>
        <v>-58319270</v>
      </c>
      <c r="V185" s="59">
        <f t="shared" si="54"/>
        <v>0.92393094744276549</v>
      </c>
    </row>
    <row r="186" spans="1:22" s="50" customFormat="1" ht="15" hidden="1" outlineLevel="2" x14ac:dyDescent="0.25">
      <c r="A186" s="51" t="s">
        <v>197</v>
      </c>
      <c r="B186" s="30"/>
      <c r="C186" s="30"/>
      <c r="D186" s="30"/>
      <c r="E186" s="24">
        <f>+'[5]COMPARATIVO 2016 - 2017'!$C$12</f>
        <v>46387237</v>
      </c>
      <c r="F186" s="30"/>
      <c r="G186" s="30"/>
      <c r="H186" s="23">
        <f>+B186+C186+D186+G186+E186+F186</f>
        <v>46387237</v>
      </c>
      <c r="I186" s="30"/>
      <c r="J186" s="24">
        <f>+H186+I186</f>
        <v>46387237</v>
      </c>
      <c r="K186" s="52"/>
      <c r="L186" s="52"/>
      <c r="M186" s="52">
        <v>-5791054</v>
      </c>
      <c r="N186" s="52"/>
      <c r="O186" s="24">
        <f t="shared" si="51"/>
        <v>40596183</v>
      </c>
      <c r="P186" s="24">
        <v>6011273</v>
      </c>
      <c r="Q186" s="24">
        <v>7584910</v>
      </c>
      <c r="R186" s="24">
        <v>12433503</v>
      </c>
      <c r="S186" s="24">
        <v>4912960</v>
      </c>
      <c r="T186" s="24">
        <f t="shared" si="52"/>
        <v>30942646</v>
      </c>
      <c r="U186" s="24">
        <f t="shared" si="53"/>
        <v>-9653537</v>
      </c>
      <c r="V186" s="53">
        <f t="shared" si="54"/>
        <v>0.76220579654003429</v>
      </c>
    </row>
    <row r="187" spans="1:22" s="50" customFormat="1" ht="15" hidden="1" outlineLevel="2" x14ac:dyDescent="0.25">
      <c r="A187" s="51" t="s">
        <v>198</v>
      </c>
      <c r="B187" s="30"/>
      <c r="C187" s="30"/>
      <c r="D187" s="30"/>
      <c r="E187" s="24">
        <f>+'[5]COMPARATIVO 2016 - 2017'!$C$13</f>
        <v>120975000</v>
      </c>
      <c r="F187" s="30"/>
      <c r="G187" s="30"/>
      <c r="H187" s="23">
        <f>+B187+C187+D187+G187+E187+F187</f>
        <v>120975000</v>
      </c>
      <c r="I187" s="30"/>
      <c r="J187" s="24">
        <f>+H187+I187</f>
        <v>120975000</v>
      </c>
      <c r="K187" s="52">
        <v>180000000</v>
      </c>
      <c r="L187" s="52"/>
      <c r="M187" s="52">
        <v>-19015346</v>
      </c>
      <c r="N187" s="52"/>
      <c r="O187" s="24">
        <f t="shared" si="51"/>
        <v>281959654</v>
      </c>
      <c r="P187" s="24">
        <v>50133906</v>
      </c>
      <c r="Q187" s="24">
        <v>35486144</v>
      </c>
      <c r="R187" s="24">
        <v>35656530</v>
      </c>
      <c r="S187" s="24">
        <v>147992781</v>
      </c>
      <c r="T187" s="24">
        <f t="shared" si="52"/>
        <v>269269361</v>
      </c>
      <c r="U187" s="24">
        <f t="shared" si="53"/>
        <v>-12690293</v>
      </c>
      <c r="V187" s="53">
        <f t="shared" si="54"/>
        <v>0.95499252173149562</v>
      </c>
    </row>
    <row r="188" spans="1:22" s="50" customFormat="1" ht="15" hidden="1" outlineLevel="2" x14ac:dyDescent="0.25">
      <c r="A188" s="51" t="s">
        <v>199</v>
      </c>
      <c r="B188" s="30"/>
      <c r="C188" s="30"/>
      <c r="D188" s="30"/>
      <c r="E188" s="24">
        <f>+'[5]COMPARATIVO 2016 - 2017'!$C$14</f>
        <v>37300000</v>
      </c>
      <c r="F188" s="30"/>
      <c r="G188" s="30"/>
      <c r="H188" s="23">
        <f>+B188+C188+D188+G188+E188+F188</f>
        <v>37300000</v>
      </c>
      <c r="I188" s="30"/>
      <c r="J188" s="24">
        <f>+H188+I188</f>
        <v>37300000</v>
      </c>
      <c r="K188" s="52"/>
      <c r="L188" s="52"/>
      <c r="M188" s="52">
        <v>0</v>
      </c>
      <c r="N188" s="52"/>
      <c r="O188" s="24">
        <f t="shared" si="51"/>
        <v>37300000</v>
      </c>
      <c r="P188" s="24">
        <v>11338060</v>
      </c>
      <c r="Q188" s="24">
        <v>22018942</v>
      </c>
      <c r="R188" s="24">
        <v>3000000</v>
      </c>
      <c r="S188" s="24">
        <v>0</v>
      </c>
      <c r="T188" s="24">
        <f t="shared" si="52"/>
        <v>36357002</v>
      </c>
      <c r="U188" s="24">
        <f t="shared" si="53"/>
        <v>-942998</v>
      </c>
      <c r="V188" s="53">
        <f t="shared" si="54"/>
        <v>0.97471855227882043</v>
      </c>
    </row>
    <row r="189" spans="1:22" s="50" customFormat="1" ht="15" hidden="1" outlineLevel="1" x14ac:dyDescent="0.25">
      <c r="A189" s="51" t="s">
        <v>200</v>
      </c>
      <c r="B189" s="30"/>
      <c r="C189" s="30"/>
      <c r="D189" s="30"/>
      <c r="E189" s="24">
        <f>+'[5]COMPARATIVO 2016 - 2017'!$C$15</f>
        <v>44000000</v>
      </c>
      <c r="F189" s="30"/>
      <c r="G189" s="30"/>
      <c r="H189" s="23">
        <f>+B189+C189+D189+G189+E189+F189</f>
        <v>44000000</v>
      </c>
      <c r="I189" s="30"/>
      <c r="J189" s="24">
        <f>+H189+I189</f>
        <v>44000000</v>
      </c>
      <c r="K189" s="52"/>
      <c r="L189" s="52"/>
      <c r="M189" s="52">
        <v>-4993600</v>
      </c>
      <c r="N189" s="52"/>
      <c r="O189" s="24">
        <f t="shared" si="51"/>
        <v>39006400</v>
      </c>
      <c r="P189" s="24">
        <v>2748100</v>
      </c>
      <c r="Q189" s="24">
        <v>1183200</v>
      </c>
      <c r="R189" s="24">
        <v>75100</v>
      </c>
      <c r="S189" s="24">
        <v>0</v>
      </c>
      <c r="T189" s="24">
        <f t="shared" si="52"/>
        <v>4006400</v>
      </c>
      <c r="U189" s="24">
        <f t="shared" si="53"/>
        <v>-35000000</v>
      </c>
      <c r="V189" s="53">
        <f t="shared" si="54"/>
        <v>0.1027113499323188</v>
      </c>
    </row>
    <row r="190" spans="1:22" s="50" customFormat="1" ht="15" hidden="1" outlineLevel="1" x14ac:dyDescent="0.25">
      <c r="A190" s="51" t="s">
        <v>201</v>
      </c>
      <c r="B190" s="30"/>
      <c r="C190" s="30"/>
      <c r="D190" s="30"/>
      <c r="E190" s="24"/>
      <c r="F190" s="30"/>
      <c r="G190" s="30"/>
      <c r="H190" s="23">
        <f>+B190+C190+D190+G190+E190+F190</f>
        <v>0</v>
      </c>
      <c r="I190" s="30"/>
      <c r="J190" s="24">
        <f>+H190+I190</f>
        <v>0</v>
      </c>
      <c r="K190" s="52">
        <v>370000000</v>
      </c>
      <c r="L190" s="52"/>
      <c r="M190" s="52">
        <v>-2200000</v>
      </c>
      <c r="N190" s="52"/>
      <c r="O190" s="24">
        <f t="shared" si="51"/>
        <v>367800000</v>
      </c>
      <c r="P190" s="24">
        <v>0</v>
      </c>
      <c r="Q190" s="24">
        <v>184000000</v>
      </c>
      <c r="R190" s="24">
        <v>0</v>
      </c>
      <c r="S190" s="24">
        <v>183767558</v>
      </c>
      <c r="T190" s="24">
        <f t="shared" si="52"/>
        <v>367767558</v>
      </c>
      <c r="U190" s="24">
        <f t="shared" si="53"/>
        <v>-32442</v>
      </c>
      <c r="V190" s="53">
        <f t="shared" si="54"/>
        <v>0.99991179445350731</v>
      </c>
    </row>
    <row r="191" spans="1:22" s="50" customFormat="1" ht="15" collapsed="1" x14ac:dyDescent="0.25">
      <c r="A191" s="51"/>
      <c r="B191" s="23"/>
      <c r="C191" s="30"/>
      <c r="D191" s="30"/>
      <c r="E191" s="30"/>
      <c r="F191" s="30"/>
      <c r="G191" s="30"/>
      <c r="H191" s="23"/>
      <c r="I191" s="30"/>
      <c r="J191" s="24"/>
      <c r="K191" s="52"/>
      <c r="L191" s="52"/>
      <c r="M191" s="52"/>
      <c r="N191" s="52"/>
      <c r="O191" s="24"/>
      <c r="P191" s="24"/>
      <c r="Q191" s="24"/>
      <c r="R191" s="24"/>
      <c r="S191" s="24"/>
      <c r="T191" s="24"/>
      <c r="U191" s="24"/>
      <c r="V191" s="53"/>
    </row>
    <row r="192" spans="1:22" ht="15" x14ac:dyDescent="0.25">
      <c r="A192" s="49" t="s">
        <v>202</v>
      </c>
      <c r="B192" s="23"/>
      <c r="C192" s="23"/>
      <c r="D192" s="23"/>
      <c r="E192" s="23"/>
      <c r="F192" s="23"/>
      <c r="G192" s="23"/>
      <c r="H192" s="23"/>
      <c r="I192" s="30">
        <f>+I193+I194</f>
        <v>3402350940.8687792</v>
      </c>
      <c r="J192" s="30">
        <f>+I192+H192</f>
        <v>3402350940.8687792</v>
      </c>
      <c r="K192" s="30">
        <f>+K193+K194</f>
        <v>-79633990</v>
      </c>
      <c r="L192" s="30">
        <f>+L193+L194</f>
        <v>0</v>
      </c>
      <c r="M192" s="30">
        <f>+M193+M194</f>
        <v>-54824110</v>
      </c>
      <c r="N192" s="30">
        <f>+N193+N194</f>
        <v>0</v>
      </c>
      <c r="O192" s="30">
        <f>+J192+K192+L192+M192+N192</f>
        <v>3267892840.8687792</v>
      </c>
      <c r="P192" s="30">
        <f>+P193+P194</f>
        <v>749340290</v>
      </c>
      <c r="Q192" s="30">
        <f>+Q193+Q194</f>
        <v>763447920</v>
      </c>
      <c r="R192" s="30">
        <f>+R193+R194</f>
        <v>842662793</v>
      </c>
      <c r="S192" s="30">
        <f>+S193+S194</f>
        <v>892936819</v>
      </c>
      <c r="T192" s="30">
        <f>+P192+Q192+R192+S192</f>
        <v>3248387822</v>
      </c>
      <c r="U192" s="30">
        <f>+T192-O192</f>
        <v>-19505018.868779182</v>
      </c>
      <c r="V192" s="59">
        <f>IFERROR(T192/O192,0)</f>
        <v>0.9940313162583404</v>
      </c>
    </row>
    <row r="193" spans="1:27" ht="14.25" hidden="1" outlineLevel="1" x14ac:dyDescent="0.2">
      <c r="A193" s="60" t="s">
        <v>203</v>
      </c>
      <c r="B193" s="23"/>
      <c r="C193" s="23"/>
      <c r="D193" s="23"/>
      <c r="E193" s="23"/>
      <c r="F193" s="23"/>
      <c r="G193" s="23"/>
      <c r="H193" s="23"/>
      <c r="I193" s="24">
        <f>+('[6]Anexo 1'!B14+'[6]Anexo 1'!B18)*0.1</f>
        <v>2126469338.0429871</v>
      </c>
      <c r="J193" s="24">
        <f>+I193+H193</f>
        <v>2126469338.0429871</v>
      </c>
      <c r="K193" s="52">
        <v>-49771244</v>
      </c>
      <c r="L193" s="52"/>
      <c r="M193" s="52">
        <v>-34265069</v>
      </c>
      <c r="N193" s="52"/>
      <c r="O193" s="24">
        <f>+J193+K193+L193+M193+N193</f>
        <v>2042433025.0429871</v>
      </c>
      <c r="P193" s="24">
        <v>468337682</v>
      </c>
      <c r="Q193" s="24">
        <v>477154950</v>
      </c>
      <c r="R193" s="24">
        <v>526664245</v>
      </c>
      <c r="S193" s="24">
        <v>558085513</v>
      </c>
      <c r="T193" s="24">
        <f>+P193+Q193+R193+S193</f>
        <v>2030242390</v>
      </c>
      <c r="U193" s="24">
        <f>+T193-O193</f>
        <v>-12190635.042987108</v>
      </c>
      <c r="V193" s="53">
        <f>IFERROR(T193/O193,0)</f>
        <v>0.99403131711370041</v>
      </c>
    </row>
    <row r="194" spans="1:27" ht="14.25" hidden="1" outlineLevel="1" x14ac:dyDescent="0.2">
      <c r="A194" s="60" t="s">
        <v>204</v>
      </c>
      <c r="B194" s="23"/>
      <c r="C194" s="23"/>
      <c r="D194" s="23"/>
      <c r="E194" s="23"/>
      <c r="F194" s="23"/>
      <c r="G194" s="23"/>
      <c r="H194" s="23"/>
      <c r="I194" s="24">
        <f>+('[6]Anexo 1'!B15+'[6]Anexo 1'!B19)*0.1</f>
        <v>1275881602.8257923</v>
      </c>
      <c r="J194" s="24">
        <f>+I194+H194</f>
        <v>1275881602.8257923</v>
      </c>
      <c r="K194" s="52">
        <v>-29862746</v>
      </c>
      <c r="L194" s="52"/>
      <c r="M194" s="52">
        <v>-20559041</v>
      </c>
      <c r="N194" s="52"/>
      <c r="O194" s="24">
        <f>+J194+K194+L194+M194+N194</f>
        <v>1225459815.8257923</v>
      </c>
      <c r="P194" s="24">
        <v>281002608</v>
      </c>
      <c r="Q194" s="24">
        <v>286292970</v>
      </c>
      <c r="R194" s="24">
        <v>315998548</v>
      </c>
      <c r="S194" s="24">
        <v>334851306</v>
      </c>
      <c r="T194" s="24">
        <f>+P194+Q194+R194+S194</f>
        <v>1218145432</v>
      </c>
      <c r="U194" s="24">
        <f>+T194-O194</f>
        <v>-7314383.8257923126</v>
      </c>
      <c r="V194" s="53">
        <f>IFERROR(T194/O194,0)</f>
        <v>0.99403131483274021</v>
      </c>
    </row>
    <row r="195" spans="1:27" ht="14.25" collapsed="1" x14ac:dyDescent="0.2">
      <c r="A195" s="60"/>
      <c r="B195" s="23"/>
      <c r="C195" s="23"/>
      <c r="D195" s="23"/>
      <c r="E195" s="23"/>
      <c r="F195" s="23"/>
      <c r="G195" s="23"/>
      <c r="H195" s="23"/>
      <c r="I195" s="24"/>
      <c r="J195" s="24"/>
      <c r="K195" s="52"/>
      <c r="L195" s="52"/>
      <c r="M195" s="52"/>
      <c r="N195" s="52"/>
      <c r="O195" s="24"/>
      <c r="P195" s="24"/>
      <c r="Q195" s="24"/>
      <c r="R195" s="24"/>
      <c r="S195" s="24"/>
      <c r="T195" s="24"/>
      <c r="U195" s="24"/>
      <c r="V195" s="53"/>
    </row>
    <row r="196" spans="1:27" ht="15" x14ac:dyDescent="0.25">
      <c r="A196" s="61" t="s">
        <v>205</v>
      </c>
      <c r="B196" s="19"/>
      <c r="C196" s="19"/>
      <c r="D196" s="19"/>
      <c r="E196" s="19"/>
      <c r="F196" s="19"/>
      <c r="G196" s="19"/>
      <c r="H196" s="19">
        <f>+B196+C196+D196+G196+F196</f>
        <v>0</v>
      </c>
      <c r="I196" s="19"/>
      <c r="J196" s="62">
        <f>+I196+H196</f>
        <v>0</v>
      </c>
      <c r="K196" s="63">
        <v>2000000000</v>
      </c>
      <c r="L196" s="63"/>
      <c r="M196" s="63"/>
      <c r="N196" s="63">
        <v>-746161368</v>
      </c>
      <c r="O196" s="62">
        <f>+J196+K196+L196+M196+N196</f>
        <v>1253838632</v>
      </c>
      <c r="P196" s="62">
        <v>0</v>
      </c>
      <c r="Q196" s="62">
        <v>0</v>
      </c>
      <c r="R196" s="62">
        <v>0</v>
      </c>
      <c r="S196" s="62">
        <v>0</v>
      </c>
      <c r="T196" s="62">
        <f>+P196+Q196+R196+S196</f>
        <v>0</v>
      </c>
      <c r="U196" s="62">
        <f>+T196-O196</f>
        <v>-1253838632</v>
      </c>
      <c r="V196" s="64">
        <f>IFERROR(T196/O196,0)</f>
        <v>0</v>
      </c>
    </row>
    <row r="197" spans="1:27" ht="15" x14ac:dyDescent="0.25">
      <c r="A197" s="29"/>
      <c r="B197" s="23"/>
      <c r="C197" s="23"/>
      <c r="D197" s="23"/>
      <c r="E197" s="23"/>
      <c r="F197" s="23"/>
      <c r="G197" s="23"/>
      <c r="H197" s="23"/>
      <c r="I197" s="23"/>
      <c r="J197" s="23"/>
      <c r="K197" s="25"/>
      <c r="L197" s="25"/>
      <c r="M197" s="25"/>
      <c r="N197" s="25"/>
      <c r="O197" s="23"/>
      <c r="P197" s="23"/>
      <c r="Q197" s="23"/>
      <c r="R197" s="23"/>
      <c r="S197" s="23"/>
      <c r="T197" s="23"/>
      <c r="U197" s="23"/>
      <c r="V197" s="17"/>
    </row>
    <row r="198" spans="1:27" ht="15" x14ac:dyDescent="0.25">
      <c r="A198" s="61" t="s">
        <v>206</v>
      </c>
      <c r="B198" s="19"/>
      <c r="C198" s="19"/>
      <c r="D198" s="19"/>
      <c r="E198" s="19"/>
      <c r="F198" s="19"/>
      <c r="G198" s="19">
        <v>4150000000</v>
      </c>
      <c r="H198" s="19">
        <f>+B198+C198+D198+G198+F198</f>
        <v>4150000000</v>
      </c>
      <c r="I198" s="19"/>
      <c r="J198" s="62">
        <f>+I198+H198</f>
        <v>4150000000</v>
      </c>
      <c r="K198" s="63"/>
      <c r="L198" s="63"/>
      <c r="M198" s="63"/>
      <c r="N198" s="63">
        <v>-2744885241</v>
      </c>
      <c r="O198" s="62">
        <f>+J198+K198+L198+M198+N198</f>
        <v>1405114759</v>
      </c>
      <c r="P198" s="62">
        <v>0</v>
      </c>
      <c r="Q198" s="62">
        <v>0</v>
      </c>
      <c r="R198" s="62">
        <v>0</v>
      </c>
      <c r="S198" s="62">
        <v>0</v>
      </c>
      <c r="T198" s="62">
        <f>+P198+Q198+R198+S198</f>
        <v>0</v>
      </c>
      <c r="U198" s="62">
        <f>+T198-O198</f>
        <v>-1405114759</v>
      </c>
      <c r="V198" s="64">
        <f>IFERROR(T198/O198,0)</f>
        <v>0</v>
      </c>
    </row>
    <row r="199" spans="1:27" ht="15" x14ac:dyDescent="0.25">
      <c r="A199" s="29"/>
      <c r="B199" s="23"/>
      <c r="C199" s="23"/>
      <c r="D199" s="23"/>
      <c r="E199" s="23"/>
      <c r="F199" s="23"/>
      <c r="G199" s="23"/>
      <c r="H199" s="23"/>
      <c r="I199" s="23"/>
      <c r="J199" s="23"/>
      <c r="K199" s="25"/>
      <c r="L199" s="25"/>
      <c r="M199" s="25"/>
      <c r="N199" s="25"/>
      <c r="O199" s="23"/>
      <c r="P199" s="23"/>
      <c r="Q199" s="23"/>
      <c r="R199" s="23"/>
      <c r="S199" s="23"/>
      <c r="T199" s="23"/>
      <c r="U199" s="23"/>
      <c r="V199" s="17"/>
    </row>
    <row r="200" spans="1:27" ht="15" x14ac:dyDescent="0.25">
      <c r="A200" s="49" t="s">
        <v>207</v>
      </c>
      <c r="B200" s="23"/>
      <c r="C200" s="23"/>
      <c r="D200" s="23"/>
      <c r="E200" s="23"/>
      <c r="F200" s="23"/>
      <c r="G200" s="23"/>
      <c r="H200" s="30">
        <f>+B200+C200+G200+F200</f>
        <v>0</v>
      </c>
      <c r="I200" s="30">
        <f>+I201+I202</f>
        <v>3114906111.8556213</v>
      </c>
      <c r="J200" s="30">
        <f>+I200+H200</f>
        <v>3114906111.8556213</v>
      </c>
      <c r="K200" s="30">
        <f>+K201+K202</f>
        <v>-2592583629</v>
      </c>
      <c r="L200" s="30">
        <f>+L201+L202</f>
        <v>-78401486.105159998</v>
      </c>
      <c r="M200" s="30">
        <f>+M201+M202</f>
        <v>-282705297</v>
      </c>
      <c r="N200" s="30">
        <f>+N201+N202</f>
        <v>0</v>
      </c>
      <c r="O200" s="30">
        <f>+J200+K200+L200+M200+N200</f>
        <v>161215699.75046134</v>
      </c>
      <c r="P200" s="30">
        <f>+P201+P202</f>
        <v>0</v>
      </c>
      <c r="Q200" s="30">
        <f>+Q201+Q202</f>
        <v>0</v>
      </c>
      <c r="R200" s="30">
        <f>+R201+R202</f>
        <v>0</v>
      </c>
      <c r="S200" s="30">
        <f>+S201+S202</f>
        <v>0</v>
      </c>
      <c r="T200" s="30">
        <f>+P200+Q200+R200+S200</f>
        <v>0</v>
      </c>
      <c r="U200" s="30">
        <f>+T200-O200</f>
        <v>-161215699.75046134</v>
      </c>
      <c r="V200" s="59">
        <f>IFERROR(T200/O200,0)</f>
        <v>0</v>
      </c>
    </row>
    <row r="201" spans="1:27" s="66" customFormat="1" ht="14.25" hidden="1" outlineLevel="1" x14ac:dyDescent="0.2">
      <c r="A201" s="33" t="s">
        <v>208</v>
      </c>
      <c r="B201" s="23"/>
      <c r="C201" s="23"/>
      <c r="D201" s="23"/>
      <c r="E201" s="23"/>
      <c r="F201" s="23"/>
      <c r="G201" s="23"/>
      <c r="H201" s="23">
        <f>+B201+C201+G201+F201</f>
        <v>0</v>
      </c>
      <c r="I201" s="23">
        <v>2912589677.2912941</v>
      </c>
      <c r="J201" s="23">
        <f>+I201</f>
        <v>2912589677.2912941</v>
      </c>
      <c r="K201" s="25">
        <f>-497712440+288736578+49771244-83103328-180000000-370000000-2000000000</f>
        <v>-2792307946</v>
      </c>
      <c r="L201" s="25">
        <f>-20000000-19569827</f>
        <v>-39569827</v>
      </c>
      <c r="M201" s="25">
        <v>47326074</v>
      </c>
      <c r="N201" s="25"/>
      <c r="O201" s="23">
        <f>+J201+K201+L201+M201+N201</f>
        <v>128037978.2912941</v>
      </c>
      <c r="P201" s="23">
        <v>0</v>
      </c>
      <c r="Q201" s="23">
        <v>0</v>
      </c>
      <c r="R201" s="23">
        <v>0</v>
      </c>
      <c r="S201" s="23">
        <v>0</v>
      </c>
      <c r="T201" s="23">
        <f>+P201+Q201+R201+S201</f>
        <v>0</v>
      </c>
      <c r="U201" s="23">
        <f>+T201-O201</f>
        <v>-128037978.2912941</v>
      </c>
      <c r="V201" s="17">
        <f>IFERROR(T201/O201,0)</f>
        <v>0</v>
      </c>
      <c r="W201" s="65"/>
    </row>
    <row r="202" spans="1:27" s="66" customFormat="1" ht="14.25" hidden="1" outlineLevel="1" x14ac:dyDescent="0.2">
      <c r="A202" s="33" t="s">
        <v>209</v>
      </c>
      <c r="B202" s="23"/>
      <c r="C202" s="23"/>
      <c r="D202" s="23"/>
      <c r="E202" s="23"/>
      <c r="F202" s="23"/>
      <c r="G202" s="23"/>
      <c r="H202" s="23">
        <f>+B202+C202+G202+F202</f>
        <v>0</v>
      </c>
      <c r="I202" s="23">
        <v>202316434.56432724</v>
      </c>
      <c r="J202" s="23">
        <f>+I202</f>
        <v>202316434.56432724</v>
      </c>
      <c r="K202" s="25">
        <f>-298627464+717092106+29862746-240000000-8603071</f>
        <v>199724317</v>
      </c>
      <c r="L202" s="25">
        <f>-33238760.10516-5592899</f>
        <v>-38831659.105159998</v>
      </c>
      <c r="M202" s="25">
        <v>-330031371</v>
      </c>
      <c r="N202" s="25"/>
      <c r="O202" s="23">
        <f>+J202+K202+L202+M202+N202</f>
        <v>33177721.459167242</v>
      </c>
      <c r="P202" s="23">
        <v>0</v>
      </c>
      <c r="Q202" s="23">
        <v>0</v>
      </c>
      <c r="R202" s="23">
        <v>0</v>
      </c>
      <c r="S202" s="23">
        <v>0</v>
      </c>
      <c r="T202" s="23">
        <f>+P202+Q202+R202+S202</f>
        <v>0</v>
      </c>
      <c r="U202" s="23">
        <f>+T202-O202</f>
        <v>-33177721.459167242</v>
      </c>
      <c r="V202" s="17">
        <f>IFERROR(T202/O202,0)</f>
        <v>0</v>
      </c>
      <c r="W202" s="67"/>
    </row>
    <row r="203" spans="1:27" ht="15" collapsed="1" x14ac:dyDescent="0.25">
      <c r="A203" s="29"/>
      <c r="B203" s="23"/>
      <c r="C203" s="23"/>
      <c r="D203" s="23"/>
      <c r="E203" s="23"/>
      <c r="F203" s="23"/>
      <c r="G203" s="23"/>
      <c r="H203" s="23"/>
      <c r="I203" s="23"/>
      <c r="J203" s="23"/>
      <c r="K203" s="25"/>
      <c r="L203" s="25"/>
      <c r="M203" s="25"/>
      <c r="N203" s="25"/>
      <c r="O203" s="23"/>
      <c r="P203" s="23"/>
      <c r="Q203" s="23"/>
      <c r="R203" s="23"/>
      <c r="S203" s="23"/>
      <c r="T203" s="23"/>
      <c r="U203" s="23"/>
      <c r="V203" s="17"/>
    </row>
    <row r="204" spans="1:27" ht="15" x14ac:dyDescent="0.25">
      <c r="A204" s="29" t="s">
        <v>210</v>
      </c>
      <c r="B204" s="30">
        <f>+B39+B37</f>
        <v>4909328305.0027847</v>
      </c>
      <c r="C204" s="30">
        <f>+C37+C39</f>
        <v>2019069421.9116025</v>
      </c>
      <c r="D204" s="30">
        <f>+D39+D37</f>
        <v>2037154411.9912839</v>
      </c>
      <c r="E204" s="30">
        <f>+E39+E37</f>
        <v>307602384.70271885</v>
      </c>
      <c r="F204" s="30">
        <f>+F39+F37</f>
        <v>9097346242.3600693</v>
      </c>
      <c r="G204" s="30">
        <f>+G37+G39+G198</f>
        <v>19809376960.38205</v>
      </c>
      <c r="H204" s="30">
        <f>+B204+C204+D204+G204+E204+F204</f>
        <v>38179877726.35051</v>
      </c>
      <c r="I204" s="30">
        <f>+I200+I192+I39+I37</f>
        <v>7481687196.589119</v>
      </c>
      <c r="J204" s="30">
        <f>+I204+H204</f>
        <v>45661564922.939629</v>
      </c>
      <c r="K204" s="31">
        <f>+K37+K39+K192+K198+K200+K196</f>
        <v>200885709.10500002</v>
      </c>
      <c r="L204" s="31">
        <f>+L37+L39+L192+L198+L200+L196</f>
        <v>149163007.09065425</v>
      </c>
      <c r="M204" s="31">
        <f>+M37+M39+M192+M198+M200+M196</f>
        <v>-579741099</v>
      </c>
      <c r="N204" s="31">
        <f>+N37+N39+N192+N198+N200+N196</f>
        <v>-3491046609</v>
      </c>
      <c r="O204" s="30">
        <f>+J204+K204+L204+M204+N204</f>
        <v>41940825931.135284</v>
      </c>
      <c r="P204" s="30">
        <f>+P200+P198+P196+P39+P37+P192</f>
        <v>6506905340.4258547</v>
      </c>
      <c r="Q204" s="30">
        <f>+Q200+Q198+Q196+Q39+Q37+Q192</f>
        <v>10758455051.225</v>
      </c>
      <c r="R204" s="30">
        <f>+R200+R198+R196+R39+R37+R192</f>
        <v>9416070093.2099991</v>
      </c>
      <c r="S204" s="30">
        <f>+S200+S198+S196+S39+S37+S192</f>
        <v>10437095023</v>
      </c>
      <c r="T204" s="30">
        <f>+P204+Q204+R204+S204</f>
        <v>37118525507.860855</v>
      </c>
      <c r="U204" s="30">
        <f>+T204-O204</f>
        <v>-4822300423.2744293</v>
      </c>
      <c r="V204" s="32">
        <f>IFERROR(T204/(O204-O200-O198-O196),0)</f>
        <v>0.94882163301365785</v>
      </c>
    </row>
    <row r="205" spans="1:27" ht="15.75" thickBot="1" x14ac:dyDescent="0.3">
      <c r="A205" s="68"/>
      <c r="B205" s="69"/>
      <c r="C205" s="70"/>
      <c r="D205" s="70"/>
      <c r="E205" s="71"/>
      <c r="F205" s="70"/>
      <c r="G205" s="71"/>
      <c r="H205" s="70"/>
      <c r="I205" s="70"/>
      <c r="J205" s="70"/>
      <c r="K205" s="72"/>
      <c r="L205" s="72"/>
      <c r="M205" s="72"/>
      <c r="N205" s="72"/>
      <c r="O205" s="70"/>
      <c r="P205" s="70"/>
      <c r="Q205" s="70"/>
      <c r="R205" s="70"/>
      <c r="S205" s="70"/>
      <c r="T205" s="70"/>
      <c r="U205" s="70"/>
      <c r="V205" s="73"/>
      <c r="W205" s="74"/>
      <c r="X205" s="74"/>
      <c r="Y205" s="74"/>
      <c r="Z205" s="74"/>
      <c r="AA205" s="74"/>
    </row>
    <row r="206" spans="1:27" ht="13.5" thickTop="1" x14ac:dyDescent="0.2">
      <c r="A206" s="75"/>
      <c r="B206" s="76"/>
      <c r="C206" s="76"/>
      <c r="D206" s="76"/>
      <c r="E206" s="76"/>
      <c r="F206" s="76"/>
      <c r="G206" s="77"/>
      <c r="H206" s="78"/>
      <c r="I206" s="76"/>
      <c r="J206" s="76"/>
      <c r="K206" s="79"/>
      <c r="L206" s="79"/>
      <c r="M206" s="79"/>
      <c r="N206" s="79"/>
      <c r="O206" s="80"/>
      <c r="P206" s="80"/>
      <c r="Q206" s="80"/>
      <c r="R206" s="80"/>
      <c r="S206" s="80"/>
      <c r="T206" s="80"/>
      <c r="U206" s="80"/>
      <c r="V206" s="81"/>
    </row>
    <row r="207" spans="1:27" x14ac:dyDescent="0.2">
      <c r="A207" s="75"/>
      <c r="B207" s="76"/>
      <c r="C207" s="76"/>
      <c r="D207" s="76"/>
      <c r="E207" s="76"/>
      <c r="F207" s="76"/>
      <c r="G207" s="82"/>
      <c r="H207" s="76"/>
      <c r="I207" s="76"/>
      <c r="J207" s="83"/>
      <c r="K207" s="83"/>
      <c r="L207" s="83"/>
      <c r="M207" s="83"/>
      <c r="N207" s="83"/>
      <c r="O207" s="84"/>
      <c r="P207" s="84"/>
      <c r="Q207" s="84"/>
      <c r="R207" s="84"/>
      <c r="S207" s="84"/>
      <c r="T207" s="84"/>
      <c r="U207" s="84"/>
      <c r="V207" s="85"/>
    </row>
    <row r="208" spans="1:27" x14ac:dyDescent="0.2">
      <c r="A208" s="78"/>
      <c r="B208" s="78"/>
      <c r="C208" s="78"/>
      <c r="D208" s="78"/>
      <c r="E208" s="78"/>
      <c r="F208" s="78"/>
      <c r="G208" s="78"/>
      <c r="H208" s="78"/>
      <c r="I208" s="78"/>
      <c r="J208" s="83"/>
      <c r="K208" s="83"/>
      <c r="L208" s="83"/>
      <c r="M208" s="83"/>
      <c r="N208" s="83"/>
      <c r="O208" s="80"/>
      <c r="P208" s="80"/>
      <c r="Q208" s="80"/>
      <c r="R208" s="80"/>
      <c r="S208" s="80"/>
      <c r="T208" s="80"/>
      <c r="U208" s="80"/>
      <c r="V208" s="81"/>
    </row>
    <row r="209" spans="1:22" x14ac:dyDescent="0.2">
      <c r="A209" s="78"/>
      <c r="B209" s="78"/>
      <c r="C209" s="78"/>
      <c r="D209" s="78"/>
      <c r="E209" s="78"/>
      <c r="F209" s="78"/>
      <c r="G209" s="78"/>
      <c r="H209" s="76"/>
      <c r="I209" s="76"/>
      <c r="J209" s="86"/>
      <c r="K209" s="87"/>
      <c r="L209" s="87"/>
      <c r="M209" s="87"/>
      <c r="N209" s="87"/>
      <c r="O209" s="80"/>
      <c r="P209" s="80"/>
      <c r="Q209" s="80"/>
      <c r="R209" s="80"/>
      <c r="S209" s="80"/>
      <c r="T209" s="80"/>
      <c r="U209" s="80"/>
      <c r="V209" s="81"/>
    </row>
    <row r="210" spans="1:22" x14ac:dyDescent="0.2">
      <c r="A210" s="78"/>
      <c r="B210" s="78"/>
      <c r="C210" s="78"/>
      <c r="D210" s="78"/>
      <c r="E210" s="78"/>
      <c r="F210" s="78"/>
      <c r="G210" s="78"/>
      <c r="H210" s="78"/>
      <c r="I210" s="78"/>
      <c r="J210" s="86"/>
      <c r="K210" s="87"/>
      <c r="L210" s="87"/>
      <c r="M210" s="87"/>
      <c r="N210" s="87"/>
      <c r="O210" s="80"/>
      <c r="P210" s="80"/>
      <c r="Q210" s="80"/>
      <c r="R210" s="80"/>
      <c r="S210" s="80"/>
      <c r="T210" s="80"/>
      <c r="U210" s="80"/>
      <c r="V210" s="81"/>
    </row>
    <row r="211" spans="1:22" x14ac:dyDescent="0.2">
      <c r="A211" s="78"/>
      <c r="B211" s="78"/>
      <c r="C211" s="78"/>
      <c r="D211" s="78"/>
      <c r="E211" s="78"/>
      <c r="F211" s="78"/>
      <c r="G211" s="78"/>
      <c r="H211" s="78"/>
      <c r="I211" s="78"/>
      <c r="J211" s="78"/>
      <c r="K211" s="87"/>
      <c r="L211" s="87"/>
      <c r="M211" s="87"/>
      <c r="N211" s="87"/>
      <c r="O211" s="80"/>
      <c r="P211" s="80"/>
      <c r="Q211" s="80"/>
      <c r="R211" s="80"/>
      <c r="S211" s="80"/>
      <c r="T211" s="80"/>
      <c r="U211" s="80"/>
      <c r="V211" s="81"/>
    </row>
    <row r="212" spans="1:22" x14ac:dyDescent="0.2">
      <c r="A212" s="78"/>
      <c r="B212" s="78"/>
      <c r="C212" s="78"/>
      <c r="D212" s="78"/>
      <c r="E212" s="78"/>
      <c r="F212" s="78"/>
      <c r="G212" s="78"/>
      <c r="H212" s="78"/>
      <c r="I212" s="85"/>
      <c r="J212" s="78"/>
      <c r="K212" s="78"/>
      <c r="L212" s="78"/>
      <c r="M212" s="78"/>
      <c r="N212" s="78"/>
      <c r="O212" s="80"/>
      <c r="P212" s="80"/>
      <c r="Q212" s="80"/>
      <c r="R212" s="80"/>
      <c r="S212" s="80"/>
      <c r="T212" s="80"/>
      <c r="U212" s="80"/>
      <c r="V212" s="81"/>
    </row>
    <row r="213" spans="1:22" x14ac:dyDescent="0.2">
      <c r="A213" s="78"/>
      <c r="B213" s="78"/>
      <c r="C213" s="78"/>
      <c r="D213" s="78"/>
      <c r="E213" s="78"/>
      <c r="F213" s="78"/>
      <c r="G213" s="78"/>
      <c r="H213" s="78"/>
      <c r="I213" s="78"/>
      <c r="J213" s="78"/>
      <c r="K213" s="78"/>
      <c r="L213" s="78"/>
      <c r="M213" s="78"/>
      <c r="N213" s="78"/>
      <c r="O213" s="80"/>
      <c r="P213" s="80"/>
      <c r="Q213" s="80"/>
      <c r="R213" s="80"/>
      <c r="S213" s="80"/>
      <c r="T213" s="80"/>
      <c r="U213" s="80"/>
      <c r="V213" s="81"/>
    </row>
    <row r="214" spans="1:22" x14ac:dyDescent="0.2">
      <c r="A214" s="78"/>
      <c r="B214" s="78"/>
      <c r="C214" s="78"/>
      <c r="D214" s="78"/>
      <c r="E214" s="78"/>
      <c r="F214" s="78"/>
      <c r="G214" s="78"/>
      <c r="H214" s="78"/>
      <c r="I214" s="78"/>
      <c r="J214" s="78"/>
      <c r="K214" s="78"/>
      <c r="L214" s="78"/>
      <c r="M214" s="78"/>
      <c r="N214" s="78"/>
      <c r="O214" s="80"/>
      <c r="P214" s="80"/>
      <c r="Q214" s="80"/>
      <c r="R214" s="80"/>
      <c r="S214" s="80"/>
      <c r="T214" s="80"/>
      <c r="U214" s="80"/>
      <c r="V214" s="81"/>
    </row>
    <row r="215" spans="1:22" x14ac:dyDescent="0.2">
      <c r="A215" s="78"/>
      <c r="B215" s="78"/>
      <c r="C215" s="78"/>
      <c r="D215" s="78"/>
      <c r="E215" s="78"/>
      <c r="F215" s="78"/>
      <c r="G215" s="78"/>
      <c r="H215" s="78"/>
      <c r="I215" s="78"/>
      <c r="J215" s="78"/>
      <c r="K215" s="78"/>
      <c r="L215" s="78"/>
      <c r="M215" s="78"/>
      <c r="N215" s="78"/>
      <c r="O215" s="80"/>
      <c r="P215" s="80"/>
      <c r="Q215" s="80"/>
      <c r="R215" s="80"/>
      <c r="S215" s="80"/>
      <c r="T215" s="80"/>
      <c r="U215" s="80"/>
      <c r="V215" s="81"/>
    </row>
    <row r="216" spans="1:22" x14ac:dyDescent="0.2">
      <c r="A216" s="78"/>
      <c r="B216" s="78"/>
      <c r="C216" s="78"/>
      <c r="D216" s="78"/>
      <c r="E216" s="78"/>
      <c r="F216" s="78"/>
      <c r="G216" s="78"/>
      <c r="H216" s="78"/>
      <c r="I216" s="78"/>
      <c r="J216" s="78"/>
      <c r="K216" s="78"/>
      <c r="L216" s="78"/>
      <c r="M216" s="78"/>
      <c r="N216" s="78"/>
      <c r="O216" s="80"/>
      <c r="P216" s="80"/>
      <c r="Q216" s="80"/>
      <c r="R216" s="80"/>
      <c r="S216" s="80"/>
      <c r="T216" s="80"/>
      <c r="U216" s="80"/>
      <c r="V216" s="81"/>
    </row>
    <row r="217" spans="1:22" x14ac:dyDescent="0.2">
      <c r="A217" s="78"/>
      <c r="B217" s="78"/>
      <c r="C217" s="78"/>
      <c r="D217" s="78"/>
      <c r="E217" s="78"/>
      <c r="F217" s="78"/>
      <c r="G217" s="78"/>
      <c r="H217" s="78"/>
      <c r="I217" s="78"/>
      <c r="J217" s="78"/>
      <c r="K217" s="78"/>
      <c r="L217" s="78"/>
      <c r="M217" s="78"/>
      <c r="N217" s="78"/>
      <c r="O217" s="80"/>
      <c r="P217" s="80"/>
      <c r="Q217" s="80"/>
      <c r="R217" s="80"/>
      <c r="S217" s="80"/>
      <c r="T217" s="80"/>
      <c r="U217" s="80"/>
      <c r="V217" s="81"/>
    </row>
    <row r="218" spans="1:22" x14ac:dyDescent="0.2">
      <c r="A218" s="78"/>
      <c r="B218" s="78"/>
      <c r="C218" s="78"/>
      <c r="D218" s="78"/>
      <c r="E218" s="78"/>
      <c r="F218" s="78"/>
      <c r="G218" s="78"/>
      <c r="H218" s="78"/>
      <c r="I218" s="78"/>
      <c r="J218" s="78"/>
      <c r="K218" s="78"/>
      <c r="L218" s="78"/>
      <c r="M218" s="78"/>
      <c r="N218" s="78"/>
      <c r="O218" s="80"/>
      <c r="P218" s="80"/>
      <c r="Q218" s="80"/>
      <c r="R218" s="80"/>
      <c r="S218" s="80"/>
      <c r="T218" s="80"/>
      <c r="U218" s="80"/>
      <c r="V218" s="81"/>
    </row>
    <row r="219" spans="1:22" x14ac:dyDescent="0.2">
      <c r="A219" s="78"/>
      <c r="B219" s="78"/>
      <c r="C219" s="78"/>
      <c r="D219" s="78"/>
      <c r="E219" s="78"/>
      <c r="F219" s="78"/>
      <c r="G219" s="78"/>
      <c r="H219" s="78"/>
      <c r="I219" s="78"/>
      <c r="J219" s="78"/>
      <c r="K219" s="78"/>
      <c r="L219" s="78"/>
      <c r="M219" s="78"/>
      <c r="N219" s="78"/>
      <c r="O219" s="80"/>
      <c r="P219" s="80"/>
      <c r="Q219" s="80"/>
      <c r="R219" s="80"/>
      <c r="S219" s="80"/>
      <c r="T219" s="80"/>
      <c r="U219" s="80"/>
      <c r="V219" s="81"/>
    </row>
    <row r="220" spans="1:22" x14ac:dyDescent="0.2">
      <c r="A220" s="78"/>
      <c r="B220" s="78"/>
      <c r="C220" s="78"/>
      <c r="D220" s="78"/>
      <c r="E220" s="78"/>
      <c r="F220" s="78"/>
      <c r="G220" s="78"/>
      <c r="H220" s="78"/>
      <c r="I220" s="78"/>
      <c r="J220" s="78"/>
      <c r="K220" s="78"/>
      <c r="L220" s="78"/>
      <c r="M220" s="78"/>
      <c r="N220" s="78"/>
      <c r="O220" s="80"/>
      <c r="P220" s="80"/>
      <c r="Q220" s="80"/>
      <c r="R220" s="80"/>
      <c r="S220" s="80"/>
      <c r="T220" s="80"/>
      <c r="U220" s="80"/>
      <c r="V220" s="81"/>
    </row>
    <row r="221" spans="1:22" x14ac:dyDescent="0.2">
      <c r="A221" s="78"/>
      <c r="B221" s="78"/>
      <c r="C221" s="78"/>
      <c r="D221" s="78"/>
      <c r="E221" s="78"/>
      <c r="F221" s="78"/>
      <c r="G221" s="78"/>
      <c r="H221" s="78"/>
      <c r="I221" s="78"/>
      <c r="J221" s="78"/>
      <c r="K221" s="78"/>
      <c r="L221" s="78"/>
      <c r="M221" s="78"/>
      <c r="N221" s="78"/>
      <c r="O221" s="80"/>
      <c r="P221" s="80"/>
      <c r="Q221" s="80"/>
      <c r="R221" s="80"/>
      <c r="S221" s="80"/>
      <c r="T221" s="80"/>
      <c r="U221" s="80"/>
      <c r="V221" s="81"/>
    </row>
    <row r="222" spans="1:22" x14ac:dyDescent="0.2">
      <c r="A222" s="78"/>
      <c r="B222" s="78"/>
      <c r="C222" s="78"/>
      <c r="D222" s="78"/>
      <c r="E222" s="78"/>
      <c r="F222" s="78"/>
      <c r="G222" s="78"/>
      <c r="H222" s="78"/>
      <c r="I222" s="78"/>
      <c r="J222" s="78"/>
      <c r="K222" s="78"/>
      <c r="L222" s="78"/>
      <c r="M222" s="78"/>
      <c r="N222" s="78"/>
      <c r="O222" s="80"/>
      <c r="P222" s="80"/>
      <c r="Q222" s="80"/>
      <c r="R222" s="80"/>
      <c r="S222" s="80"/>
      <c r="T222" s="80"/>
      <c r="U222" s="80"/>
      <c r="V222" s="81"/>
    </row>
    <row r="223" spans="1:22" x14ac:dyDescent="0.2">
      <c r="A223" s="78"/>
      <c r="B223" s="78"/>
      <c r="C223" s="78"/>
      <c r="D223" s="78"/>
      <c r="E223" s="78"/>
      <c r="F223" s="78"/>
      <c r="G223" s="78"/>
      <c r="H223" s="78"/>
      <c r="I223" s="78"/>
      <c r="J223" s="78"/>
      <c r="K223" s="78"/>
      <c r="L223" s="78"/>
      <c r="M223" s="78"/>
      <c r="N223" s="78"/>
      <c r="O223" s="80"/>
      <c r="P223" s="80"/>
      <c r="Q223" s="80"/>
      <c r="R223" s="80"/>
      <c r="S223" s="80"/>
      <c r="T223" s="80"/>
      <c r="U223" s="80"/>
      <c r="V223" s="81"/>
    </row>
    <row r="224" spans="1:22" x14ac:dyDescent="0.2">
      <c r="A224" s="78"/>
      <c r="B224" s="78"/>
      <c r="C224" s="78"/>
      <c r="D224" s="78"/>
      <c r="E224" s="78"/>
      <c r="F224" s="78"/>
      <c r="G224" s="78"/>
      <c r="H224" s="78"/>
      <c r="I224" s="78"/>
      <c r="J224" s="78"/>
      <c r="K224" s="78"/>
      <c r="L224" s="78"/>
      <c r="M224" s="78"/>
      <c r="N224" s="78"/>
      <c r="O224" s="80"/>
      <c r="P224" s="80"/>
      <c r="Q224" s="80"/>
      <c r="R224" s="80"/>
      <c r="S224" s="80"/>
      <c r="T224" s="80"/>
      <c r="U224" s="80"/>
      <c r="V224" s="81"/>
    </row>
    <row r="225" spans="1:22" x14ac:dyDescent="0.2">
      <c r="A225" s="78"/>
      <c r="B225" s="78"/>
      <c r="C225" s="78"/>
      <c r="D225" s="78"/>
      <c r="E225" s="78"/>
      <c r="F225" s="78"/>
      <c r="G225" s="78"/>
      <c r="H225" s="78"/>
      <c r="I225" s="78"/>
      <c r="J225" s="78"/>
      <c r="K225" s="78"/>
      <c r="L225" s="78"/>
      <c r="M225" s="78"/>
      <c r="N225" s="78"/>
      <c r="O225" s="80"/>
      <c r="P225" s="80"/>
      <c r="Q225" s="80"/>
      <c r="R225" s="80"/>
      <c r="S225" s="80"/>
      <c r="T225" s="80"/>
      <c r="U225" s="80"/>
      <c r="V225" s="81"/>
    </row>
    <row r="226" spans="1:22" x14ac:dyDescent="0.2">
      <c r="A226" s="78"/>
      <c r="B226" s="78"/>
      <c r="C226" s="78"/>
      <c r="D226" s="78"/>
      <c r="E226" s="78"/>
      <c r="F226" s="78"/>
      <c r="G226" s="78"/>
      <c r="H226" s="78"/>
      <c r="I226" s="78"/>
      <c r="J226" s="78"/>
      <c r="K226" s="78"/>
      <c r="L226" s="78"/>
      <c r="M226" s="78"/>
      <c r="N226" s="78"/>
      <c r="O226" s="80"/>
      <c r="P226" s="80"/>
      <c r="Q226" s="80"/>
      <c r="R226" s="80"/>
      <c r="S226" s="80"/>
      <c r="T226" s="80"/>
      <c r="U226" s="80"/>
      <c r="V226" s="81"/>
    </row>
    <row r="227" spans="1:22" x14ac:dyDescent="0.2">
      <c r="A227" s="78"/>
      <c r="B227" s="78"/>
      <c r="C227" s="78"/>
      <c r="D227" s="78"/>
      <c r="E227" s="78"/>
      <c r="F227" s="78"/>
      <c r="G227" s="78"/>
      <c r="H227" s="78"/>
      <c r="I227" s="78"/>
      <c r="J227" s="78"/>
      <c r="K227" s="78"/>
      <c r="L227" s="78"/>
      <c r="M227" s="78"/>
      <c r="N227" s="78"/>
      <c r="O227" s="80"/>
      <c r="P227" s="80"/>
      <c r="Q227" s="80"/>
      <c r="R227" s="80"/>
      <c r="S227" s="80"/>
      <c r="T227" s="80"/>
      <c r="U227" s="80"/>
      <c r="V227" s="81"/>
    </row>
    <row r="228" spans="1:22" x14ac:dyDescent="0.2">
      <c r="A228" s="78"/>
      <c r="B228" s="78"/>
      <c r="C228" s="78"/>
      <c r="D228" s="78"/>
      <c r="E228" s="78"/>
      <c r="F228" s="78"/>
      <c r="G228" s="78"/>
      <c r="H228" s="78"/>
      <c r="I228" s="78"/>
      <c r="J228" s="78"/>
      <c r="K228" s="78"/>
      <c r="L228" s="78"/>
      <c r="M228" s="78"/>
      <c r="N228" s="78"/>
      <c r="O228" s="80"/>
      <c r="P228" s="80"/>
      <c r="Q228" s="80"/>
      <c r="R228" s="80"/>
      <c r="S228" s="80"/>
      <c r="T228" s="80"/>
      <c r="U228" s="80"/>
      <c r="V228" s="81"/>
    </row>
    <row r="229" spans="1:22" x14ac:dyDescent="0.2">
      <c r="A229" s="78"/>
      <c r="B229" s="78"/>
      <c r="C229" s="78"/>
      <c r="D229" s="78"/>
      <c r="E229" s="78"/>
      <c r="F229" s="78"/>
      <c r="G229" s="78"/>
      <c r="H229" s="78"/>
      <c r="I229" s="78"/>
      <c r="J229" s="78"/>
      <c r="K229" s="78"/>
      <c r="L229" s="78"/>
      <c r="M229" s="78"/>
      <c r="N229" s="78"/>
      <c r="O229" s="80"/>
      <c r="P229" s="80"/>
      <c r="Q229" s="80"/>
      <c r="R229" s="80"/>
      <c r="S229" s="80"/>
      <c r="T229" s="80"/>
      <c r="U229" s="80"/>
      <c r="V229" s="81"/>
    </row>
    <row r="230" spans="1:22" x14ac:dyDescent="0.2">
      <c r="A230" s="78"/>
      <c r="B230" s="78"/>
      <c r="C230" s="78"/>
      <c r="D230" s="78"/>
      <c r="E230" s="78"/>
      <c r="F230" s="78"/>
      <c r="G230" s="78"/>
      <c r="H230" s="78"/>
      <c r="I230" s="78"/>
      <c r="J230" s="78"/>
      <c r="K230" s="78"/>
      <c r="L230" s="78"/>
      <c r="M230" s="78"/>
      <c r="N230" s="78"/>
      <c r="O230" s="80"/>
      <c r="P230" s="80"/>
      <c r="Q230" s="80"/>
      <c r="R230" s="80"/>
      <c r="S230" s="80"/>
      <c r="T230" s="80"/>
      <c r="U230" s="80"/>
      <c r="V230" s="81"/>
    </row>
    <row r="231" spans="1:22" x14ac:dyDescent="0.2">
      <c r="A231" s="78"/>
      <c r="B231" s="78"/>
      <c r="C231" s="78"/>
      <c r="D231" s="78"/>
      <c r="E231" s="78"/>
      <c r="F231" s="78"/>
      <c r="G231" s="78"/>
      <c r="H231" s="78"/>
      <c r="I231" s="78"/>
      <c r="J231" s="78"/>
      <c r="K231" s="78"/>
      <c r="L231" s="78"/>
      <c r="M231" s="78"/>
      <c r="N231" s="78"/>
      <c r="O231" s="80"/>
      <c r="P231" s="80"/>
      <c r="Q231" s="80"/>
      <c r="R231" s="80"/>
      <c r="S231" s="80"/>
      <c r="T231" s="80"/>
      <c r="U231" s="80"/>
      <c r="V231" s="81"/>
    </row>
    <row r="232" spans="1:22" x14ac:dyDescent="0.2">
      <c r="A232" s="78"/>
      <c r="B232" s="78"/>
      <c r="C232" s="78"/>
      <c r="D232" s="78"/>
      <c r="E232" s="78"/>
      <c r="F232" s="78"/>
      <c r="G232" s="78"/>
      <c r="H232" s="78"/>
      <c r="I232" s="78"/>
      <c r="J232" s="78"/>
      <c r="K232" s="78"/>
      <c r="L232" s="78"/>
      <c r="M232" s="78"/>
      <c r="N232" s="78"/>
      <c r="O232" s="80"/>
      <c r="P232" s="80"/>
      <c r="Q232" s="80"/>
      <c r="R232" s="80"/>
      <c r="S232" s="80"/>
      <c r="T232" s="80"/>
      <c r="U232" s="80"/>
      <c r="V232" s="81"/>
    </row>
    <row r="233" spans="1:22" x14ac:dyDescent="0.2">
      <c r="A233" s="78"/>
      <c r="B233" s="78"/>
      <c r="C233" s="78"/>
      <c r="D233" s="78"/>
      <c r="E233" s="78"/>
      <c r="F233" s="78"/>
      <c r="G233" s="78"/>
      <c r="H233" s="78"/>
      <c r="I233" s="78"/>
      <c r="J233" s="78"/>
      <c r="K233" s="78"/>
      <c r="L233" s="78"/>
      <c r="M233" s="78"/>
      <c r="N233" s="78"/>
      <c r="O233" s="80"/>
      <c r="P233" s="80"/>
      <c r="Q233" s="80"/>
      <c r="R233" s="80"/>
      <c r="S233" s="80"/>
      <c r="T233" s="80"/>
      <c r="U233" s="80"/>
      <c r="V233" s="81"/>
    </row>
    <row r="234" spans="1:22" x14ac:dyDescent="0.2">
      <c r="A234" s="78"/>
      <c r="B234" s="78"/>
      <c r="C234" s="78"/>
      <c r="D234" s="78"/>
      <c r="E234" s="78"/>
      <c r="F234" s="78"/>
      <c r="G234" s="78"/>
      <c r="H234" s="78"/>
      <c r="I234" s="78"/>
      <c r="J234" s="78"/>
      <c r="K234" s="78"/>
      <c r="L234" s="78"/>
      <c r="M234" s="78"/>
      <c r="N234" s="78"/>
      <c r="O234" s="80"/>
      <c r="P234" s="80"/>
      <c r="Q234" s="80"/>
      <c r="R234" s="80"/>
      <c r="S234" s="80"/>
      <c r="T234" s="80"/>
      <c r="U234" s="80"/>
      <c r="V234" s="81"/>
    </row>
    <row r="235" spans="1:22" x14ac:dyDescent="0.2">
      <c r="A235" s="78"/>
      <c r="B235" s="78"/>
      <c r="C235" s="78"/>
      <c r="D235" s="78"/>
      <c r="E235" s="78"/>
      <c r="F235" s="78"/>
      <c r="G235" s="78"/>
      <c r="H235" s="78"/>
      <c r="I235" s="78"/>
      <c r="J235" s="78"/>
      <c r="K235" s="78"/>
      <c r="L235" s="78"/>
      <c r="M235" s="78"/>
      <c r="N235" s="78"/>
      <c r="O235" s="80"/>
      <c r="P235" s="80"/>
      <c r="Q235" s="80"/>
      <c r="R235" s="80"/>
      <c r="S235" s="80"/>
      <c r="T235" s="80"/>
      <c r="U235" s="80"/>
      <c r="V235" s="81"/>
    </row>
    <row r="236" spans="1:22" x14ac:dyDescent="0.2">
      <c r="A236" s="78"/>
      <c r="B236" s="78"/>
      <c r="C236" s="78"/>
      <c r="D236" s="78"/>
      <c r="E236" s="78"/>
      <c r="F236" s="78"/>
      <c r="G236" s="78"/>
      <c r="H236" s="78"/>
      <c r="I236" s="78"/>
      <c r="J236" s="78"/>
      <c r="K236" s="78"/>
      <c r="L236" s="78"/>
      <c r="M236" s="78"/>
      <c r="N236" s="78"/>
      <c r="O236" s="80"/>
      <c r="P236" s="80"/>
      <c r="Q236" s="80"/>
      <c r="R236" s="80"/>
      <c r="S236" s="80"/>
      <c r="T236" s="80"/>
      <c r="U236" s="80"/>
      <c r="V236" s="81"/>
    </row>
    <row r="237" spans="1:22" x14ac:dyDescent="0.2">
      <c r="A237" s="78"/>
      <c r="B237" s="78"/>
      <c r="C237" s="78"/>
      <c r="D237" s="78"/>
      <c r="E237" s="78"/>
      <c r="F237" s="78"/>
      <c r="G237" s="78"/>
      <c r="H237" s="78"/>
      <c r="I237" s="78"/>
      <c r="J237" s="78"/>
      <c r="K237" s="78"/>
      <c r="L237" s="78"/>
      <c r="M237" s="78"/>
      <c r="N237" s="78"/>
      <c r="O237" s="80"/>
      <c r="P237" s="80"/>
      <c r="Q237" s="80"/>
      <c r="R237" s="80"/>
      <c r="S237" s="80"/>
      <c r="T237" s="80"/>
      <c r="U237" s="80"/>
      <c r="V237" s="81"/>
    </row>
    <row r="238" spans="1:22" x14ac:dyDescent="0.2">
      <c r="A238" s="78"/>
      <c r="B238" s="78"/>
      <c r="C238" s="78"/>
      <c r="D238" s="78"/>
      <c r="E238" s="78"/>
      <c r="F238" s="78"/>
      <c r="G238" s="78"/>
      <c r="H238" s="78"/>
      <c r="I238" s="78"/>
      <c r="J238" s="78"/>
      <c r="K238" s="78"/>
      <c r="L238" s="78"/>
      <c r="M238" s="78"/>
      <c r="N238" s="78"/>
      <c r="O238" s="80"/>
      <c r="P238" s="80"/>
      <c r="Q238" s="80"/>
      <c r="R238" s="80"/>
      <c r="S238" s="80"/>
      <c r="T238" s="80"/>
      <c r="U238" s="80"/>
      <c r="V238" s="81"/>
    </row>
    <row r="239" spans="1:22" x14ac:dyDescent="0.2">
      <c r="A239" s="78"/>
      <c r="B239" s="78"/>
      <c r="C239" s="78"/>
      <c r="D239" s="78"/>
      <c r="E239" s="78"/>
      <c r="F239" s="78"/>
      <c r="G239" s="78"/>
      <c r="H239" s="78"/>
      <c r="I239" s="78"/>
      <c r="J239" s="78"/>
      <c r="K239" s="78"/>
      <c r="L239" s="78"/>
      <c r="M239" s="78"/>
      <c r="N239" s="78"/>
      <c r="O239" s="80"/>
      <c r="P239" s="80"/>
      <c r="Q239" s="80"/>
      <c r="R239" s="80"/>
      <c r="S239" s="80"/>
      <c r="T239" s="80"/>
      <c r="U239" s="80"/>
      <c r="V239" s="81"/>
    </row>
    <row r="240" spans="1:22" x14ac:dyDescent="0.2">
      <c r="A240" s="78"/>
      <c r="B240" s="78"/>
      <c r="C240" s="78"/>
      <c r="D240" s="78"/>
      <c r="E240" s="78"/>
      <c r="F240" s="78"/>
      <c r="G240" s="78"/>
      <c r="H240" s="78"/>
      <c r="I240" s="78"/>
      <c r="J240" s="78"/>
      <c r="K240" s="78"/>
      <c r="L240" s="78"/>
      <c r="M240" s="78"/>
      <c r="N240" s="78"/>
      <c r="O240" s="80"/>
      <c r="P240" s="80"/>
      <c r="Q240" s="80"/>
      <c r="R240" s="80"/>
      <c r="S240" s="80"/>
      <c r="T240" s="80"/>
      <c r="U240" s="80"/>
      <c r="V240" s="81"/>
    </row>
    <row r="241" spans="1:22" x14ac:dyDescent="0.2">
      <c r="A241" s="78"/>
      <c r="B241" s="78"/>
      <c r="C241" s="78"/>
      <c r="D241" s="78"/>
      <c r="E241" s="78"/>
      <c r="F241" s="78"/>
      <c r="G241" s="78"/>
      <c r="H241" s="78"/>
      <c r="I241" s="78"/>
      <c r="J241" s="78"/>
      <c r="K241" s="78"/>
      <c r="L241" s="78"/>
      <c r="M241" s="78"/>
      <c r="N241" s="78"/>
      <c r="O241" s="80"/>
      <c r="P241" s="80"/>
      <c r="Q241" s="80"/>
      <c r="R241" s="80"/>
      <c r="S241" s="80"/>
      <c r="T241" s="80"/>
      <c r="U241" s="80"/>
      <c r="V241" s="81"/>
    </row>
    <row r="242" spans="1:22" x14ac:dyDescent="0.2">
      <c r="A242" s="78"/>
      <c r="B242" s="78"/>
      <c r="C242" s="78"/>
      <c r="D242" s="78"/>
      <c r="E242" s="78"/>
      <c r="F242" s="78"/>
      <c r="G242" s="78"/>
      <c r="H242" s="78"/>
      <c r="I242" s="78"/>
      <c r="J242" s="78"/>
      <c r="K242" s="78"/>
      <c r="L242" s="78"/>
      <c r="M242" s="78"/>
      <c r="N242" s="78"/>
      <c r="O242" s="80"/>
      <c r="P242" s="80"/>
      <c r="Q242" s="80"/>
      <c r="R242" s="80"/>
      <c r="S242" s="80"/>
      <c r="T242" s="80"/>
      <c r="U242" s="80"/>
      <c r="V242" s="81"/>
    </row>
    <row r="243" spans="1:22" x14ac:dyDescent="0.2">
      <c r="A243" s="78"/>
      <c r="B243" s="78"/>
      <c r="C243" s="78"/>
      <c r="D243" s="78"/>
      <c r="E243" s="78"/>
      <c r="F243" s="78"/>
      <c r="G243" s="78"/>
      <c r="H243" s="78"/>
      <c r="I243" s="78"/>
      <c r="J243" s="78"/>
      <c r="K243" s="78"/>
      <c r="L243" s="78"/>
      <c r="M243" s="78"/>
      <c r="N243" s="78"/>
      <c r="O243" s="80"/>
      <c r="P243" s="80"/>
      <c r="Q243" s="80"/>
      <c r="R243" s="80"/>
      <c r="S243" s="80"/>
      <c r="T243" s="80"/>
      <c r="U243" s="80"/>
      <c r="V243" s="81"/>
    </row>
    <row r="244" spans="1:22" x14ac:dyDescent="0.2">
      <c r="A244" s="78"/>
      <c r="B244" s="78"/>
      <c r="C244" s="78"/>
      <c r="D244" s="78"/>
      <c r="E244" s="78"/>
      <c r="F244" s="78"/>
      <c r="G244" s="78"/>
      <c r="H244" s="78"/>
      <c r="I244" s="78"/>
      <c r="J244" s="78"/>
      <c r="K244" s="78"/>
      <c r="L244" s="78"/>
      <c r="M244" s="78"/>
      <c r="N244" s="78"/>
      <c r="O244" s="80"/>
      <c r="P244" s="80"/>
      <c r="Q244" s="80"/>
      <c r="R244" s="80"/>
      <c r="S244" s="80"/>
      <c r="T244" s="80"/>
      <c r="U244" s="80"/>
      <c r="V244" s="81"/>
    </row>
    <row r="245" spans="1:22" x14ac:dyDescent="0.2">
      <c r="A245" s="78"/>
      <c r="B245" s="78"/>
      <c r="C245" s="78"/>
      <c r="D245" s="78"/>
      <c r="E245" s="78"/>
      <c r="F245" s="78"/>
      <c r="G245" s="78"/>
      <c r="H245" s="78"/>
      <c r="I245" s="78"/>
      <c r="J245" s="78"/>
      <c r="K245" s="78"/>
      <c r="L245" s="78"/>
      <c r="M245" s="78"/>
      <c r="N245" s="78"/>
      <c r="O245" s="80"/>
      <c r="P245" s="80"/>
      <c r="Q245" s="80"/>
      <c r="R245" s="80"/>
      <c r="S245" s="80"/>
      <c r="T245" s="80"/>
      <c r="U245" s="80"/>
      <c r="V245" s="81"/>
    </row>
    <row r="246" spans="1:22" x14ac:dyDescent="0.2">
      <c r="A246" s="78"/>
      <c r="B246" s="78"/>
      <c r="C246" s="78"/>
      <c r="D246" s="78"/>
      <c r="E246" s="78"/>
      <c r="F246" s="78"/>
      <c r="G246" s="78"/>
      <c r="H246" s="78"/>
      <c r="I246" s="78"/>
      <c r="J246" s="78"/>
      <c r="K246" s="78"/>
      <c r="L246" s="78"/>
      <c r="M246" s="78"/>
      <c r="N246" s="78"/>
      <c r="O246" s="80"/>
      <c r="P246" s="80"/>
      <c r="Q246" s="80"/>
      <c r="R246" s="80"/>
      <c r="S246" s="80"/>
      <c r="T246" s="80"/>
      <c r="U246" s="80"/>
      <c r="V246" s="81"/>
    </row>
    <row r="247" spans="1:22" x14ac:dyDescent="0.2">
      <c r="A247" s="78"/>
      <c r="B247" s="78"/>
      <c r="C247" s="78"/>
      <c r="D247" s="78"/>
      <c r="E247" s="78"/>
      <c r="F247" s="78"/>
      <c r="G247" s="78"/>
      <c r="H247" s="78"/>
      <c r="I247" s="78"/>
      <c r="J247" s="78"/>
      <c r="K247" s="78"/>
      <c r="L247" s="78"/>
      <c r="M247" s="78"/>
      <c r="N247" s="78"/>
      <c r="O247" s="80"/>
      <c r="P247" s="80"/>
      <c r="Q247" s="80"/>
      <c r="R247" s="80"/>
      <c r="S247" s="80"/>
      <c r="T247" s="80"/>
      <c r="U247" s="80"/>
      <c r="V247" s="81"/>
    </row>
    <row r="248" spans="1:22" x14ac:dyDescent="0.2">
      <c r="A248" s="78"/>
      <c r="B248" s="78"/>
      <c r="C248" s="78"/>
      <c r="D248" s="78"/>
      <c r="E248" s="78"/>
      <c r="F248" s="78"/>
      <c r="G248" s="78"/>
      <c r="H248" s="78"/>
      <c r="I248" s="78"/>
      <c r="J248" s="78"/>
      <c r="K248" s="78"/>
      <c r="L248" s="78"/>
      <c r="M248" s="78"/>
      <c r="N248" s="78"/>
      <c r="O248" s="80"/>
      <c r="P248" s="80"/>
      <c r="Q248" s="80"/>
      <c r="R248" s="80"/>
      <c r="S248" s="80"/>
      <c r="T248" s="80"/>
      <c r="U248" s="80"/>
      <c r="V248" s="81"/>
    </row>
    <row r="249" spans="1:22" x14ac:dyDescent="0.2">
      <c r="A249" s="78"/>
      <c r="B249" s="78"/>
      <c r="C249" s="78"/>
      <c r="D249" s="78"/>
      <c r="E249" s="78"/>
      <c r="F249" s="78"/>
      <c r="G249" s="78"/>
      <c r="H249" s="78"/>
      <c r="I249" s="78"/>
      <c r="J249" s="78"/>
      <c r="K249" s="78"/>
      <c r="L249" s="78"/>
      <c r="M249" s="78"/>
      <c r="N249" s="78"/>
      <c r="O249" s="80"/>
      <c r="P249" s="80"/>
      <c r="Q249" s="80"/>
      <c r="R249" s="80"/>
      <c r="S249" s="80"/>
      <c r="T249" s="80"/>
      <c r="U249" s="80"/>
      <c r="V249" s="81"/>
    </row>
    <row r="250" spans="1:22" x14ac:dyDescent="0.2">
      <c r="A250" s="78"/>
      <c r="B250" s="78"/>
      <c r="C250" s="78"/>
      <c r="D250" s="78"/>
      <c r="E250" s="78"/>
      <c r="F250" s="78"/>
      <c r="G250" s="78"/>
      <c r="H250" s="78"/>
      <c r="I250" s="78"/>
      <c r="J250" s="78"/>
      <c r="K250" s="78"/>
      <c r="L250" s="78"/>
      <c r="M250" s="78"/>
      <c r="N250" s="78"/>
      <c r="O250" s="80"/>
      <c r="P250" s="80"/>
      <c r="Q250" s="80"/>
      <c r="R250" s="80"/>
      <c r="S250" s="80"/>
      <c r="T250" s="80"/>
      <c r="U250" s="80"/>
      <c r="V250" s="81"/>
    </row>
    <row r="251" spans="1:22" x14ac:dyDescent="0.2">
      <c r="A251" s="78"/>
      <c r="B251" s="78"/>
      <c r="C251" s="78"/>
      <c r="D251" s="78"/>
      <c r="E251" s="78"/>
      <c r="F251" s="78"/>
      <c r="G251" s="78"/>
      <c r="H251" s="78"/>
      <c r="I251" s="78"/>
      <c r="J251" s="78"/>
      <c r="K251" s="78"/>
      <c r="L251" s="78"/>
      <c r="M251" s="78"/>
      <c r="N251" s="78"/>
      <c r="O251" s="80"/>
      <c r="P251" s="80"/>
      <c r="Q251" s="80"/>
      <c r="R251" s="80"/>
      <c r="S251" s="80"/>
      <c r="T251" s="80"/>
      <c r="U251" s="80"/>
      <c r="V251" s="81"/>
    </row>
    <row r="252" spans="1:22" x14ac:dyDescent="0.2">
      <c r="A252" s="78"/>
      <c r="B252" s="78"/>
      <c r="C252" s="78"/>
      <c r="D252" s="78"/>
      <c r="E252" s="78"/>
      <c r="F252" s="78"/>
      <c r="G252" s="78"/>
      <c r="H252" s="78"/>
      <c r="I252" s="78"/>
      <c r="J252" s="78"/>
      <c r="K252" s="78"/>
      <c r="L252" s="78"/>
      <c r="M252" s="78"/>
      <c r="N252" s="78"/>
      <c r="O252" s="80"/>
      <c r="P252" s="80"/>
      <c r="Q252" s="80"/>
      <c r="R252" s="80"/>
      <c r="S252" s="80"/>
      <c r="T252" s="80"/>
      <c r="U252" s="80"/>
      <c r="V252" s="81"/>
    </row>
    <row r="253" spans="1:22" x14ac:dyDescent="0.2">
      <c r="A253" s="78"/>
      <c r="B253" s="78"/>
      <c r="C253" s="78"/>
      <c r="D253" s="78"/>
      <c r="E253" s="78"/>
      <c r="F253" s="78"/>
      <c r="G253" s="78"/>
      <c r="H253" s="78"/>
      <c r="I253" s="78"/>
      <c r="J253" s="78"/>
      <c r="K253" s="78"/>
      <c r="L253" s="78"/>
      <c r="M253" s="78"/>
      <c r="N253" s="78"/>
      <c r="O253" s="80"/>
      <c r="P253" s="80"/>
      <c r="Q253" s="80"/>
      <c r="R253" s="80"/>
      <c r="S253" s="80"/>
      <c r="T253" s="80"/>
      <c r="U253" s="80"/>
      <c r="V253" s="81"/>
    </row>
    <row r="254" spans="1:22" x14ac:dyDescent="0.2">
      <c r="A254" s="78"/>
      <c r="B254" s="78"/>
      <c r="C254" s="78"/>
      <c r="D254" s="78"/>
      <c r="E254" s="78"/>
      <c r="F254" s="78"/>
      <c r="G254" s="78"/>
      <c r="H254" s="78"/>
      <c r="I254" s="78"/>
      <c r="J254" s="78"/>
      <c r="K254" s="78"/>
      <c r="L254" s="78"/>
      <c r="M254" s="78"/>
      <c r="N254" s="78"/>
      <c r="O254" s="80"/>
      <c r="P254" s="80"/>
      <c r="Q254" s="80"/>
      <c r="R254" s="80"/>
      <c r="S254" s="80"/>
      <c r="T254" s="80"/>
      <c r="U254" s="80"/>
      <c r="V254" s="81"/>
    </row>
    <row r="255" spans="1:22" x14ac:dyDescent="0.2">
      <c r="A255" s="78"/>
      <c r="B255" s="78"/>
      <c r="C255" s="78"/>
      <c r="D255" s="78"/>
      <c r="E255" s="78"/>
      <c r="F255" s="78"/>
      <c r="G255" s="78"/>
      <c r="H255" s="78"/>
      <c r="I255" s="78"/>
      <c r="J255" s="78"/>
      <c r="K255" s="78"/>
      <c r="L255" s="78"/>
      <c r="M255" s="78"/>
      <c r="N255" s="78"/>
      <c r="O255" s="80"/>
      <c r="P255" s="80"/>
      <c r="Q255" s="80"/>
      <c r="R255" s="80"/>
      <c r="S255" s="80"/>
      <c r="T255" s="80"/>
      <c r="U255" s="80"/>
      <c r="V255" s="81"/>
    </row>
    <row r="256" spans="1:22" x14ac:dyDescent="0.2">
      <c r="A256" s="78"/>
      <c r="B256" s="78"/>
      <c r="C256" s="78"/>
      <c r="D256" s="78"/>
      <c r="E256" s="78"/>
      <c r="F256" s="78"/>
      <c r="G256" s="78"/>
      <c r="H256" s="78"/>
      <c r="I256" s="78"/>
      <c r="J256" s="78"/>
      <c r="K256" s="78"/>
      <c r="L256" s="78"/>
      <c r="M256" s="78"/>
      <c r="N256" s="78"/>
      <c r="O256" s="80"/>
      <c r="P256" s="80"/>
      <c r="Q256" s="80"/>
      <c r="R256" s="80"/>
      <c r="S256" s="80"/>
      <c r="T256" s="80"/>
      <c r="U256" s="80"/>
      <c r="V256" s="81"/>
    </row>
    <row r="257" spans="1:22" x14ac:dyDescent="0.2">
      <c r="A257" s="78"/>
      <c r="B257" s="78"/>
      <c r="C257" s="78"/>
      <c r="D257" s="78"/>
      <c r="E257" s="78"/>
      <c r="F257" s="78"/>
      <c r="G257" s="78"/>
      <c r="H257" s="78"/>
      <c r="I257" s="78"/>
      <c r="J257" s="78"/>
      <c r="K257" s="78"/>
      <c r="L257" s="78"/>
      <c r="M257" s="78"/>
      <c r="N257" s="78"/>
      <c r="O257" s="80"/>
      <c r="P257" s="80"/>
      <c r="Q257" s="80"/>
      <c r="R257" s="80"/>
      <c r="S257" s="80"/>
      <c r="T257" s="80"/>
      <c r="U257" s="80"/>
      <c r="V257" s="81"/>
    </row>
    <row r="258" spans="1:22" x14ac:dyDescent="0.2">
      <c r="A258" s="78"/>
      <c r="B258" s="78"/>
      <c r="C258" s="78"/>
      <c r="D258" s="78"/>
      <c r="E258" s="78"/>
      <c r="F258" s="78"/>
      <c r="G258" s="78"/>
      <c r="H258" s="78"/>
      <c r="I258" s="78"/>
      <c r="J258" s="78"/>
      <c r="K258" s="78"/>
      <c r="L258" s="78"/>
      <c r="M258" s="78"/>
      <c r="N258" s="78"/>
      <c r="O258" s="80"/>
      <c r="P258" s="80"/>
      <c r="Q258" s="80"/>
      <c r="R258" s="80"/>
      <c r="S258" s="80"/>
      <c r="T258" s="80"/>
      <c r="U258" s="80"/>
      <c r="V258" s="81"/>
    </row>
    <row r="259" spans="1:22" x14ac:dyDescent="0.2">
      <c r="A259" s="78"/>
      <c r="B259" s="78"/>
      <c r="C259" s="78"/>
      <c r="D259" s="78"/>
      <c r="E259" s="78"/>
      <c r="F259" s="78"/>
      <c r="G259" s="78"/>
      <c r="H259" s="78"/>
      <c r="I259" s="78"/>
      <c r="J259" s="78"/>
      <c r="K259" s="78"/>
      <c r="L259" s="78"/>
      <c r="M259" s="78"/>
      <c r="N259" s="78"/>
      <c r="O259" s="80"/>
      <c r="P259" s="80"/>
      <c r="Q259" s="80"/>
      <c r="R259" s="80"/>
      <c r="S259" s="80"/>
      <c r="T259" s="80"/>
      <c r="U259" s="80"/>
      <c r="V259" s="81"/>
    </row>
    <row r="260" spans="1:22" x14ac:dyDescent="0.2">
      <c r="A260" s="78"/>
      <c r="B260" s="78"/>
      <c r="C260" s="78"/>
      <c r="D260" s="78"/>
      <c r="E260" s="78"/>
      <c r="F260" s="78"/>
      <c r="G260" s="78"/>
      <c r="H260" s="78"/>
      <c r="I260" s="78"/>
      <c r="J260" s="78"/>
      <c r="K260" s="78"/>
      <c r="L260" s="78"/>
      <c r="M260" s="78"/>
      <c r="N260" s="78"/>
      <c r="O260" s="80"/>
      <c r="P260" s="80"/>
      <c r="Q260" s="80"/>
      <c r="R260" s="80"/>
      <c r="S260" s="80"/>
      <c r="T260" s="80"/>
      <c r="U260" s="80"/>
      <c r="V260" s="81"/>
    </row>
    <row r="261" spans="1:22" x14ac:dyDescent="0.2">
      <c r="A261" s="78"/>
      <c r="B261" s="78"/>
      <c r="C261" s="78"/>
      <c r="D261" s="78"/>
      <c r="E261" s="78"/>
      <c r="F261" s="78"/>
      <c r="G261" s="78"/>
      <c r="H261" s="78"/>
      <c r="I261" s="78"/>
      <c r="J261" s="78"/>
      <c r="K261" s="78"/>
      <c r="L261" s="78"/>
      <c r="M261" s="78"/>
      <c r="N261" s="78"/>
      <c r="O261" s="80"/>
      <c r="P261" s="80"/>
      <c r="Q261" s="80"/>
      <c r="R261" s="80"/>
      <c r="S261" s="80"/>
      <c r="T261" s="80"/>
      <c r="U261" s="80"/>
      <c r="V261" s="81"/>
    </row>
    <row r="262" spans="1:22" x14ac:dyDescent="0.2">
      <c r="A262" s="78"/>
      <c r="B262" s="78"/>
      <c r="C262" s="78"/>
      <c r="D262" s="78"/>
      <c r="E262" s="78"/>
      <c r="F262" s="78"/>
      <c r="G262" s="78"/>
      <c r="H262" s="78"/>
      <c r="I262" s="78"/>
      <c r="J262" s="78"/>
      <c r="K262" s="78"/>
      <c r="L262" s="78"/>
      <c r="M262" s="78"/>
      <c r="N262" s="78"/>
      <c r="O262" s="80"/>
      <c r="P262" s="80"/>
      <c r="Q262" s="80"/>
      <c r="R262" s="80"/>
      <c r="S262" s="80"/>
      <c r="T262" s="80"/>
      <c r="U262" s="80"/>
      <c r="V262" s="81"/>
    </row>
    <row r="263" spans="1:22" x14ac:dyDescent="0.2">
      <c r="A263" s="78"/>
      <c r="B263" s="78"/>
      <c r="C263" s="78"/>
      <c r="D263" s="78"/>
      <c r="E263" s="78"/>
      <c r="F263" s="78"/>
      <c r="G263" s="78"/>
      <c r="H263" s="78"/>
      <c r="I263" s="78"/>
      <c r="J263" s="78"/>
      <c r="K263" s="78"/>
      <c r="L263" s="78"/>
      <c r="M263" s="78"/>
      <c r="N263" s="78"/>
      <c r="O263" s="80"/>
      <c r="P263" s="80"/>
      <c r="Q263" s="80"/>
      <c r="R263" s="80"/>
      <c r="S263" s="80"/>
      <c r="T263" s="80"/>
      <c r="U263" s="80"/>
      <c r="V263" s="81"/>
    </row>
    <row r="264" spans="1:22" x14ac:dyDescent="0.2">
      <c r="A264" s="78"/>
      <c r="B264" s="78"/>
      <c r="C264" s="78"/>
      <c r="D264" s="78"/>
      <c r="E264" s="78"/>
      <c r="F264" s="78"/>
      <c r="G264" s="78"/>
      <c r="H264" s="78"/>
      <c r="I264" s="78"/>
      <c r="J264" s="78"/>
      <c r="K264" s="78"/>
      <c r="L264" s="78"/>
      <c r="M264" s="78"/>
      <c r="N264" s="78"/>
      <c r="O264" s="80"/>
      <c r="P264" s="80"/>
      <c r="Q264" s="80"/>
      <c r="R264" s="80"/>
      <c r="S264" s="80"/>
      <c r="T264" s="80"/>
      <c r="U264" s="80"/>
      <c r="V264" s="81"/>
    </row>
    <row r="265" spans="1:22" x14ac:dyDescent="0.2">
      <c r="A265" s="78"/>
      <c r="B265" s="78"/>
      <c r="C265" s="78"/>
      <c r="D265" s="78"/>
      <c r="E265" s="78"/>
      <c r="F265" s="78"/>
      <c r="G265" s="78"/>
      <c r="H265" s="78"/>
      <c r="I265" s="78"/>
      <c r="J265" s="78"/>
      <c r="K265" s="78"/>
      <c r="L265" s="78"/>
      <c r="M265" s="78"/>
      <c r="N265" s="78"/>
      <c r="O265" s="80"/>
      <c r="P265" s="80"/>
      <c r="Q265" s="80"/>
      <c r="R265" s="80"/>
      <c r="S265" s="80"/>
      <c r="T265" s="80"/>
      <c r="U265" s="80"/>
      <c r="V265" s="81"/>
    </row>
    <row r="266" spans="1:22" x14ac:dyDescent="0.2">
      <c r="A266" s="78"/>
      <c r="B266" s="78"/>
      <c r="C266" s="78"/>
      <c r="D266" s="78"/>
      <c r="E266" s="78"/>
      <c r="F266" s="78"/>
      <c r="G266" s="78"/>
      <c r="H266" s="78"/>
      <c r="I266" s="78"/>
      <c r="J266" s="78"/>
      <c r="K266" s="78"/>
      <c r="L266" s="78"/>
      <c r="M266" s="78"/>
      <c r="N266" s="78"/>
      <c r="O266" s="80"/>
      <c r="P266" s="80"/>
      <c r="Q266" s="80"/>
      <c r="R266" s="80"/>
      <c r="S266" s="80"/>
      <c r="T266" s="80"/>
      <c r="U266" s="80"/>
      <c r="V266" s="81"/>
    </row>
    <row r="267" spans="1:22" x14ac:dyDescent="0.2">
      <c r="A267" s="78"/>
      <c r="B267" s="78"/>
      <c r="C267" s="78"/>
      <c r="D267" s="78"/>
      <c r="E267" s="78"/>
      <c r="F267" s="78"/>
      <c r="G267" s="78"/>
      <c r="H267" s="78"/>
      <c r="I267" s="78"/>
      <c r="J267" s="78"/>
      <c r="K267" s="78"/>
      <c r="L267" s="78"/>
      <c r="M267" s="78"/>
      <c r="N267" s="78"/>
      <c r="O267" s="80"/>
      <c r="P267" s="80"/>
      <c r="Q267" s="80"/>
      <c r="R267" s="80"/>
      <c r="S267" s="80"/>
      <c r="T267" s="80"/>
      <c r="U267" s="80"/>
      <c r="V267" s="81"/>
    </row>
    <row r="268" spans="1:22" x14ac:dyDescent="0.2">
      <c r="A268" s="78"/>
      <c r="B268" s="78"/>
      <c r="C268" s="78"/>
      <c r="D268" s="78"/>
      <c r="E268" s="78"/>
      <c r="F268" s="78"/>
      <c r="G268" s="78"/>
      <c r="H268" s="78"/>
      <c r="I268" s="78"/>
      <c r="J268" s="78"/>
      <c r="K268" s="78"/>
      <c r="L268" s="78"/>
      <c r="M268" s="78"/>
      <c r="N268" s="78"/>
      <c r="O268" s="80"/>
      <c r="P268" s="80"/>
      <c r="Q268" s="80"/>
      <c r="R268" s="80"/>
      <c r="S268" s="80"/>
      <c r="T268" s="80"/>
      <c r="U268" s="80"/>
      <c r="V268" s="81"/>
    </row>
    <row r="269" spans="1:22" x14ac:dyDescent="0.2">
      <c r="A269" s="78"/>
      <c r="B269" s="78"/>
      <c r="C269" s="78"/>
      <c r="D269" s="78"/>
      <c r="E269" s="78"/>
      <c r="F269" s="78"/>
      <c r="G269" s="78"/>
      <c r="H269" s="78"/>
      <c r="I269" s="78"/>
      <c r="J269" s="78"/>
      <c r="K269" s="78"/>
      <c r="L269" s="78"/>
      <c r="M269" s="78"/>
      <c r="N269" s="78"/>
      <c r="O269" s="80"/>
      <c r="P269" s="80"/>
      <c r="Q269" s="80"/>
      <c r="R269" s="80"/>
      <c r="S269" s="80"/>
      <c r="T269" s="80"/>
      <c r="U269" s="80"/>
      <c r="V269" s="81"/>
    </row>
    <row r="270" spans="1:22" x14ac:dyDescent="0.2">
      <c r="A270" s="78"/>
      <c r="B270" s="78"/>
      <c r="C270" s="78"/>
      <c r="D270" s="78"/>
      <c r="E270" s="78"/>
      <c r="F270" s="78"/>
      <c r="G270" s="78"/>
      <c r="H270" s="78"/>
      <c r="I270" s="78"/>
      <c r="J270" s="78"/>
      <c r="K270" s="78"/>
      <c r="L270" s="78"/>
      <c r="M270" s="78"/>
      <c r="N270" s="78"/>
      <c r="O270" s="80"/>
      <c r="P270" s="80"/>
      <c r="Q270" s="80"/>
      <c r="R270" s="80"/>
      <c r="S270" s="80"/>
      <c r="T270" s="80"/>
      <c r="U270" s="80"/>
      <c r="V270" s="81"/>
    </row>
    <row r="271" spans="1:22" x14ac:dyDescent="0.2">
      <c r="A271" s="78"/>
      <c r="B271" s="78"/>
      <c r="C271" s="78"/>
      <c r="D271" s="78"/>
      <c r="E271" s="78"/>
      <c r="F271" s="78"/>
      <c r="G271" s="78"/>
      <c r="H271" s="78"/>
      <c r="I271" s="78"/>
      <c r="J271" s="78"/>
      <c r="K271" s="78"/>
      <c r="L271" s="78"/>
      <c r="M271" s="78"/>
      <c r="N271" s="78"/>
      <c r="O271" s="80"/>
      <c r="P271" s="80"/>
      <c r="Q271" s="80"/>
      <c r="R271" s="80"/>
      <c r="S271" s="80"/>
      <c r="T271" s="80"/>
      <c r="U271" s="80"/>
      <c r="V271" s="81"/>
    </row>
    <row r="272" spans="1:22" x14ac:dyDescent="0.2">
      <c r="A272" s="78"/>
      <c r="B272" s="78"/>
      <c r="C272" s="78"/>
      <c r="D272" s="78"/>
      <c r="E272" s="78"/>
      <c r="F272" s="78"/>
      <c r="G272" s="78"/>
      <c r="H272" s="78"/>
      <c r="I272" s="78"/>
      <c r="J272" s="78"/>
      <c r="K272" s="78"/>
      <c r="L272" s="78"/>
      <c r="M272" s="78"/>
      <c r="N272" s="78"/>
      <c r="O272" s="80"/>
      <c r="P272" s="80"/>
      <c r="Q272" s="80"/>
      <c r="R272" s="80"/>
      <c r="S272" s="80"/>
      <c r="T272" s="80"/>
      <c r="U272" s="80"/>
      <c r="V272" s="81"/>
    </row>
    <row r="273" spans="1:22" x14ac:dyDescent="0.2">
      <c r="A273" s="78"/>
      <c r="B273" s="78"/>
      <c r="C273" s="78"/>
      <c r="D273" s="78"/>
      <c r="E273" s="78"/>
      <c r="F273" s="78"/>
      <c r="G273" s="78"/>
      <c r="H273" s="78"/>
      <c r="I273" s="78"/>
      <c r="J273" s="78"/>
      <c r="K273" s="78"/>
      <c r="L273" s="78"/>
      <c r="M273" s="78"/>
      <c r="N273" s="78"/>
      <c r="O273" s="80"/>
      <c r="P273" s="80"/>
      <c r="Q273" s="80"/>
      <c r="R273" s="80"/>
      <c r="S273" s="80"/>
      <c r="T273" s="80"/>
      <c r="U273" s="80"/>
      <c r="V273" s="81"/>
    </row>
    <row r="274" spans="1:22" x14ac:dyDescent="0.2">
      <c r="A274" s="78"/>
      <c r="B274" s="78"/>
      <c r="C274" s="78"/>
      <c r="D274" s="78"/>
      <c r="E274" s="78"/>
      <c r="F274" s="78"/>
      <c r="G274" s="78"/>
      <c r="H274" s="78"/>
      <c r="I274" s="78"/>
      <c r="J274" s="78"/>
      <c r="K274" s="78"/>
      <c r="L274" s="78"/>
      <c r="M274" s="78"/>
      <c r="N274" s="78"/>
      <c r="O274" s="80"/>
      <c r="P274" s="80"/>
      <c r="Q274" s="80"/>
      <c r="R274" s="80"/>
      <c r="S274" s="80"/>
      <c r="T274" s="80"/>
      <c r="U274" s="80"/>
      <c r="V274" s="81"/>
    </row>
    <row r="275" spans="1:22" x14ac:dyDescent="0.2">
      <c r="A275" s="78"/>
      <c r="B275" s="78"/>
      <c r="C275" s="78"/>
      <c r="D275" s="78"/>
      <c r="E275" s="78"/>
      <c r="F275" s="78"/>
      <c r="G275" s="78"/>
      <c r="H275" s="78"/>
      <c r="I275" s="78"/>
      <c r="J275" s="78"/>
      <c r="K275" s="78"/>
      <c r="L275" s="78"/>
      <c r="M275" s="78"/>
      <c r="N275" s="78"/>
      <c r="O275" s="80"/>
      <c r="P275" s="80"/>
      <c r="Q275" s="80"/>
      <c r="R275" s="80"/>
      <c r="S275" s="80"/>
      <c r="T275" s="80"/>
      <c r="U275" s="80"/>
      <c r="V275" s="81"/>
    </row>
    <row r="276" spans="1:22" x14ac:dyDescent="0.2">
      <c r="A276" s="78"/>
      <c r="B276" s="78"/>
      <c r="C276" s="78"/>
      <c r="D276" s="78"/>
      <c r="E276" s="78"/>
      <c r="F276" s="78"/>
      <c r="G276" s="78"/>
      <c r="H276" s="78"/>
      <c r="I276" s="78"/>
      <c r="J276" s="78"/>
      <c r="K276" s="78"/>
      <c r="L276" s="78"/>
      <c r="M276" s="78"/>
      <c r="N276" s="78"/>
      <c r="O276" s="80"/>
      <c r="P276" s="80"/>
      <c r="Q276" s="80"/>
      <c r="R276" s="80"/>
      <c r="S276" s="80"/>
      <c r="T276" s="80"/>
      <c r="U276" s="80"/>
      <c r="V276" s="81"/>
    </row>
    <row r="277" spans="1:22" x14ac:dyDescent="0.2">
      <c r="A277" s="78"/>
      <c r="B277" s="78"/>
      <c r="C277" s="78"/>
      <c r="D277" s="78"/>
      <c r="E277" s="78"/>
      <c r="F277" s="78"/>
      <c r="G277" s="78"/>
      <c r="H277" s="78"/>
      <c r="I277" s="78"/>
      <c r="J277" s="78"/>
      <c r="K277" s="78"/>
      <c r="L277" s="78"/>
      <c r="M277" s="78"/>
      <c r="N277" s="78"/>
      <c r="O277" s="80"/>
      <c r="P277" s="80"/>
      <c r="Q277" s="80"/>
      <c r="R277" s="80"/>
      <c r="S277" s="80"/>
      <c r="T277" s="80"/>
      <c r="U277" s="80"/>
      <c r="V277" s="81"/>
    </row>
    <row r="278" spans="1:22" x14ac:dyDescent="0.2">
      <c r="A278" s="78"/>
      <c r="B278" s="78"/>
      <c r="C278" s="78"/>
      <c r="D278" s="78"/>
      <c r="E278" s="78"/>
      <c r="F278" s="78"/>
      <c r="G278" s="78"/>
      <c r="H278" s="78"/>
      <c r="I278" s="78"/>
      <c r="J278" s="78"/>
      <c r="K278" s="78"/>
      <c r="L278" s="78"/>
      <c r="M278" s="78"/>
      <c r="N278" s="78"/>
      <c r="O278" s="80"/>
      <c r="P278" s="80"/>
      <c r="Q278" s="80"/>
      <c r="R278" s="80"/>
      <c r="S278" s="80"/>
      <c r="T278" s="80"/>
      <c r="U278" s="80"/>
      <c r="V278" s="81"/>
    </row>
  </sheetData>
  <mergeCells count="4">
    <mergeCell ref="A1:V1"/>
    <mergeCell ref="A2:V2"/>
    <mergeCell ref="A3:V3"/>
    <mergeCell ref="A4:V4"/>
  </mergeCells>
  <printOptions horizontalCentered="1"/>
  <pageMargins left="0.39370078740157483" right="0.39370078740157483" top="0.39370078740157483" bottom="0.39370078740157483" header="0" footer="0"/>
  <pageSetup scale="55"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2019-10-16T17:13:10Z</dcterms:created>
  <dcterms:modified xsi:type="dcterms:W3CDTF">2019-10-16T17:14:17Z</dcterms:modified>
</cp:coreProperties>
</file>