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4\Gasto\"/>
    </mc:Choice>
  </mc:AlternateContent>
  <bookViews>
    <workbookView xWindow="0" yWindow="0" windowWidth="24000" windowHeight="9435"/>
  </bookViews>
  <sheets>
    <sheet name="Anexo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0" hidden="1">#REF!</definedName>
    <definedName name="_xlnm._FilterDatabase" hidden="1">#REF!</definedName>
    <definedName name="ANEXO" localSheetId="0" hidden="1">'[4]Inversión total en programas'!$A$50:$IV$50,'[4]Inversión total en programas'!$A$60:$IV$63</definedName>
    <definedName name="ANEXO" hidden="1">'[5]Inversión total en programas'!$A$50:$IV$50,'[5]Inversión total en programas'!$A$60:$IV$63</definedName>
    <definedName name="_xlnm.Print_Area" localSheetId="0">'Anexo 2'!$A$1:$O$208</definedName>
    <definedName name="_xlnm.Print_Area">#REF!</definedName>
    <definedName name="ASISCALLCENTER" localSheetId="0">#REF!</definedName>
    <definedName name="ASISCALLCENTER">#REF!</definedName>
    <definedName name="ASISCONTABPPC" localSheetId="0">#REF!</definedName>
    <definedName name="ASISCONTABPPC">#REF!</definedName>
    <definedName name="ASISDESPACHOS" localSheetId="0">#REF!</definedName>
    <definedName name="ASISDESPACHOS">#REF!</definedName>
    <definedName name="ASISICA" localSheetId="0">#REF!</definedName>
    <definedName name="ASISICA">#REF!</definedName>
    <definedName name="AUXBODEGA" localSheetId="0">#REF!</definedName>
    <definedName name="AUXBODEGA">#REF!</definedName>
    <definedName name="cabezas" localSheetId="0">'[7]Anexo 1 Minagricultura'!#REF!</definedName>
    <definedName name="cabezas">'[8]Anexo 1 Minagricultura'!#REF!</definedName>
    <definedName name="CABEZAS_PROYEC" localSheetId="0">'[2]Anexo 1 Minagricultura'!#REF!</definedName>
    <definedName name="CABEZAS_PROYEC">'[9]Anexo 1 Minagricultura'!#REF!</definedName>
    <definedName name="CUOTAPPC2005" localSheetId="0">'[2]Anexo 1 Minagricultura'!#REF!</definedName>
    <definedName name="CUOTAPPC2005">'[9]Anexo 1 Minagricultura'!#REF!</definedName>
    <definedName name="CUOTAPPC2013" localSheetId="0">'[2]Anexo 1 Minagricultura'!#REF!</definedName>
    <definedName name="CUOTAPPC2013">'[10]Anexo 1 Minagricultura'!#REF!</definedName>
    <definedName name="CUOTAPPC203" localSheetId="0">'[2]Anexo 1 Minagricultura'!#REF!</definedName>
    <definedName name="CUOTAPPC203">'[10]Anexo 1 Minagricultura'!#REF!</definedName>
    <definedName name="DIAG_PPC" localSheetId="0">#REF!</definedName>
    <definedName name="DIAG_PPC">'[5]Inversión total en programas'!$B$86</definedName>
    <definedName name="DISTRIBUIDOR" localSheetId="0">#REF!</definedName>
    <definedName name="DISTRIBUIDOR">#REF!</definedName>
    <definedName name="eeeee" localSheetId="0">#REF!</definedName>
    <definedName name="eeeee">#REF!</definedName>
    <definedName name="EPPC" localSheetId="0">'[2]Anexo 1 Minagricultura'!#REF!</definedName>
    <definedName name="EPPC">'[9]Anexo 1 Minagricultura'!#REF!</definedName>
    <definedName name="FDGFDG" localSheetId="0">#REF!</definedName>
    <definedName name="FDGFDG">#REF!</definedName>
    <definedName name="FECHA_DE_RECIBIDO">[11]BASE!$E$3:$E$177</definedName>
    <definedName name="FOMENTO" localSheetId="0">'[2]Anexo 1 Minagricultura'!#REF!</definedName>
    <definedName name="FOMENTO">'[9]Anexo 1 Minagricultura'!#REF!</definedName>
    <definedName name="FOMENTOS" localSheetId="0">'[13]Anexo 1 Minagricultura'!$C$51</definedName>
    <definedName name="FOMENTOS">'[14]Anexo 1 Minagricultura'!$C$51</definedName>
    <definedName name="fondo" localSheetId="0">#REF!</definedName>
    <definedName name="fondo">#REF!</definedName>
    <definedName name="GTOSEPPC" localSheetId="0">#REF!</definedName>
    <definedName name="GTOSEPPC">'[5]Inversión total en programas'!$C$35</definedName>
    <definedName name="HONORAUDI_JURIDIC" localSheetId="0">#REF!</definedName>
    <definedName name="HONORAUDI_JURIDIC">#REF!</definedName>
    <definedName name="HONTOTAL" localSheetId="0">#REF!</definedName>
    <definedName name="HONTOTAL">#REF!</definedName>
    <definedName name="LABORATORIOS" localSheetId="0">#REF!</definedName>
    <definedName name="LABORATORIOS">#REF!</definedName>
    <definedName name="NOMBDISTRI" localSheetId="0">#REF!</definedName>
    <definedName name="NOMBDISTRI">#REF!</definedName>
    <definedName name="ojo" localSheetId="0">#REF!</definedName>
    <definedName name="ojo">#REF!</definedName>
    <definedName name="ppc">'[15]Inversión total en programas'!$B$86</definedName>
    <definedName name="RESERV_FUTU" localSheetId="0">#REF!</definedName>
    <definedName name="RESERV_FUTU">#REF!</definedName>
    <definedName name="saldo" localSheetId="0">#REF!</definedName>
    <definedName name="saldo">#REF!</definedName>
    <definedName name="saldos" localSheetId="0">#REF!</definedName>
    <definedName name="saldos">#REF!</definedName>
    <definedName name="SUPERA2004" localSheetId="0">'[2]Anexo 1 Minagricultura'!#REF!</definedName>
    <definedName name="SUPERA2004">'[9]Anexo 1 Minagricultura'!#REF!</definedName>
    <definedName name="SUPERA2005" localSheetId="0">'[2]Anexo 1 Minagricultura'!#REF!</definedName>
    <definedName name="SUPERA2005">'[9]Anexo 1 Minagricultura'!#REF!</definedName>
    <definedName name="SUPERA2010">'[15]Anexo 1 Minagricultura'!$C$21</definedName>
    <definedName name="SUPERA2012" localSheetId="0">'[2]Anexo 1 Minagricultura'!#REF!</definedName>
    <definedName name="SUPERA2012">'[10]Anexo 1 Minagricultura'!#REF!</definedName>
    <definedName name="SUPERAVIT" localSheetId="0">#REF!</definedName>
    <definedName name="SUPERAVIT">#REF!</definedName>
    <definedName name="SUPERAVIT2005_FNP" localSheetId="0">#REF!</definedName>
    <definedName name="SUPERAVIT2005_FNP">#REF!</definedName>
    <definedName name="SUPERAVITPPC_2005" localSheetId="0">#REF!</definedName>
    <definedName name="SUPERAVITPPC_2005">#REF!</definedName>
    <definedName name="_xlnm.Print_Titles" localSheetId="0">'Anexo 2'!$1:$6</definedName>
    <definedName name="_xlnm.Print_Titles">#REF!</definedName>
    <definedName name="VTAS2005" localSheetId="0">'[9]Anexo 1 Minagricultura'!#REF!</definedName>
    <definedName name="VTAS2005">'[9]Anexo 1 Minagricultura'!#REF!</definedName>
    <definedName name="xx" localSheetId="0">[16]Ingresos!$C$19</definedName>
    <definedName name="xx">[17]Ingresos!$C$19</definedName>
    <definedName name="Z_4099E833_BB74_4680_85C9_A6CF399D1CE2_.wvu.Cols" localSheetId="0" hidden="1">#REF!,#REF!,#REF!,#REF!</definedName>
    <definedName name="Z_4099E833_BB74_4680_85C9_A6CF399D1CE2_.wvu.Cols" hidden="1">'[9]Nómina 2004'!$C$1:$E$65536,'[9]Nómina 2004'!$H$1:$I$65536,'[9]Nómina 2004'!$L$1:$P$65536,'[9]Nómina 2004'!$AF$1:$AH$65536</definedName>
    <definedName name="Z_4099E833_BB74_4680_85C9_A6CF399D1CE2_.wvu.FilterData" localSheetId="0" hidden="1">#REF!</definedName>
    <definedName name="Z_4099E833_BB74_4680_85C9_A6CF399D1CE2_.wvu.FilterData" hidden="1">#REF!</definedName>
    <definedName name="Z_4099E833_BB74_4680_85C9_A6CF399D1CE2_.wvu.PrintArea" localSheetId="0" hidden="1">#REF!</definedName>
    <definedName name="Z_4099E833_BB74_4680_85C9_A6CF399D1CE2_.wvu.PrintArea" hidden="1">#REF!</definedName>
    <definedName name="Z_4099E833_BB74_4680_85C9_A6CF399D1CE2_.wvu.PrintTitles" localSheetId="0" hidden="1">#REF!</definedName>
    <definedName name="Z_4099E833_BB74_4680_85C9_A6CF399D1CE2_.wvu.PrintTitles" hidden="1">#REF!</definedName>
    <definedName name="Z_4099E833_BB74_4680_85C9_A6CF399D1CE2_.wvu.Rows" localSheetId="0" hidden="1">#REF!,#REF!</definedName>
    <definedName name="Z_4099E833_BB74_4680_85C9_A6CF399D1CE2_.wvu.Rows" hidden="1">'[9]Inversión total en programas'!$A$50:$IV$50,'[9]Inversión total en programas'!$A$60:$IV$63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5" i="1" l="1"/>
  <c r="I205" i="1"/>
  <c r="O205" i="1" s="1"/>
  <c r="G205" i="1"/>
  <c r="N204" i="1"/>
  <c r="G204" i="1"/>
  <c r="I204" i="1" s="1"/>
  <c r="O204" i="1" s="1"/>
  <c r="N203" i="1"/>
  <c r="H203" i="1"/>
  <c r="G203" i="1"/>
  <c r="I203" i="1" s="1"/>
  <c r="O203" i="1" s="1"/>
  <c r="N201" i="1"/>
  <c r="I201" i="1"/>
  <c r="G201" i="1"/>
  <c r="N199" i="1"/>
  <c r="O199" i="1" s="1"/>
  <c r="I199" i="1"/>
  <c r="N198" i="1"/>
  <c r="I198" i="1"/>
  <c r="O198" i="1" s="1"/>
  <c r="N197" i="1"/>
  <c r="O197" i="1" s="1"/>
  <c r="M197" i="1"/>
  <c r="L197" i="1"/>
  <c r="K197" i="1"/>
  <c r="J197" i="1"/>
  <c r="H197" i="1"/>
  <c r="I197" i="1" s="1"/>
  <c r="O195" i="1"/>
  <c r="N195" i="1"/>
  <c r="G195" i="1"/>
  <c r="I195" i="1" s="1"/>
  <c r="D195" i="1"/>
  <c r="N194" i="1"/>
  <c r="G194" i="1"/>
  <c r="I194" i="1" s="1"/>
  <c r="O194" i="1" s="1"/>
  <c r="O193" i="1"/>
  <c r="N193" i="1"/>
  <c r="I193" i="1"/>
  <c r="G193" i="1"/>
  <c r="N192" i="1"/>
  <c r="G192" i="1"/>
  <c r="I192" i="1" s="1"/>
  <c r="O192" i="1" s="1"/>
  <c r="D192" i="1"/>
  <c r="N191" i="1"/>
  <c r="G191" i="1"/>
  <c r="I191" i="1" s="1"/>
  <c r="N190" i="1"/>
  <c r="I190" i="1"/>
  <c r="G190" i="1"/>
  <c r="D190" i="1"/>
  <c r="O189" i="1"/>
  <c r="N189" i="1"/>
  <c r="I189" i="1"/>
  <c r="G189" i="1"/>
  <c r="N188" i="1"/>
  <c r="D188" i="1"/>
  <c r="G188" i="1" s="1"/>
  <c r="I188" i="1" s="1"/>
  <c r="N187" i="1"/>
  <c r="G187" i="1"/>
  <c r="I187" i="1" s="1"/>
  <c r="N186" i="1"/>
  <c r="M186" i="1"/>
  <c r="L186" i="1"/>
  <c r="K186" i="1"/>
  <c r="J186" i="1"/>
  <c r="J179" i="1" s="1"/>
  <c r="N179" i="1" s="1"/>
  <c r="D186" i="1"/>
  <c r="G186" i="1" s="1"/>
  <c r="I186" i="1" s="1"/>
  <c r="N185" i="1"/>
  <c r="G185" i="1"/>
  <c r="I185" i="1" s="1"/>
  <c r="N184" i="1"/>
  <c r="G184" i="1"/>
  <c r="I184" i="1" s="1"/>
  <c r="D184" i="1"/>
  <c r="N183" i="1"/>
  <c r="I183" i="1"/>
  <c r="O183" i="1" s="1"/>
  <c r="D183" i="1"/>
  <c r="G183" i="1" s="1"/>
  <c r="N182" i="1"/>
  <c r="G182" i="1"/>
  <c r="I182" i="1" s="1"/>
  <c r="N181" i="1"/>
  <c r="G181" i="1"/>
  <c r="I181" i="1" s="1"/>
  <c r="D181" i="1"/>
  <c r="M180" i="1"/>
  <c r="M179" i="1" s="1"/>
  <c r="L180" i="1"/>
  <c r="K180" i="1"/>
  <c r="K179" i="1" s="1"/>
  <c r="J180" i="1"/>
  <c r="D180" i="1"/>
  <c r="L179" i="1"/>
  <c r="L172" i="1" s="1"/>
  <c r="N178" i="1"/>
  <c r="I178" i="1"/>
  <c r="O178" i="1" s="1"/>
  <c r="G178" i="1"/>
  <c r="O177" i="1"/>
  <c r="N177" i="1"/>
  <c r="I177" i="1"/>
  <c r="G177" i="1"/>
  <c r="N176" i="1"/>
  <c r="I176" i="1"/>
  <c r="O176" i="1" s="1"/>
  <c r="D176" i="1"/>
  <c r="G176" i="1" s="1"/>
  <c r="N175" i="1"/>
  <c r="G175" i="1"/>
  <c r="I175" i="1" s="1"/>
  <c r="D175" i="1"/>
  <c r="M174" i="1"/>
  <c r="M173" i="1" s="1"/>
  <c r="M172" i="1" s="1"/>
  <c r="L174" i="1"/>
  <c r="K174" i="1"/>
  <c r="J174" i="1"/>
  <c r="D174" i="1"/>
  <c r="L173" i="1"/>
  <c r="K173" i="1"/>
  <c r="K172" i="1" s="1"/>
  <c r="J173" i="1"/>
  <c r="N171" i="1"/>
  <c r="G171" i="1"/>
  <c r="I171" i="1" s="1"/>
  <c r="B171" i="1"/>
  <c r="O170" i="1"/>
  <c r="N170" i="1"/>
  <c r="I170" i="1"/>
  <c r="G170" i="1"/>
  <c r="M169" i="1"/>
  <c r="L169" i="1"/>
  <c r="K169" i="1"/>
  <c r="N169" i="1" s="1"/>
  <c r="J169" i="1"/>
  <c r="B169" i="1"/>
  <c r="G169" i="1" s="1"/>
  <c r="I169" i="1" s="1"/>
  <c r="O169" i="1" s="1"/>
  <c r="O168" i="1"/>
  <c r="N168" i="1"/>
  <c r="M168" i="1"/>
  <c r="I168" i="1"/>
  <c r="G168" i="1"/>
  <c r="M167" i="1"/>
  <c r="N167" i="1" s="1"/>
  <c r="G167" i="1"/>
  <c r="I167" i="1" s="1"/>
  <c r="B167" i="1"/>
  <c r="O166" i="1"/>
  <c r="M166" i="1"/>
  <c r="N166" i="1" s="1"/>
  <c r="G166" i="1"/>
  <c r="I166" i="1" s="1"/>
  <c r="B166" i="1"/>
  <c r="M165" i="1"/>
  <c r="N165" i="1" s="1"/>
  <c r="G165" i="1"/>
  <c r="I165" i="1" s="1"/>
  <c r="B165" i="1"/>
  <c r="M164" i="1"/>
  <c r="N164" i="1" s="1"/>
  <c r="O164" i="1" s="1"/>
  <c r="G164" i="1"/>
  <c r="I164" i="1" s="1"/>
  <c r="B164" i="1"/>
  <c r="M163" i="1"/>
  <c r="M162" i="1" s="1"/>
  <c r="L163" i="1"/>
  <c r="K163" i="1"/>
  <c r="K162" i="1" s="1"/>
  <c r="J163" i="1"/>
  <c r="B163" i="1"/>
  <c r="L162" i="1"/>
  <c r="J162" i="1"/>
  <c r="N161" i="1"/>
  <c r="O161" i="1" s="1"/>
  <c r="I161" i="1"/>
  <c r="N160" i="1"/>
  <c r="G160" i="1"/>
  <c r="I160" i="1" s="1"/>
  <c r="N159" i="1"/>
  <c r="O159" i="1" s="1"/>
  <c r="M159" i="1"/>
  <c r="L159" i="1"/>
  <c r="K159" i="1"/>
  <c r="J159" i="1"/>
  <c r="G159" i="1"/>
  <c r="I159" i="1" s="1"/>
  <c r="B159" i="1"/>
  <c r="N158" i="1"/>
  <c r="O158" i="1" s="1"/>
  <c r="B158" i="1"/>
  <c r="G158" i="1" s="1"/>
  <c r="I158" i="1" s="1"/>
  <c r="N157" i="1"/>
  <c r="G157" i="1"/>
  <c r="I157" i="1" s="1"/>
  <c r="B157" i="1"/>
  <c r="M156" i="1"/>
  <c r="M155" i="1" s="1"/>
  <c r="L156" i="1"/>
  <c r="K156" i="1"/>
  <c r="J156" i="1"/>
  <c r="L155" i="1"/>
  <c r="J155" i="1"/>
  <c r="O154" i="1"/>
  <c r="N154" i="1"/>
  <c r="I154" i="1"/>
  <c r="G154" i="1"/>
  <c r="N153" i="1"/>
  <c r="O153" i="1" s="1"/>
  <c r="F153" i="1"/>
  <c r="G153" i="1" s="1"/>
  <c r="I153" i="1" s="1"/>
  <c r="N152" i="1"/>
  <c r="I152" i="1"/>
  <c r="F152" i="1"/>
  <c r="G152" i="1" s="1"/>
  <c r="N151" i="1"/>
  <c r="M151" i="1"/>
  <c r="L151" i="1"/>
  <c r="K151" i="1"/>
  <c r="J151" i="1"/>
  <c r="N150" i="1"/>
  <c r="I150" i="1"/>
  <c r="O150" i="1" s="1"/>
  <c r="G150" i="1"/>
  <c r="N149" i="1"/>
  <c r="F149" i="1"/>
  <c r="F145" i="1" s="1"/>
  <c r="G145" i="1" s="1"/>
  <c r="I145" i="1" s="1"/>
  <c r="N148" i="1"/>
  <c r="G148" i="1"/>
  <c r="I148" i="1" s="1"/>
  <c r="F148" i="1"/>
  <c r="O147" i="1"/>
  <c r="N147" i="1"/>
  <c r="I147" i="1"/>
  <c r="G147" i="1"/>
  <c r="N146" i="1"/>
  <c r="I146" i="1"/>
  <c r="O146" i="1" s="1"/>
  <c r="F146" i="1"/>
  <c r="G146" i="1" s="1"/>
  <c r="M145" i="1"/>
  <c r="L145" i="1"/>
  <c r="K145" i="1"/>
  <c r="J145" i="1"/>
  <c r="N145" i="1" s="1"/>
  <c r="O144" i="1"/>
  <c r="N144" i="1"/>
  <c r="I144" i="1"/>
  <c r="G144" i="1"/>
  <c r="N143" i="1"/>
  <c r="C143" i="1"/>
  <c r="C142" i="1" s="1"/>
  <c r="C141" i="1" s="1"/>
  <c r="M142" i="1"/>
  <c r="L142" i="1"/>
  <c r="K142" i="1"/>
  <c r="J142" i="1"/>
  <c r="M141" i="1"/>
  <c r="K141" i="1"/>
  <c r="O140" i="1"/>
  <c r="N140" i="1"/>
  <c r="I140" i="1"/>
  <c r="G140" i="1"/>
  <c r="N139" i="1"/>
  <c r="B139" i="1"/>
  <c r="G139" i="1" s="1"/>
  <c r="I139" i="1" s="1"/>
  <c r="O139" i="1" s="1"/>
  <c r="N138" i="1"/>
  <c r="G138" i="1"/>
  <c r="I138" i="1" s="1"/>
  <c r="B138" i="1"/>
  <c r="N137" i="1"/>
  <c r="B137" i="1"/>
  <c r="O136" i="1"/>
  <c r="N136" i="1"/>
  <c r="G136" i="1"/>
  <c r="I136" i="1" s="1"/>
  <c r="B136" i="1"/>
  <c r="M135" i="1"/>
  <c r="L135" i="1"/>
  <c r="K135" i="1"/>
  <c r="J135" i="1"/>
  <c r="N135" i="1" s="1"/>
  <c r="N134" i="1"/>
  <c r="I134" i="1"/>
  <c r="G134" i="1"/>
  <c r="N133" i="1"/>
  <c r="I133" i="1"/>
  <c r="B133" i="1"/>
  <c r="G133" i="1" s="1"/>
  <c r="N132" i="1"/>
  <c r="B132" i="1"/>
  <c r="N131" i="1"/>
  <c r="G131" i="1"/>
  <c r="I131" i="1" s="1"/>
  <c r="M130" i="1"/>
  <c r="N130" i="1" s="1"/>
  <c r="L130" i="1"/>
  <c r="K130" i="1"/>
  <c r="J130" i="1"/>
  <c r="J129" i="1" s="1"/>
  <c r="M129" i="1"/>
  <c r="K129" i="1"/>
  <c r="N128" i="1"/>
  <c r="O128" i="1" s="1"/>
  <c r="G128" i="1"/>
  <c r="I128" i="1" s="1"/>
  <c r="B128" i="1"/>
  <c r="O127" i="1"/>
  <c r="N127" i="1"/>
  <c r="G127" i="1"/>
  <c r="I127" i="1" s="1"/>
  <c r="B127" i="1"/>
  <c r="N126" i="1"/>
  <c r="O126" i="1" s="1"/>
  <c r="G126" i="1"/>
  <c r="I126" i="1" s="1"/>
  <c r="B126" i="1"/>
  <c r="N125" i="1"/>
  <c r="B125" i="1"/>
  <c r="M124" i="1"/>
  <c r="L124" i="1"/>
  <c r="K124" i="1"/>
  <c r="J124" i="1"/>
  <c r="N123" i="1"/>
  <c r="G123" i="1"/>
  <c r="I123" i="1" s="1"/>
  <c r="O123" i="1" s="1"/>
  <c r="B123" i="1"/>
  <c r="G122" i="1"/>
  <c r="I122" i="1" s="1"/>
  <c r="B122" i="1"/>
  <c r="O121" i="1"/>
  <c r="B121" i="1"/>
  <c r="G121" i="1" s="1"/>
  <c r="I121" i="1" s="1"/>
  <c r="M120" i="1"/>
  <c r="L120" i="1"/>
  <c r="K120" i="1"/>
  <c r="J120" i="1"/>
  <c r="B120" i="1"/>
  <c r="N117" i="1"/>
  <c r="G117" i="1"/>
  <c r="I117" i="1" s="1"/>
  <c r="C117" i="1"/>
  <c r="O116" i="1"/>
  <c r="N116" i="1"/>
  <c r="I116" i="1"/>
  <c r="G116" i="1"/>
  <c r="N115" i="1"/>
  <c r="G115" i="1"/>
  <c r="I115" i="1" s="1"/>
  <c r="O115" i="1" s="1"/>
  <c r="N114" i="1"/>
  <c r="C114" i="1"/>
  <c r="M113" i="1"/>
  <c r="L113" i="1"/>
  <c r="K113" i="1"/>
  <c r="J113" i="1"/>
  <c r="N112" i="1"/>
  <c r="O112" i="1" s="1"/>
  <c r="I112" i="1"/>
  <c r="G112" i="1"/>
  <c r="O111" i="1"/>
  <c r="N111" i="1"/>
  <c r="I111" i="1"/>
  <c r="G111" i="1"/>
  <c r="N110" i="1"/>
  <c r="O110" i="1" s="1"/>
  <c r="I110" i="1"/>
  <c r="G110" i="1"/>
  <c r="M109" i="1"/>
  <c r="L109" i="1"/>
  <c r="K109" i="1"/>
  <c r="J109" i="1"/>
  <c r="I109" i="1"/>
  <c r="G109" i="1"/>
  <c r="E109" i="1"/>
  <c r="N108" i="1"/>
  <c r="G108" i="1"/>
  <c r="I108" i="1" s="1"/>
  <c r="E108" i="1"/>
  <c r="N107" i="1"/>
  <c r="E107" i="1"/>
  <c r="M106" i="1"/>
  <c r="L106" i="1"/>
  <c r="K106" i="1"/>
  <c r="J106" i="1"/>
  <c r="O105" i="1"/>
  <c r="N105" i="1"/>
  <c r="I105" i="1"/>
  <c r="G105" i="1"/>
  <c r="O104" i="1"/>
  <c r="N104" i="1"/>
  <c r="I104" i="1"/>
  <c r="G104" i="1"/>
  <c r="O103" i="1"/>
  <c r="N103" i="1"/>
  <c r="I103" i="1"/>
  <c r="G103" i="1"/>
  <c r="O102" i="1"/>
  <c r="N102" i="1"/>
  <c r="I102" i="1"/>
  <c r="G102" i="1"/>
  <c r="O101" i="1"/>
  <c r="N101" i="1"/>
  <c r="I101" i="1"/>
  <c r="G101" i="1"/>
  <c r="G99" i="1" s="1"/>
  <c r="O100" i="1"/>
  <c r="N100" i="1"/>
  <c r="I100" i="1"/>
  <c r="G100" i="1"/>
  <c r="M99" i="1"/>
  <c r="L99" i="1"/>
  <c r="K99" i="1"/>
  <c r="N99" i="1" s="1"/>
  <c r="J99" i="1"/>
  <c r="I99" i="1"/>
  <c r="E99" i="1"/>
  <c r="N98" i="1"/>
  <c r="G98" i="1"/>
  <c r="E98" i="1"/>
  <c r="M97" i="1"/>
  <c r="L97" i="1"/>
  <c r="L92" i="1" s="1"/>
  <c r="K97" i="1"/>
  <c r="J97" i="1"/>
  <c r="E97" i="1"/>
  <c r="N96" i="1"/>
  <c r="I96" i="1"/>
  <c r="I93" i="1" s="1"/>
  <c r="G96" i="1"/>
  <c r="G93" i="1" s="1"/>
  <c r="E96" i="1"/>
  <c r="O95" i="1"/>
  <c r="N95" i="1"/>
  <c r="I95" i="1"/>
  <c r="G95" i="1"/>
  <c r="N94" i="1"/>
  <c r="O94" i="1" s="1"/>
  <c r="I94" i="1"/>
  <c r="G94" i="1"/>
  <c r="M93" i="1"/>
  <c r="M92" i="1" s="1"/>
  <c r="L93" i="1"/>
  <c r="K93" i="1"/>
  <c r="J93" i="1"/>
  <c r="E93" i="1"/>
  <c r="K92" i="1"/>
  <c r="O91" i="1"/>
  <c r="N91" i="1"/>
  <c r="G91" i="1"/>
  <c r="I91" i="1" s="1"/>
  <c r="E91" i="1"/>
  <c r="N90" i="1"/>
  <c r="O90" i="1" s="1"/>
  <c r="G90" i="1"/>
  <c r="I90" i="1" s="1"/>
  <c r="E90" i="1"/>
  <c r="N89" i="1"/>
  <c r="O89" i="1" s="1"/>
  <c r="I89" i="1"/>
  <c r="G89" i="1"/>
  <c r="N88" i="1"/>
  <c r="E88" i="1"/>
  <c r="G88" i="1" s="1"/>
  <c r="I88" i="1" s="1"/>
  <c r="M87" i="1"/>
  <c r="L87" i="1"/>
  <c r="L86" i="1" s="1"/>
  <c r="K87" i="1"/>
  <c r="J87" i="1"/>
  <c r="E87" i="1"/>
  <c r="M86" i="1"/>
  <c r="M85" i="1" s="1"/>
  <c r="N83" i="1"/>
  <c r="G83" i="1"/>
  <c r="I83" i="1" s="1"/>
  <c r="N82" i="1"/>
  <c r="G82" i="1"/>
  <c r="I82" i="1" s="1"/>
  <c r="N81" i="1"/>
  <c r="O81" i="1" s="1"/>
  <c r="G81" i="1"/>
  <c r="I81" i="1" s="1"/>
  <c r="O80" i="1"/>
  <c r="N80" i="1"/>
  <c r="G80" i="1"/>
  <c r="I80" i="1" s="1"/>
  <c r="M79" i="1"/>
  <c r="L79" i="1"/>
  <c r="K79" i="1"/>
  <c r="J79" i="1"/>
  <c r="F79" i="1"/>
  <c r="N78" i="1"/>
  <c r="G78" i="1"/>
  <c r="I78" i="1" s="1"/>
  <c r="O78" i="1" s="1"/>
  <c r="N77" i="1"/>
  <c r="I77" i="1"/>
  <c r="O77" i="1" s="1"/>
  <c r="G77" i="1"/>
  <c r="N76" i="1"/>
  <c r="G76" i="1"/>
  <c r="I76" i="1" s="1"/>
  <c r="O76" i="1" s="1"/>
  <c r="O75" i="1"/>
  <c r="N75" i="1"/>
  <c r="I75" i="1"/>
  <c r="G75" i="1"/>
  <c r="N74" i="1"/>
  <c r="G74" i="1"/>
  <c r="I74" i="1" s="1"/>
  <c r="O74" i="1" s="1"/>
  <c r="N73" i="1"/>
  <c r="I73" i="1"/>
  <c r="O73" i="1" s="1"/>
  <c r="G73" i="1"/>
  <c r="N72" i="1"/>
  <c r="G72" i="1"/>
  <c r="M71" i="1"/>
  <c r="L71" i="1"/>
  <c r="K71" i="1"/>
  <c r="J71" i="1"/>
  <c r="F71" i="1"/>
  <c r="N70" i="1"/>
  <c r="O70" i="1" s="1"/>
  <c r="G70" i="1"/>
  <c r="I70" i="1" s="1"/>
  <c r="N69" i="1"/>
  <c r="O69" i="1" s="1"/>
  <c r="G69" i="1"/>
  <c r="I69" i="1" s="1"/>
  <c r="M68" i="1"/>
  <c r="L68" i="1"/>
  <c r="K68" i="1"/>
  <c r="J68" i="1"/>
  <c r="I68" i="1"/>
  <c r="F68" i="1"/>
  <c r="N67" i="1"/>
  <c r="I67" i="1"/>
  <c r="O67" i="1" s="1"/>
  <c r="G67" i="1"/>
  <c r="N66" i="1"/>
  <c r="O66" i="1" s="1"/>
  <c r="I66" i="1"/>
  <c r="G66" i="1"/>
  <c r="M65" i="1"/>
  <c r="L65" i="1"/>
  <c r="K65" i="1"/>
  <c r="J65" i="1"/>
  <c r="G65" i="1"/>
  <c r="F65" i="1"/>
  <c r="N64" i="1"/>
  <c r="F64" i="1"/>
  <c r="O63" i="1"/>
  <c r="N63" i="1"/>
  <c r="I63" i="1"/>
  <c r="F63" i="1"/>
  <c r="G63" i="1" s="1"/>
  <c r="N62" i="1"/>
  <c r="G62" i="1"/>
  <c r="I62" i="1" s="1"/>
  <c r="N61" i="1"/>
  <c r="G61" i="1"/>
  <c r="F61" i="1"/>
  <c r="M60" i="1"/>
  <c r="L60" i="1"/>
  <c r="K60" i="1"/>
  <c r="N60" i="1" s="1"/>
  <c r="J60" i="1"/>
  <c r="O59" i="1"/>
  <c r="N59" i="1"/>
  <c r="G59" i="1"/>
  <c r="I59" i="1" s="1"/>
  <c r="N58" i="1"/>
  <c r="G58" i="1"/>
  <c r="I58" i="1" s="1"/>
  <c r="N57" i="1"/>
  <c r="O57" i="1" s="1"/>
  <c r="G57" i="1"/>
  <c r="I57" i="1" s="1"/>
  <c r="N56" i="1"/>
  <c r="O56" i="1" s="1"/>
  <c r="G56" i="1"/>
  <c r="I56" i="1" s="1"/>
  <c r="O55" i="1"/>
  <c r="N55" i="1"/>
  <c r="G55" i="1"/>
  <c r="I55" i="1" s="1"/>
  <c r="N54" i="1"/>
  <c r="M54" i="1"/>
  <c r="L54" i="1"/>
  <c r="K54" i="1"/>
  <c r="J54" i="1"/>
  <c r="G54" i="1"/>
  <c r="F54" i="1"/>
  <c r="N53" i="1"/>
  <c r="F53" i="1"/>
  <c r="G53" i="1" s="1"/>
  <c r="I53" i="1" s="1"/>
  <c r="O53" i="1" s="1"/>
  <c r="N52" i="1"/>
  <c r="G52" i="1"/>
  <c r="I52" i="1" s="1"/>
  <c r="F52" i="1"/>
  <c r="N51" i="1"/>
  <c r="O51" i="1" s="1"/>
  <c r="I51" i="1"/>
  <c r="F51" i="1"/>
  <c r="G51" i="1" s="1"/>
  <c r="N50" i="1"/>
  <c r="O50" i="1" s="1"/>
  <c r="G50" i="1"/>
  <c r="I50" i="1" s="1"/>
  <c r="O49" i="1"/>
  <c r="N49" i="1"/>
  <c r="G49" i="1"/>
  <c r="I49" i="1" s="1"/>
  <c r="N48" i="1"/>
  <c r="O48" i="1" s="1"/>
  <c r="G48" i="1"/>
  <c r="I48" i="1" s="1"/>
  <c r="N47" i="1"/>
  <c r="M47" i="1"/>
  <c r="L47" i="1"/>
  <c r="K47" i="1"/>
  <c r="J47" i="1"/>
  <c r="J46" i="1" s="1"/>
  <c r="F47" i="1"/>
  <c r="M46" i="1"/>
  <c r="N45" i="1"/>
  <c r="G45" i="1"/>
  <c r="I45" i="1" s="1"/>
  <c r="N44" i="1"/>
  <c r="B44" i="1"/>
  <c r="B42" i="1" s="1"/>
  <c r="N43" i="1"/>
  <c r="G43" i="1"/>
  <c r="I43" i="1" s="1"/>
  <c r="N42" i="1"/>
  <c r="M42" i="1"/>
  <c r="L42" i="1"/>
  <c r="L41" i="1" s="1"/>
  <c r="K42" i="1"/>
  <c r="J42" i="1"/>
  <c r="J41" i="1" s="1"/>
  <c r="M41" i="1"/>
  <c r="K41" i="1"/>
  <c r="B41" i="1"/>
  <c r="M37" i="1"/>
  <c r="D37" i="1"/>
  <c r="M36" i="1"/>
  <c r="L36" i="1"/>
  <c r="K36" i="1"/>
  <c r="K37" i="1" s="1"/>
  <c r="J36" i="1"/>
  <c r="H36" i="1"/>
  <c r="F36" i="1"/>
  <c r="F37" i="1" s="1"/>
  <c r="D36" i="1"/>
  <c r="C36" i="1"/>
  <c r="C37" i="1" s="1"/>
  <c r="B36" i="1"/>
  <c r="O35" i="1"/>
  <c r="N35" i="1"/>
  <c r="I35" i="1"/>
  <c r="G35" i="1"/>
  <c r="N34" i="1"/>
  <c r="G34" i="1"/>
  <c r="I34" i="1" s="1"/>
  <c r="O34" i="1" s="1"/>
  <c r="O33" i="1"/>
  <c r="N33" i="1"/>
  <c r="I33" i="1"/>
  <c r="G33" i="1"/>
  <c r="N32" i="1"/>
  <c r="G32" i="1"/>
  <c r="I32" i="1" s="1"/>
  <c r="O32" i="1" s="1"/>
  <c r="O31" i="1"/>
  <c r="N31" i="1"/>
  <c r="I31" i="1"/>
  <c r="G31" i="1"/>
  <c r="N30" i="1"/>
  <c r="G30" i="1"/>
  <c r="I30" i="1" s="1"/>
  <c r="O30" i="1" s="1"/>
  <c r="E30" i="1"/>
  <c r="E36" i="1" s="1"/>
  <c r="E37" i="1" s="1"/>
  <c r="N29" i="1"/>
  <c r="O29" i="1" s="1"/>
  <c r="G29" i="1"/>
  <c r="I29" i="1" s="1"/>
  <c r="N28" i="1"/>
  <c r="G28" i="1"/>
  <c r="I28" i="1" s="1"/>
  <c r="N27" i="1"/>
  <c r="O27" i="1" s="1"/>
  <c r="G27" i="1"/>
  <c r="I27" i="1" s="1"/>
  <c r="N26" i="1"/>
  <c r="I26" i="1"/>
  <c r="G26" i="1"/>
  <c r="N25" i="1"/>
  <c r="O25" i="1" s="1"/>
  <c r="G25" i="1"/>
  <c r="I25" i="1" s="1"/>
  <c r="N24" i="1"/>
  <c r="I24" i="1"/>
  <c r="G24" i="1"/>
  <c r="E24" i="1"/>
  <c r="O23" i="1"/>
  <c r="N23" i="1"/>
  <c r="I23" i="1"/>
  <c r="G23" i="1"/>
  <c r="N22" i="1"/>
  <c r="I22" i="1"/>
  <c r="G22" i="1"/>
  <c r="N21" i="1"/>
  <c r="I21" i="1"/>
  <c r="O21" i="1" s="1"/>
  <c r="B21" i="1"/>
  <c r="G21" i="1" s="1"/>
  <c r="N19" i="1"/>
  <c r="M19" i="1"/>
  <c r="L19" i="1"/>
  <c r="L37" i="1" s="1"/>
  <c r="K19" i="1"/>
  <c r="J19" i="1"/>
  <c r="H19" i="1"/>
  <c r="F19" i="1"/>
  <c r="E19" i="1"/>
  <c r="D19" i="1"/>
  <c r="C19" i="1"/>
  <c r="B19" i="1"/>
  <c r="G19" i="1" s="1"/>
  <c r="N18" i="1"/>
  <c r="I18" i="1"/>
  <c r="G18" i="1"/>
  <c r="N17" i="1"/>
  <c r="G17" i="1"/>
  <c r="I17" i="1" s="1"/>
  <c r="N16" i="1"/>
  <c r="G16" i="1"/>
  <c r="I16" i="1" s="1"/>
  <c r="N15" i="1"/>
  <c r="G15" i="1"/>
  <c r="I15" i="1" s="1"/>
  <c r="N14" i="1"/>
  <c r="G14" i="1"/>
  <c r="I14" i="1" s="1"/>
  <c r="N13" i="1"/>
  <c r="O13" i="1" s="1"/>
  <c r="G13" i="1"/>
  <c r="I13" i="1" s="1"/>
  <c r="N12" i="1"/>
  <c r="G12" i="1"/>
  <c r="I12" i="1" s="1"/>
  <c r="N11" i="1"/>
  <c r="G11" i="1"/>
  <c r="I11" i="1" s="1"/>
  <c r="N10" i="1"/>
  <c r="I10" i="1"/>
  <c r="H10" i="1"/>
  <c r="G10" i="1"/>
  <c r="N9" i="1"/>
  <c r="H9" i="1"/>
  <c r="G9" i="1"/>
  <c r="I9" i="1" s="1"/>
  <c r="N8" i="1"/>
  <c r="M8" i="1"/>
  <c r="L8" i="1"/>
  <c r="K8" i="1"/>
  <c r="J8" i="1"/>
  <c r="H8" i="1"/>
  <c r="G8" i="1"/>
  <c r="F8" i="1"/>
  <c r="E8" i="1"/>
  <c r="D8" i="1"/>
  <c r="C8" i="1"/>
  <c r="B8" i="1"/>
  <c r="N142" i="1" l="1"/>
  <c r="J141" i="1"/>
  <c r="N141" i="1" s="1"/>
  <c r="N41" i="1"/>
  <c r="G47" i="1"/>
  <c r="I72" i="1"/>
  <c r="G71" i="1"/>
  <c r="O82" i="1"/>
  <c r="I87" i="1"/>
  <c r="O88" i="1"/>
  <c r="O96" i="1"/>
  <c r="N106" i="1"/>
  <c r="G120" i="1"/>
  <c r="I120" i="1" s="1"/>
  <c r="G137" i="1"/>
  <c r="I137" i="1" s="1"/>
  <c r="O137" i="1" s="1"/>
  <c r="B135" i="1"/>
  <c r="G135" i="1" s="1"/>
  <c r="I135" i="1" s="1"/>
  <c r="O135" i="1" s="1"/>
  <c r="O148" i="1"/>
  <c r="O187" i="1"/>
  <c r="O10" i="1"/>
  <c r="K46" i="1"/>
  <c r="K39" i="1" s="1"/>
  <c r="K207" i="1" s="1"/>
  <c r="I61" i="1"/>
  <c r="I60" i="1" s="1"/>
  <c r="O60" i="1" s="1"/>
  <c r="G60" i="1"/>
  <c r="F60" i="1"/>
  <c r="G64" i="1"/>
  <c r="I64" i="1" s="1"/>
  <c r="N93" i="1"/>
  <c r="O93" i="1" s="1"/>
  <c r="J92" i="1"/>
  <c r="N92" i="1" s="1"/>
  <c r="O108" i="1"/>
  <c r="N162" i="1"/>
  <c r="G36" i="1"/>
  <c r="H37" i="1"/>
  <c r="H207" i="1" s="1"/>
  <c r="N68" i="1"/>
  <c r="O68" i="1" s="1"/>
  <c r="O165" i="1"/>
  <c r="O167" i="1"/>
  <c r="O188" i="1"/>
  <c r="F46" i="1"/>
  <c r="I19" i="1"/>
  <c r="O19" i="1" s="1"/>
  <c r="I8" i="1"/>
  <c r="O8" i="1" s="1"/>
  <c r="O9" i="1"/>
  <c r="O145" i="1"/>
  <c r="L85" i="1"/>
  <c r="O138" i="1"/>
  <c r="O171" i="1"/>
  <c r="O12" i="1"/>
  <c r="O16" i="1"/>
  <c r="O28" i="1"/>
  <c r="O45" i="1"/>
  <c r="I65" i="1"/>
  <c r="G79" i="1"/>
  <c r="K86" i="1"/>
  <c r="K85" i="1" s="1"/>
  <c r="O99" i="1"/>
  <c r="N113" i="1"/>
  <c r="G180" i="1"/>
  <c r="I180" i="1" s="1"/>
  <c r="D179" i="1"/>
  <c r="G179" i="1" s="1"/>
  <c r="I179" i="1" s="1"/>
  <c r="O179" i="1" s="1"/>
  <c r="I36" i="1"/>
  <c r="J37" i="1"/>
  <c r="N37" i="1" s="1"/>
  <c r="N36" i="1"/>
  <c r="O36" i="1" s="1"/>
  <c r="O22" i="1"/>
  <c r="B37" i="1"/>
  <c r="G37" i="1" s="1"/>
  <c r="I47" i="1"/>
  <c r="N79" i="1"/>
  <c r="O79" i="1" s="1"/>
  <c r="N87" i="1"/>
  <c r="N124" i="1"/>
  <c r="O124" i="1" s="1"/>
  <c r="J119" i="1"/>
  <c r="J172" i="1"/>
  <c r="N172" i="1" s="1"/>
  <c r="N173" i="1"/>
  <c r="O186" i="1"/>
  <c r="O17" i="1"/>
  <c r="O24" i="1"/>
  <c r="I54" i="1"/>
  <c r="O54" i="1" s="1"/>
  <c r="I98" i="1"/>
  <c r="G97" i="1"/>
  <c r="G92" i="1" s="1"/>
  <c r="O117" i="1"/>
  <c r="N120" i="1"/>
  <c r="O120" i="1" s="1"/>
  <c r="K119" i="1"/>
  <c r="K118" i="1" s="1"/>
  <c r="O160" i="1"/>
  <c r="O11" i="1"/>
  <c r="O14" i="1"/>
  <c r="O43" i="1"/>
  <c r="O58" i="1"/>
  <c r="O64" i="1"/>
  <c r="G87" i="1"/>
  <c r="G107" i="1"/>
  <c r="E106" i="1"/>
  <c r="O131" i="1"/>
  <c r="L141" i="1"/>
  <c r="G149" i="1"/>
  <c r="I149" i="1" s="1"/>
  <c r="O149" i="1" s="1"/>
  <c r="F151" i="1"/>
  <c r="B156" i="1"/>
  <c r="G163" i="1"/>
  <c r="I163" i="1" s="1"/>
  <c r="B162" i="1"/>
  <c r="G162" i="1" s="1"/>
  <c r="I162" i="1" s="1"/>
  <c r="O181" i="1"/>
  <c r="L46" i="1"/>
  <c r="L39" i="1" s="1"/>
  <c r="L207" i="1" s="1"/>
  <c r="O62" i="1"/>
  <c r="I79" i="1"/>
  <c r="N97" i="1"/>
  <c r="G114" i="1"/>
  <c r="C113" i="1"/>
  <c r="C85" i="1" s="1"/>
  <c r="M119" i="1"/>
  <c r="M118" i="1" s="1"/>
  <c r="M39" i="1" s="1"/>
  <c r="M207" i="1" s="1"/>
  <c r="B130" i="1"/>
  <c r="G174" i="1"/>
  <c r="I174" i="1" s="1"/>
  <c r="D173" i="1"/>
  <c r="O15" i="1"/>
  <c r="O18" i="1"/>
  <c r="G44" i="1"/>
  <c r="O52" i="1"/>
  <c r="G68" i="1"/>
  <c r="N71" i="1"/>
  <c r="O83" i="1"/>
  <c r="N109" i="1"/>
  <c r="O109" i="1" s="1"/>
  <c r="G132" i="1"/>
  <c r="I132" i="1" s="1"/>
  <c r="O134" i="1"/>
  <c r="O157" i="1"/>
  <c r="N163" i="1"/>
  <c r="O163" i="1" s="1"/>
  <c r="O184" i="1"/>
  <c r="O190" i="1"/>
  <c r="G125" i="1"/>
  <c r="I125" i="1" s="1"/>
  <c r="O125" i="1" s="1"/>
  <c r="B124" i="1"/>
  <c r="G124" i="1" s="1"/>
  <c r="I124" i="1" s="1"/>
  <c r="N174" i="1"/>
  <c r="O175" i="1"/>
  <c r="O182" i="1"/>
  <c r="O26" i="1"/>
  <c r="N65" i="1"/>
  <c r="E92" i="1"/>
  <c r="L129" i="1"/>
  <c r="L119" i="1" s="1"/>
  <c r="L118" i="1" s="1"/>
  <c r="G142" i="1"/>
  <c r="I142" i="1" s="1"/>
  <c r="G143" i="1"/>
  <c r="I143" i="1" s="1"/>
  <c r="O143" i="1" s="1"/>
  <c r="N156" i="1"/>
  <c r="K155" i="1"/>
  <c r="N155" i="1" s="1"/>
  <c r="N180" i="1"/>
  <c r="O180" i="1" s="1"/>
  <c r="O191" i="1"/>
  <c r="O201" i="1"/>
  <c r="N46" i="1" l="1"/>
  <c r="O37" i="1"/>
  <c r="O142" i="1"/>
  <c r="G42" i="1"/>
  <c r="G41" i="1" s="1"/>
  <c r="I44" i="1"/>
  <c r="I42" i="1" s="1"/>
  <c r="C39" i="1"/>
  <c r="C207" i="1" s="1"/>
  <c r="G106" i="1"/>
  <c r="I107" i="1"/>
  <c r="I37" i="1"/>
  <c r="O162" i="1"/>
  <c r="N129" i="1"/>
  <c r="O174" i="1"/>
  <c r="I114" i="1"/>
  <c r="G113" i="1"/>
  <c r="I46" i="1"/>
  <c r="O47" i="1"/>
  <c r="O72" i="1"/>
  <c r="I71" i="1"/>
  <c r="O141" i="1"/>
  <c r="O87" i="1"/>
  <c r="B155" i="1"/>
  <c r="G155" i="1" s="1"/>
  <c r="I155" i="1" s="1"/>
  <c r="O155" i="1" s="1"/>
  <c r="G156" i="1"/>
  <c r="I156" i="1" s="1"/>
  <c r="O156" i="1" s="1"/>
  <c r="O92" i="1"/>
  <c r="G46" i="1"/>
  <c r="G151" i="1"/>
  <c r="I151" i="1" s="1"/>
  <c r="O151" i="1" s="1"/>
  <c r="F141" i="1"/>
  <c r="G141" i="1" s="1"/>
  <c r="I141" i="1" s="1"/>
  <c r="O173" i="1"/>
  <c r="E86" i="1"/>
  <c r="G173" i="1"/>
  <c r="I173" i="1" s="1"/>
  <c r="D172" i="1"/>
  <c r="O98" i="1"/>
  <c r="I97" i="1"/>
  <c r="I92" i="1" s="1"/>
  <c r="B129" i="1"/>
  <c r="G130" i="1"/>
  <c r="I130" i="1" s="1"/>
  <c r="O130" i="1" s="1"/>
  <c r="O97" i="1"/>
  <c r="J86" i="1"/>
  <c r="O65" i="1"/>
  <c r="O71" i="1"/>
  <c r="N119" i="1"/>
  <c r="J118" i="1"/>
  <c r="N118" i="1" s="1"/>
  <c r="O61" i="1"/>
  <c r="O129" i="1" l="1"/>
  <c r="I106" i="1"/>
  <c r="O106" i="1" s="1"/>
  <c r="O107" i="1"/>
  <c r="F39" i="1"/>
  <c r="F207" i="1" s="1"/>
  <c r="N86" i="1"/>
  <c r="J85" i="1"/>
  <c r="D39" i="1"/>
  <c r="D207" i="1" s="1"/>
  <c r="G172" i="1"/>
  <c r="I172" i="1" s="1"/>
  <c r="O172" i="1" s="1"/>
  <c r="O46" i="1"/>
  <c r="E85" i="1"/>
  <c r="G86" i="1"/>
  <c r="I86" i="1" s="1"/>
  <c r="I113" i="1"/>
  <c r="O113" i="1" s="1"/>
  <c r="O114" i="1"/>
  <c r="G129" i="1"/>
  <c r="I129" i="1" s="1"/>
  <c r="B119" i="1"/>
  <c r="I41" i="1"/>
  <c r="O41" i="1" s="1"/>
  <c r="O42" i="1"/>
  <c r="N85" i="1" l="1"/>
  <c r="O85" i="1" s="1"/>
  <c r="J39" i="1"/>
  <c r="O86" i="1"/>
  <c r="B118" i="1"/>
  <c r="B39" i="1" s="1"/>
  <c r="G119" i="1"/>
  <c r="E39" i="1"/>
  <c r="E207" i="1" s="1"/>
  <c r="G85" i="1"/>
  <c r="I85" i="1" s="1"/>
  <c r="G118" i="1" l="1"/>
  <c r="I119" i="1"/>
  <c r="B207" i="1"/>
  <c r="G207" i="1" s="1"/>
  <c r="I207" i="1" s="1"/>
  <c r="I208" i="1" s="1"/>
  <c r="G39" i="1"/>
  <c r="I39" i="1" s="1"/>
  <c r="J207" i="1"/>
  <c r="N207" i="1" s="1"/>
  <c r="N39" i="1"/>
  <c r="I118" i="1" l="1"/>
  <c r="O118" i="1" s="1"/>
  <c r="O119" i="1"/>
  <c r="O39" i="1"/>
  <c r="O207" i="1"/>
</calcChain>
</file>

<file path=xl/comments1.xml><?xml version="1.0" encoding="utf-8"?>
<comments xmlns="http://schemas.openxmlformats.org/spreadsheetml/2006/main">
  <authors>
    <author>Oscar Rubio</author>
  </authors>
  <commentList>
    <comment ref="O24" authorId="0" shapeId="0">
      <text>
        <r>
          <rPr>
            <sz val="9"/>
            <color indexed="81"/>
            <rFont val="Tahoma"/>
            <family val="2"/>
          </rPr>
          <t xml:space="preserve"> No se realizaron envios de biologico a la zona atlantica debido a la demora del ICA en la expedición de la resolución de PPC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Se efectua devolución ya que los convenios se firmaron por menor valor al contemplado inicialmente</t>
        </r>
      </text>
    </comment>
    <comment ref="O29" authorId="0" shapeId="0">
      <text>
        <r>
          <rPr>
            <sz val="9"/>
            <color indexed="81"/>
            <rFont val="Tahoma"/>
            <family val="2"/>
          </rPr>
          <t>Debido a que se manejan CDT y Fiducias optimizamos el recurso en gastos bancarios</t>
        </r>
      </text>
    </comment>
    <comment ref="O35" authorId="0" shapeId="0">
      <text>
        <r>
          <rPr>
            <sz val="9"/>
            <color indexed="81"/>
            <rFont val="Tahoma"/>
            <family val="2"/>
          </rPr>
          <t>Debido a que las juntas directivas se realizaron en un solo dia no fue necesario cubrir hospedaje de los miembros de junta</t>
        </r>
      </text>
    </comment>
    <comment ref="O159" authorId="0" shapeId="0">
      <text>
        <r>
          <rPr>
            <sz val="9"/>
            <color indexed="81"/>
            <rFont val="Tahoma"/>
            <family val="2"/>
          </rPr>
          <t>Como resultado de la no realización por parte de Proexport de la realización de la gira Tecnica en Angola no se fue necesario ejecutar el recurso contemplado en promoción a exportaciones</t>
        </r>
      </text>
    </comment>
  </commentList>
</comments>
</file>

<file path=xl/sharedStrings.xml><?xml version="1.0" encoding="utf-8"?>
<sst xmlns="http://schemas.openxmlformats.org/spreadsheetml/2006/main" count="213" uniqueCount="208">
  <si>
    <t>MINISTERIO DE AGRICULTURA  Y DESARROLLO RURAL</t>
  </si>
  <si>
    <t>DIRECCIÓN DE PLANEACIÓN Y SEGUIMIENTO PRESUPUESTAL</t>
  </si>
  <si>
    <t>EJECUCIÓN PRESUPUESTO DE GASTOS DE FUNCIONAMIENTO E INVERSIÓN ENERO - DICIEMBRE DE 2.014</t>
  </si>
  <si>
    <t>ANEXO 2</t>
  </si>
  <si>
    <t>CUENTAS</t>
  </si>
  <si>
    <t>PROGRAMAS ECONÓMICA</t>
  </si>
  <si>
    <t>PROGRAMAS TÉCNICA</t>
  </si>
  <si>
    <t>PROGRAMAS INVESTIGACIÓN Y TRANSFERENCIA DE TÉCNOLOGÍA</t>
  </si>
  <si>
    <t>PROGRAMA PPC</t>
  </si>
  <si>
    <t>PROGRAMAS MERCADEO</t>
  </si>
  <si>
    <t>TOTAL INVERSIÓN</t>
  </si>
  <si>
    <t>GASTOS DE FUNCIONAMIENTO</t>
  </si>
  <si>
    <t>TOTAL PRESUPUESTO</t>
  </si>
  <si>
    <t>EJECUTADO         ENE-MARZO 2014</t>
  </si>
  <si>
    <t>EJECUTADO ABR-JUN 2014</t>
  </si>
  <si>
    <t>EJECUTADO JUL-SEP 2014</t>
  </si>
  <si>
    <t>EJECUTADO OCT-DIC 2014</t>
  </si>
  <si>
    <t>EJECUCIÓN ENE-DIC 2014</t>
  </si>
  <si>
    <t>% EJECUCIÓN ENE-DIC 2014</t>
  </si>
  <si>
    <t>GASTOS DE PERSONAL</t>
  </si>
  <si>
    <t>Servicios de personal</t>
  </si>
  <si>
    <t>Sueldos</t>
  </si>
  <si>
    <t>Vacaciones</t>
  </si>
  <si>
    <t>Prima legal</t>
  </si>
  <si>
    <t>Honorarios</t>
  </si>
  <si>
    <t xml:space="preserve">Dotación y suministro </t>
  </si>
  <si>
    <t>Cesantías</t>
  </si>
  <si>
    <t>Intereses de cesantías</t>
  </si>
  <si>
    <t>Seguros y/o fondos privados</t>
  </si>
  <si>
    <t>Caja de compensación</t>
  </si>
  <si>
    <t>Aportes ICBF y SENA</t>
  </si>
  <si>
    <t>SUBTOTAL GASTOS PERSONAL</t>
  </si>
  <si>
    <t>GASTOS GENERALES</t>
  </si>
  <si>
    <t>Muebles, equipos de oficina y software</t>
  </si>
  <si>
    <t>Impresos y publicaciones</t>
  </si>
  <si>
    <t>Materiales y suministros</t>
  </si>
  <si>
    <t>Correo</t>
  </si>
  <si>
    <t>Transportes, fletes y acarreos</t>
  </si>
  <si>
    <t xml:space="preserve">Capacitación </t>
  </si>
  <si>
    <t xml:space="preserve">Mantenimiento </t>
  </si>
  <si>
    <t>Seguros, impuestos y gastos legales</t>
  </si>
  <si>
    <t>Comisiones y gastos bancarios</t>
  </si>
  <si>
    <t>Gastos de viaje</t>
  </si>
  <si>
    <t>Aseo, vigilancia y cafetería</t>
  </si>
  <si>
    <t>Servicios públicos</t>
  </si>
  <si>
    <t>Arriendos</t>
  </si>
  <si>
    <t>Cuota auditaje CGR</t>
  </si>
  <si>
    <t>Gastos comisión de fomento</t>
  </si>
  <si>
    <t>SUBTOTAL GASTOS GENERALES</t>
  </si>
  <si>
    <t>TOTAL FUNCIONAMIENTO</t>
  </si>
  <si>
    <t>TOTAL PROGRAMAS Y PROYECTOS</t>
  </si>
  <si>
    <t>FORTALECER LA INSTITUCIONALIDAD SECTORIAL</t>
  </si>
  <si>
    <t>Fortalecimiento institucional</t>
  </si>
  <si>
    <t>Comsac</t>
  </si>
  <si>
    <t>Participación en Negociaciones Internacionales</t>
  </si>
  <si>
    <t xml:space="preserve">Cadena porcícola </t>
  </si>
  <si>
    <t>PROMOVER EL CONSUMO DE CARNE DE CERDO COLOMBIANA</t>
  </si>
  <si>
    <t>Investigación de mercados</t>
  </si>
  <si>
    <t>Home Panel Nielsen</t>
  </si>
  <si>
    <t>Brand Equity and Tracking</t>
  </si>
  <si>
    <t>Eye Tracking</t>
  </si>
  <si>
    <t>Ingesta de Carne de cerdo (Pacientes diabeticos y obesos) Fase III</t>
  </si>
  <si>
    <t>Monitoreo de Medios</t>
  </si>
  <si>
    <t>Tracking publicitario</t>
  </si>
  <si>
    <t>Sensibilización de las bondades gastronómicas y nutricionales de la carne de cerdo</t>
  </si>
  <si>
    <t>Nutricionistas</t>
  </si>
  <si>
    <t>Asesores Gastronómicos</t>
  </si>
  <si>
    <t>Día de la Carne de Cerdo</t>
  </si>
  <si>
    <t>Capacitación anual contratistas</t>
  </si>
  <si>
    <t>Viajes regionales equipo día de la Carne de Cerdo</t>
  </si>
  <si>
    <t>Campaña de fomento al consumo</t>
  </si>
  <si>
    <t>Campaña de publicidad</t>
  </si>
  <si>
    <t>Desarrollo nuevas recetas</t>
  </si>
  <si>
    <t>Agencia Free Press</t>
  </si>
  <si>
    <t>Consultoría MESA</t>
  </si>
  <si>
    <t>Estrategia Digital</t>
  </si>
  <si>
    <t>Me encanta la canta de cerdo.com</t>
  </si>
  <si>
    <t>Club Gourmet de la Carne de Cerdo</t>
  </si>
  <si>
    <t>Divulgación sectorial</t>
  </si>
  <si>
    <t>Pauta institucional</t>
  </si>
  <si>
    <t>Kit publicitario</t>
  </si>
  <si>
    <t>Eventos de incentivo al consumo</t>
  </si>
  <si>
    <t>Gestión y seguimiento a eventos de mercadeo</t>
  </si>
  <si>
    <t>Eventos Feriales</t>
  </si>
  <si>
    <t>Festival de la Carne de cerdo</t>
  </si>
  <si>
    <t>Concurso Sabor innovador</t>
  </si>
  <si>
    <t>Eventos al Sector</t>
  </si>
  <si>
    <t>Porciamericas</t>
  </si>
  <si>
    <t>Activaciones y eventos meencantalacarnedecerdo.com,club     gourmet, Facebook , Twitter</t>
  </si>
  <si>
    <t>Incentivo al consumo de la carne de cerdo en el canal institucional (horeca)</t>
  </si>
  <si>
    <t xml:space="preserve">Seguimiento gestión HORECA </t>
  </si>
  <si>
    <t>Seguimiento e implementación otras ciudades</t>
  </si>
  <si>
    <t>Material Publicitario, Promoción y Divulgación</t>
  </si>
  <si>
    <t>Eventos Canal Institucional de capacitación y divulgación  (Horeca)</t>
  </si>
  <si>
    <t>FORTALECER EL ESTATUS SANITARIO Y LA PRODUCCIÓN SOSTENIBLE DEL SECTOR PORCICOLA</t>
  </si>
  <si>
    <t>ERRADICACIÓN DE PPC</t>
  </si>
  <si>
    <t>Regionalización</t>
  </si>
  <si>
    <t>Compra de biológico, chapetas y tenazas</t>
  </si>
  <si>
    <t>Compra de materiales y dotaciones</t>
  </si>
  <si>
    <t>Pago de auxilios de frío, flete y movilizaciones</t>
  </si>
  <si>
    <t>Brigadas</t>
  </si>
  <si>
    <t>Capacitación y divulgación</t>
  </si>
  <si>
    <t>Capacitación</t>
  </si>
  <si>
    <t>Reunión anual</t>
  </si>
  <si>
    <t>Talleres de formación PPC</t>
  </si>
  <si>
    <t>Asesoría internacional</t>
  </si>
  <si>
    <t>Divulgación</t>
  </si>
  <si>
    <t>Publicidad</t>
  </si>
  <si>
    <t>Vigilancia epidemiológica</t>
  </si>
  <si>
    <t>Diagnóstico Rutinario</t>
  </si>
  <si>
    <t>Vigilancia de campo</t>
  </si>
  <si>
    <t>Determinación de factores de riesgo</t>
  </si>
  <si>
    <t>Equipos comunicación puestos control</t>
  </si>
  <si>
    <t>Admisibilidad y normatividad sanitaria</t>
  </si>
  <si>
    <t>Control al Contrabando</t>
  </si>
  <si>
    <t>Administración del programa</t>
  </si>
  <si>
    <t>Administración de la base de datos</t>
  </si>
  <si>
    <t>Depuración, codificación y verificación de predios</t>
  </si>
  <si>
    <t>Ciclos de vacunación</t>
  </si>
  <si>
    <t>Contratación de personal</t>
  </si>
  <si>
    <t xml:space="preserve">Auxilios de comités de ganaderos </t>
  </si>
  <si>
    <t>Recolección de desechos biológicos</t>
  </si>
  <si>
    <t>MEJORAMIENTO DEL ESTATUS SANITARIO</t>
  </si>
  <si>
    <t>Evaluación condición TGEV -PRCV en Colombia</t>
  </si>
  <si>
    <t>Control y monitoreo para la enfermedad de PRRS en granjas de Colombia</t>
  </si>
  <si>
    <t>Diagnóstico sanitario</t>
  </si>
  <si>
    <t>Programa Nacional de Mejoramiento del Estatus Sanitario</t>
  </si>
  <si>
    <t>FORTALECER LA GESTIÓN EMPRESARIAL E INTEGRACIÓN DE LA CADENA CARNICA PORCICOLA</t>
  </si>
  <si>
    <t>Centro de servicios técnicos y financieros</t>
  </si>
  <si>
    <t xml:space="preserve">Programa IAT </t>
  </si>
  <si>
    <t xml:space="preserve">Contrapartida FNP </t>
  </si>
  <si>
    <t>Contrapartida MADR</t>
  </si>
  <si>
    <t>Administración Fiducia</t>
  </si>
  <si>
    <t>Asistencia a productores</t>
  </si>
  <si>
    <t>Asesorías a medianos y grandes productores y grupos</t>
  </si>
  <si>
    <t>Asesorías a pequeños productores</t>
  </si>
  <si>
    <t>Herramientas del Centro de servicios</t>
  </si>
  <si>
    <t>Programa Resolución 2640 (Divulgación e Implementación de BPP en granja)</t>
  </si>
  <si>
    <t>Convenios con las Gobernaciones</t>
  </si>
  <si>
    <t>Contrapartidas Gobernaciones</t>
  </si>
  <si>
    <t>Contrapartida Gobernación Cundinamarca</t>
  </si>
  <si>
    <t>Contrapartida Gobernación Antioquia</t>
  </si>
  <si>
    <t>Contrapartida Gobernación Valle</t>
  </si>
  <si>
    <t>Convenio Pereira</t>
  </si>
  <si>
    <t>Contrapartidas FNP</t>
  </si>
  <si>
    <t>Seguimiento a Convenios</t>
  </si>
  <si>
    <t>PROMOVER EL ASEGURAMIENTO DE LA CALIDAD DE LA CADENA CÁRNICA PORCINA</t>
  </si>
  <si>
    <t>Aseguramiento de la calidad en gestión primaria</t>
  </si>
  <si>
    <t>Gestión ambiental en producción primaria</t>
  </si>
  <si>
    <t>Diseño Sistema de Certificación BPP</t>
  </si>
  <si>
    <t xml:space="preserve">Aseguramiento de la calidad en la cadena de transformación(HACCP-BPM) </t>
  </si>
  <si>
    <t>Asesorías BPM y HACCP</t>
  </si>
  <si>
    <t>Afiliación ICONTEC</t>
  </si>
  <si>
    <t>Seguimiento magro</t>
  </si>
  <si>
    <t>Asesoría internacional en calidad</t>
  </si>
  <si>
    <t>Estrategias en diferenciación</t>
  </si>
  <si>
    <t>Consultoría nacional</t>
  </si>
  <si>
    <t>Asesores Transición sello de respaldo</t>
  </si>
  <si>
    <t>Gastos de viaje consultoría</t>
  </si>
  <si>
    <t>FORTALECER LOS SISTEMAS DE INFORMACIÓN Y GESTIONAR INTELIGENCIA DE MERCADOS</t>
  </si>
  <si>
    <t>Sistemas de información de mercados</t>
  </si>
  <si>
    <t xml:space="preserve">Monitoreo Precios de la Carne al Consumidor </t>
  </si>
  <si>
    <t>Actualización de información</t>
  </si>
  <si>
    <t>Promoción de exportaciones</t>
  </si>
  <si>
    <t>Informes de los mercados internacionales de Carne</t>
  </si>
  <si>
    <t>Gira Proexport Africa</t>
  </si>
  <si>
    <t>FORTALECER EL BENEFICIO FORMAL</t>
  </si>
  <si>
    <t>Fortalecimiento al recaudo</t>
  </si>
  <si>
    <t>Auxilios de movilización de los coordinadores de recaudo</t>
  </si>
  <si>
    <t>Jornadas de trabajo coordinadores</t>
  </si>
  <si>
    <t>Seguimiento recaudo regional</t>
  </si>
  <si>
    <t>Trabajo con autoridades</t>
  </si>
  <si>
    <t>Gastos legalizables coordinadores</t>
  </si>
  <si>
    <t>Fortalecimiento de la infraestructura de beneficio</t>
  </si>
  <si>
    <t xml:space="preserve">Evaluación de Infraestructura existente </t>
  </si>
  <si>
    <t>Estudios de infraestructura regional</t>
  </si>
  <si>
    <t>GESTIONAR LA INVESTIGACIÓN Y DESARROLLO DE LA CADENA</t>
  </si>
  <si>
    <t>INVESTIGACIÓN Y DESARROLLO</t>
  </si>
  <si>
    <t>Investigación</t>
  </si>
  <si>
    <t>Proyectos</t>
  </si>
  <si>
    <t>Capacitación anual</t>
  </si>
  <si>
    <t>Jornadas de divulgación resultados de investigación</t>
  </si>
  <si>
    <t>PEDv</t>
  </si>
  <si>
    <t>TRANSFERENCIA DE TECNOLOGÍA</t>
  </si>
  <si>
    <t>Vinculación Tecnológica</t>
  </si>
  <si>
    <t>Capacitación en desposte de carne de cerdo</t>
  </si>
  <si>
    <t>Valor agregado a los cortes secundarios</t>
  </si>
  <si>
    <t>Diplomado en gerencia integral porcícola</t>
  </si>
  <si>
    <t>Gira técnica</t>
  </si>
  <si>
    <t>Fortalecimiento centros de formación SENA</t>
  </si>
  <si>
    <t>Talleres y seminarios</t>
  </si>
  <si>
    <t>Seminario Internacional</t>
  </si>
  <si>
    <t>Capacitación para expendios</t>
  </si>
  <si>
    <t>Capacitación a operarios de granja</t>
  </si>
  <si>
    <t>Mejore las finanzas</t>
  </si>
  <si>
    <t>Talleres para chef</t>
  </si>
  <si>
    <t>Capacitación HACCP avanzado</t>
  </si>
  <si>
    <t>Capacitación plantas de alimento balanceado</t>
  </si>
  <si>
    <t>Curso Premezcla y aditivos</t>
  </si>
  <si>
    <t>Material de apoyo</t>
  </si>
  <si>
    <t>CUOTA DE ADMINISTRACIÓN</t>
  </si>
  <si>
    <t>Cuota de administración FNP</t>
  </si>
  <si>
    <t>Cuota de administración PPC</t>
  </si>
  <si>
    <t>FONDO DE EMERGENCIA</t>
  </si>
  <si>
    <t xml:space="preserve">RESERVA FUTURAS INVERSIONES Y GASTOS </t>
  </si>
  <si>
    <t>Cuota de fomento porcícola</t>
  </si>
  <si>
    <t>Cuota de erradicación Peste Porcina Clásica</t>
  </si>
  <si>
    <t xml:space="preserve">TOTAL 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</si>
</sst>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_ ;_ &quot;$&quot;\ * \-#,##0_ ;_ &quot;$&quot;\ * &quot;-&quot;??_ ;_ @_ "/>
    <numFmt numFmtId="165" formatCode="_ * #,##0.00_ ;_ * \-#,##0.00_ ;_ * &quot;-&quot;??_ ;_ @_ 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  <charset val="186"/>
    </font>
    <font>
      <b/>
      <sz val="11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  <charset val="186"/>
    </font>
    <font>
      <sz val="9"/>
      <name val="Times New Roman"/>
      <family val="1"/>
    </font>
    <font>
      <sz val="12"/>
      <name val="Times New Roman"/>
      <family val="1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1" applyFont="1" applyFill="1" applyAlignment="1">
      <alignment horizontal="center"/>
    </xf>
    <xf numFmtId="0" fontId="1" fillId="0" borderId="0" xfId="1" applyFill="1"/>
    <xf numFmtId="3" fontId="3" fillId="0" borderId="1" xfId="1" applyNumberFormat="1" applyFont="1" applyFill="1" applyBorder="1" applyAlignment="1">
      <alignment horizontal="centerContinuous"/>
    </xf>
    <xf numFmtId="3" fontId="2" fillId="0" borderId="1" xfId="1" applyNumberFormat="1" applyFont="1" applyFill="1" applyBorder="1" applyAlignment="1">
      <alignment horizontal="centerContinuous"/>
    </xf>
    <xf numFmtId="0" fontId="3" fillId="0" borderId="1" xfId="1" applyFont="1" applyFill="1" applyBorder="1" applyAlignment="1">
      <alignment horizontal="centerContinuous"/>
    </xf>
    <xf numFmtId="0" fontId="2" fillId="0" borderId="1" xfId="1" applyFont="1" applyFill="1" applyBorder="1" applyAlignment="1">
      <alignment horizontal="centerContinuous"/>
    </xf>
    <xf numFmtId="0" fontId="4" fillId="0" borderId="1" xfId="1" applyFont="1" applyFill="1" applyBorder="1" applyAlignment="1">
      <alignment horizontal="centerContinuous"/>
    </xf>
    <xf numFmtId="10" fontId="1" fillId="0" borderId="0" xfId="1" applyNumberFormat="1" applyFill="1"/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0" fontId="2" fillId="0" borderId="4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/>
    <xf numFmtId="0" fontId="5" fillId="0" borderId="6" xfId="1" applyFont="1" applyFill="1" applyBorder="1"/>
    <xf numFmtId="0" fontId="5" fillId="0" borderId="7" xfId="1" applyFont="1" applyFill="1" applyBorder="1"/>
    <xf numFmtId="10" fontId="5" fillId="0" borderId="8" xfId="1" applyNumberFormat="1" applyFont="1" applyFill="1" applyBorder="1"/>
    <xf numFmtId="3" fontId="6" fillId="0" borderId="5" xfId="1" applyNumberFormat="1" applyFont="1" applyFill="1" applyBorder="1" applyAlignment="1"/>
    <xf numFmtId="3" fontId="6" fillId="0" borderId="6" xfId="1" applyNumberFormat="1" applyFont="1" applyFill="1" applyBorder="1"/>
    <xf numFmtId="3" fontId="6" fillId="0" borderId="9" xfId="1" applyNumberFormat="1" applyFont="1" applyFill="1" applyBorder="1"/>
    <xf numFmtId="10" fontId="6" fillId="0" borderId="8" xfId="1" applyNumberFormat="1" applyFont="1" applyFill="1" applyBorder="1"/>
    <xf numFmtId="3" fontId="5" fillId="0" borderId="5" xfId="1" applyNumberFormat="1" applyFont="1" applyFill="1" applyBorder="1" applyAlignment="1"/>
    <xf numFmtId="3" fontId="5" fillId="0" borderId="6" xfId="1" applyNumberFormat="1" applyFont="1" applyFill="1" applyBorder="1"/>
    <xf numFmtId="3" fontId="7" fillId="0" borderId="6" xfId="1" applyNumberFormat="1" applyFont="1" applyFill="1" applyBorder="1"/>
    <xf numFmtId="3" fontId="5" fillId="2" borderId="6" xfId="1" applyNumberFormat="1" applyFont="1" applyFill="1" applyBorder="1"/>
    <xf numFmtId="3" fontId="5" fillId="0" borderId="9" xfId="1" applyNumberFormat="1" applyFont="1" applyFill="1" applyBorder="1"/>
    <xf numFmtId="10" fontId="5" fillId="3" borderId="8" xfId="1" applyNumberFormat="1" applyFont="1" applyFill="1" applyBorder="1"/>
    <xf numFmtId="0" fontId="1" fillId="0" borderId="0" xfId="1" applyFill="1" applyAlignment="1">
      <alignment horizontal="center"/>
    </xf>
    <xf numFmtId="164" fontId="1" fillId="0" borderId="0" xfId="1" applyNumberFormat="1" applyFill="1"/>
    <xf numFmtId="3" fontId="8" fillId="3" borderId="6" xfId="1" applyNumberFormat="1" applyFont="1" applyFill="1" applyBorder="1"/>
    <xf numFmtId="3" fontId="7" fillId="2" borderId="6" xfId="1" applyNumberFormat="1" applyFont="1" applyFill="1" applyBorder="1"/>
    <xf numFmtId="3" fontId="1" fillId="0" borderId="0" xfId="1" applyNumberFormat="1" applyFill="1"/>
    <xf numFmtId="0" fontId="2" fillId="0" borderId="5" xfId="1" applyFont="1" applyFill="1" applyBorder="1" applyAlignment="1"/>
    <xf numFmtId="3" fontId="2" fillId="2" borderId="6" xfId="1" applyNumberFormat="1" applyFont="1" applyFill="1" applyBorder="1"/>
    <xf numFmtId="3" fontId="2" fillId="0" borderId="9" xfId="1" applyNumberFormat="1" applyFont="1" applyFill="1" applyBorder="1"/>
    <xf numFmtId="10" fontId="2" fillId="3" borderId="8" xfId="1" applyNumberFormat="1" applyFont="1" applyFill="1" applyBorder="1"/>
    <xf numFmtId="0" fontId="5" fillId="0" borderId="5" xfId="1" applyFont="1" applyFill="1" applyBorder="1" applyAlignment="1"/>
    <xf numFmtId="3" fontId="5" fillId="0" borderId="6" xfId="2" applyNumberFormat="1" applyFont="1" applyFill="1" applyBorder="1"/>
    <xf numFmtId="3" fontId="5" fillId="2" borderId="6" xfId="2" applyNumberFormat="1" applyFont="1" applyFill="1" applyBorder="1"/>
    <xf numFmtId="0" fontId="5" fillId="2" borderId="5" xfId="1" applyFont="1" applyFill="1" applyBorder="1" applyAlignment="1"/>
    <xf numFmtId="3" fontId="2" fillId="0" borderId="6" xfId="1" applyNumberFormat="1" applyFont="1" applyFill="1" applyBorder="1"/>
    <xf numFmtId="3" fontId="6" fillId="0" borderId="6" xfId="2" applyNumberFormat="1" applyFont="1" applyFill="1" applyBorder="1"/>
    <xf numFmtId="10" fontId="2" fillId="0" borderId="8" xfId="1" applyNumberFormat="1" applyFont="1" applyFill="1" applyBorder="1"/>
    <xf numFmtId="0" fontId="2" fillId="0" borderId="10" xfId="1" applyFont="1" applyFill="1" applyBorder="1" applyAlignment="1"/>
    <xf numFmtId="3" fontId="2" fillId="0" borderId="11" xfId="1" applyNumberFormat="1" applyFont="1" applyFill="1" applyBorder="1"/>
    <xf numFmtId="3" fontId="6" fillId="0" borderId="11" xfId="2" applyNumberFormat="1" applyFont="1" applyFill="1" applyBorder="1"/>
    <xf numFmtId="3" fontId="2" fillId="0" borderId="12" xfId="1" applyNumberFormat="1" applyFont="1" applyFill="1" applyBorder="1"/>
    <xf numFmtId="10" fontId="2" fillId="0" borderId="13" xfId="1" applyNumberFormat="1" applyFont="1" applyFill="1" applyBorder="1"/>
    <xf numFmtId="0" fontId="5" fillId="0" borderId="14" xfId="1" applyFont="1" applyFill="1" applyBorder="1" applyAlignment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10" fontId="5" fillId="0" borderId="17" xfId="1" applyNumberFormat="1" applyFont="1" applyFill="1" applyBorder="1"/>
    <xf numFmtId="0" fontId="2" fillId="0" borderId="18" xfId="1" applyFont="1" applyFill="1" applyBorder="1" applyAlignment="1"/>
    <xf numFmtId="3" fontId="2" fillId="0" borderId="19" xfId="1" applyNumberFormat="1" applyFont="1" applyFill="1" applyBorder="1"/>
    <xf numFmtId="3" fontId="2" fillId="0" borderId="20" xfId="1" applyNumberFormat="1" applyFont="1" applyFill="1" applyBorder="1"/>
    <xf numFmtId="10" fontId="2" fillId="0" borderId="21" xfId="1" applyNumberFormat="1" applyFont="1" applyFill="1" applyBorder="1"/>
    <xf numFmtId="0" fontId="2" fillId="4" borderId="5" xfId="1" applyFont="1" applyFill="1" applyBorder="1" applyAlignment="1">
      <alignment wrapText="1"/>
    </xf>
    <xf numFmtId="3" fontId="2" fillId="4" borderId="6" xfId="1" applyNumberFormat="1" applyFont="1" applyFill="1" applyBorder="1"/>
    <xf numFmtId="3" fontId="2" fillId="4" borderId="9" xfId="1" applyNumberFormat="1" applyFont="1" applyFill="1" applyBorder="1"/>
    <xf numFmtId="10" fontId="2" fillId="4" borderId="8" xfId="1" applyNumberFormat="1" applyFont="1" applyFill="1" applyBorder="1"/>
    <xf numFmtId="0" fontId="1" fillId="2" borderId="0" xfId="1" applyFill="1"/>
    <xf numFmtId="37" fontId="2" fillId="2" borderId="5" xfId="1" applyNumberFormat="1" applyFont="1" applyFill="1" applyBorder="1" applyAlignment="1"/>
    <xf numFmtId="3" fontId="2" fillId="2" borderId="9" xfId="1" applyNumberFormat="1" applyFont="1" applyFill="1" applyBorder="1"/>
    <xf numFmtId="10" fontId="2" fillId="2" borderId="8" xfId="1" applyNumberFormat="1" applyFont="1" applyFill="1" applyBorder="1"/>
    <xf numFmtId="0" fontId="9" fillId="0" borderId="0" xfId="1" applyFont="1" applyFill="1"/>
    <xf numFmtId="37" fontId="7" fillId="2" borderId="5" xfId="1" applyNumberFormat="1" applyFont="1" applyFill="1" applyBorder="1" applyAlignment="1">
      <alignment horizontal="left"/>
    </xf>
    <xf numFmtId="3" fontId="7" fillId="2" borderId="9" xfId="1" applyNumberFormat="1" applyFont="1" applyFill="1" applyBorder="1"/>
    <xf numFmtId="10" fontId="7" fillId="2" borderId="8" xfId="1" applyNumberFormat="1" applyFont="1" applyFill="1" applyBorder="1"/>
    <xf numFmtId="3" fontId="2" fillId="2" borderId="6" xfId="2" applyNumberFormat="1" applyFont="1" applyFill="1" applyBorder="1"/>
    <xf numFmtId="37" fontId="2" fillId="2" borderId="5" xfId="1" applyNumberFormat="1" applyFont="1" applyFill="1" applyBorder="1" applyAlignment="1">
      <alignment horizontal="left" vertical="center" wrapText="1"/>
    </xf>
    <xf numFmtId="37" fontId="5" fillId="2" borderId="5" xfId="1" applyNumberFormat="1" applyFont="1" applyFill="1" applyBorder="1" applyAlignment="1">
      <alignment horizontal="left"/>
    </xf>
    <xf numFmtId="37" fontId="2" fillId="2" borderId="5" xfId="1" applyNumberFormat="1" applyFont="1" applyFill="1" applyBorder="1" applyAlignment="1">
      <alignment horizontal="left"/>
    </xf>
    <xf numFmtId="10" fontId="7" fillId="0" borderId="8" xfId="1" applyNumberFormat="1" applyFont="1" applyFill="1" applyBorder="1"/>
    <xf numFmtId="37" fontId="7" fillId="0" borderId="5" xfId="1" applyNumberFormat="1" applyFont="1" applyFill="1" applyBorder="1" applyAlignment="1">
      <alignment horizontal="left"/>
    </xf>
    <xf numFmtId="37" fontId="6" fillId="2" borderId="5" xfId="1" applyNumberFormat="1" applyFont="1" applyFill="1" applyBorder="1" applyAlignment="1">
      <alignment horizontal="left"/>
    </xf>
    <xf numFmtId="3" fontId="6" fillId="2" borderId="6" xfId="2" applyNumberFormat="1" applyFont="1" applyFill="1" applyBorder="1"/>
    <xf numFmtId="3" fontId="6" fillId="2" borderId="6" xfId="1" applyNumberFormat="1" applyFont="1" applyFill="1" applyBorder="1"/>
    <xf numFmtId="37" fontId="7" fillId="2" borderId="5" xfId="1" applyNumberFormat="1" applyFont="1" applyFill="1" applyBorder="1" applyAlignment="1">
      <alignment horizontal="left" wrapText="1"/>
    </xf>
    <xf numFmtId="3" fontId="2" fillId="2" borderId="5" xfId="1" applyNumberFormat="1" applyFont="1" applyFill="1" applyBorder="1" applyAlignment="1"/>
    <xf numFmtId="3" fontId="6" fillId="2" borderId="9" xfId="1" applyNumberFormat="1" applyFont="1" applyFill="1" applyBorder="1"/>
    <xf numFmtId="10" fontId="6" fillId="2" borderId="8" xfId="1" applyNumberFormat="1" applyFont="1" applyFill="1" applyBorder="1"/>
    <xf numFmtId="0" fontId="2" fillId="2" borderId="5" xfId="1" applyFont="1" applyFill="1" applyBorder="1" applyAlignment="1"/>
    <xf numFmtId="3" fontId="7" fillId="0" borderId="9" xfId="1" applyNumberFormat="1" applyFont="1" applyFill="1" applyBorder="1"/>
    <xf numFmtId="0" fontId="6" fillId="2" borderId="5" xfId="1" applyFont="1" applyFill="1" applyBorder="1" applyAlignment="1"/>
    <xf numFmtId="0" fontId="7" fillId="2" borderId="5" xfId="1" applyFont="1" applyFill="1" applyBorder="1" applyAlignment="1"/>
    <xf numFmtId="0" fontId="7" fillId="0" borderId="5" xfId="1" applyFont="1" applyFill="1" applyBorder="1" applyAlignment="1"/>
    <xf numFmtId="0" fontId="6" fillId="0" borderId="5" xfId="1" applyFont="1" applyFill="1" applyBorder="1"/>
    <xf numFmtId="0" fontId="6" fillId="0" borderId="5" xfId="1" applyFont="1" applyFill="1" applyBorder="1" applyAlignment="1"/>
    <xf numFmtId="37" fontId="6" fillId="0" borderId="5" xfId="1" applyNumberFormat="1" applyFont="1" applyFill="1" applyBorder="1" applyAlignment="1"/>
    <xf numFmtId="37" fontId="7" fillId="0" borderId="5" xfId="1" applyNumberFormat="1" applyFont="1" applyFill="1" applyBorder="1" applyAlignment="1"/>
    <xf numFmtId="37" fontId="7" fillId="2" borderId="5" xfId="1" applyNumberFormat="1" applyFont="1" applyFill="1" applyBorder="1" applyAlignment="1"/>
    <xf numFmtId="37" fontId="2" fillId="0" borderId="5" xfId="1" applyNumberFormat="1" applyFont="1" applyFill="1" applyBorder="1" applyAlignment="1"/>
    <xf numFmtId="0" fontId="1" fillId="0" borderId="0" xfId="1" applyFont="1" applyFill="1"/>
    <xf numFmtId="3" fontId="5" fillId="2" borderId="9" xfId="1" applyNumberFormat="1" applyFont="1" applyFill="1" applyBorder="1"/>
    <xf numFmtId="10" fontId="5" fillId="2" borderId="8" xfId="1" applyNumberFormat="1" applyFont="1" applyFill="1" applyBorder="1"/>
    <xf numFmtId="3" fontId="2" fillId="2" borderId="6" xfId="3" applyNumberFormat="1" applyFont="1" applyFill="1" applyBorder="1"/>
    <xf numFmtId="3" fontId="2" fillId="2" borderId="9" xfId="3" applyNumberFormat="1" applyFont="1" applyFill="1" applyBorder="1"/>
    <xf numFmtId="3" fontId="5" fillId="2" borderId="6" xfId="3" applyNumberFormat="1" applyFont="1" applyFill="1" applyBorder="1"/>
    <xf numFmtId="3" fontId="6" fillId="2" borderId="6" xfId="3" applyNumberFormat="1" applyFont="1" applyFill="1" applyBorder="1"/>
    <xf numFmtId="3" fontId="6" fillId="2" borderId="9" xfId="3" applyNumberFormat="1" applyFont="1" applyFill="1" applyBorder="1"/>
    <xf numFmtId="10" fontId="6" fillId="2" borderId="8" xfId="3" applyNumberFormat="1" applyFont="1" applyFill="1" applyBorder="1"/>
    <xf numFmtId="3" fontId="5" fillId="2" borderId="9" xfId="3" applyNumberFormat="1" applyFont="1" applyFill="1" applyBorder="1"/>
    <xf numFmtId="10" fontId="5" fillId="2" borderId="8" xfId="3" applyNumberFormat="1" applyFont="1" applyFill="1" applyBorder="1"/>
    <xf numFmtId="3" fontId="5" fillId="0" borderId="6" xfId="3" applyNumberFormat="1" applyFont="1" applyFill="1" applyBorder="1"/>
    <xf numFmtId="10" fontId="5" fillId="0" borderId="8" xfId="3" applyNumberFormat="1" applyFont="1" applyFill="1" applyBorder="1"/>
    <xf numFmtId="3" fontId="2" fillId="2" borderId="5" xfId="1" applyNumberFormat="1" applyFont="1" applyFill="1" applyBorder="1"/>
    <xf numFmtId="3" fontId="5" fillId="0" borderId="9" xfId="3" applyNumberFormat="1" applyFont="1" applyFill="1" applyBorder="1"/>
    <xf numFmtId="37" fontId="6" fillId="2" borderId="5" xfId="1" applyNumberFormat="1" applyFont="1" applyFill="1" applyBorder="1" applyAlignment="1"/>
    <xf numFmtId="0" fontId="5" fillId="0" borderId="22" xfId="1" applyFont="1" applyFill="1" applyBorder="1" applyAlignment="1"/>
    <xf numFmtId="3" fontId="2" fillId="0" borderId="23" xfId="1" applyNumberFormat="1" applyFont="1" applyFill="1" applyBorder="1"/>
    <xf numFmtId="0" fontId="5" fillId="0" borderId="23" xfId="1" applyFont="1" applyFill="1" applyBorder="1"/>
    <xf numFmtId="3" fontId="5" fillId="0" borderId="23" xfId="1" applyNumberFormat="1" applyFont="1" applyFill="1" applyBorder="1"/>
    <xf numFmtId="3" fontId="10" fillId="0" borderId="23" xfId="1" applyNumberFormat="1" applyFont="1" applyFill="1" applyBorder="1"/>
    <xf numFmtId="0" fontId="5" fillId="0" borderId="24" xfId="1" applyFont="1" applyFill="1" applyBorder="1"/>
    <xf numFmtId="10" fontId="5" fillId="0" borderId="25" xfId="1" applyNumberFormat="1" applyFont="1" applyFill="1" applyBorder="1"/>
    <xf numFmtId="10" fontId="0" fillId="0" borderId="0" xfId="4" applyNumberFormat="1" applyFont="1" applyFill="1"/>
    <xf numFmtId="0" fontId="11" fillId="0" borderId="0" xfId="1" applyFont="1" applyFill="1" applyAlignment="1"/>
    <xf numFmtId="3" fontId="11" fillId="0" borderId="0" xfId="1" applyNumberFormat="1" applyFont="1" applyFill="1"/>
    <xf numFmtId="37" fontId="11" fillId="0" borderId="0" xfId="1" applyNumberFormat="1" applyFont="1" applyFill="1"/>
    <xf numFmtId="0" fontId="11" fillId="0" borderId="0" xfId="1" applyFont="1" applyFill="1"/>
    <xf numFmtId="10" fontId="11" fillId="0" borderId="0" xfId="1" applyNumberFormat="1" applyFont="1" applyFill="1"/>
    <xf numFmtId="37" fontId="1" fillId="0" borderId="0" xfId="1" applyNumberFormat="1" applyFill="1"/>
    <xf numFmtId="165" fontId="11" fillId="0" borderId="0" xfId="2" applyFont="1" applyFill="1"/>
    <xf numFmtId="10" fontId="11" fillId="0" borderId="0" xfId="4" applyNumberFormat="1" applyFont="1" applyFill="1"/>
    <xf numFmtId="0" fontId="12" fillId="0" borderId="0" xfId="1" applyFont="1" applyFill="1"/>
    <xf numFmtId="3" fontId="12" fillId="0" borderId="0" xfId="1" applyNumberFormat="1" applyFont="1" applyFill="1"/>
    <xf numFmtId="165" fontId="12" fillId="0" borderId="0" xfId="2" applyFont="1" applyFill="1"/>
  </cellXfs>
  <cellStyles count="5">
    <cellStyle name="Millares 12 2 2" xfId="2"/>
    <cellStyle name="Millares 2 2 2" xfId="3"/>
    <cellStyle name="Normal" xfId="0" builtinId="0"/>
    <cellStyle name="Normal 10 2" xfId="1"/>
    <cellStyle name="Porcentaj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4/INFORMES%20EJECUCIONES/IV%20TRIMESTRE/EJECUCION%2012-%203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4\PRESUPUESTO%202014\PRESUPUESTO%202014%20V.4\Presupuesto%202014%20version%2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efeControlRegional\Presupuesto%202008\Presupuesto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4\ACUERDOS\ACUERDOS%20DEFINITIVOS\ANEXO%20ACUERDO%209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4/CIERRE%2020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ANEXO%20CIERRE%20DE%20INGRESOS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4\INFORME%20DE%20GESTI&#211;N%202014\Informe%20de%20Gesti&#243;n%20I%20semestre\Cifras%20presupuestales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0/A&#241;o%202010/MANEJO%20PTO%202010/PRESUPUESTO%20INGRESOS%20ESTIMADO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0\CIERRES%202010\ACUERDOS%202010\ANEXO%20ACUERDO%206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OR"/>
      <sheetName val="EPPC"/>
    </sheetNames>
    <sheetDataSet>
      <sheetData sheetId="0">
        <row r="163">
          <cell r="M163">
            <v>34852688</v>
          </cell>
        </row>
        <row r="164">
          <cell r="M164">
            <v>10275553</v>
          </cell>
        </row>
        <row r="165">
          <cell r="M165">
            <v>32729836</v>
          </cell>
        </row>
        <row r="166">
          <cell r="M166">
            <v>21676646</v>
          </cell>
        </row>
        <row r="167">
          <cell r="M167">
            <v>6186991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Superavit 2013"/>
      <sheetName val="Ejecución ingresos 2013"/>
      <sheetName val="Ejecucion de gastos  2013"/>
      <sheetName val="Anexo 2 "/>
      <sheetName val="Anexo 3"/>
      <sheetName val="Anexo 4"/>
      <sheetName val="Funcionamiento"/>
      <sheetName val="Nómina y honorarios 2014"/>
      <sheetName val="Comparativo nómina 2013-2014"/>
      <sheetName val="Comparativo gastos personal "/>
    </sheetNames>
    <sheetDataSet>
      <sheetData sheetId="0">
        <row r="46">
          <cell r="C46">
            <v>3001930</v>
          </cell>
        </row>
      </sheetData>
      <sheetData sheetId="1"/>
      <sheetData sheetId="2">
        <row r="54">
          <cell r="J54">
            <v>2042400.4285714286</v>
          </cell>
        </row>
      </sheetData>
      <sheetData sheetId="3"/>
      <sheetData sheetId="4"/>
      <sheetData sheetId="5"/>
      <sheetData sheetId="6"/>
      <sheetData sheetId="7">
        <row r="125">
          <cell r="B125">
            <v>35000000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Anexo 2 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 1"/>
      <sheetName val="Anexo 2"/>
      <sheetName val="Anexo Areas"/>
      <sheetName val="Otros ingresos"/>
      <sheetName val="ANEXO INGRESOS"/>
      <sheetName val="SUPERAVIT 2014"/>
      <sheetName val="BIOLÓGICO"/>
      <sheetName val="Hoja1"/>
      <sheetName val="CONCILIACIÓN 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35">
          <cell r="C35" t="e">
            <v>#REF!</v>
          </cell>
        </row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35">
          <cell r="C35" t="e">
            <v>#REF!</v>
          </cell>
        </row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  <row r="86">
          <cell r="B86">
            <v>117000000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Anexo 2 "/>
      <sheetName val="AREAS"/>
      <sheetName val="CONSOLIDADI"/>
      <sheetName val="ECO"/>
      <sheetName val="TEC"/>
      <sheetName val="TRANSF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</row>
      </sheetData>
      <sheetData sheetId="4"/>
      <sheetData sheetId="5"/>
      <sheetData sheetId="6">
        <row r="5">
          <cell r="E5" t="str">
            <v xml:space="preserve">FECHA </v>
          </cell>
        </row>
      </sheetData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Otros ingresos"/>
      <sheetName val="Anexo 2 "/>
      <sheetName val="Funcionamiento"/>
      <sheetName val="Nómina y honorarios II TRIM."/>
      <sheetName val="Inversión total en programas"/>
      <sheetName val="MODELO CONTRATISTAS"/>
      <sheetName val="Servicios personal 2005"/>
      <sheetName val="Nómina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8" refreshError="1"/>
      <sheetData sheetId="9" refreshError="1"/>
      <sheetData sheetId="10" refreshError="1">
        <row r="5">
          <cell r="E5" t="str">
            <v xml:space="preserve">FECHA </v>
          </cell>
          <cell r="H5" t="str">
            <v>DIAS</v>
          </cell>
          <cell r="I5" t="str">
            <v>SIN AUMENTO</v>
          </cell>
          <cell r="L5" t="str">
            <v>VAC</v>
          </cell>
          <cell r="M5" t="str">
            <v>DIAS REALES</v>
          </cell>
          <cell r="N5" t="str">
            <v>CON AUMENTO</v>
          </cell>
          <cell r="O5" t="str">
            <v>TOTAL SUELDO</v>
          </cell>
          <cell r="P5" t="str">
            <v>SUELDO MENOS</v>
          </cell>
        </row>
        <row r="6">
          <cell r="E6" t="str">
            <v>INGRESO</v>
          </cell>
          <cell r="N6" t="str">
            <v>SUELDO</v>
          </cell>
          <cell r="P6" t="str">
            <v>VACACIONES</v>
          </cell>
        </row>
        <row r="8">
          <cell r="L8">
            <v>0</v>
          </cell>
          <cell r="M8">
            <v>360</v>
          </cell>
          <cell r="N8" t="e">
            <v>#REF!</v>
          </cell>
          <cell r="O8" t="e">
            <v>#REF!</v>
          </cell>
          <cell r="P8" t="e">
            <v>#REF!</v>
          </cell>
        </row>
        <row r="9">
          <cell r="L9">
            <v>0</v>
          </cell>
          <cell r="M9">
            <v>360</v>
          </cell>
          <cell r="N9" t="e">
            <v>#REF!</v>
          </cell>
          <cell r="O9" t="e">
            <v>#REF!</v>
          </cell>
          <cell r="P9" t="e">
            <v>#REF!</v>
          </cell>
        </row>
        <row r="11">
          <cell r="L11">
            <v>0</v>
          </cell>
          <cell r="M11">
            <v>360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L12">
            <v>0</v>
          </cell>
          <cell r="M12">
            <v>360</v>
          </cell>
          <cell r="N12" t="e">
            <v>#REF!</v>
          </cell>
          <cell r="O12" t="e">
            <v>#REF!</v>
          </cell>
          <cell r="P12" t="e">
            <v>#REF!</v>
          </cell>
        </row>
        <row r="14">
          <cell r="C14" t="str">
            <v>*</v>
          </cell>
          <cell r="L14">
            <v>0</v>
          </cell>
          <cell r="M14">
            <v>360</v>
          </cell>
          <cell r="N14" t="e">
            <v>#REF!</v>
          </cell>
          <cell r="O14" t="e">
            <v>#REF!</v>
          </cell>
          <cell r="P14" t="e">
            <v>#REF!</v>
          </cell>
        </row>
        <row r="16">
          <cell r="C16" t="str">
            <v>*</v>
          </cell>
          <cell r="L16">
            <v>0</v>
          </cell>
          <cell r="M16">
            <v>360</v>
          </cell>
          <cell r="N16" t="e">
            <v>#REF!</v>
          </cell>
          <cell r="O16" t="e">
            <v>#REF!</v>
          </cell>
          <cell r="P16" t="e">
            <v>#REF!</v>
          </cell>
        </row>
        <row r="17">
          <cell r="C17" t="str">
            <v xml:space="preserve"> </v>
          </cell>
          <cell r="L17">
            <v>0</v>
          </cell>
          <cell r="M17">
            <v>360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C18" t="str">
            <v>*</v>
          </cell>
          <cell r="L18">
            <v>0</v>
          </cell>
          <cell r="M18">
            <v>360</v>
          </cell>
          <cell r="N18" t="e">
            <v>#REF!</v>
          </cell>
          <cell r="O18" t="e">
            <v>#REF!</v>
          </cell>
          <cell r="P18" t="e">
            <v>#REF!</v>
          </cell>
        </row>
        <row r="20">
          <cell r="L20">
            <v>0</v>
          </cell>
          <cell r="M20">
            <v>360</v>
          </cell>
          <cell r="N20" t="e">
            <v>#REF!</v>
          </cell>
          <cell r="O20" t="e">
            <v>#REF!</v>
          </cell>
          <cell r="P20" t="e">
            <v>#REF!</v>
          </cell>
        </row>
        <row r="21">
          <cell r="L21">
            <v>0</v>
          </cell>
          <cell r="M21">
            <v>1800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N22" t="e">
            <v>#REF!</v>
          </cell>
          <cell r="O22" t="e">
            <v>#REF!</v>
          </cell>
          <cell r="P22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282"/>
  <sheetViews>
    <sheetView tabSelected="1" view="pageBreakPreview" topLeftCell="A124" zoomScale="80" zoomScaleNormal="85" zoomScaleSheetLayoutView="80" workbookViewId="0">
      <selection activeCell="O27" sqref="O27"/>
    </sheetView>
  </sheetViews>
  <sheetFormatPr baseColWidth="10" defaultRowHeight="12.75" outlineLevelRow="4" outlineLevelCol="2" x14ac:dyDescent="0.2"/>
  <cols>
    <col min="1" max="1" width="79.85546875" style="2" bestFit="1" customWidth="1"/>
    <col min="2" max="2" width="16.7109375" style="2" customWidth="1" outlineLevel="2"/>
    <col min="3" max="3" width="18" style="2" customWidth="1" outlineLevel="2"/>
    <col min="4" max="4" width="18.7109375" style="2" customWidth="1" outlineLevel="2"/>
    <col min="5" max="5" width="16.7109375" style="2" customWidth="1" outlineLevel="2"/>
    <col min="6" max="6" width="15.28515625" style="2" customWidth="1" outlineLevel="2"/>
    <col min="7" max="7" width="16.5703125" style="2" customWidth="1" outlineLevel="2"/>
    <col min="8" max="8" width="19.85546875" style="2" customWidth="1" outlineLevel="2"/>
    <col min="9" max="9" width="21.42578125" style="2" customWidth="1"/>
    <col min="10" max="10" width="19.85546875" style="2" hidden="1" customWidth="1" outlineLevel="1"/>
    <col min="11" max="13" width="17.140625" style="2" hidden="1" customWidth="1" outlineLevel="1"/>
    <col min="14" max="14" width="16.7109375" style="2" customWidth="1" collapsed="1"/>
    <col min="15" max="15" width="15.42578125" style="8" customWidth="1"/>
    <col min="16" max="18" width="14.5703125" style="2" customWidth="1"/>
    <col min="19" max="16384" width="11.42578125" style="2"/>
  </cols>
  <sheetData>
    <row r="1" spans="1:17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1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1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7" ht="15.75" thickBot="1" x14ac:dyDescent="0.3">
      <c r="A5" s="3"/>
      <c r="B5" s="4"/>
      <c r="C5" s="5"/>
      <c r="D5" s="5"/>
      <c r="E5" s="6"/>
      <c r="F5" s="6"/>
      <c r="G5" s="7"/>
      <c r="H5" s="6"/>
    </row>
    <row r="6" spans="1:17" ht="90.75" thickTop="1" x14ac:dyDescent="0.2">
      <c r="A6" s="9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1" t="s">
        <v>13</v>
      </c>
      <c r="K6" s="11" t="s">
        <v>14</v>
      </c>
      <c r="L6" s="11" t="s">
        <v>15</v>
      </c>
      <c r="M6" s="11" t="s">
        <v>16</v>
      </c>
      <c r="N6" s="11" t="s">
        <v>17</v>
      </c>
      <c r="O6" s="12" t="s">
        <v>18</v>
      </c>
    </row>
    <row r="7" spans="1:17" ht="15" x14ac:dyDescent="0.25">
      <c r="A7" s="13" t="s">
        <v>19</v>
      </c>
      <c r="B7" s="14"/>
      <c r="C7" s="14"/>
      <c r="D7" s="14"/>
      <c r="E7" s="14"/>
      <c r="F7" s="14"/>
      <c r="G7" s="14"/>
      <c r="H7" s="14"/>
      <c r="I7" s="14"/>
      <c r="J7" s="15"/>
      <c r="K7" s="15"/>
      <c r="L7" s="15"/>
      <c r="M7" s="15"/>
      <c r="N7" s="15"/>
      <c r="O7" s="16"/>
    </row>
    <row r="8" spans="1:17" ht="15" x14ac:dyDescent="0.25">
      <c r="A8" s="17" t="s">
        <v>20</v>
      </c>
      <c r="B8" s="18">
        <f t="shared" ref="B8:I8" si="0">SUM(B9:B18)</f>
        <v>950545102.02003372</v>
      </c>
      <c r="C8" s="18">
        <f t="shared" si="0"/>
        <v>345037177.40196157</v>
      </c>
      <c r="D8" s="18">
        <f>SUM(D9:D18)</f>
        <v>217261513.42339516</v>
      </c>
      <c r="E8" s="18">
        <f t="shared" si="0"/>
        <v>977937166.03942537</v>
      </c>
      <c r="F8" s="18">
        <f t="shared" si="0"/>
        <v>314660751.0689736</v>
      </c>
      <c r="G8" s="18">
        <f t="shared" si="0"/>
        <v>2805441709.9537892</v>
      </c>
      <c r="H8" s="18">
        <f t="shared" si="0"/>
        <v>463195325.3160919</v>
      </c>
      <c r="I8" s="18">
        <f t="shared" si="0"/>
        <v>3268637035.2698808</v>
      </c>
      <c r="J8" s="18">
        <f>SUM(J9:J18)</f>
        <v>679456627.99999988</v>
      </c>
      <c r="K8" s="19">
        <f>SUM(K9:K18)</f>
        <v>775641663.85402393</v>
      </c>
      <c r="L8" s="19">
        <f>SUM(L9:L18)</f>
        <v>719046465.40313351</v>
      </c>
      <c r="M8" s="19">
        <f>SUM(M9:M18)</f>
        <v>967329030</v>
      </c>
      <c r="N8" s="19">
        <f>+J8+K8+L8+M8</f>
        <v>3141473787.2571573</v>
      </c>
      <c r="O8" s="20">
        <f>+N8/I8</f>
        <v>0.96109594101743878</v>
      </c>
    </row>
    <row r="9" spans="1:17" ht="14.25" x14ac:dyDescent="0.2">
      <c r="A9" s="21" t="s">
        <v>21</v>
      </c>
      <c r="B9" s="22">
        <v>594146296.41691339</v>
      </c>
      <c r="C9" s="22">
        <v>243983514.29423335</v>
      </c>
      <c r="D9" s="22">
        <v>159806968.58333334</v>
      </c>
      <c r="E9" s="22">
        <v>658826548.16775346</v>
      </c>
      <c r="F9" s="22">
        <v>223972015</v>
      </c>
      <c r="G9" s="23">
        <f t="shared" ref="G9:G19" si="1">+B9+C9+E9+F9+D9</f>
        <v>1880735342.4622333</v>
      </c>
      <c r="H9" s="22">
        <f>230092412.353873+6776000-405367</f>
        <v>236463045.35387301</v>
      </c>
      <c r="I9" s="24">
        <f t="shared" ref="I9:I18" si="2">+G9+H9</f>
        <v>2117198387.8161063</v>
      </c>
      <c r="J9" s="25">
        <v>493006721.99999988</v>
      </c>
      <c r="K9" s="25">
        <v>519503491</v>
      </c>
      <c r="L9" s="25">
        <v>521118979</v>
      </c>
      <c r="M9" s="25">
        <v>482280865</v>
      </c>
      <c r="N9" s="25">
        <f t="shared" ref="N9:N72" si="3">+J9+K9+L9+M9</f>
        <v>2015910057</v>
      </c>
      <c r="O9" s="26">
        <f t="shared" ref="O9:O72" si="4">+N9/I9</f>
        <v>0.9521592632041509</v>
      </c>
      <c r="Q9" s="27"/>
    </row>
    <row r="10" spans="1:17" ht="14.25" x14ac:dyDescent="0.2">
      <c r="A10" s="21" t="s">
        <v>22</v>
      </c>
      <c r="B10" s="22">
        <v>24687519.241700005</v>
      </c>
      <c r="C10" s="22">
        <v>10137819.1535</v>
      </c>
      <c r="D10" s="22">
        <v>6640178.75</v>
      </c>
      <c r="E10" s="22">
        <v>27375064.328299999</v>
      </c>
      <c r="F10" s="22">
        <v>9306316</v>
      </c>
      <c r="G10" s="23">
        <f t="shared" si="1"/>
        <v>78146897.473500013</v>
      </c>
      <c r="H10" s="22">
        <f>8636585.3021+405367</f>
        <v>9041952.3021000009</v>
      </c>
      <c r="I10" s="24">
        <f t="shared" si="2"/>
        <v>87188849.775600016</v>
      </c>
      <c r="J10" s="25">
        <v>677897.00000000186</v>
      </c>
      <c r="K10" s="25">
        <v>1315892.0000000007</v>
      </c>
      <c r="L10" s="25">
        <v>336491.99999999977</v>
      </c>
      <c r="M10" s="25">
        <v>84162485</v>
      </c>
      <c r="N10" s="25">
        <f t="shared" si="3"/>
        <v>86492766</v>
      </c>
      <c r="O10" s="26">
        <f t="shared" si="4"/>
        <v>0.99201636703097307</v>
      </c>
    </row>
    <row r="11" spans="1:17" ht="14.25" x14ac:dyDescent="0.2">
      <c r="A11" s="21" t="s">
        <v>23</v>
      </c>
      <c r="B11" s="22">
        <v>41366680.983400002</v>
      </c>
      <c r="C11" s="22">
        <v>12267280.807</v>
      </c>
      <c r="D11" s="22">
        <v>5272000</v>
      </c>
      <c r="E11" s="22">
        <v>46741771.156600006</v>
      </c>
      <c r="F11" s="22">
        <v>10604275</v>
      </c>
      <c r="G11" s="23">
        <f t="shared" si="1"/>
        <v>116252007.947</v>
      </c>
      <c r="H11" s="22">
        <v>17273170.604199998</v>
      </c>
      <c r="I11" s="24">
        <f t="shared" si="2"/>
        <v>133525178.5512</v>
      </c>
      <c r="J11" s="25">
        <v>984786.00000000373</v>
      </c>
      <c r="K11" s="25">
        <v>64299941</v>
      </c>
      <c r="L11" s="25">
        <v>0</v>
      </c>
      <c r="M11" s="25">
        <v>65106259</v>
      </c>
      <c r="N11" s="25">
        <f t="shared" si="3"/>
        <v>130390986</v>
      </c>
      <c r="O11" s="26">
        <f t="shared" si="4"/>
        <v>0.97652732926323549</v>
      </c>
      <c r="P11" s="28"/>
    </row>
    <row r="12" spans="1:17" ht="14.25" x14ac:dyDescent="0.2">
      <c r="A12" s="21" t="s">
        <v>24</v>
      </c>
      <c r="B12" s="23">
        <v>72617844.809000015</v>
      </c>
      <c r="C12" s="29"/>
      <c r="D12" s="29"/>
      <c r="E12" s="30"/>
      <c r="F12" s="30"/>
      <c r="G12" s="23">
        <f t="shared" si="1"/>
        <v>72617844.809000015</v>
      </c>
      <c r="H12" s="24">
        <v>113448561.95919999</v>
      </c>
      <c r="I12" s="24">
        <f t="shared" si="2"/>
        <v>186066406.76820001</v>
      </c>
      <c r="J12" s="25">
        <v>40837148</v>
      </c>
      <c r="K12" s="25">
        <v>43762802</v>
      </c>
      <c r="L12" s="25">
        <v>48374244</v>
      </c>
      <c r="M12" s="25">
        <v>47909836</v>
      </c>
      <c r="N12" s="25">
        <f t="shared" si="3"/>
        <v>180884030</v>
      </c>
      <c r="O12" s="26">
        <f t="shared" si="4"/>
        <v>0.97214770329468359</v>
      </c>
    </row>
    <row r="13" spans="1:17" ht="14.25" x14ac:dyDescent="0.2">
      <c r="A13" s="21" t="s">
        <v>25</v>
      </c>
      <c r="B13" s="22">
        <v>600000</v>
      </c>
      <c r="C13" s="22">
        <v>600000</v>
      </c>
      <c r="D13" s="22">
        <v>600000</v>
      </c>
      <c r="E13" s="22">
        <v>1800000</v>
      </c>
      <c r="F13" s="22">
        <v>600000</v>
      </c>
      <c r="G13" s="23">
        <f t="shared" si="1"/>
        <v>4200000</v>
      </c>
      <c r="H13" s="22">
        <v>2400000</v>
      </c>
      <c r="I13" s="24">
        <f t="shared" si="2"/>
        <v>6600000</v>
      </c>
      <c r="J13" s="25">
        <v>0</v>
      </c>
      <c r="K13" s="25">
        <v>2200000</v>
      </c>
      <c r="L13" s="25">
        <v>2200000</v>
      </c>
      <c r="M13" s="25">
        <v>2000000</v>
      </c>
      <c r="N13" s="25">
        <f t="shared" si="3"/>
        <v>6400000</v>
      </c>
      <c r="O13" s="26">
        <f t="shared" si="4"/>
        <v>0.96969696969696972</v>
      </c>
    </row>
    <row r="14" spans="1:17" ht="14.25" x14ac:dyDescent="0.2">
      <c r="A14" s="21" t="s">
        <v>26</v>
      </c>
      <c r="B14" s="22">
        <v>41366680.983400002</v>
      </c>
      <c r="C14" s="22">
        <v>12267280.807</v>
      </c>
      <c r="D14" s="22">
        <v>5272000</v>
      </c>
      <c r="E14" s="22">
        <v>46741771.156600006</v>
      </c>
      <c r="F14" s="22">
        <v>10604275.4056</v>
      </c>
      <c r="G14" s="23">
        <f t="shared" si="1"/>
        <v>116252008.35259999</v>
      </c>
      <c r="H14" s="22">
        <v>17273170.604199998</v>
      </c>
      <c r="I14" s="24">
        <f t="shared" si="2"/>
        <v>133525178.95679998</v>
      </c>
      <c r="J14" s="25">
        <v>984787.00000000373</v>
      </c>
      <c r="K14" s="25">
        <v>1519133.0000000019</v>
      </c>
      <c r="L14" s="25">
        <v>0</v>
      </c>
      <c r="M14" s="25">
        <v>127887066</v>
      </c>
      <c r="N14" s="25">
        <f t="shared" si="3"/>
        <v>130390986</v>
      </c>
      <c r="O14" s="26">
        <f t="shared" si="4"/>
        <v>0.97652732629690764</v>
      </c>
      <c r="P14" s="31"/>
      <c r="Q14" s="31"/>
    </row>
    <row r="15" spans="1:17" ht="14.25" x14ac:dyDescent="0.2">
      <c r="A15" s="21" t="s">
        <v>27</v>
      </c>
      <c r="B15" s="22">
        <v>4964001.7180080004</v>
      </c>
      <c r="C15" s="22">
        <v>1472073.6968399999</v>
      </c>
      <c r="D15" s="22">
        <v>632640</v>
      </c>
      <c r="E15" s="22">
        <v>5609012.5387920002</v>
      </c>
      <c r="F15" s="22">
        <v>1272513.0486719999</v>
      </c>
      <c r="G15" s="23">
        <f t="shared" si="1"/>
        <v>13950241.002311999</v>
      </c>
      <c r="H15" s="22">
        <v>2072780.4725039999</v>
      </c>
      <c r="I15" s="24">
        <f t="shared" si="2"/>
        <v>16023021.474815998</v>
      </c>
      <c r="J15" s="25">
        <v>24723.999999999767</v>
      </c>
      <c r="K15" s="25">
        <v>57037</v>
      </c>
      <c r="L15" s="25">
        <v>0</v>
      </c>
      <c r="M15" s="25">
        <v>14816470</v>
      </c>
      <c r="N15" s="25">
        <f t="shared" si="3"/>
        <v>14898231</v>
      </c>
      <c r="O15" s="26">
        <f t="shared" si="4"/>
        <v>0.9298015997429776</v>
      </c>
      <c r="P15" s="31"/>
      <c r="Q15" s="31"/>
    </row>
    <row r="16" spans="1:17" ht="14.25" x14ac:dyDescent="0.2">
      <c r="A16" s="21" t="s">
        <v>28</v>
      </c>
      <c r="B16" s="22">
        <v>120002802.54184006</v>
      </c>
      <c r="C16" s="22">
        <v>45030583.708657227</v>
      </c>
      <c r="D16" s="22">
        <v>27334990.26931183</v>
      </c>
      <c r="E16" s="22">
        <v>134384452.70803204</v>
      </c>
      <c r="F16" s="22">
        <v>40823766.529686794</v>
      </c>
      <c r="G16" s="23">
        <f t="shared" si="1"/>
        <v>367576595.75752801</v>
      </c>
      <c r="H16" s="22">
        <v>46827704.255666256</v>
      </c>
      <c r="I16" s="24">
        <f t="shared" si="2"/>
        <v>414404300.01319426</v>
      </c>
      <c r="J16" s="25">
        <v>100213784</v>
      </c>
      <c r="K16" s="25">
        <v>100311208</v>
      </c>
      <c r="L16" s="25">
        <v>103401120.40313356</v>
      </c>
      <c r="M16" s="25">
        <v>99656229</v>
      </c>
      <c r="N16" s="25">
        <f t="shared" si="3"/>
        <v>403582341.40313357</v>
      </c>
      <c r="O16" s="26">
        <f t="shared" si="4"/>
        <v>0.97388550599084966</v>
      </c>
    </row>
    <row r="17" spans="1:15" ht="14.25" x14ac:dyDescent="0.2">
      <c r="A17" s="21" t="s">
        <v>29</v>
      </c>
      <c r="B17" s="22">
        <v>22574789.033676535</v>
      </c>
      <c r="C17" s="22">
        <v>8568277.7487693354</v>
      </c>
      <c r="D17" s="22">
        <v>5201215.9203333333</v>
      </c>
      <c r="E17" s="22">
        <v>25092687.103710134</v>
      </c>
      <c r="F17" s="22">
        <v>7767817.8155621337</v>
      </c>
      <c r="G17" s="23">
        <f t="shared" si="1"/>
        <v>69204787.622051477</v>
      </c>
      <c r="H17" s="22">
        <v>8175528.7841549339</v>
      </c>
      <c r="I17" s="24">
        <f t="shared" si="2"/>
        <v>77380316.406206414</v>
      </c>
      <c r="J17" s="25">
        <v>18990420</v>
      </c>
      <c r="K17" s="25">
        <v>18966200.157343999</v>
      </c>
      <c r="L17" s="25">
        <v>19385490</v>
      </c>
      <c r="M17" s="25">
        <v>19338480</v>
      </c>
      <c r="N17" s="25">
        <f t="shared" si="3"/>
        <v>76680590.157343999</v>
      </c>
      <c r="O17" s="26">
        <f t="shared" si="4"/>
        <v>0.99095730954123762</v>
      </c>
    </row>
    <row r="18" spans="1:15" ht="14.25" x14ac:dyDescent="0.2">
      <c r="A18" s="21" t="s">
        <v>30</v>
      </c>
      <c r="B18" s="22">
        <v>28218486.292095672</v>
      </c>
      <c r="C18" s="22">
        <v>10710347.185961666</v>
      </c>
      <c r="D18" s="22">
        <v>6501519.9004166676</v>
      </c>
      <c r="E18" s="22">
        <v>31365858.879637673</v>
      </c>
      <c r="F18" s="22">
        <v>9709772.2694526669</v>
      </c>
      <c r="G18" s="23">
        <f t="shared" si="1"/>
        <v>86505984.527564347</v>
      </c>
      <c r="H18" s="22">
        <v>10219410.980193667</v>
      </c>
      <c r="I18" s="24">
        <f t="shared" si="2"/>
        <v>96725395.507758021</v>
      </c>
      <c r="J18" s="25">
        <v>23736360</v>
      </c>
      <c r="K18" s="25">
        <v>23705959.696680002</v>
      </c>
      <c r="L18" s="25">
        <v>24230140</v>
      </c>
      <c r="M18" s="25">
        <v>24171340</v>
      </c>
      <c r="N18" s="25">
        <f t="shared" si="3"/>
        <v>95843799.696680009</v>
      </c>
      <c r="O18" s="26">
        <f t="shared" si="4"/>
        <v>0.99088558070556243</v>
      </c>
    </row>
    <row r="19" spans="1:15" ht="15" x14ac:dyDescent="0.25">
      <c r="A19" s="32" t="s">
        <v>31</v>
      </c>
      <c r="B19" s="33">
        <f>SUM(B9:B18)</f>
        <v>950545102.02003372</v>
      </c>
      <c r="C19" s="33">
        <f>SUM(C9:C18)</f>
        <v>345037177.40196157</v>
      </c>
      <c r="D19" s="33">
        <f>SUM(D9:D18)</f>
        <v>217261513.42339516</v>
      </c>
      <c r="E19" s="33">
        <f>SUM(E9:E18)</f>
        <v>977937166.03942537</v>
      </c>
      <c r="F19" s="33">
        <f>SUM(F9:F18)</f>
        <v>314660751.0689736</v>
      </c>
      <c r="G19" s="33">
        <f t="shared" si="1"/>
        <v>2805441709.9537892</v>
      </c>
      <c r="H19" s="33">
        <f t="shared" ref="H19:M19" si="5">SUM(H9:H18)</f>
        <v>463195325.3160919</v>
      </c>
      <c r="I19" s="33">
        <f t="shared" si="5"/>
        <v>3268637035.2698808</v>
      </c>
      <c r="J19" s="33">
        <f t="shared" si="5"/>
        <v>679456627.99999988</v>
      </c>
      <c r="K19" s="34">
        <f t="shared" si="5"/>
        <v>775641663.85402393</v>
      </c>
      <c r="L19" s="34">
        <f t="shared" si="5"/>
        <v>719046465.40313351</v>
      </c>
      <c r="M19" s="34">
        <f t="shared" si="5"/>
        <v>967329030</v>
      </c>
      <c r="N19" s="34">
        <f t="shared" si="3"/>
        <v>3141473787.2571573</v>
      </c>
      <c r="O19" s="35">
        <f t="shared" si="4"/>
        <v>0.96109594101743878</v>
      </c>
    </row>
    <row r="20" spans="1:15" ht="15" x14ac:dyDescent="0.25">
      <c r="A20" s="13" t="s">
        <v>32</v>
      </c>
      <c r="B20" s="24"/>
      <c r="C20" s="24"/>
      <c r="D20" s="24"/>
      <c r="E20" s="24"/>
      <c r="F20" s="24"/>
      <c r="G20" s="24"/>
      <c r="H20" s="33"/>
      <c r="I20" s="24"/>
      <c r="J20" s="25"/>
      <c r="K20" s="25"/>
      <c r="L20" s="25"/>
      <c r="M20" s="25"/>
      <c r="N20" s="25"/>
      <c r="O20" s="26"/>
    </row>
    <row r="21" spans="1:15" ht="14.25" x14ac:dyDescent="0.2">
      <c r="A21" s="36" t="s">
        <v>33</v>
      </c>
      <c r="B21" s="37">
        <f>322685800+123065063</f>
        <v>445750863</v>
      </c>
      <c r="C21" s="37">
        <v>4000000</v>
      </c>
      <c r="D21" s="38">
        <v>0</v>
      </c>
      <c r="E21" s="37">
        <v>30400000</v>
      </c>
      <c r="F21" s="38">
        <v>6116400.0000000009</v>
      </c>
      <c r="G21" s="38">
        <f t="shared" ref="G21:G35" si="6">+B21+C21+E21+F21+D21</f>
        <v>486267263</v>
      </c>
      <c r="H21" s="24">
        <v>77932896.557400003</v>
      </c>
      <c r="I21" s="22">
        <f>+H21+G21</f>
        <v>564200159.55739999</v>
      </c>
      <c r="J21" s="25">
        <v>80381502</v>
      </c>
      <c r="K21" s="25">
        <v>178394307</v>
      </c>
      <c r="L21" s="25">
        <v>146288880</v>
      </c>
      <c r="M21" s="25">
        <v>152965155</v>
      </c>
      <c r="N21" s="25">
        <f t="shared" si="3"/>
        <v>558029844</v>
      </c>
      <c r="O21" s="16">
        <f t="shared" si="4"/>
        <v>0.98906360543704841</v>
      </c>
    </row>
    <row r="22" spans="1:15" ht="14.25" x14ac:dyDescent="0.2">
      <c r="A22" s="36" t="s">
        <v>34</v>
      </c>
      <c r="B22" s="22">
        <v>29138175.212128002</v>
      </c>
      <c r="C22" s="37">
        <v>2500000</v>
      </c>
      <c r="D22" s="38">
        <v>0</v>
      </c>
      <c r="E22" s="22">
        <v>12000000</v>
      </c>
      <c r="F22" s="38">
        <v>0</v>
      </c>
      <c r="G22" s="38">
        <f t="shared" si="6"/>
        <v>43638175.212127998</v>
      </c>
      <c r="H22" s="24">
        <v>10927571.453400001</v>
      </c>
      <c r="I22" s="22">
        <f t="shared" ref="I22:I35" si="7">+G22+H22</f>
        <v>54565746.665527999</v>
      </c>
      <c r="J22" s="25">
        <v>10070483</v>
      </c>
      <c r="K22" s="25">
        <v>3043395</v>
      </c>
      <c r="L22" s="25">
        <v>8163821</v>
      </c>
      <c r="M22" s="25">
        <v>28731974</v>
      </c>
      <c r="N22" s="25">
        <f t="shared" si="3"/>
        <v>50009673</v>
      </c>
      <c r="O22" s="16">
        <f t="shared" si="4"/>
        <v>0.91650304551946493</v>
      </c>
    </row>
    <row r="23" spans="1:15" ht="14.25" x14ac:dyDescent="0.2">
      <c r="A23" s="36" t="s">
        <v>35</v>
      </c>
      <c r="B23" s="37">
        <v>0</v>
      </c>
      <c r="C23" s="37">
        <v>0</v>
      </c>
      <c r="D23" s="38"/>
      <c r="E23" s="37">
        <v>9600000</v>
      </c>
      <c r="F23" s="38">
        <v>0</v>
      </c>
      <c r="G23" s="38">
        <f t="shared" si="6"/>
        <v>9600000</v>
      </c>
      <c r="H23" s="24">
        <v>18452732.3028</v>
      </c>
      <c r="I23" s="22">
        <f t="shared" si="7"/>
        <v>28052732.3028</v>
      </c>
      <c r="J23" s="25">
        <v>4264762</v>
      </c>
      <c r="K23" s="25">
        <v>5368365</v>
      </c>
      <c r="L23" s="25">
        <v>6654304</v>
      </c>
      <c r="M23" s="25">
        <v>10307448</v>
      </c>
      <c r="N23" s="25">
        <f t="shared" si="3"/>
        <v>26594879</v>
      </c>
      <c r="O23" s="16">
        <f t="shared" si="4"/>
        <v>0.94803168236648061</v>
      </c>
    </row>
    <row r="24" spans="1:15" ht="14.25" x14ac:dyDescent="0.2">
      <c r="A24" s="36" t="s">
        <v>36</v>
      </c>
      <c r="B24" s="22">
        <v>32796615.999552004</v>
      </c>
      <c r="C24" s="37">
        <v>10265000</v>
      </c>
      <c r="D24" s="37">
        <v>6159000</v>
      </c>
      <c r="E24" s="37">
        <f>161871034+30000000</f>
        <v>191871034</v>
      </c>
      <c r="F24" s="38">
        <v>9640256.8230000008</v>
      </c>
      <c r="G24" s="38">
        <f t="shared" si="6"/>
        <v>250731906.82255203</v>
      </c>
      <c r="H24" s="24">
        <v>25485000.000000004</v>
      </c>
      <c r="I24" s="22">
        <f t="shared" si="7"/>
        <v>276216906.82255203</v>
      </c>
      <c r="J24" s="25">
        <v>44040732</v>
      </c>
      <c r="K24" s="25">
        <v>44541593</v>
      </c>
      <c r="L24" s="25">
        <v>53184577</v>
      </c>
      <c r="M24" s="25">
        <v>80380427</v>
      </c>
      <c r="N24" s="25">
        <f t="shared" si="3"/>
        <v>222147329</v>
      </c>
      <c r="O24" s="16">
        <f t="shared" si="4"/>
        <v>0.80424957166981981</v>
      </c>
    </row>
    <row r="25" spans="1:15" ht="14.25" x14ac:dyDescent="0.2">
      <c r="A25" s="36" t="s">
        <v>37</v>
      </c>
      <c r="B25" s="37">
        <v>2242680</v>
      </c>
      <c r="C25" s="37">
        <v>2463600</v>
      </c>
      <c r="D25" s="37">
        <v>2053000</v>
      </c>
      <c r="E25" s="37">
        <v>2160000</v>
      </c>
      <c r="F25" s="38">
        <v>2324232</v>
      </c>
      <c r="G25" s="38">
        <f t="shared" si="6"/>
        <v>11243512</v>
      </c>
      <c r="H25" s="24">
        <v>4376177.1630000006</v>
      </c>
      <c r="I25" s="22">
        <f t="shared" si="7"/>
        <v>15619689.163000001</v>
      </c>
      <c r="J25" s="25">
        <v>1828450.0000000002</v>
      </c>
      <c r="K25" s="25">
        <v>2753940</v>
      </c>
      <c r="L25" s="25">
        <v>1992200.0000000002</v>
      </c>
      <c r="M25" s="25">
        <v>3815892.9999999995</v>
      </c>
      <c r="N25" s="25">
        <f t="shared" si="3"/>
        <v>10390483</v>
      </c>
      <c r="O25" s="16">
        <f t="shared" si="4"/>
        <v>0.66521701498471741</v>
      </c>
    </row>
    <row r="26" spans="1:15" ht="14.25" x14ac:dyDescent="0.2">
      <c r="A26" s="21" t="s">
        <v>38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f t="shared" si="6"/>
        <v>0</v>
      </c>
      <c r="H26" s="22">
        <v>25000000</v>
      </c>
      <c r="I26" s="22">
        <f t="shared" si="7"/>
        <v>25000000</v>
      </c>
      <c r="J26" s="25">
        <v>11755300</v>
      </c>
      <c r="K26" s="25">
        <v>1465600</v>
      </c>
      <c r="L26" s="25">
        <v>0</v>
      </c>
      <c r="M26" s="25">
        <v>11445256</v>
      </c>
      <c r="N26" s="25">
        <f t="shared" si="3"/>
        <v>24666156</v>
      </c>
      <c r="O26" s="16">
        <f t="shared" si="4"/>
        <v>0.98664624000000001</v>
      </c>
    </row>
    <row r="27" spans="1:15" ht="14.25" x14ac:dyDescent="0.2">
      <c r="A27" s="36" t="s">
        <v>39</v>
      </c>
      <c r="B27" s="37">
        <v>5971270.060800001</v>
      </c>
      <c r="C27" s="37">
        <v>5971270.060800001</v>
      </c>
      <c r="D27" s="38">
        <v>5971270.060800001</v>
      </c>
      <c r="E27" s="37">
        <v>5971270.060800001</v>
      </c>
      <c r="F27" s="38">
        <v>5971270.060800001</v>
      </c>
      <c r="G27" s="38">
        <f t="shared" si="6"/>
        <v>29856350.304000005</v>
      </c>
      <c r="H27" s="24">
        <v>21158609.313600004</v>
      </c>
      <c r="I27" s="22">
        <f t="shared" si="7"/>
        <v>51014959.617600009</v>
      </c>
      <c r="J27" s="25">
        <v>6868952.0000000019</v>
      </c>
      <c r="K27" s="25">
        <v>11942544</v>
      </c>
      <c r="L27" s="25">
        <v>8956906.5152000003</v>
      </c>
      <c r="M27" s="25">
        <v>20378092</v>
      </c>
      <c r="N27" s="25">
        <f t="shared" si="3"/>
        <v>48146494.515200004</v>
      </c>
      <c r="O27" s="16">
        <f t="shared" si="4"/>
        <v>0.94377207932924845</v>
      </c>
    </row>
    <row r="28" spans="1:15" ht="14.25" x14ac:dyDescent="0.2">
      <c r="A28" s="39" t="s">
        <v>40</v>
      </c>
      <c r="B28" s="37">
        <v>6000000</v>
      </c>
      <c r="C28" s="37">
        <v>1000000</v>
      </c>
      <c r="D28" s="38">
        <v>5000000</v>
      </c>
      <c r="E28" s="37">
        <v>36000000</v>
      </c>
      <c r="F28" s="38">
        <v>0</v>
      </c>
      <c r="G28" s="38">
        <f t="shared" si="6"/>
        <v>48000000</v>
      </c>
      <c r="H28" s="24">
        <v>22000000</v>
      </c>
      <c r="I28" s="22">
        <f t="shared" si="7"/>
        <v>70000000</v>
      </c>
      <c r="J28" s="25">
        <v>4568330</v>
      </c>
      <c r="K28" s="25">
        <v>3326136</v>
      </c>
      <c r="L28" s="25">
        <v>10519169</v>
      </c>
      <c r="M28" s="25">
        <v>30264040</v>
      </c>
      <c r="N28" s="25">
        <f t="shared" si="3"/>
        <v>48677675</v>
      </c>
      <c r="O28" s="16">
        <f t="shared" si="4"/>
        <v>0.69539535714285716</v>
      </c>
    </row>
    <row r="29" spans="1:15" ht="14.25" x14ac:dyDescent="0.2">
      <c r="A29" s="36" t="s">
        <v>41</v>
      </c>
      <c r="B29" s="37">
        <v>0</v>
      </c>
      <c r="C29" s="37">
        <v>0</v>
      </c>
      <c r="D29" s="38"/>
      <c r="E29" s="37">
        <v>57600000</v>
      </c>
      <c r="F29" s="38">
        <v>0</v>
      </c>
      <c r="G29" s="38">
        <f t="shared" si="6"/>
        <v>57600000</v>
      </c>
      <c r="H29" s="22">
        <v>87550663</v>
      </c>
      <c r="I29" s="22">
        <f t="shared" si="7"/>
        <v>145150663</v>
      </c>
      <c r="J29" s="25">
        <v>26037832</v>
      </c>
      <c r="K29" s="25">
        <v>30907772</v>
      </c>
      <c r="L29" s="25">
        <v>35616448.75</v>
      </c>
      <c r="M29" s="25">
        <v>29481014</v>
      </c>
      <c r="N29" s="25">
        <f t="shared" si="3"/>
        <v>122043066.75</v>
      </c>
      <c r="O29" s="16">
        <f t="shared" si="4"/>
        <v>0.84080268203804209</v>
      </c>
    </row>
    <row r="30" spans="1:15" ht="14.25" x14ac:dyDescent="0.2">
      <c r="A30" s="36" t="s">
        <v>42</v>
      </c>
      <c r="B30" s="22">
        <v>12000000</v>
      </c>
      <c r="C30" s="22">
        <v>15773199</v>
      </c>
      <c r="D30" s="24">
        <v>7493450</v>
      </c>
      <c r="E30" s="22">
        <f>202291936.696+61000000</f>
        <v>263291936.69600001</v>
      </c>
      <c r="F30" s="38">
        <v>20388000</v>
      </c>
      <c r="G30" s="38">
        <f t="shared" si="6"/>
        <v>318946585.69599998</v>
      </c>
      <c r="H30" s="24">
        <v>25000000</v>
      </c>
      <c r="I30" s="22">
        <f t="shared" si="7"/>
        <v>343946585.69599998</v>
      </c>
      <c r="J30" s="25">
        <v>63562642</v>
      </c>
      <c r="K30" s="25">
        <v>72255744</v>
      </c>
      <c r="L30" s="25">
        <v>94267737</v>
      </c>
      <c r="M30" s="25">
        <v>90384059</v>
      </c>
      <c r="N30" s="25">
        <f t="shared" si="3"/>
        <v>320470182</v>
      </c>
      <c r="O30" s="16">
        <f t="shared" si="4"/>
        <v>0.93174404203346328</v>
      </c>
    </row>
    <row r="31" spans="1:15" ht="14.25" x14ac:dyDescent="0.2">
      <c r="A31" s="36" t="s">
        <v>43</v>
      </c>
      <c r="B31" s="37">
        <v>0</v>
      </c>
      <c r="C31" s="37">
        <v>0</v>
      </c>
      <c r="D31" s="38"/>
      <c r="E31" s="37">
        <v>0</v>
      </c>
      <c r="F31" s="38">
        <v>0</v>
      </c>
      <c r="G31" s="38">
        <f t="shared" si="6"/>
        <v>0</v>
      </c>
      <c r="H31" s="24">
        <v>8225132.878800001</v>
      </c>
      <c r="I31" s="22">
        <f t="shared" si="7"/>
        <v>8225132.878800001</v>
      </c>
      <c r="J31" s="25">
        <v>3785686</v>
      </c>
      <c r="K31" s="25">
        <v>1399253</v>
      </c>
      <c r="L31" s="25">
        <v>1382688</v>
      </c>
      <c r="M31" s="25">
        <v>1490399</v>
      </c>
      <c r="N31" s="25">
        <f t="shared" si="3"/>
        <v>8058026</v>
      </c>
      <c r="O31" s="16">
        <f t="shared" si="4"/>
        <v>0.97968338247389131</v>
      </c>
    </row>
    <row r="32" spans="1:15" ht="14.25" x14ac:dyDescent="0.2">
      <c r="A32" s="36" t="s">
        <v>44</v>
      </c>
      <c r="B32" s="22">
        <v>9398460.2400000002</v>
      </c>
      <c r="C32" s="22">
        <v>3654956.7600000002</v>
      </c>
      <c r="D32" s="24">
        <v>1566410.04</v>
      </c>
      <c r="E32" s="22">
        <v>7309098.0000000009</v>
      </c>
      <c r="F32" s="24">
        <v>9398460.2400000002</v>
      </c>
      <c r="G32" s="38">
        <f t="shared" si="6"/>
        <v>31327385.280000001</v>
      </c>
      <c r="H32" s="24">
        <v>26628970.680000003</v>
      </c>
      <c r="I32" s="22">
        <f t="shared" si="7"/>
        <v>57956355.960000008</v>
      </c>
      <c r="J32" s="25">
        <v>11814935.120000001</v>
      </c>
      <c r="K32" s="25">
        <v>12725331.120000001</v>
      </c>
      <c r="L32" s="25">
        <v>13441056.5</v>
      </c>
      <c r="M32" s="25">
        <v>16719957</v>
      </c>
      <c r="N32" s="25">
        <f t="shared" si="3"/>
        <v>54701279.740000002</v>
      </c>
      <c r="O32" s="16">
        <f t="shared" si="4"/>
        <v>0.94383573352599015</v>
      </c>
    </row>
    <row r="33" spans="1:15" ht="14.25" x14ac:dyDescent="0.2">
      <c r="A33" s="36" t="s">
        <v>45</v>
      </c>
      <c r="B33" s="37">
        <v>3000000</v>
      </c>
      <c r="C33" s="37">
        <v>0</v>
      </c>
      <c r="D33" s="38"/>
      <c r="E33" s="37">
        <v>7970880</v>
      </c>
      <c r="F33" s="38">
        <v>18000000</v>
      </c>
      <c r="G33" s="38">
        <f t="shared" si="6"/>
        <v>28970880</v>
      </c>
      <c r="H33" s="24">
        <v>47026034.165400006</v>
      </c>
      <c r="I33" s="22">
        <f t="shared" si="7"/>
        <v>75996914.165399998</v>
      </c>
      <c r="J33" s="25">
        <v>13314310</v>
      </c>
      <c r="K33" s="25">
        <v>18237712</v>
      </c>
      <c r="L33" s="25">
        <v>18724223</v>
      </c>
      <c r="M33" s="25">
        <v>21564949</v>
      </c>
      <c r="N33" s="25">
        <f t="shared" si="3"/>
        <v>71841194</v>
      </c>
      <c r="O33" s="16">
        <f t="shared" si="4"/>
        <v>0.94531725121949728</v>
      </c>
    </row>
    <row r="34" spans="1:15" ht="14.25" x14ac:dyDescent="0.2">
      <c r="A34" s="36" t="s">
        <v>46</v>
      </c>
      <c r="B34" s="37">
        <v>0</v>
      </c>
      <c r="C34" s="37">
        <v>0</v>
      </c>
      <c r="D34" s="38"/>
      <c r="E34" s="38">
        <v>0</v>
      </c>
      <c r="F34" s="38">
        <v>0</v>
      </c>
      <c r="G34" s="38">
        <f t="shared" si="6"/>
        <v>0</v>
      </c>
      <c r="H34" s="24">
        <v>44009060.740200005</v>
      </c>
      <c r="I34" s="22">
        <f t="shared" si="7"/>
        <v>44009060.740200005</v>
      </c>
      <c r="J34" s="25">
        <v>0</v>
      </c>
      <c r="K34" s="25">
        <v>0</v>
      </c>
      <c r="L34" s="25">
        <v>42517332.999999993</v>
      </c>
      <c r="M34" s="25">
        <v>811535.99999999988</v>
      </c>
      <c r="N34" s="25">
        <f t="shared" si="3"/>
        <v>43328868.999999993</v>
      </c>
      <c r="O34" s="16">
        <f t="shared" si="4"/>
        <v>0.98454427954699131</v>
      </c>
    </row>
    <row r="35" spans="1:15" ht="14.25" x14ac:dyDescent="0.2">
      <c r="A35" s="36" t="s">
        <v>47</v>
      </c>
      <c r="B35" s="37">
        <v>0</v>
      </c>
      <c r="C35" s="38">
        <v>0</v>
      </c>
      <c r="D35" s="38"/>
      <c r="E35" s="37">
        <v>0</v>
      </c>
      <c r="F35" s="38">
        <v>0</v>
      </c>
      <c r="G35" s="38">
        <f t="shared" si="6"/>
        <v>0</v>
      </c>
      <c r="H35" s="24">
        <v>20202139.933800001</v>
      </c>
      <c r="I35" s="22">
        <f t="shared" si="7"/>
        <v>20202139.933800001</v>
      </c>
      <c r="J35" s="25">
        <v>7685051.9669000003</v>
      </c>
      <c r="K35" s="25">
        <v>1400392</v>
      </c>
      <c r="L35" s="25">
        <v>4189164</v>
      </c>
      <c r="M35" s="25">
        <v>2591516</v>
      </c>
      <c r="N35" s="25">
        <f t="shared" si="3"/>
        <v>15866123.9669</v>
      </c>
      <c r="O35" s="16">
        <f t="shared" si="4"/>
        <v>0.78536848170002749</v>
      </c>
    </row>
    <row r="36" spans="1:15" ht="15" x14ac:dyDescent="0.25">
      <c r="A36" s="32" t="s">
        <v>48</v>
      </c>
      <c r="B36" s="40">
        <f t="shared" ref="B36:I36" si="8">SUM(B21:B35)</f>
        <v>546298064.51248002</v>
      </c>
      <c r="C36" s="40">
        <f t="shared" si="8"/>
        <v>45628025.820799999</v>
      </c>
      <c r="D36" s="40">
        <f t="shared" si="8"/>
        <v>28243130.1008</v>
      </c>
      <c r="E36" s="40">
        <f t="shared" si="8"/>
        <v>624174218.75680006</v>
      </c>
      <c r="F36" s="40">
        <f t="shared" si="8"/>
        <v>71838619.123800009</v>
      </c>
      <c r="G36" s="41">
        <f t="shared" si="8"/>
        <v>1316182058.3146799</v>
      </c>
      <c r="H36" s="40">
        <f t="shared" si="8"/>
        <v>463974988.18839997</v>
      </c>
      <c r="I36" s="40">
        <f t="shared" si="8"/>
        <v>1780157046.5030801</v>
      </c>
      <c r="J36" s="40">
        <f>SUM(J21:J35)</f>
        <v>289978968.0869</v>
      </c>
      <c r="K36" s="34">
        <f>SUM(K21:K35)</f>
        <v>387762084.12</v>
      </c>
      <c r="L36" s="34">
        <f>SUM(L21:L35)</f>
        <v>445898507.76520002</v>
      </c>
      <c r="M36" s="34">
        <f>SUM(M21:M35)</f>
        <v>501331715</v>
      </c>
      <c r="N36" s="34">
        <f t="shared" si="3"/>
        <v>1624971274.9721</v>
      </c>
      <c r="O36" s="42">
        <f t="shared" si="4"/>
        <v>0.91282467362313613</v>
      </c>
    </row>
    <row r="37" spans="1:15" ht="15" x14ac:dyDescent="0.25">
      <c r="A37" s="43" t="s">
        <v>49</v>
      </c>
      <c r="B37" s="44">
        <f>+B36+B19</f>
        <v>1496843166.5325136</v>
      </c>
      <c r="C37" s="44">
        <f>+C36+C19</f>
        <v>390665203.22276157</v>
      </c>
      <c r="D37" s="44">
        <f>+D36+D19</f>
        <v>245504643.52419516</v>
      </c>
      <c r="E37" s="44">
        <f>+E36+E19</f>
        <v>1602111384.7962255</v>
      </c>
      <c r="F37" s="44">
        <f>+F36+F19</f>
        <v>386499370.19277358</v>
      </c>
      <c r="G37" s="45">
        <f>+B37+C37+E37+F37+D37</f>
        <v>4121623768.2684693</v>
      </c>
      <c r="H37" s="44">
        <f t="shared" ref="H37:M37" si="9">+H36+H19</f>
        <v>927170313.50449181</v>
      </c>
      <c r="I37" s="44">
        <f t="shared" si="9"/>
        <v>5048794081.7729607</v>
      </c>
      <c r="J37" s="44">
        <f t="shared" si="9"/>
        <v>969435596.08689988</v>
      </c>
      <c r="K37" s="46">
        <f t="shared" si="9"/>
        <v>1163403747.9740238</v>
      </c>
      <c r="L37" s="46">
        <f t="shared" si="9"/>
        <v>1164944973.1683335</v>
      </c>
      <c r="M37" s="46">
        <f t="shared" si="9"/>
        <v>1468660745</v>
      </c>
      <c r="N37" s="46">
        <f t="shared" si="3"/>
        <v>4766445062.2292576</v>
      </c>
      <c r="O37" s="47">
        <f t="shared" si="4"/>
        <v>0.94407594863830291</v>
      </c>
    </row>
    <row r="38" spans="1:15" ht="14.25" x14ac:dyDescent="0.2">
      <c r="A38" s="48"/>
      <c r="B38" s="49"/>
      <c r="C38" s="49"/>
      <c r="D38" s="49"/>
      <c r="E38" s="49"/>
      <c r="F38" s="49"/>
      <c r="G38" s="49"/>
      <c r="H38" s="49"/>
      <c r="I38" s="49"/>
      <c r="J38" s="50"/>
      <c r="K38" s="50"/>
      <c r="L38" s="50"/>
      <c r="M38" s="50"/>
      <c r="N38" s="50"/>
      <c r="O38" s="51"/>
    </row>
    <row r="39" spans="1:15" ht="15" x14ac:dyDescent="0.25">
      <c r="A39" s="52" t="s">
        <v>50</v>
      </c>
      <c r="B39" s="53">
        <f>+B41+B118+B155+B162</f>
        <v>2207612672.1877999</v>
      </c>
      <c r="C39" s="53">
        <f>+C41+C46+C85+C118+C141+C155+C162+C172</f>
        <v>1341465485.488276</v>
      </c>
      <c r="D39" s="53">
        <f>+D41+D46+D85+D118+D141+D155+D162+D172</f>
        <v>765218885</v>
      </c>
      <c r="E39" s="53">
        <f>+E41+E46+E85+E118+E141+E155+E162+E172</f>
        <v>5383730331.8923998</v>
      </c>
      <c r="F39" s="53">
        <f>+F41+F46+F85+F118+F141+F155+F162+F172</f>
        <v>6104669626.9136</v>
      </c>
      <c r="G39" s="53">
        <f>+B39+C39+E39+F39+D39</f>
        <v>15802697001.482075</v>
      </c>
      <c r="H39" s="53">
        <v>0</v>
      </c>
      <c r="I39" s="53">
        <f>+H39+G39</f>
        <v>15802697001.482075</v>
      </c>
      <c r="J39" s="54">
        <f>+J41+J46+J85++J118+J141+J155+J162+J172</f>
        <v>2846800230.7351999</v>
      </c>
      <c r="K39" s="54">
        <f>+K41+K46+K85++K118+K141+K155+K162+K172</f>
        <v>4090899181.0251999</v>
      </c>
      <c r="L39" s="54">
        <f>+L41+L46+L85++L118+L141+L155+L162+L172</f>
        <v>4906089639.5</v>
      </c>
      <c r="M39" s="54">
        <f>+M41+M46+M85++M118+M141+M155+M162+M172</f>
        <v>3644520865</v>
      </c>
      <c r="N39" s="54">
        <f t="shared" si="3"/>
        <v>15488309916.260399</v>
      </c>
      <c r="O39" s="55">
        <f t="shared" si="4"/>
        <v>0.98010547913484702</v>
      </c>
    </row>
    <row r="40" spans="1:15" ht="15" x14ac:dyDescent="0.25">
      <c r="A40" s="32"/>
      <c r="B40" s="40"/>
      <c r="C40" s="40"/>
      <c r="D40" s="40"/>
      <c r="E40" s="40"/>
      <c r="F40" s="40"/>
      <c r="G40" s="40"/>
      <c r="H40" s="40"/>
      <c r="I40" s="40"/>
      <c r="J40" s="34"/>
      <c r="K40" s="34"/>
      <c r="L40" s="34"/>
      <c r="M40" s="34"/>
      <c r="N40" s="34"/>
      <c r="O40" s="42"/>
    </row>
    <row r="41" spans="1:15" s="60" customFormat="1" ht="15" x14ac:dyDescent="0.25">
      <c r="A41" s="56" t="s">
        <v>51</v>
      </c>
      <c r="B41" s="57">
        <f>+B42</f>
        <v>106989971.18940002</v>
      </c>
      <c r="C41" s="57"/>
      <c r="D41" s="57"/>
      <c r="E41" s="57"/>
      <c r="F41" s="57"/>
      <c r="G41" s="57">
        <f>+G42</f>
        <v>106989971.18940002</v>
      </c>
      <c r="H41" s="57"/>
      <c r="I41" s="57">
        <f>+I42</f>
        <v>106989971.18940002</v>
      </c>
      <c r="J41" s="58">
        <f>+J42</f>
        <v>20443107.735200003</v>
      </c>
      <c r="K41" s="58">
        <f>+K42</f>
        <v>26329357.735200003</v>
      </c>
      <c r="L41" s="58">
        <f>+L42</f>
        <v>27815534</v>
      </c>
      <c r="M41" s="58">
        <f>+M42</f>
        <v>30935335</v>
      </c>
      <c r="N41" s="58">
        <f t="shared" si="3"/>
        <v>105523334.47040001</v>
      </c>
      <c r="O41" s="59">
        <f t="shared" si="4"/>
        <v>0.98629182994727904</v>
      </c>
    </row>
    <row r="42" spans="1:15" s="64" customFormat="1" ht="15" x14ac:dyDescent="0.25">
      <c r="A42" s="61" t="s">
        <v>52</v>
      </c>
      <c r="B42" s="33">
        <f>+SUM(B43:B45)</f>
        <v>106989971.18940002</v>
      </c>
      <c r="C42" s="33"/>
      <c r="D42" s="33"/>
      <c r="E42" s="33"/>
      <c r="F42" s="33"/>
      <c r="G42" s="33">
        <f>+SUM(G43:G45)</f>
        <v>106989971.18940002</v>
      </c>
      <c r="H42" s="33"/>
      <c r="I42" s="33">
        <f>+SUM(I43:I45)</f>
        <v>106989971.18940002</v>
      </c>
      <c r="J42" s="62">
        <f>+SUM(J43:J45)</f>
        <v>20443107.735200003</v>
      </c>
      <c r="K42" s="62">
        <f>+SUM(K43:K45)</f>
        <v>26329357.735200003</v>
      </c>
      <c r="L42" s="62">
        <f>+SUM(L43:L45)</f>
        <v>27815534</v>
      </c>
      <c r="M42" s="62">
        <f>+SUM(M43:M45)</f>
        <v>30935335</v>
      </c>
      <c r="N42" s="62">
        <f t="shared" si="3"/>
        <v>105523334.47040001</v>
      </c>
      <c r="O42" s="63">
        <f t="shared" si="4"/>
        <v>0.98629182994727904</v>
      </c>
    </row>
    <row r="43" spans="1:15" s="64" customFormat="1" ht="15" hidden="1" outlineLevel="1" x14ac:dyDescent="0.25">
      <c r="A43" s="65" t="s">
        <v>53</v>
      </c>
      <c r="B43" s="22">
        <v>38291550.940800004</v>
      </c>
      <c r="C43" s="33"/>
      <c r="D43" s="33"/>
      <c r="E43" s="33"/>
      <c r="F43" s="33"/>
      <c r="G43" s="24">
        <f>+B43+C43+D43+E43+F43</f>
        <v>38291550.940800004</v>
      </c>
      <c r="H43" s="33"/>
      <c r="I43" s="30">
        <f>+G43+H43</f>
        <v>38291550.940800004</v>
      </c>
      <c r="J43" s="66">
        <v>9572887.7352000009</v>
      </c>
      <c r="K43" s="66">
        <v>9572888.7352000009</v>
      </c>
      <c r="L43" s="66">
        <v>9572889</v>
      </c>
      <c r="M43" s="66">
        <v>9572889</v>
      </c>
      <c r="N43" s="66">
        <f t="shared" si="3"/>
        <v>38291554.470400006</v>
      </c>
      <c r="O43" s="67">
        <f t="shared" si="4"/>
        <v>1.0000000921769925</v>
      </c>
    </row>
    <row r="44" spans="1:15" s="64" customFormat="1" ht="15" hidden="1" outlineLevel="1" x14ac:dyDescent="0.25">
      <c r="A44" s="65" t="s">
        <v>54</v>
      </c>
      <c r="B44" s="22">
        <f>15000000-15000000</f>
        <v>0</v>
      </c>
      <c r="C44" s="33"/>
      <c r="D44" s="33"/>
      <c r="E44" s="33"/>
      <c r="F44" s="33"/>
      <c r="G44" s="24">
        <f>+B44+C44+D44+E44+F44</f>
        <v>0</v>
      </c>
      <c r="H44" s="33"/>
      <c r="I44" s="30">
        <f>+G44+H44</f>
        <v>0</v>
      </c>
      <c r="J44" s="66">
        <v>0</v>
      </c>
      <c r="K44" s="66">
        <v>0</v>
      </c>
      <c r="L44" s="66">
        <v>0</v>
      </c>
      <c r="M44" s="66"/>
      <c r="N44" s="66">
        <f t="shared" si="3"/>
        <v>0</v>
      </c>
      <c r="O44" s="67">
        <v>0</v>
      </c>
    </row>
    <row r="45" spans="1:15" s="64" customFormat="1" ht="15" hidden="1" outlineLevel="1" x14ac:dyDescent="0.25">
      <c r="A45" s="65" t="s">
        <v>55</v>
      </c>
      <c r="B45" s="22">
        <v>68698420.248600006</v>
      </c>
      <c r="C45" s="33"/>
      <c r="D45" s="33"/>
      <c r="E45" s="33"/>
      <c r="F45" s="33"/>
      <c r="G45" s="24">
        <f>+B45+C45+D45+E45+F45</f>
        <v>68698420.248600006</v>
      </c>
      <c r="H45" s="33"/>
      <c r="I45" s="30">
        <f>+G45+H45</f>
        <v>68698420.248600006</v>
      </c>
      <c r="J45" s="66">
        <v>10870220</v>
      </c>
      <c r="K45" s="66">
        <v>16756469</v>
      </c>
      <c r="L45" s="66">
        <v>18242645</v>
      </c>
      <c r="M45" s="66">
        <v>21362446</v>
      </c>
      <c r="N45" s="66">
        <f t="shared" si="3"/>
        <v>67231780</v>
      </c>
      <c r="O45" s="67">
        <f t="shared" si="4"/>
        <v>0.97865103384775587</v>
      </c>
    </row>
    <row r="46" spans="1:15" s="60" customFormat="1" ht="15" collapsed="1" x14ac:dyDescent="0.25">
      <c r="A46" s="56" t="s">
        <v>56</v>
      </c>
      <c r="B46" s="57"/>
      <c r="C46" s="57"/>
      <c r="D46" s="57"/>
      <c r="E46" s="57"/>
      <c r="F46" s="57">
        <f>+F47+F54+F79+F60+F65+F68+F71</f>
        <v>5838333932.6736002</v>
      </c>
      <c r="G46" s="57">
        <f>+G47+G54+G79+G60+G65+G68+G71</f>
        <v>5838333932.6736002</v>
      </c>
      <c r="H46" s="57"/>
      <c r="I46" s="57">
        <f>+I47+I54+I79+I60+I65+I68+I71</f>
        <v>5838333932.6736002</v>
      </c>
      <c r="J46" s="58">
        <f>+J47+J54+J79+J60+J65+J68+J71</f>
        <v>860987393</v>
      </c>
      <c r="K46" s="58">
        <f>+K47+K54+K79+K60+K65+K68+K71</f>
        <v>1905717029.29</v>
      </c>
      <c r="L46" s="58">
        <f>+L47+L54+L79+L60+L65+L68+L71</f>
        <v>1692385541</v>
      </c>
      <c r="M46" s="58">
        <f>+M47+M54+M79+M60+M65+M68+M71</f>
        <v>1339932840</v>
      </c>
      <c r="N46" s="58">
        <f t="shared" si="3"/>
        <v>5799022803.29</v>
      </c>
      <c r="O46" s="59">
        <f t="shared" si="4"/>
        <v>0.99326672132205396</v>
      </c>
    </row>
    <row r="47" spans="1:15" ht="15" x14ac:dyDescent="0.25">
      <c r="A47" s="61" t="s">
        <v>57</v>
      </c>
      <c r="B47" s="68"/>
      <c r="C47" s="24"/>
      <c r="D47" s="24"/>
      <c r="E47" s="24"/>
      <c r="F47" s="18">
        <f>SUM(F48:F53)</f>
        <v>238724916.01879999</v>
      </c>
      <c r="G47" s="18">
        <f>SUM(G48:G53)</f>
        <v>238724916.01879999</v>
      </c>
      <c r="H47" s="24"/>
      <c r="I47" s="18">
        <f>SUM(I48:I53)</f>
        <v>238724916.01879999</v>
      </c>
      <c r="J47" s="19">
        <f>SUM(J48:J53)</f>
        <v>2095912</v>
      </c>
      <c r="K47" s="19">
        <f>SUM(K48:K53)</f>
        <v>8383648</v>
      </c>
      <c r="L47" s="19">
        <f>SUM(L48:L53)</f>
        <v>126686594</v>
      </c>
      <c r="M47" s="19">
        <f>SUM(M48:M53)</f>
        <v>100563736</v>
      </c>
      <c r="N47" s="19">
        <f t="shared" si="3"/>
        <v>237729890</v>
      </c>
      <c r="O47" s="20">
        <f t="shared" si="4"/>
        <v>0.99583191383876479</v>
      </c>
    </row>
    <row r="48" spans="1:15" ht="15" hidden="1" outlineLevel="1" x14ac:dyDescent="0.25">
      <c r="A48" s="65" t="s">
        <v>58</v>
      </c>
      <c r="B48" s="68"/>
      <c r="C48" s="24"/>
      <c r="D48" s="24"/>
      <c r="E48" s="24"/>
      <c r="F48" s="23">
        <v>41378857.655200005</v>
      </c>
      <c r="G48" s="30">
        <f t="shared" ref="G48:G53" si="10">+B48+C48+D48+E48+F48</f>
        <v>41378857.655200005</v>
      </c>
      <c r="H48" s="24"/>
      <c r="I48" s="30">
        <f t="shared" ref="I48:I53" si="11">+H48+G48</f>
        <v>41378857.655200005</v>
      </c>
      <c r="J48" s="66"/>
      <c r="K48" s="66">
        <v>0</v>
      </c>
      <c r="L48" s="66">
        <v>41378858</v>
      </c>
      <c r="M48" s="66"/>
      <c r="N48" s="66">
        <f t="shared" si="3"/>
        <v>41378858</v>
      </c>
      <c r="O48" s="67">
        <f t="shared" si="4"/>
        <v>1.0000000083327578</v>
      </c>
    </row>
    <row r="49" spans="1:15" ht="15" hidden="1" outlineLevel="1" x14ac:dyDescent="0.25">
      <c r="A49" s="65" t="s">
        <v>59</v>
      </c>
      <c r="B49" s="68"/>
      <c r="C49" s="24"/>
      <c r="D49" s="24"/>
      <c r="E49" s="24"/>
      <c r="F49" s="23">
        <v>75481833.629000008</v>
      </c>
      <c r="G49" s="30">
        <f t="shared" si="10"/>
        <v>75481833.629000008</v>
      </c>
      <c r="H49" s="24"/>
      <c r="I49" s="30">
        <f t="shared" si="11"/>
        <v>75481833.629000008</v>
      </c>
      <c r="J49" s="66"/>
      <c r="K49" s="66">
        <v>0</v>
      </c>
      <c r="L49" s="66">
        <v>0</v>
      </c>
      <c r="M49" s="66">
        <v>75480000</v>
      </c>
      <c r="N49" s="66">
        <f t="shared" si="3"/>
        <v>75480000</v>
      </c>
      <c r="O49" s="67">
        <f t="shared" si="4"/>
        <v>0.9999757076781014</v>
      </c>
    </row>
    <row r="50" spans="1:15" ht="15" hidden="1" outlineLevel="1" x14ac:dyDescent="0.25">
      <c r="A50" s="65" t="s">
        <v>60</v>
      </c>
      <c r="B50" s="68"/>
      <c r="C50" s="24"/>
      <c r="D50" s="24"/>
      <c r="E50" s="24"/>
      <c r="F50" s="23">
        <v>18796920.48</v>
      </c>
      <c r="G50" s="30">
        <f t="shared" si="10"/>
        <v>18796920.48</v>
      </c>
      <c r="H50" s="24"/>
      <c r="I50" s="30">
        <f t="shared" si="11"/>
        <v>18796920.48</v>
      </c>
      <c r="J50" s="66"/>
      <c r="K50" s="66">
        <v>0</v>
      </c>
      <c r="L50" s="66">
        <v>0</v>
      </c>
      <c r="M50" s="66">
        <v>18796000</v>
      </c>
      <c r="N50" s="66">
        <f t="shared" si="3"/>
        <v>18796000</v>
      </c>
      <c r="O50" s="67">
        <f t="shared" si="4"/>
        <v>0.99995103027642318</v>
      </c>
    </row>
    <row r="51" spans="1:15" ht="15" hidden="1" outlineLevel="1" x14ac:dyDescent="0.25">
      <c r="A51" s="65" t="s">
        <v>61</v>
      </c>
      <c r="B51" s="68"/>
      <c r="C51" s="24"/>
      <c r="D51" s="24"/>
      <c r="E51" s="24"/>
      <c r="F51" s="23">
        <f>90000000-43700000-36300000</f>
        <v>10000000</v>
      </c>
      <c r="G51" s="30">
        <f t="shared" si="10"/>
        <v>10000000</v>
      </c>
      <c r="H51" s="24"/>
      <c r="I51" s="30">
        <f t="shared" si="11"/>
        <v>10000000</v>
      </c>
      <c r="J51" s="66"/>
      <c r="K51" s="66">
        <v>0</v>
      </c>
      <c r="L51" s="66">
        <v>10000000</v>
      </c>
      <c r="M51" s="66"/>
      <c r="N51" s="66">
        <f t="shared" si="3"/>
        <v>10000000</v>
      </c>
      <c r="O51" s="67">
        <f t="shared" si="4"/>
        <v>1</v>
      </c>
    </row>
    <row r="52" spans="1:15" ht="15" hidden="1" outlineLevel="1" x14ac:dyDescent="0.25">
      <c r="A52" s="65" t="s">
        <v>62</v>
      </c>
      <c r="B52" s="68"/>
      <c r="C52" s="24"/>
      <c r="D52" s="24"/>
      <c r="E52" s="24"/>
      <c r="F52" s="23">
        <f>16767304.2546+6300000</f>
        <v>23067304.2546</v>
      </c>
      <c r="G52" s="30">
        <f t="shared" si="10"/>
        <v>23067304.2546</v>
      </c>
      <c r="H52" s="24"/>
      <c r="I52" s="30">
        <f t="shared" si="11"/>
        <v>23067304.2546</v>
      </c>
      <c r="J52" s="66">
        <v>2095912</v>
      </c>
      <c r="K52" s="66">
        <v>8383648</v>
      </c>
      <c r="L52" s="66">
        <v>6287736</v>
      </c>
      <c r="M52" s="66">
        <v>6287736</v>
      </c>
      <c r="N52" s="66">
        <f t="shared" si="3"/>
        <v>23055032</v>
      </c>
      <c r="O52" s="67">
        <f t="shared" si="4"/>
        <v>0.99946798054664088</v>
      </c>
    </row>
    <row r="53" spans="1:15" ht="15" hidden="1" outlineLevel="1" x14ac:dyDescent="0.25">
      <c r="A53" s="65" t="s">
        <v>63</v>
      </c>
      <c r="B53" s="68"/>
      <c r="C53" s="24"/>
      <c r="D53" s="24"/>
      <c r="E53" s="24"/>
      <c r="F53" s="23">
        <f>40000000+30000000</f>
        <v>70000000</v>
      </c>
      <c r="G53" s="30">
        <f t="shared" si="10"/>
        <v>70000000</v>
      </c>
      <c r="H53" s="24"/>
      <c r="I53" s="30">
        <f t="shared" si="11"/>
        <v>70000000</v>
      </c>
      <c r="J53" s="66"/>
      <c r="K53" s="66">
        <v>0</v>
      </c>
      <c r="L53" s="66">
        <v>69020000</v>
      </c>
      <c r="M53" s="66"/>
      <c r="N53" s="66">
        <f t="shared" si="3"/>
        <v>69020000</v>
      </c>
      <c r="O53" s="67">
        <f t="shared" si="4"/>
        <v>0.98599999999999999</v>
      </c>
    </row>
    <row r="54" spans="1:15" ht="30" collapsed="1" x14ac:dyDescent="0.25">
      <c r="A54" s="69" t="s">
        <v>64</v>
      </c>
      <c r="B54" s="68"/>
      <c r="C54" s="24"/>
      <c r="D54" s="24"/>
      <c r="E54" s="24"/>
      <c r="F54" s="18">
        <f>SUM(F55:F59)</f>
        <v>609934155.1342001</v>
      </c>
      <c r="G54" s="18">
        <f>SUM(G55:G59)</f>
        <v>609934155.1342001</v>
      </c>
      <c r="H54" s="24"/>
      <c r="I54" s="18">
        <f>SUM(I55:I59)</f>
        <v>609934155.1342001</v>
      </c>
      <c r="J54" s="19">
        <f>SUM(J55:J59)</f>
        <v>162716839</v>
      </c>
      <c r="K54" s="19">
        <f>SUM(K55:K59)</f>
        <v>156120725</v>
      </c>
      <c r="L54" s="19">
        <f>SUM(L55:L59)</f>
        <v>159801011</v>
      </c>
      <c r="M54" s="19">
        <f>SUM(M55:M59)</f>
        <v>127711947</v>
      </c>
      <c r="N54" s="19">
        <f t="shared" si="3"/>
        <v>606350522</v>
      </c>
      <c r="O54" s="20">
        <f t="shared" si="4"/>
        <v>0.99412455737388306</v>
      </c>
    </row>
    <row r="55" spans="1:15" ht="15" hidden="1" outlineLevel="1" x14ac:dyDescent="0.25">
      <c r="A55" s="70" t="s">
        <v>65</v>
      </c>
      <c r="B55" s="68"/>
      <c r="C55" s="24"/>
      <c r="D55" s="24"/>
      <c r="E55" s="24"/>
      <c r="F55" s="23">
        <v>270600000</v>
      </c>
      <c r="G55" s="30">
        <f>+B55+C55+D55+E55+F55</f>
        <v>270600000</v>
      </c>
      <c r="H55" s="24"/>
      <c r="I55" s="30">
        <f>+H55+G55</f>
        <v>270600000</v>
      </c>
      <c r="J55" s="66">
        <v>59406669</v>
      </c>
      <c r="K55" s="66">
        <v>73800000</v>
      </c>
      <c r="L55" s="66">
        <v>73800000</v>
      </c>
      <c r="M55" s="66">
        <v>63593331</v>
      </c>
      <c r="N55" s="66">
        <f t="shared" si="3"/>
        <v>270600000</v>
      </c>
      <c r="O55" s="67">
        <f t="shared" si="4"/>
        <v>1</v>
      </c>
    </row>
    <row r="56" spans="1:15" ht="15" hidden="1" outlineLevel="1" x14ac:dyDescent="0.25">
      <c r="A56" s="70" t="s">
        <v>66</v>
      </c>
      <c r="B56" s="68"/>
      <c r="C56" s="24"/>
      <c r="D56" s="24"/>
      <c r="E56" s="24"/>
      <c r="F56" s="23">
        <v>132000000</v>
      </c>
      <c r="G56" s="30">
        <f>+B56+C56+D56+E56+F56</f>
        <v>132000000</v>
      </c>
      <c r="H56" s="24"/>
      <c r="I56" s="30">
        <f>+H56+G56</f>
        <v>132000000</v>
      </c>
      <c r="J56" s="66">
        <v>22333335</v>
      </c>
      <c r="K56" s="66">
        <v>36000000</v>
      </c>
      <c r="L56" s="66">
        <v>36000000</v>
      </c>
      <c r="M56" s="66">
        <v>37666665</v>
      </c>
      <c r="N56" s="66">
        <f t="shared" si="3"/>
        <v>132000000</v>
      </c>
      <c r="O56" s="67">
        <f t="shared" si="4"/>
        <v>1</v>
      </c>
    </row>
    <row r="57" spans="1:15" ht="15" hidden="1" outlineLevel="1" x14ac:dyDescent="0.25">
      <c r="A57" s="70" t="s">
        <v>67</v>
      </c>
      <c r="B57" s="68"/>
      <c r="C57" s="24"/>
      <c r="D57" s="24"/>
      <c r="E57" s="24"/>
      <c r="F57" s="23">
        <v>150911465.28060001</v>
      </c>
      <c r="G57" s="30">
        <f>+B57+C57+D57+E57+F57</f>
        <v>150911465.28060001</v>
      </c>
      <c r="H57" s="24"/>
      <c r="I57" s="30">
        <f>+H57+G57</f>
        <v>150911465.28060001</v>
      </c>
      <c r="J57" s="66">
        <v>53285904</v>
      </c>
      <c r="K57" s="66">
        <v>36591694</v>
      </c>
      <c r="L57" s="66">
        <v>41717737</v>
      </c>
      <c r="M57" s="66">
        <v>18581641</v>
      </c>
      <c r="N57" s="66">
        <f t="shared" si="3"/>
        <v>150176976</v>
      </c>
      <c r="O57" s="67">
        <f t="shared" si="4"/>
        <v>0.9951329789341431</v>
      </c>
    </row>
    <row r="58" spans="1:15" ht="15" hidden="1" outlineLevel="1" x14ac:dyDescent="0.25">
      <c r="A58" s="70" t="s">
        <v>68</v>
      </c>
      <c r="B58" s="68"/>
      <c r="C58" s="24"/>
      <c r="D58" s="24"/>
      <c r="E58" s="24"/>
      <c r="F58" s="23">
        <v>21763089.853600003</v>
      </c>
      <c r="G58" s="30">
        <f>+B58+C58+D58+E58+F58</f>
        <v>21763089.853600003</v>
      </c>
      <c r="H58" s="24"/>
      <c r="I58" s="30">
        <f>+H58+G58</f>
        <v>21763089.853600003</v>
      </c>
      <c r="J58" s="66">
        <v>20414585.000000004</v>
      </c>
      <c r="K58" s="66">
        <v>0</v>
      </c>
      <c r="L58" s="66">
        <v>0</v>
      </c>
      <c r="M58" s="66"/>
      <c r="N58" s="66">
        <f t="shared" si="3"/>
        <v>20414585.000000004</v>
      </c>
      <c r="O58" s="67">
        <f t="shared" si="4"/>
        <v>0.93803706814283394</v>
      </c>
    </row>
    <row r="59" spans="1:15" ht="15" hidden="1" outlineLevel="1" x14ac:dyDescent="0.25">
      <c r="A59" s="70" t="s">
        <v>69</v>
      </c>
      <c r="B59" s="68"/>
      <c r="C59" s="24"/>
      <c r="D59" s="24"/>
      <c r="E59" s="24"/>
      <c r="F59" s="23">
        <v>34659600</v>
      </c>
      <c r="G59" s="30">
        <f>+B59+C59+D59+E59+F59</f>
        <v>34659600</v>
      </c>
      <c r="H59" s="24"/>
      <c r="I59" s="30">
        <f>+H59+G59</f>
        <v>34659600</v>
      </c>
      <c r="J59" s="66">
        <v>7276346</v>
      </c>
      <c r="K59" s="66">
        <v>9729031</v>
      </c>
      <c r="L59" s="66">
        <v>8283274</v>
      </c>
      <c r="M59" s="66">
        <v>7870310</v>
      </c>
      <c r="N59" s="66">
        <f t="shared" si="3"/>
        <v>33158961</v>
      </c>
      <c r="O59" s="67">
        <f t="shared" si="4"/>
        <v>0.95670351071564586</v>
      </c>
    </row>
    <row r="60" spans="1:15" ht="15" collapsed="1" x14ac:dyDescent="0.25">
      <c r="A60" s="71" t="s">
        <v>70</v>
      </c>
      <c r="B60" s="68"/>
      <c r="C60" s="24"/>
      <c r="D60" s="24"/>
      <c r="E60" s="24"/>
      <c r="F60" s="18">
        <f>SUM(F61:F64)</f>
        <v>3656294892.0293999</v>
      </c>
      <c r="G60" s="18">
        <f>SUM(G61:G64)</f>
        <v>3656294892.0293999</v>
      </c>
      <c r="H60" s="24"/>
      <c r="I60" s="18">
        <f>SUM(I61:I64)</f>
        <v>3656294892.0293999</v>
      </c>
      <c r="J60" s="19">
        <f>SUM(J61:J64)</f>
        <v>611511568</v>
      </c>
      <c r="K60" s="19">
        <f>SUM(K61:K64)</f>
        <v>1338708373.29</v>
      </c>
      <c r="L60" s="19">
        <f>SUM(L61:L64)</f>
        <v>974354177</v>
      </c>
      <c r="M60" s="19">
        <f>SUM(M61:M64)</f>
        <v>730919497</v>
      </c>
      <c r="N60" s="19">
        <f t="shared" si="3"/>
        <v>3655493615.29</v>
      </c>
      <c r="O60" s="20">
        <f t="shared" si="4"/>
        <v>0.99978085007827278</v>
      </c>
    </row>
    <row r="61" spans="1:15" ht="15" hidden="1" outlineLevel="1" x14ac:dyDescent="0.25">
      <c r="A61" s="65" t="s">
        <v>71</v>
      </c>
      <c r="B61" s="68"/>
      <c r="C61" s="24"/>
      <c r="D61" s="24"/>
      <c r="E61" s="24"/>
      <c r="F61" s="23">
        <f>3513731689+6626725</f>
        <v>3520358414</v>
      </c>
      <c r="G61" s="30">
        <f>+B61+C61+D61+E61+F61</f>
        <v>3520358414</v>
      </c>
      <c r="H61" s="24"/>
      <c r="I61" s="30">
        <f>+H61+G61</f>
        <v>3520358414</v>
      </c>
      <c r="J61" s="66">
        <v>599026328</v>
      </c>
      <c r="K61" s="66">
        <v>1295559316.29</v>
      </c>
      <c r="L61" s="66">
        <v>920064814</v>
      </c>
      <c r="M61" s="66">
        <v>705023479</v>
      </c>
      <c r="N61" s="66">
        <f t="shared" si="3"/>
        <v>3519673937.29</v>
      </c>
      <c r="O61" s="72">
        <f t="shared" si="4"/>
        <v>0.99980556618687522</v>
      </c>
    </row>
    <row r="62" spans="1:15" ht="15" hidden="1" outlineLevel="1" x14ac:dyDescent="0.25">
      <c r="A62" s="65" t="s">
        <v>72</v>
      </c>
      <c r="B62" s="68"/>
      <c r="C62" s="24"/>
      <c r="D62" s="24"/>
      <c r="E62" s="24"/>
      <c r="F62" s="23">
        <v>40776000</v>
      </c>
      <c r="G62" s="30">
        <f>+B62+C62+D62+E62+F62</f>
        <v>40776000</v>
      </c>
      <c r="H62" s="24"/>
      <c r="I62" s="30">
        <f>+H62+G62</f>
        <v>40776000</v>
      </c>
      <c r="J62" s="66">
        <v>0</v>
      </c>
      <c r="K62" s="66">
        <v>15103200</v>
      </c>
      <c r="L62" s="66">
        <v>25576000</v>
      </c>
      <c r="M62" s="66"/>
      <c r="N62" s="66">
        <f t="shared" si="3"/>
        <v>40679200</v>
      </c>
      <c r="O62" s="67">
        <f t="shared" si="4"/>
        <v>0.99762605454188735</v>
      </c>
    </row>
    <row r="63" spans="1:15" ht="15" hidden="1" outlineLevel="1" x14ac:dyDescent="0.25">
      <c r="A63" s="65" t="s">
        <v>73</v>
      </c>
      <c r="B63" s="68"/>
      <c r="C63" s="24"/>
      <c r="D63" s="24"/>
      <c r="E63" s="24"/>
      <c r="F63" s="23">
        <f>50000000-2380520</f>
        <v>47619480</v>
      </c>
      <c r="G63" s="30">
        <f>+B63+C63+D63+E63+F63</f>
        <v>47619480</v>
      </c>
      <c r="H63" s="24"/>
      <c r="I63" s="30">
        <f>+H63+G63</f>
        <v>47619480</v>
      </c>
      <c r="J63" s="66">
        <v>4640000</v>
      </c>
      <c r="K63" s="66">
        <v>15000000</v>
      </c>
      <c r="L63" s="66">
        <v>15080000</v>
      </c>
      <c r="M63" s="66">
        <v>12879480</v>
      </c>
      <c r="N63" s="66">
        <f t="shared" si="3"/>
        <v>47599480</v>
      </c>
      <c r="O63" s="67">
        <f t="shared" si="4"/>
        <v>0.99958000381356538</v>
      </c>
    </row>
    <row r="64" spans="1:15" ht="15" hidden="1" outlineLevel="1" x14ac:dyDescent="0.25">
      <c r="A64" s="73" t="s">
        <v>74</v>
      </c>
      <c r="B64" s="68"/>
      <c r="C64" s="24"/>
      <c r="D64" s="24"/>
      <c r="E64" s="24"/>
      <c r="F64" s="23">
        <f>51787203.0294-4246205</f>
        <v>47540998.029399998</v>
      </c>
      <c r="G64" s="30">
        <f>+B64+C64+D64+E64+F64</f>
        <v>47540998.029399998</v>
      </c>
      <c r="H64" s="24"/>
      <c r="I64" s="30">
        <f>+H64+G64</f>
        <v>47540998.029399998</v>
      </c>
      <c r="J64" s="66">
        <v>7845240</v>
      </c>
      <c r="K64" s="66">
        <v>13045857</v>
      </c>
      <c r="L64" s="66">
        <v>13633363</v>
      </c>
      <c r="M64" s="66">
        <v>13016538</v>
      </c>
      <c r="N64" s="66">
        <f t="shared" si="3"/>
        <v>47540998</v>
      </c>
      <c r="O64" s="67">
        <f t="shared" si="4"/>
        <v>0.99999999938158646</v>
      </c>
    </row>
    <row r="65" spans="1:15" ht="15" collapsed="1" x14ac:dyDescent="0.25">
      <c r="A65" s="74" t="s">
        <v>75</v>
      </c>
      <c r="B65" s="68"/>
      <c r="C65" s="24"/>
      <c r="D65" s="24"/>
      <c r="E65" s="24"/>
      <c r="F65" s="18">
        <f>+SUM(F66:F67)</f>
        <v>157413000</v>
      </c>
      <c r="G65" s="18">
        <f>+SUM(G66:G67)</f>
        <v>157413000</v>
      </c>
      <c r="H65" s="24"/>
      <c r="I65" s="18">
        <f>+SUM(I66:I67)</f>
        <v>157413000</v>
      </c>
      <c r="J65" s="19">
        <f>+SUM(J66:J67)</f>
        <v>0</v>
      </c>
      <c r="K65" s="19">
        <f>+SUM(K66:K67)</f>
        <v>74786260</v>
      </c>
      <c r="L65" s="19">
        <f>+SUM(L66:L67)</f>
        <v>49985760</v>
      </c>
      <c r="M65" s="19">
        <f>+SUM(M66:M67)</f>
        <v>32528516</v>
      </c>
      <c r="N65" s="19">
        <f t="shared" si="3"/>
        <v>157300536</v>
      </c>
      <c r="O65" s="20">
        <f t="shared" si="4"/>
        <v>0.99928554820758131</v>
      </c>
    </row>
    <row r="66" spans="1:15" ht="15" hidden="1" outlineLevel="1" x14ac:dyDescent="0.25">
      <c r="A66" s="65" t="s">
        <v>76</v>
      </c>
      <c r="B66" s="68"/>
      <c r="C66" s="24"/>
      <c r="D66" s="24"/>
      <c r="E66" s="24"/>
      <c r="F66" s="23">
        <v>65000000</v>
      </c>
      <c r="G66" s="30">
        <f>+B66+C66+D66+E66+F66</f>
        <v>65000000</v>
      </c>
      <c r="H66" s="24"/>
      <c r="I66" s="30">
        <f>+H66+G66</f>
        <v>65000000</v>
      </c>
      <c r="J66" s="66">
        <v>0</v>
      </c>
      <c r="K66" s="66">
        <v>30185952</v>
      </c>
      <c r="L66" s="66">
        <v>20000000</v>
      </c>
      <c r="M66" s="66">
        <v>14776678</v>
      </c>
      <c r="N66" s="66">
        <f t="shared" si="3"/>
        <v>64962630</v>
      </c>
      <c r="O66" s="67">
        <f t="shared" si="4"/>
        <v>0.99942507692307692</v>
      </c>
    </row>
    <row r="67" spans="1:15" ht="15" hidden="1" outlineLevel="1" x14ac:dyDescent="0.25">
      <c r="A67" s="65" t="s">
        <v>77</v>
      </c>
      <c r="B67" s="68"/>
      <c r="C67" s="24"/>
      <c r="D67" s="24"/>
      <c r="E67" s="24"/>
      <c r="F67" s="23">
        <v>92413000</v>
      </c>
      <c r="G67" s="30">
        <f>+B67+C67+D67+E67+F67</f>
        <v>92413000</v>
      </c>
      <c r="H67" s="24"/>
      <c r="I67" s="30">
        <f>+H67+G67</f>
        <v>92413000</v>
      </c>
      <c r="J67" s="66">
        <v>0</v>
      </c>
      <c r="K67" s="66">
        <v>44600308</v>
      </c>
      <c r="L67" s="66">
        <v>29985760</v>
      </c>
      <c r="M67" s="66">
        <v>17751838</v>
      </c>
      <c r="N67" s="66">
        <f t="shared" si="3"/>
        <v>92337906</v>
      </c>
      <c r="O67" s="67">
        <f t="shared" si="4"/>
        <v>0.99918740869791045</v>
      </c>
    </row>
    <row r="68" spans="1:15" ht="15" collapsed="1" x14ac:dyDescent="0.25">
      <c r="A68" s="71" t="s">
        <v>78</v>
      </c>
      <c r="B68" s="68"/>
      <c r="C68" s="24"/>
      <c r="D68" s="24"/>
      <c r="E68" s="24"/>
      <c r="F68" s="18">
        <f>+SUM(F69:F70)</f>
        <v>213421881.4912</v>
      </c>
      <c r="G68" s="18">
        <f>+SUM(G69:G70)</f>
        <v>213421881.4912</v>
      </c>
      <c r="H68" s="24"/>
      <c r="I68" s="18">
        <f>+SUM(I69:I70)</f>
        <v>213421881.4912</v>
      </c>
      <c r="J68" s="19">
        <f>+SUM(J69:J70)</f>
        <v>5242404</v>
      </c>
      <c r="K68" s="19">
        <f>+SUM(K69:K70)</f>
        <v>25920402</v>
      </c>
      <c r="L68" s="19">
        <f>+SUM(L69:L70)</f>
        <v>52299958</v>
      </c>
      <c r="M68" s="19">
        <f>+SUM(M69:M70)</f>
        <v>102493887</v>
      </c>
      <c r="N68" s="19">
        <f t="shared" si="3"/>
        <v>185956651</v>
      </c>
      <c r="O68" s="20">
        <f t="shared" si="4"/>
        <v>0.87131014730402667</v>
      </c>
    </row>
    <row r="69" spans="1:15" ht="15" hidden="1" outlineLevel="1" x14ac:dyDescent="0.25">
      <c r="A69" s="65" t="s">
        <v>79</v>
      </c>
      <c r="B69" s="68"/>
      <c r="C69" s="24"/>
      <c r="D69" s="24"/>
      <c r="E69" s="24"/>
      <c r="F69" s="30">
        <v>143421881.4912</v>
      </c>
      <c r="G69" s="30">
        <f>+B69+C69+D69+E69+F69</f>
        <v>143421881.4912</v>
      </c>
      <c r="H69" s="24"/>
      <c r="I69" s="30">
        <f>+H69+G69</f>
        <v>143421881.4912</v>
      </c>
      <c r="J69" s="66">
        <v>5242404</v>
      </c>
      <c r="K69" s="66">
        <v>25920402</v>
      </c>
      <c r="L69" s="66">
        <v>34299958</v>
      </c>
      <c r="M69" s="66">
        <v>51584976</v>
      </c>
      <c r="N69" s="66">
        <f t="shared" si="3"/>
        <v>117047740</v>
      </c>
      <c r="O69" s="67">
        <f t="shared" si="4"/>
        <v>0.81610796611381609</v>
      </c>
    </row>
    <row r="70" spans="1:15" ht="15" hidden="1" outlineLevel="1" x14ac:dyDescent="0.25">
      <c r="A70" s="65" t="s">
        <v>80</v>
      </c>
      <c r="B70" s="68"/>
      <c r="C70" s="24"/>
      <c r="D70" s="24"/>
      <c r="E70" s="24"/>
      <c r="F70" s="30">
        <v>70000000</v>
      </c>
      <c r="G70" s="30">
        <f>+B70+C70+D70+E70+F70</f>
        <v>70000000</v>
      </c>
      <c r="H70" s="24"/>
      <c r="I70" s="30">
        <f>+H70+G70</f>
        <v>70000000</v>
      </c>
      <c r="J70" s="66"/>
      <c r="K70" s="66"/>
      <c r="L70" s="66">
        <v>18000000</v>
      </c>
      <c r="M70" s="66">
        <v>50908911</v>
      </c>
      <c r="N70" s="66">
        <f t="shared" si="3"/>
        <v>68908911</v>
      </c>
      <c r="O70" s="67">
        <f t="shared" si="4"/>
        <v>0.98441301428571426</v>
      </c>
    </row>
    <row r="71" spans="1:15" ht="15" collapsed="1" x14ac:dyDescent="0.25">
      <c r="A71" s="74" t="s">
        <v>81</v>
      </c>
      <c r="B71" s="75"/>
      <c r="C71" s="76"/>
      <c r="D71" s="76"/>
      <c r="E71" s="76"/>
      <c r="F71" s="18">
        <f>SUM(F72:F78)</f>
        <v>804651340</v>
      </c>
      <c r="G71" s="18">
        <f>SUM(G72:G78)</f>
        <v>804651340</v>
      </c>
      <c r="H71" s="76"/>
      <c r="I71" s="18">
        <f>SUM(I72:I78)</f>
        <v>804651340</v>
      </c>
      <c r="J71" s="19">
        <f>SUM(J72:J78)</f>
        <v>60742118</v>
      </c>
      <c r="K71" s="19">
        <f>SUM(K72:K78)</f>
        <v>255398867</v>
      </c>
      <c r="L71" s="19">
        <f>SUM(L72:L78)</f>
        <v>290092621</v>
      </c>
      <c r="M71" s="19">
        <f>SUM(M72:M78)</f>
        <v>194037020</v>
      </c>
      <c r="N71" s="19">
        <f t="shared" si="3"/>
        <v>800270626</v>
      </c>
      <c r="O71" s="20">
        <f t="shared" si="4"/>
        <v>0.99455576125679479</v>
      </c>
    </row>
    <row r="72" spans="1:15" ht="15" hidden="1" outlineLevel="1" x14ac:dyDescent="0.25">
      <c r="A72" s="65" t="s">
        <v>82</v>
      </c>
      <c r="B72" s="68"/>
      <c r="C72" s="24"/>
      <c r="D72" s="24"/>
      <c r="E72" s="24"/>
      <c r="F72" s="23">
        <v>71800000</v>
      </c>
      <c r="G72" s="30">
        <f t="shared" ref="G72:G78" si="12">+B72+C72+D72+E72+F72</f>
        <v>71800000</v>
      </c>
      <c r="H72" s="24"/>
      <c r="I72" s="30">
        <f t="shared" ref="I72:I78" si="13">+H72+G72</f>
        <v>71800000</v>
      </c>
      <c r="J72" s="66">
        <v>10951424</v>
      </c>
      <c r="K72" s="66">
        <v>12682127</v>
      </c>
      <c r="L72" s="66">
        <v>18061999</v>
      </c>
      <c r="M72" s="66">
        <v>29133864</v>
      </c>
      <c r="N72" s="66">
        <f t="shared" si="3"/>
        <v>70829414</v>
      </c>
      <c r="O72" s="67">
        <f t="shared" si="4"/>
        <v>0.98648208913649027</v>
      </c>
    </row>
    <row r="73" spans="1:15" ht="15" hidden="1" outlineLevel="1" x14ac:dyDescent="0.25">
      <c r="A73" s="65" t="s">
        <v>83</v>
      </c>
      <c r="B73" s="68"/>
      <c r="C73" s="24"/>
      <c r="D73" s="24"/>
      <c r="E73" s="24"/>
      <c r="F73" s="23">
        <v>202851340</v>
      </c>
      <c r="G73" s="30">
        <f t="shared" si="12"/>
        <v>202851340</v>
      </c>
      <c r="H73" s="24"/>
      <c r="I73" s="30">
        <f t="shared" si="13"/>
        <v>202851340</v>
      </c>
      <c r="J73" s="66">
        <v>49790694</v>
      </c>
      <c r="K73" s="66">
        <v>64928842</v>
      </c>
      <c r="L73" s="66">
        <v>87573122</v>
      </c>
      <c r="M73" s="66"/>
      <c r="N73" s="66">
        <f t="shared" ref="N73:N136" si="14">+J73+K73+L73+M73</f>
        <v>202292658</v>
      </c>
      <c r="O73" s="67">
        <f t="shared" ref="O73:O136" si="15">+N73/I73</f>
        <v>0.99724585501875418</v>
      </c>
    </row>
    <row r="74" spans="1:15" ht="15" hidden="1" outlineLevel="1" x14ac:dyDescent="0.25">
      <c r="A74" s="65" t="s">
        <v>84</v>
      </c>
      <c r="B74" s="68"/>
      <c r="C74" s="24"/>
      <c r="D74" s="24"/>
      <c r="E74" s="24"/>
      <c r="F74" s="23">
        <v>270000000</v>
      </c>
      <c r="G74" s="30">
        <f t="shared" si="12"/>
        <v>270000000</v>
      </c>
      <c r="H74" s="24"/>
      <c r="I74" s="30">
        <f t="shared" si="13"/>
        <v>270000000</v>
      </c>
      <c r="J74" s="66">
        <v>0</v>
      </c>
      <c r="K74" s="66">
        <v>88480926</v>
      </c>
      <c r="L74" s="66">
        <v>90000000</v>
      </c>
      <c r="M74" s="66">
        <v>91498038</v>
      </c>
      <c r="N74" s="66">
        <f t="shared" si="14"/>
        <v>269978964</v>
      </c>
      <c r="O74" s="67">
        <f t="shared" si="15"/>
        <v>0.99992208888888889</v>
      </c>
    </row>
    <row r="75" spans="1:15" ht="15" hidden="1" outlineLevel="1" x14ac:dyDescent="0.25">
      <c r="A75" s="65" t="s">
        <v>85</v>
      </c>
      <c r="B75" s="68"/>
      <c r="C75" s="24"/>
      <c r="D75" s="24"/>
      <c r="E75" s="24"/>
      <c r="F75" s="23">
        <v>90000000</v>
      </c>
      <c r="G75" s="30">
        <f t="shared" si="12"/>
        <v>90000000</v>
      </c>
      <c r="H75" s="24"/>
      <c r="I75" s="30">
        <f t="shared" si="13"/>
        <v>90000000</v>
      </c>
      <c r="J75" s="66">
        <v>0</v>
      </c>
      <c r="K75" s="66">
        <v>24958090</v>
      </c>
      <c r="L75" s="66">
        <v>45000000</v>
      </c>
      <c r="M75" s="66">
        <v>19961162</v>
      </c>
      <c r="N75" s="66">
        <f t="shared" si="14"/>
        <v>89919252</v>
      </c>
      <c r="O75" s="67">
        <f t="shared" si="15"/>
        <v>0.99910279999999996</v>
      </c>
    </row>
    <row r="76" spans="1:15" ht="15" hidden="1" outlineLevel="1" x14ac:dyDescent="0.25">
      <c r="A76" s="65" t="s">
        <v>86</v>
      </c>
      <c r="B76" s="68"/>
      <c r="C76" s="24"/>
      <c r="D76" s="24"/>
      <c r="E76" s="24"/>
      <c r="F76" s="23">
        <v>30000000</v>
      </c>
      <c r="G76" s="30">
        <f t="shared" si="12"/>
        <v>30000000</v>
      </c>
      <c r="H76" s="24"/>
      <c r="I76" s="30">
        <f t="shared" si="13"/>
        <v>30000000</v>
      </c>
      <c r="J76" s="66">
        <v>0</v>
      </c>
      <c r="K76" s="66">
        <v>11990526</v>
      </c>
      <c r="L76" s="66">
        <v>0</v>
      </c>
      <c r="M76" s="66">
        <v>18009474</v>
      </c>
      <c r="N76" s="66">
        <f t="shared" si="14"/>
        <v>30000000</v>
      </c>
      <c r="O76" s="67">
        <f t="shared" si="15"/>
        <v>1</v>
      </c>
    </row>
    <row r="77" spans="1:15" ht="15" hidden="1" outlineLevel="1" x14ac:dyDescent="0.25">
      <c r="A77" s="65" t="s">
        <v>87</v>
      </c>
      <c r="B77" s="68"/>
      <c r="C77" s="24"/>
      <c r="D77" s="24"/>
      <c r="E77" s="24"/>
      <c r="F77" s="23">
        <v>30000000</v>
      </c>
      <c r="G77" s="30">
        <f t="shared" si="12"/>
        <v>30000000</v>
      </c>
      <c r="H77" s="24"/>
      <c r="I77" s="30">
        <f t="shared" si="13"/>
        <v>30000000</v>
      </c>
      <c r="J77" s="66">
        <v>0</v>
      </c>
      <c r="K77" s="66">
        <v>27816494</v>
      </c>
      <c r="L77" s="66">
        <v>0</v>
      </c>
      <c r="M77" s="66"/>
      <c r="N77" s="66">
        <f t="shared" si="14"/>
        <v>27816494</v>
      </c>
      <c r="O77" s="67">
        <f t="shared" si="15"/>
        <v>0.92721646666666668</v>
      </c>
    </row>
    <row r="78" spans="1:15" ht="29.25" hidden="1" outlineLevel="1" x14ac:dyDescent="0.25">
      <c r="A78" s="77" t="s">
        <v>88</v>
      </c>
      <c r="B78" s="68"/>
      <c r="C78" s="24"/>
      <c r="D78" s="24"/>
      <c r="E78" s="24"/>
      <c r="F78" s="23">
        <v>110000000</v>
      </c>
      <c r="G78" s="30">
        <f t="shared" si="12"/>
        <v>110000000</v>
      </c>
      <c r="H78" s="24"/>
      <c r="I78" s="30">
        <f t="shared" si="13"/>
        <v>110000000</v>
      </c>
      <c r="J78" s="66">
        <v>0</v>
      </c>
      <c r="K78" s="66">
        <v>24541862</v>
      </c>
      <c r="L78" s="66">
        <v>49457500</v>
      </c>
      <c r="M78" s="66">
        <v>35434482</v>
      </c>
      <c r="N78" s="66">
        <f t="shared" si="14"/>
        <v>109433844</v>
      </c>
      <c r="O78" s="67">
        <f t="shared" si="15"/>
        <v>0.99485312727272723</v>
      </c>
    </row>
    <row r="79" spans="1:15" ht="17.25" customHeight="1" collapsed="1" x14ac:dyDescent="0.25">
      <c r="A79" s="71" t="s">
        <v>89</v>
      </c>
      <c r="B79" s="68"/>
      <c r="C79" s="24"/>
      <c r="D79" s="24"/>
      <c r="E79" s="24"/>
      <c r="F79" s="18">
        <f>SUM(F80:F83)</f>
        <v>157893748</v>
      </c>
      <c r="G79" s="18">
        <f>SUM(G80:G83)</f>
        <v>157893748</v>
      </c>
      <c r="H79" s="24"/>
      <c r="I79" s="18">
        <f>SUM(I80:I83)</f>
        <v>157893748</v>
      </c>
      <c r="J79" s="19">
        <f>SUM(J80:J83)</f>
        <v>18678552</v>
      </c>
      <c r="K79" s="19">
        <f>SUM(K80:K83)</f>
        <v>46398754</v>
      </c>
      <c r="L79" s="19">
        <f>SUM(L80:L83)</f>
        <v>39165420</v>
      </c>
      <c r="M79" s="19">
        <f>SUM(M80:M83)</f>
        <v>51678237</v>
      </c>
      <c r="N79" s="19">
        <f t="shared" si="14"/>
        <v>155920963</v>
      </c>
      <c r="O79" s="20">
        <f t="shared" si="15"/>
        <v>0.98750561675184256</v>
      </c>
    </row>
    <row r="80" spans="1:15" ht="15" hidden="1" outlineLevel="1" x14ac:dyDescent="0.25">
      <c r="A80" s="65" t="s">
        <v>90</v>
      </c>
      <c r="B80" s="68"/>
      <c r="C80" s="24"/>
      <c r="D80" s="24"/>
      <c r="E80" s="24"/>
      <c r="F80" s="23">
        <v>33000000</v>
      </c>
      <c r="G80" s="30">
        <f>+B80+C80+D80+E80+F80</f>
        <v>33000000</v>
      </c>
      <c r="H80" s="24"/>
      <c r="I80" s="30">
        <f>+H80+G80</f>
        <v>33000000</v>
      </c>
      <c r="J80" s="66">
        <v>7100000</v>
      </c>
      <c r="K80" s="66">
        <v>9000000</v>
      </c>
      <c r="L80" s="66">
        <v>9000000</v>
      </c>
      <c r="M80" s="66">
        <v>7900000</v>
      </c>
      <c r="N80" s="66">
        <f t="shared" si="14"/>
        <v>33000000</v>
      </c>
      <c r="O80" s="67">
        <f t="shared" si="15"/>
        <v>1</v>
      </c>
    </row>
    <row r="81" spans="1:15" ht="15" hidden="1" outlineLevel="1" x14ac:dyDescent="0.25">
      <c r="A81" s="65" t="s">
        <v>91</v>
      </c>
      <c r="B81" s="68"/>
      <c r="C81" s="24"/>
      <c r="D81" s="24"/>
      <c r="E81" s="24"/>
      <c r="F81" s="23">
        <v>24893748.000000004</v>
      </c>
      <c r="G81" s="30">
        <f>+B81+C81+D81+E81+F81</f>
        <v>24893748.000000004</v>
      </c>
      <c r="H81" s="24"/>
      <c r="I81" s="30">
        <f>+H81+G81</f>
        <v>24893748.000000004</v>
      </c>
      <c r="J81" s="66">
        <v>1578656</v>
      </c>
      <c r="K81" s="66">
        <v>3160904</v>
      </c>
      <c r="L81" s="66">
        <v>5209594</v>
      </c>
      <c r="M81" s="66">
        <v>13093410</v>
      </c>
      <c r="N81" s="66">
        <f t="shared" si="14"/>
        <v>23042564</v>
      </c>
      <c r="O81" s="67">
        <f t="shared" si="15"/>
        <v>0.92563658955654238</v>
      </c>
    </row>
    <row r="82" spans="1:15" ht="15" hidden="1" outlineLevel="1" x14ac:dyDescent="0.25">
      <c r="A82" s="65" t="s">
        <v>92</v>
      </c>
      <c r="B82" s="68"/>
      <c r="C82" s="24"/>
      <c r="D82" s="24"/>
      <c r="E82" s="24"/>
      <c r="F82" s="23">
        <v>25000000</v>
      </c>
      <c r="G82" s="30">
        <f>+B82+C82+D82+E82+F82</f>
        <v>25000000</v>
      </c>
      <c r="H82" s="24"/>
      <c r="I82" s="30">
        <f>+H82+G82</f>
        <v>25000000</v>
      </c>
      <c r="J82" s="66">
        <v>9999896</v>
      </c>
      <c r="K82" s="66">
        <v>4237850</v>
      </c>
      <c r="L82" s="66">
        <v>5000000</v>
      </c>
      <c r="M82" s="66">
        <v>5699892</v>
      </c>
      <c r="N82" s="66">
        <f t="shared" si="14"/>
        <v>24937638</v>
      </c>
      <c r="O82" s="67">
        <f t="shared" si="15"/>
        <v>0.99750552000000003</v>
      </c>
    </row>
    <row r="83" spans="1:15" ht="15" hidden="1" outlineLevel="1" x14ac:dyDescent="0.25">
      <c r="A83" s="65" t="s">
        <v>93</v>
      </c>
      <c r="B83" s="68"/>
      <c r="C83" s="24"/>
      <c r="D83" s="24"/>
      <c r="E83" s="24"/>
      <c r="F83" s="23">
        <v>75000000</v>
      </c>
      <c r="G83" s="30">
        <f>+B83+C83+D83+E83+F83</f>
        <v>75000000</v>
      </c>
      <c r="H83" s="24"/>
      <c r="I83" s="30">
        <f>+H83+G83</f>
        <v>75000000</v>
      </c>
      <c r="J83" s="66">
        <v>0</v>
      </c>
      <c r="K83" s="66">
        <v>30000000</v>
      </c>
      <c r="L83" s="66">
        <v>19955826</v>
      </c>
      <c r="M83" s="66">
        <v>24984935</v>
      </c>
      <c r="N83" s="66">
        <f t="shared" si="14"/>
        <v>74940761</v>
      </c>
      <c r="O83" s="67">
        <f t="shared" si="15"/>
        <v>0.99921014666666663</v>
      </c>
    </row>
    <row r="84" spans="1:15" ht="15" hidden="1" outlineLevel="1" x14ac:dyDescent="0.25">
      <c r="A84" s="65"/>
      <c r="B84" s="68"/>
      <c r="C84" s="24"/>
      <c r="D84" s="24"/>
      <c r="E84" s="24"/>
      <c r="F84" s="30"/>
      <c r="G84" s="30"/>
      <c r="H84" s="24"/>
      <c r="I84" s="30"/>
      <c r="J84" s="66"/>
      <c r="K84" s="66"/>
      <c r="L84" s="66"/>
      <c r="M84" s="66"/>
      <c r="N84" s="66"/>
      <c r="O84" s="67"/>
    </row>
    <row r="85" spans="1:15" s="60" customFormat="1" ht="30" collapsed="1" x14ac:dyDescent="0.25">
      <c r="A85" s="56" t="s">
        <v>94</v>
      </c>
      <c r="B85" s="57"/>
      <c r="C85" s="57">
        <f>+C113</f>
        <v>782543972.83850002</v>
      </c>
      <c r="D85" s="57"/>
      <c r="E85" s="57">
        <f>+E86</f>
        <v>5383730331.8923998</v>
      </c>
      <c r="F85" s="57"/>
      <c r="G85" s="57">
        <f>SUM(B85:F85)</f>
        <v>6166274304.7308998</v>
      </c>
      <c r="H85" s="57"/>
      <c r="I85" s="57">
        <f>+H85+G85</f>
        <v>6166274304.7308998</v>
      </c>
      <c r="J85" s="58">
        <f>+J86+J113</f>
        <v>1361868983</v>
      </c>
      <c r="K85" s="58">
        <f>+K86+K113</f>
        <v>1336686496</v>
      </c>
      <c r="L85" s="58">
        <f>+L86+L113</f>
        <v>2190630816</v>
      </c>
      <c r="M85" s="58">
        <f>+M86+M113</f>
        <v>1097375190</v>
      </c>
      <c r="N85" s="58">
        <f t="shared" si="14"/>
        <v>5986561485</v>
      </c>
      <c r="O85" s="59">
        <f t="shared" si="15"/>
        <v>0.97085552623031701</v>
      </c>
    </row>
    <row r="86" spans="1:15" ht="15" x14ac:dyDescent="0.25">
      <c r="A86" s="78" t="s">
        <v>95</v>
      </c>
      <c r="B86" s="24"/>
      <c r="C86" s="33"/>
      <c r="D86" s="33"/>
      <c r="E86" s="76">
        <f>+E87+E92+E99+E106+E109</f>
        <v>5383730331.8923998</v>
      </c>
      <c r="F86" s="33"/>
      <c r="G86" s="76">
        <f>+B86+C86+D86+E86+F86</f>
        <v>5383730331.8923998</v>
      </c>
      <c r="H86" s="33"/>
      <c r="I86" s="76">
        <f>+H86+G86</f>
        <v>5383730331.8923998</v>
      </c>
      <c r="J86" s="79">
        <f>+J87+J92+J99+J106+J109</f>
        <v>1275263954</v>
      </c>
      <c r="K86" s="79">
        <f>+K87+K92+K99+K106+K109</f>
        <v>1123883687</v>
      </c>
      <c r="L86" s="79">
        <f>+L87+L92+L99+L106+L109</f>
        <v>1928367341</v>
      </c>
      <c r="M86" s="79">
        <f>+M87+M92+M99+M106+M109</f>
        <v>883823173</v>
      </c>
      <c r="N86" s="79">
        <f t="shared" si="14"/>
        <v>5211338155</v>
      </c>
      <c r="O86" s="80">
        <f t="shared" si="15"/>
        <v>0.96797904681979063</v>
      </c>
    </row>
    <row r="87" spans="1:15" ht="15" x14ac:dyDescent="0.25">
      <c r="A87" s="81" t="s">
        <v>96</v>
      </c>
      <c r="B87" s="33"/>
      <c r="C87" s="24"/>
      <c r="D87" s="24"/>
      <c r="E87" s="76">
        <f>+SUM(E88:E91)</f>
        <v>1508325107.7059999</v>
      </c>
      <c r="F87" s="24"/>
      <c r="G87" s="76">
        <f>+SUM(G88:G91)</f>
        <v>1508325107.7059999</v>
      </c>
      <c r="H87" s="24"/>
      <c r="I87" s="76">
        <f>+SUM(I88:I91)</f>
        <v>1508325107.7059999</v>
      </c>
      <c r="J87" s="79">
        <f>+SUM(J88:J91)</f>
        <v>312870290</v>
      </c>
      <c r="K87" s="79">
        <f>+SUM(K88:K91)</f>
        <v>405072478</v>
      </c>
      <c r="L87" s="79">
        <f>+SUM(L88:L91)</f>
        <v>614714934</v>
      </c>
      <c r="M87" s="79">
        <f>+SUM(M88:M91)</f>
        <v>170609580</v>
      </c>
      <c r="N87" s="79">
        <f t="shared" si="14"/>
        <v>1503267282</v>
      </c>
      <c r="O87" s="80">
        <f t="shared" si="15"/>
        <v>0.99664672710136593</v>
      </c>
    </row>
    <row r="88" spans="1:15" ht="15" hidden="1" outlineLevel="1" x14ac:dyDescent="0.25">
      <c r="A88" s="73" t="s">
        <v>97</v>
      </c>
      <c r="B88" s="33"/>
      <c r="C88" s="24"/>
      <c r="D88" s="24"/>
      <c r="E88" s="23">
        <f>1084430693.8+50000000+18600000</f>
        <v>1153030693.8</v>
      </c>
      <c r="F88" s="24"/>
      <c r="G88" s="30">
        <f>+B88+C88+D88+E88+F88</f>
        <v>1153030693.8</v>
      </c>
      <c r="H88" s="24"/>
      <c r="I88" s="30">
        <f>+H88+G88</f>
        <v>1153030693.8</v>
      </c>
      <c r="J88" s="82">
        <v>267100400</v>
      </c>
      <c r="K88" s="82">
        <v>325000000</v>
      </c>
      <c r="L88" s="82">
        <v>436745413</v>
      </c>
      <c r="M88" s="82">
        <v>124173347</v>
      </c>
      <c r="N88" s="82">
        <f t="shared" si="14"/>
        <v>1153019160</v>
      </c>
      <c r="O88" s="72">
        <f t="shared" si="15"/>
        <v>0.99998999697053859</v>
      </c>
    </row>
    <row r="89" spans="1:15" ht="15" hidden="1" outlineLevel="1" x14ac:dyDescent="0.25">
      <c r="A89" s="73" t="s">
        <v>98</v>
      </c>
      <c r="B89" s="33"/>
      <c r="C89" s="24"/>
      <c r="D89" s="24"/>
      <c r="E89" s="23">
        <v>81725775.5</v>
      </c>
      <c r="F89" s="24"/>
      <c r="G89" s="30">
        <f>+B89+C89+D89+E89+F89</f>
        <v>81725775.5</v>
      </c>
      <c r="H89" s="24"/>
      <c r="I89" s="30">
        <f>+H89+G89</f>
        <v>81725775.5</v>
      </c>
      <c r="J89" s="66">
        <v>34097260</v>
      </c>
      <c r="K89" s="66">
        <v>14819597</v>
      </c>
      <c r="L89" s="66">
        <v>31822440</v>
      </c>
      <c r="M89" s="66"/>
      <c r="N89" s="66">
        <f t="shared" si="14"/>
        <v>80739297</v>
      </c>
      <c r="O89" s="67">
        <f t="shared" si="15"/>
        <v>0.98792940790142758</v>
      </c>
    </row>
    <row r="90" spans="1:15" ht="15" hidden="1" outlineLevel="1" x14ac:dyDescent="0.25">
      <c r="A90" s="73" t="s">
        <v>99</v>
      </c>
      <c r="B90" s="33"/>
      <c r="C90" s="24"/>
      <c r="D90" s="24"/>
      <c r="E90" s="23">
        <f>44203358.406+1000000</f>
        <v>45203358.406000003</v>
      </c>
      <c r="F90" s="24"/>
      <c r="G90" s="30">
        <f>+B90+C90+D90+E90+F90</f>
        <v>45203358.406000003</v>
      </c>
      <c r="H90" s="24"/>
      <c r="I90" s="30">
        <f>+H90+G90</f>
        <v>45203358.406000003</v>
      </c>
      <c r="J90" s="66">
        <v>9459700</v>
      </c>
      <c r="K90" s="66">
        <v>10543684</v>
      </c>
      <c r="L90" s="66">
        <v>11382360</v>
      </c>
      <c r="M90" s="66">
        <v>11932636</v>
      </c>
      <c r="N90" s="66">
        <f t="shared" si="14"/>
        <v>43318380</v>
      </c>
      <c r="O90" s="67">
        <f t="shared" si="15"/>
        <v>0.95830003627009708</v>
      </c>
    </row>
    <row r="91" spans="1:15" ht="15" hidden="1" outlineLevel="1" x14ac:dyDescent="0.25">
      <c r="A91" s="73" t="s">
        <v>100</v>
      </c>
      <c r="B91" s="33"/>
      <c r="C91" s="24"/>
      <c r="D91" s="24"/>
      <c r="E91" s="23">
        <f>247965280-19600000</f>
        <v>228365280</v>
      </c>
      <c r="F91" s="24"/>
      <c r="G91" s="30">
        <f>+B91+C91+D91+E91+F91</f>
        <v>228365280</v>
      </c>
      <c r="H91" s="24"/>
      <c r="I91" s="30">
        <f>+H91+G91</f>
        <v>228365280</v>
      </c>
      <c r="J91" s="66">
        <v>2212930</v>
      </c>
      <c r="K91" s="66">
        <v>54709197</v>
      </c>
      <c r="L91" s="66">
        <v>134764721</v>
      </c>
      <c r="M91" s="66">
        <v>34503597</v>
      </c>
      <c r="N91" s="66">
        <f t="shared" si="14"/>
        <v>226190445</v>
      </c>
      <c r="O91" s="67">
        <f t="shared" si="15"/>
        <v>0.99047650763723805</v>
      </c>
    </row>
    <row r="92" spans="1:15" ht="15" collapsed="1" x14ac:dyDescent="0.25">
      <c r="A92" s="81" t="s">
        <v>101</v>
      </c>
      <c r="B92" s="33"/>
      <c r="C92" s="24"/>
      <c r="D92" s="24"/>
      <c r="E92" s="76">
        <f>+E93+E97</f>
        <v>376640000</v>
      </c>
      <c r="F92" s="24"/>
      <c r="G92" s="76">
        <f>+G93+G97</f>
        <v>376640000</v>
      </c>
      <c r="H92" s="24"/>
      <c r="I92" s="76">
        <f>+I93+I97</f>
        <v>376640000</v>
      </c>
      <c r="J92" s="79">
        <f>+J93+J97</f>
        <v>111195907</v>
      </c>
      <c r="K92" s="79">
        <f>+K93+K97</f>
        <v>96053803</v>
      </c>
      <c r="L92" s="79">
        <f>+L93+L97</f>
        <v>83428045</v>
      </c>
      <c r="M92" s="79">
        <f>+M93+M97</f>
        <v>79677424</v>
      </c>
      <c r="N92" s="79">
        <f t="shared" si="14"/>
        <v>370355179</v>
      </c>
      <c r="O92" s="80">
        <f t="shared" si="15"/>
        <v>0.98331345316482588</v>
      </c>
    </row>
    <row r="93" spans="1:15" ht="15" hidden="1" outlineLevel="1" x14ac:dyDescent="0.25">
      <c r="A93" s="83" t="s">
        <v>102</v>
      </c>
      <c r="B93" s="33"/>
      <c r="C93" s="24"/>
      <c r="D93" s="24"/>
      <c r="E93" s="76">
        <f>+SUM(E94:E96)</f>
        <v>222200000</v>
      </c>
      <c r="F93" s="24"/>
      <c r="G93" s="76">
        <f>+SUM(G94:G96)</f>
        <v>222200000</v>
      </c>
      <c r="H93" s="24"/>
      <c r="I93" s="76">
        <f>+SUM(I94:I96)</f>
        <v>222200000</v>
      </c>
      <c r="J93" s="79">
        <f>+SUM(J94:J96)</f>
        <v>65461307</v>
      </c>
      <c r="K93" s="79">
        <f>+SUM(K94:K96)</f>
        <v>52960869</v>
      </c>
      <c r="L93" s="79">
        <f>+SUM(L94:L96)</f>
        <v>65720645</v>
      </c>
      <c r="M93" s="79">
        <f>+SUM(M94:M96)</f>
        <v>36293604</v>
      </c>
      <c r="N93" s="79">
        <f t="shared" si="14"/>
        <v>220436425</v>
      </c>
      <c r="O93" s="80">
        <f t="shared" si="15"/>
        <v>0.99206311881188114</v>
      </c>
    </row>
    <row r="94" spans="1:15" ht="15" hidden="1" outlineLevel="2" x14ac:dyDescent="0.25">
      <c r="A94" s="65" t="s">
        <v>103</v>
      </c>
      <c r="B94" s="33"/>
      <c r="C94" s="22"/>
      <c r="D94" s="22"/>
      <c r="E94" s="23">
        <v>68400000</v>
      </c>
      <c r="F94" s="24"/>
      <c r="G94" s="30">
        <f>+B94+C94+D94+E94+F94</f>
        <v>68400000</v>
      </c>
      <c r="H94" s="30"/>
      <c r="I94" s="30">
        <f>+H94+G94</f>
        <v>68400000</v>
      </c>
      <c r="J94" s="66">
        <v>34200000</v>
      </c>
      <c r="K94" s="66">
        <v>10515708</v>
      </c>
      <c r="L94" s="66">
        <v>18562616</v>
      </c>
      <c r="M94" s="66">
        <v>4650200</v>
      </c>
      <c r="N94" s="66">
        <f t="shared" si="14"/>
        <v>67928524</v>
      </c>
      <c r="O94" s="67">
        <f t="shared" si="15"/>
        <v>0.99310707602339177</v>
      </c>
    </row>
    <row r="95" spans="1:15" ht="15" hidden="1" outlineLevel="2" x14ac:dyDescent="0.25">
      <c r="A95" s="65" t="s">
        <v>104</v>
      </c>
      <c r="B95" s="33"/>
      <c r="C95" s="22"/>
      <c r="D95" s="22"/>
      <c r="E95" s="23">
        <v>92000000</v>
      </c>
      <c r="F95" s="24"/>
      <c r="G95" s="30">
        <f>+B95+C95+D95+E95+F95</f>
        <v>92000000</v>
      </c>
      <c r="H95" s="24"/>
      <c r="I95" s="30">
        <f>+H95+G95</f>
        <v>92000000</v>
      </c>
      <c r="J95" s="66">
        <v>13256788</v>
      </c>
      <c r="K95" s="66">
        <v>30454737</v>
      </c>
      <c r="L95" s="66">
        <v>29913703</v>
      </c>
      <c r="M95" s="66">
        <v>17600974</v>
      </c>
      <c r="N95" s="66">
        <f t="shared" si="14"/>
        <v>91226202</v>
      </c>
      <c r="O95" s="67">
        <f t="shared" si="15"/>
        <v>0.99158915217391308</v>
      </c>
    </row>
    <row r="96" spans="1:15" ht="15" hidden="1" outlineLevel="2" x14ac:dyDescent="0.25">
      <c r="A96" s="65" t="s">
        <v>105</v>
      </c>
      <c r="B96" s="33"/>
      <c r="C96" s="22"/>
      <c r="D96" s="22"/>
      <c r="E96" s="23">
        <f>72800000-11000000</f>
        <v>61800000</v>
      </c>
      <c r="F96" s="24"/>
      <c r="G96" s="30">
        <f>+B96+C96+D96+E96+F96</f>
        <v>61800000</v>
      </c>
      <c r="H96" s="24"/>
      <c r="I96" s="30">
        <f>+H96+G96</f>
        <v>61800000</v>
      </c>
      <c r="J96" s="66">
        <v>18004519</v>
      </c>
      <c r="K96" s="66">
        <v>11990424</v>
      </c>
      <c r="L96" s="66">
        <v>17244326</v>
      </c>
      <c r="M96" s="66">
        <v>14042430</v>
      </c>
      <c r="N96" s="66">
        <f t="shared" si="14"/>
        <v>61281699</v>
      </c>
      <c r="O96" s="67">
        <f t="shared" si="15"/>
        <v>0.99161325242718446</v>
      </c>
    </row>
    <row r="97" spans="1:15" s="64" customFormat="1" ht="15" hidden="1" outlineLevel="1" x14ac:dyDescent="0.25">
      <c r="A97" s="83" t="s">
        <v>106</v>
      </c>
      <c r="B97" s="33"/>
      <c r="C97" s="40"/>
      <c r="D97" s="40"/>
      <c r="E97" s="18">
        <f>+E98</f>
        <v>154440000</v>
      </c>
      <c r="F97" s="33"/>
      <c r="G97" s="18">
        <f>+G98</f>
        <v>154440000</v>
      </c>
      <c r="H97" s="33"/>
      <c r="I97" s="18">
        <f>+I98</f>
        <v>154440000</v>
      </c>
      <c r="J97" s="19">
        <f>+J98</f>
        <v>45734600</v>
      </c>
      <c r="K97" s="19">
        <f>+K98</f>
        <v>43092934</v>
      </c>
      <c r="L97" s="19">
        <f>+L98</f>
        <v>17707400</v>
      </c>
      <c r="M97" s="19">
        <f>+M98</f>
        <v>43383820</v>
      </c>
      <c r="N97" s="19">
        <f t="shared" si="14"/>
        <v>149918754</v>
      </c>
      <c r="O97" s="20">
        <f t="shared" si="15"/>
        <v>0.97072490287490287</v>
      </c>
    </row>
    <row r="98" spans="1:15" ht="15" hidden="1" outlineLevel="2" x14ac:dyDescent="0.25">
      <c r="A98" s="65" t="s">
        <v>107</v>
      </c>
      <c r="B98" s="33"/>
      <c r="C98" s="22"/>
      <c r="D98" s="22"/>
      <c r="E98" s="23">
        <f>143440000+11000000</f>
        <v>154440000</v>
      </c>
      <c r="F98" s="24"/>
      <c r="G98" s="30">
        <f>+B98+C98+D98+E98+F98</f>
        <v>154440000</v>
      </c>
      <c r="H98" s="24"/>
      <c r="I98" s="30">
        <f>+H98+G98</f>
        <v>154440000</v>
      </c>
      <c r="J98" s="66">
        <v>45734600</v>
      </c>
      <c r="K98" s="66">
        <v>43092934</v>
      </c>
      <c r="L98" s="66">
        <v>17707400</v>
      </c>
      <c r="M98" s="66">
        <v>43383820</v>
      </c>
      <c r="N98" s="66">
        <f t="shared" si="14"/>
        <v>149918754</v>
      </c>
      <c r="O98" s="72">
        <f t="shared" si="15"/>
        <v>0.97072490287490287</v>
      </c>
    </row>
    <row r="99" spans="1:15" ht="15" collapsed="1" x14ac:dyDescent="0.25">
      <c r="A99" s="81" t="s">
        <v>108</v>
      </c>
      <c r="B99" s="33"/>
      <c r="C99" s="22"/>
      <c r="D99" s="22"/>
      <c r="E99" s="18">
        <f>+SUM(E100:E105)</f>
        <v>468460000</v>
      </c>
      <c r="F99" s="24"/>
      <c r="G99" s="18">
        <f>+SUM(G100:G105)</f>
        <v>468460000</v>
      </c>
      <c r="H99" s="24"/>
      <c r="I99" s="18">
        <f>+SUM(I100:I105)</f>
        <v>468460000</v>
      </c>
      <c r="J99" s="19">
        <f>+SUM(J100:J105)</f>
        <v>99617622</v>
      </c>
      <c r="K99" s="19">
        <f>+SUM(K100:K105)</f>
        <v>114090053</v>
      </c>
      <c r="L99" s="19">
        <f>+SUM(L100:L105)</f>
        <v>117802766</v>
      </c>
      <c r="M99" s="19">
        <f>+SUM(M100:M105)</f>
        <v>124760694</v>
      </c>
      <c r="N99" s="19">
        <f t="shared" si="14"/>
        <v>456271135</v>
      </c>
      <c r="O99" s="20">
        <f t="shared" si="15"/>
        <v>0.97398099090637402</v>
      </c>
    </row>
    <row r="100" spans="1:15" ht="15" hidden="1" outlineLevel="1" x14ac:dyDescent="0.25">
      <c r="A100" s="84" t="s">
        <v>109</v>
      </c>
      <c r="B100" s="33"/>
      <c r="C100" s="22"/>
      <c r="D100" s="22"/>
      <c r="E100" s="22">
        <v>121500000</v>
      </c>
      <c r="F100" s="24"/>
      <c r="G100" s="30">
        <f t="shared" ref="G100:G105" si="16">+B100+C100+D100+E100+F100</f>
        <v>121500000</v>
      </c>
      <c r="H100" s="24"/>
      <c r="I100" s="30">
        <f t="shared" ref="I100:I105" si="17">+G100</f>
        <v>121500000</v>
      </c>
      <c r="J100" s="66">
        <v>30055320</v>
      </c>
      <c r="K100" s="66">
        <v>30032980</v>
      </c>
      <c r="L100" s="66">
        <v>50000000</v>
      </c>
      <c r="M100" s="66">
        <v>11411700</v>
      </c>
      <c r="N100" s="66">
        <f t="shared" si="14"/>
        <v>121500000</v>
      </c>
      <c r="O100" s="67">
        <f t="shared" si="15"/>
        <v>1</v>
      </c>
    </row>
    <row r="101" spans="1:15" ht="15" hidden="1" outlineLevel="1" x14ac:dyDescent="0.25">
      <c r="A101" s="84" t="s">
        <v>110</v>
      </c>
      <c r="B101" s="33"/>
      <c r="C101" s="22"/>
      <c r="D101" s="22"/>
      <c r="E101" s="22">
        <v>150000000</v>
      </c>
      <c r="F101" s="24"/>
      <c r="G101" s="30">
        <f t="shared" si="16"/>
        <v>150000000</v>
      </c>
      <c r="H101" s="24"/>
      <c r="I101" s="30">
        <f t="shared" si="17"/>
        <v>150000000</v>
      </c>
      <c r="J101" s="66">
        <v>34414900</v>
      </c>
      <c r="K101" s="66">
        <v>35709526</v>
      </c>
      <c r="L101" s="66">
        <v>30348571</v>
      </c>
      <c r="M101" s="66">
        <v>49527003</v>
      </c>
      <c r="N101" s="66">
        <f t="shared" si="14"/>
        <v>150000000</v>
      </c>
      <c r="O101" s="67">
        <f t="shared" si="15"/>
        <v>1</v>
      </c>
    </row>
    <row r="102" spans="1:15" ht="15" hidden="1" outlineLevel="1" x14ac:dyDescent="0.25">
      <c r="A102" s="84" t="s">
        <v>111</v>
      </c>
      <c r="B102" s="33"/>
      <c r="C102" s="22"/>
      <c r="D102" s="22"/>
      <c r="E102" s="22">
        <v>70000000</v>
      </c>
      <c r="F102" s="24"/>
      <c r="G102" s="30">
        <f t="shared" si="16"/>
        <v>70000000</v>
      </c>
      <c r="H102" s="30"/>
      <c r="I102" s="30">
        <f t="shared" si="17"/>
        <v>70000000</v>
      </c>
      <c r="J102" s="66">
        <v>16787567</v>
      </c>
      <c r="K102" s="66">
        <v>17500000</v>
      </c>
      <c r="L102" s="66">
        <v>7816241</v>
      </c>
      <c r="M102" s="66">
        <v>23200206</v>
      </c>
      <c r="N102" s="66">
        <f t="shared" si="14"/>
        <v>65304014</v>
      </c>
      <c r="O102" s="67">
        <f t="shared" si="15"/>
        <v>0.9329144857142857</v>
      </c>
    </row>
    <row r="103" spans="1:15" ht="15" hidden="1" outlineLevel="1" x14ac:dyDescent="0.25">
      <c r="A103" s="84" t="s">
        <v>112</v>
      </c>
      <c r="B103" s="33"/>
      <c r="C103" s="22"/>
      <c r="D103" s="22"/>
      <c r="E103" s="23">
        <v>5460000</v>
      </c>
      <c r="F103" s="24"/>
      <c r="G103" s="30">
        <f t="shared" si="16"/>
        <v>5460000</v>
      </c>
      <c r="H103" s="30"/>
      <c r="I103" s="30">
        <f t="shared" si="17"/>
        <v>5460000</v>
      </c>
      <c r="J103" s="66">
        <v>1303368</v>
      </c>
      <c r="K103" s="66">
        <v>894547</v>
      </c>
      <c r="L103" s="66">
        <v>1395816</v>
      </c>
      <c r="M103" s="66">
        <v>1327676</v>
      </c>
      <c r="N103" s="66">
        <f t="shared" si="14"/>
        <v>4921407</v>
      </c>
      <c r="O103" s="67">
        <f t="shared" si="15"/>
        <v>0.90135659340659335</v>
      </c>
    </row>
    <row r="104" spans="1:15" ht="15" hidden="1" outlineLevel="1" x14ac:dyDescent="0.25">
      <c r="A104" s="84" t="s">
        <v>113</v>
      </c>
      <c r="B104" s="33"/>
      <c r="C104" s="22"/>
      <c r="D104" s="22"/>
      <c r="E104" s="23">
        <v>71500000</v>
      </c>
      <c r="F104" s="24"/>
      <c r="G104" s="30">
        <f t="shared" si="16"/>
        <v>71500000</v>
      </c>
      <c r="H104" s="30"/>
      <c r="I104" s="30">
        <f t="shared" si="17"/>
        <v>71500000</v>
      </c>
      <c r="J104" s="66">
        <v>13859183</v>
      </c>
      <c r="K104" s="66">
        <v>19851750</v>
      </c>
      <c r="L104" s="66">
        <v>18924483</v>
      </c>
      <c r="M104" s="66">
        <v>15069178</v>
      </c>
      <c r="N104" s="66">
        <f t="shared" si="14"/>
        <v>67704594</v>
      </c>
      <c r="O104" s="67">
        <f t="shared" si="15"/>
        <v>0.94691739860139856</v>
      </c>
    </row>
    <row r="105" spans="1:15" ht="15" hidden="1" outlineLevel="1" x14ac:dyDescent="0.25">
      <c r="A105" s="84" t="s">
        <v>114</v>
      </c>
      <c r="B105" s="33"/>
      <c r="C105" s="22"/>
      <c r="D105" s="22"/>
      <c r="E105" s="23">
        <v>50000000</v>
      </c>
      <c r="F105" s="24"/>
      <c r="G105" s="30">
        <f t="shared" si="16"/>
        <v>50000000</v>
      </c>
      <c r="H105" s="30"/>
      <c r="I105" s="30">
        <f t="shared" si="17"/>
        <v>50000000</v>
      </c>
      <c r="J105" s="66">
        <v>3197284</v>
      </c>
      <c r="K105" s="66">
        <v>10101250</v>
      </c>
      <c r="L105" s="66">
        <v>9317655</v>
      </c>
      <c r="M105" s="66">
        <v>24224931</v>
      </c>
      <c r="N105" s="66">
        <f t="shared" si="14"/>
        <v>46841120</v>
      </c>
      <c r="O105" s="67">
        <f t="shared" si="15"/>
        <v>0.93682240000000006</v>
      </c>
    </row>
    <row r="106" spans="1:15" ht="15" collapsed="1" x14ac:dyDescent="0.25">
      <c r="A106" s="81" t="s">
        <v>115</v>
      </c>
      <c r="B106" s="24"/>
      <c r="C106" s="22"/>
      <c r="D106" s="22"/>
      <c r="E106" s="18">
        <f>+SUM(E107:E108)</f>
        <v>369512910.80000001</v>
      </c>
      <c r="F106" s="24"/>
      <c r="G106" s="18">
        <f>+SUM(G107:G108)</f>
        <v>369512910.80000001</v>
      </c>
      <c r="H106" s="33"/>
      <c r="I106" s="18">
        <f>+SUM(I107:I108)</f>
        <v>369512910.80000001</v>
      </c>
      <c r="J106" s="19">
        <f>+SUM(J107:J108)</f>
        <v>24886194</v>
      </c>
      <c r="K106" s="19">
        <f>+SUM(K107:K108)</f>
        <v>28425266</v>
      </c>
      <c r="L106" s="19">
        <f>+SUM(L107:L108)</f>
        <v>135643136</v>
      </c>
      <c r="M106" s="19">
        <f>+SUM(M107:M108)</f>
        <v>155885824</v>
      </c>
      <c r="N106" s="19">
        <f t="shared" si="14"/>
        <v>344840420</v>
      </c>
      <c r="O106" s="20">
        <f t="shared" si="15"/>
        <v>0.93322969217345131</v>
      </c>
    </row>
    <row r="107" spans="1:15" ht="15" hidden="1" outlineLevel="1" x14ac:dyDescent="0.25">
      <c r="A107" s="85" t="s">
        <v>116</v>
      </c>
      <c r="B107" s="24"/>
      <c r="C107" s="22"/>
      <c r="D107" s="22"/>
      <c r="E107" s="23">
        <f>129512910.8+23000000</f>
        <v>152512910.80000001</v>
      </c>
      <c r="F107" s="24"/>
      <c r="G107" s="30">
        <f>+B107+C107+D107+E107+F107</f>
        <v>152512910.80000001</v>
      </c>
      <c r="H107" s="33"/>
      <c r="I107" s="30">
        <f>+H107+G107</f>
        <v>152512910.80000001</v>
      </c>
      <c r="J107" s="66">
        <v>24803844</v>
      </c>
      <c r="K107" s="66">
        <v>28425266</v>
      </c>
      <c r="L107" s="66">
        <v>41352924</v>
      </c>
      <c r="M107" s="66">
        <v>51530491</v>
      </c>
      <c r="N107" s="66">
        <f t="shared" si="14"/>
        <v>146112525</v>
      </c>
      <c r="O107" s="72">
        <f t="shared" si="15"/>
        <v>0.95803380994810827</v>
      </c>
    </row>
    <row r="108" spans="1:15" ht="15" hidden="1" outlineLevel="1" x14ac:dyDescent="0.25">
      <c r="A108" s="85" t="s">
        <v>117</v>
      </c>
      <c r="B108" s="24"/>
      <c r="C108" s="22"/>
      <c r="D108" s="22"/>
      <c r="E108" s="23">
        <f>240000000-23000000</f>
        <v>217000000</v>
      </c>
      <c r="F108" s="24"/>
      <c r="G108" s="30">
        <f>+B108+C108+D108+E108+F108</f>
        <v>217000000</v>
      </c>
      <c r="H108" s="33"/>
      <c r="I108" s="30">
        <f>+H108+G108</f>
        <v>217000000</v>
      </c>
      <c r="J108" s="66">
        <v>82350</v>
      </c>
      <c r="K108" s="66">
        <v>0</v>
      </c>
      <c r="L108" s="66">
        <v>94290212</v>
      </c>
      <c r="M108" s="66">
        <v>104355333</v>
      </c>
      <c r="N108" s="66">
        <f t="shared" si="14"/>
        <v>198727895</v>
      </c>
      <c r="O108" s="67">
        <f t="shared" si="15"/>
        <v>0.91579675115207371</v>
      </c>
    </row>
    <row r="109" spans="1:15" ht="15" collapsed="1" x14ac:dyDescent="0.25">
      <c r="A109" s="32" t="s">
        <v>118</v>
      </c>
      <c r="B109" s="24"/>
      <c r="C109" s="22"/>
      <c r="D109" s="22"/>
      <c r="E109" s="18">
        <f>+SUM(E110:E112)</f>
        <v>2660792313.3863997</v>
      </c>
      <c r="F109" s="24"/>
      <c r="G109" s="18">
        <f>+SUM(G110:G112)</f>
        <v>2660792313.3863997</v>
      </c>
      <c r="H109" s="76"/>
      <c r="I109" s="18">
        <f>+SUM(I110:I112)</f>
        <v>2660792313.3863997</v>
      </c>
      <c r="J109" s="19">
        <f>+SUM(J110:J112)</f>
        <v>726693941</v>
      </c>
      <c r="K109" s="19">
        <f>+SUM(K110:K112)</f>
        <v>480242087</v>
      </c>
      <c r="L109" s="19">
        <f>+SUM(L110:L112)</f>
        <v>976778460</v>
      </c>
      <c r="M109" s="19">
        <f>+SUM(M110:M112)</f>
        <v>352889651</v>
      </c>
      <c r="N109" s="19">
        <f t="shared" si="14"/>
        <v>2536604139</v>
      </c>
      <c r="O109" s="20">
        <f t="shared" si="15"/>
        <v>0.95332661863099533</v>
      </c>
    </row>
    <row r="110" spans="1:15" ht="15" hidden="1" outlineLevel="1" x14ac:dyDescent="0.25">
      <c r="A110" s="85" t="s">
        <v>119</v>
      </c>
      <c r="B110" s="24"/>
      <c r="C110" s="22"/>
      <c r="D110" s="22"/>
      <c r="E110" s="23">
        <v>2563448404.7999997</v>
      </c>
      <c r="F110" s="24"/>
      <c r="G110" s="30">
        <f>+B110+C110+D110+E110+F110</f>
        <v>2563448404.7999997</v>
      </c>
      <c r="H110" s="33"/>
      <c r="I110" s="30">
        <f>+G110+H110</f>
        <v>2563448404.7999997</v>
      </c>
      <c r="J110" s="66">
        <v>714164743</v>
      </c>
      <c r="K110" s="66">
        <v>467339713</v>
      </c>
      <c r="L110" s="66">
        <v>951862153</v>
      </c>
      <c r="M110" s="66">
        <v>319986265</v>
      </c>
      <c r="N110" s="66">
        <f t="shared" si="14"/>
        <v>2453352874</v>
      </c>
      <c r="O110" s="67">
        <f t="shared" si="15"/>
        <v>0.95705178594823748</v>
      </c>
    </row>
    <row r="111" spans="1:15" ht="14.25" hidden="1" outlineLevel="1" x14ac:dyDescent="0.2">
      <c r="A111" s="85" t="s">
        <v>120</v>
      </c>
      <c r="B111" s="24"/>
      <c r="C111" s="22"/>
      <c r="D111" s="22"/>
      <c r="E111" s="23">
        <v>54872329.427999996</v>
      </c>
      <c r="F111" s="24"/>
      <c r="G111" s="30">
        <f>+B111+C111+D111+E111+F111</f>
        <v>54872329.427999996</v>
      </c>
      <c r="H111" s="24"/>
      <c r="I111" s="30">
        <f>+G111+H111</f>
        <v>54872329.427999996</v>
      </c>
      <c r="J111" s="66">
        <v>3366251.9999999981</v>
      </c>
      <c r="K111" s="66">
        <v>3281360</v>
      </c>
      <c r="L111" s="66">
        <v>13943633</v>
      </c>
      <c r="M111" s="66">
        <v>22200000</v>
      </c>
      <c r="N111" s="66">
        <f t="shared" si="14"/>
        <v>42791245</v>
      </c>
      <c r="O111" s="67">
        <f t="shared" si="15"/>
        <v>0.7798328491985741</v>
      </c>
    </row>
    <row r="112" spans="1:15" ht="14.25" hidden="1" outlineLevel="1" x14ac:dyDescent="0.2">
      <c r="A112" s="85" t="s">
        <v>121</v>
      </c>
      <c r="B112" s="24"/>
      <c r="C112" s="22"/>
      <c r="D112" s="22"/>
      <c r="E112" s="23">
        <v>42471579.158400007</v>
      </c>
      <c r="F112" s="24"/>
      <c r="G112" s="30">
        <f>+B112+C112+D112+E112+F112</f>
        <v>42471579.158400007</v>
      </c>
      <c r="H112" s="24"/>
      <c r="I112" s="30">
        <f>+G112+H112</f>
        <v>42471579.158400007</v>
      </c>
      <c r="J112" s="66">
        <v>9162946.0000000019</v>
      </c>
      <c r="K112" s="66">
        <v>9621014</v>
      </c>
      <c r="L112" s="66">
        <v>10972674</v>
      </c>
      <c r="M112" s="66">
        <v>10703386</v>
      </c>
      <c r="N112" s="66">
        <f t="shared" si="14"/>
        <v>40460020</v>
      </c>
      <c r="O112" s="67">
        <f t="shared" si="15"/>
        <v>0.95263752376859379</v>
      </c>
    </row>
    <row r="113" spans="1:15" s="64" customFormat="1" ht="15" collapsed="1" x14ac:dyDescent="0.25">
      <c r="A113" s="13" t="s">
        <v>122</v>
      </c>
      <c r="B113" s="24"/>
      <c r="C113" s="18">
        <f>+SUM(C114:C117)</f>
        <v>782543972.83850002</v>
      </c>
      <c r="D113" s="18"/>
      <c r="E113" s="23"/>
      <c r="F113" s="24"/>
      <c r="G113" s="18">
        <f>+SUM(G114:G117)</f>
        <v>782543972.83850002</v>
      </c>
      <c r="H113" s="24"/>
      <c r="I113" s="18">
        <f>+SUM(I114:I117)</f>
        <v>782543972.83850002</v>
      </c>
      <c r="J113" s="19">
        <f>+SUM(J114:J117)</f>
        <v>86605029</v>
      </c>
      <c r="K113" s="19">
        <f>+SUM(K114:K117)</f>
        <v>212802809</v>
      </c>
      <c r="L113" s="19">
        <f>+SUM(L114:L117)</f>
        <v>262263475</v>
      </c>
      <c r="M113" s="19">
        <f>+SUM(M114:M117)</f>
        <v>213552017</v>
      </c>
      <c r="N113" s="19">
        <f t="shared" si="14"/>
        <v>775223330</v>
      </c>
      <c r="O113" s="20">
        <f t="shared" si="15"/>
        <v>0.99064507159649307</v>
      </c>
    </row>
    <row r="114" spans="1:15" s="64" customFormat="1" ht="15" x14ac:dyDescent="0.25">
      <c r="A114" s="86" t="s">
        <v>123</v>
      </c>
      <c r="B114" s="24"/>
      <c r="C114" s="18">
        <f>61000000-36225574</f>
        <v>24774426</v>
      </c>
      <c r="D114" s="22"/>
      <c r="E114" s="22"/>
      <c r="F114" s="24"/>
      <c r="G114" s="76">
        <f>+B114+C114+D114+E114+F114</f>
        <v>24774426</v>
      </c>
      <c r="H114" s="76"/>
      <c r="I114" s="76">
        <f>+H114+G114</f>
        <v>24774426</v>
      </c>
      <c r="J114" s="79">
        <v>8095646</v>
      </c>
      <c r="K114" s="79">
        <v>9678780</v>
      </c>
      <c r="L114" s="79">
        <v>0</v>
      </c>
      <c r="M114" s="79">
        <v>5000000</v>
      </c>
      <c r="N114" s="79">
        <f t="shared" si="14"/>
        <v>22774426</v>
      </c>
      <c r="O114" s="80">
        <f t="shared" si="15"/>
        <v>0.91927159079286036</v>
      </c>
    </row>
    <row r="115" spans="1:15" s="64" customFormat="1" ht="15" x14ac:dyDescent="0.25">
      <c r="A115" s="86" t="s">
        <v>124</v>
      </c>
      <c r="B115" s="24"/>
      <c r="C115" s="18">
        <v>469059358.49250001</v>
      </c>
      <c r="D115" s="22"/>
      <c r="E115" s="22"/>
      <c r="F115" s="24"/>
      <c r="G115" s="76">
        <f>+B115+C115+D115+E115+F115</f>
        <v>469059358.49250001</v>
      </c>
      <c r="H115" s="76"/>
      <c r="I115" s="76">
        <f>+H115+G115</f>
        <v>469059358.49250001</v>
      </c>
      <c r="J115" s="79">
        <v>41752538.000000007</v>
      </c>
      <c r="K115" s="79">
        <v>134930850</v>
      </c>
      <c r="L115" s="79">
        <v>159487098</v>
      </c>
      <c r="M115" s="79">
        <v>127568232</v>
      </c>
      <c r="N115" s="79">
        <f t="shared" si="14"/>
        <v>463738718</v>
      </c>
      <c r="O115" s="80">
        <f t="shared" si="15"/>
        <v>0.98865678640417731</v>
      </c>
    </row>
    <row r="116" spans="1:15" s="64" customFormat="1" ht="15" x14ac:dyDescent="0.25">
      <c r="A116" s="87" t="s">
        <v>125</v>
      </c>
      <c r="B116" s="22"/>
      <c r="C116" s="18">
        <v>160502239.5</v>
      </c>
      <c r="D116" s="22"/>
      <c r="E116" s="22"/>
      <c r="F116" s="22"/>
      <c r="G116" s="18">
        <f>+B116+C116+D116+E116+F116</f>
        <v>160502239.5</v>
      </c>
      <c r="H116" s="18"/>
      <c r="I116" s="76">
        <f>+H116+G116</f>
        <v>160502239.5</v>
      </c>
      <c r="J116" s="79">
        <v>23419963</v>
      </c>
      <c r="K116" s="79">
        <v>43322112</v>
      </c>
      <c r="L116" s="79">
        <v>37365416</v>
      </c>
      <c r="M116" s="79">
        <v>56394746</v>
      </c>
      <c r="N116" s="79">
        <f t="shared" si="14"/>
        <v>160502237</v>
      </c>
      <c r="O116" s="80">
        <f t="shared" si="15"/>
        <v>0.99999998442389337</v>
      </c>
    </row>
    <row r="117" spans="1:15" s="64" customFormat="1" ht="15" x14ac:dyDescent="0.25">
      <c r="A117" s="87" t="s">
        <v>126</v>
      </c>
      <c r="B117" s="24"/>
      <c r="C117" s="18">
        <f>153908555.846-25700607</f>
        <v>128207948.84599999</v>
      </c>
      <c r="D117" s="22"/>
      <c r="E117" s="22"/>
      <c r="F117" s="24"/>
      <c r="G117" s="76">
        <f>+B117+C117+D117+E117+F117</f>
        <v>128207948.84599999</v>
      </c>
      <c r="H117" s="76"/>
      <c r="I117" s="76">
        <f>+H117+G117</f>
        <v>128207948.84599999</v>
      </c>
      <c r="J117" s="79">
        <v>13336882</v>
      </c>
      <c r="K117" s="79">
        <v>24871067</v>
      </c>
      <c r="L117" s="79">
        <v>65410961</v>
      </c>
      <c r="M117" s="79">
        <v>24589039</v>
      </c>
      <c r="N117" s="79">
        <f t="shared" si="14"/>
        <v>128207949</v>
      </c>
      <c r="O117" s="80">
        <f t="shared" si="15"/>
        <v>1.0000000012011736</v>
      </c>
    </row>
    <row r="118" spans="1:15" s="60" customFormat="1" ht="30" x14ac:dyDescent="0.25">
      <c r="A118" s="56" t="s">
        <v>127</v>
      </c>
      <c r="B118" s="57">
        <f>+B119</f>
        <v>1288379721.5072</v>
      </c>
      <c r="C118" s="57"/>
      <c r="D118" s="57"/>
      <c r="E118" s="57"/>
      <c r="F118" s="57"/>
      <c r="G118" s="57">
        <f>+G119</f>
        <v>1288379721.5072</v>
      </c>
      <c r="H118" s="57"/>
      <c r="I118" s="57">
        <f>+I119</f>
        <v>1288379721.5072</v>
      </c>
      <c r="J118" s="58">
        <f>+J119</f>
        <v>197006871</v>
      </c>
      <c r="K118" s="58">
        <f>+K119</f>
        <v>273433944</v>
      </c>
      <c r="L118" s="58">
        <f>+L119</f>
        <v>342865067</v>
      </c>
      <c r="M118" s="58">
        <f>+M119</f>
        <v>473031049</v>
      </c>
      <c r="N118" s="58">
        <f t="shared" si="14"/>
        <v>1286336931</v>
      </c>
      <c r="O118" s="59">
        <f t="shared" si="15"/>
        <v>0.9984144499691362</v>
      </c>
    </row>
    <row r="119" spans="1:15" s="64" customFormat="1" ht="15" x14ac:dyDescent="0.25">
      <c r="A119" s="61" t="s">
        <v>128</v>
      </c>
      <c r="B119" s="40">
        <f>+B120+B124+B129</f>
        <v>1288379721.5072</v>
      </c>
      <c r="C119" s="33"/>
      <c r="D119" s="33"/>
      <c r="E119" s="33"/>
      <c r="F119" s="33"/>
      <c r="G119" s="33">
        <f t="shared" ref="G119:G140" si="18">+B119+C119+D119+E119+F119</f>
        <v>1288379721.5072</v>
      </c>
      <c r="H119" s="33"/>
      <c r="I119" s="33">
        <f t="shared" ref="I119:I135" si="19">+G119+H119</f>
        <v>1288379721.5072</v>
      </c>
      <c r="J119" s="34">
        <f>+J120+J124+J129</f>
        <v>197006871</v>
      </c>
      <c r="K119" s="34">
        <f>+K120+K124+K129</f>
        <v>273433944</v>
      </c>
      <c r="L119" s="34">
        <f>+L120+L124+L129</f>
        <v>342865067</v>
      </c>
      <c r="M119" s="34">
        <f>+M120+M124+M129</f>
        <v>473031049</v>
      </c>
      <c r="N119" s="34">
        <f t="shared" si="14"/>
        <v>1286336931</v>
      </c>
      <c r="O119" s="63">
        <f t="shared" si="15"/>
        <v>0.9984144499691362</v>
      </c>
    </row>
    <row r="120" spans="1:15" s="64" customFormat="1" ht="15" x14ac:dyDescent="0.25">
      <c r="A120" s="88" t="s">
        <v>129</v>
      </c>
      <c r="B120" s="18">
        <f>SUM(B121:B123)</f>
        <v>52658512</v>
      </c>
      <c r="C120" s="33"/>
      <c r="D120" s="33"/>
      <c r="E120" s="33"/>
      <c r="F120" s="33"/>
      <c r="G120" s="76">
        <f t="shared" si="18"/>
        <v>52658512</v>
      </c>
      <c r="H120" s="33"/>
      <c r="I120" s="76">
        <f t="shared" si="19"/>
        <v>52658512</v>
      </c>
      <c r="J120" s="19">
        <f>SUM(J121:J123)</f>
        <v>52658512</v>
      </c>
      <c r="K120" s="19">
        <f>SUM(K121:K123)</f>
        <v>0</v>
      </c>
      <c r="L120" s="19">
        <f>SUM(L121:L123)</f>
        <v>0</v>
      </c>
      <c r="M120" s="19">
        <f>SUM(M121:M123)</f>
        <v>0</v>
      </c>
      <c r="N120" s="19">
        <f t="shared" si="14"/>
        <v>52658512</v>
      </c>
      <c r="O120" s="80">
        <f t="shared" si="15"/>
        <v>1</v>
      </c>
    </row>
    <row r="121" spans="1:15" s="64" customFormat="1" ht="15" hidden="1" outlineLevel="1" x14ac:dyDescent="0.25">
      <c r="A121" s="89" t="s">
        <v>130</v>
      </c>
      <c r="B121" s="23">
        <f>133802929-82641919</f>
        <v>51161010</v>
      </c>
      <c r="C121" s="33"/>
      <c r="D121" s="33"/>
      <c r="E121" s="33"/>
      <c r="F121" s="33"/>
      <c r="G121" s="30">
        <f t="shared" si="18"/>
        <v>51161010</v>
      </c>
      <c r="H121" s="33"/>
      <c r="I121" s="30">
        <f t="shared" si="19"/>
        <v>51161010</v>
      </c>
      <c r="J121" s="82"/>
      <c r="K121" s="82"/>
      <c r="L121" s="82"/>
      <c r="M121" s="82"/>
      <c r="N121" s="82">
        <v>51161010</v>
      </c>
      <c r="O121" s="67">
        <f t="shared" si="15"/>
        <v>1</v>
      </c>
    </row>
    <row r="122" spans="1:15" s="64" customFormat="1" ht="15" hidden="1" outlineLevel="1" x14ac:dyDescent="0.25">
      <c r="A122" s="89" t="s">
        <v>131</v>
      </c>
      <c r="B122" s="23">
        <f>133802929-133802929</f>
        <v>0</v>
      </c>
      <c r="C122" s="33"/>
      <c r="D122" s="33"/>
      <c r="E122" s="33"/>
      <c r="F122" s="33"/>
      <c r="G122" s="30">
        <f t="shared" si="18"/>
        <v>0</v>
      </c>
      <c r="H122" s="33"/>
      <c r="I122" s="30">
        <f t="shared" si="19"/>
        <v>0</v>
      </c>
      <c r="J122" s="82">
        <v>51161010</v>
      </c>
      <c r="K122" s="82"/>
      <c r="L122" s="82"/>
      <c r="M122" s="82"/>
      <c r="N122" s="82">
        <v>0</v>
      </c>
      <c r="O122" s="67">
        <v>0</v>
      </c>
    </row>
    <row r="123" spans="1:15" s="64" customFormat="1" ht="15" hidden="1" outlineLevel="1" x14ac:dyDescent="0.25">
      <c r="A123" s="89" t="s">
        <v>132</v>
      </c>
      <c r="B123" s="23">
        <f>17125920-15628418</f>
        <v>1497502</v>
      </c>
      <c r="C123" s="33"/>
      <c r="D123" s="33"/>
      <c r="E123" s="33"/>
      <c r="F123" s="33"/>
      <c r="G123" s="30">
        <f t="shared" si="18"/>
        <v>1497502</v>
      </c>
      <c r="H123" s="33"/>
      <c r="I123" s="30">
        <f t="shared" si="19"/>
        <v>1497502</v>
      </c>
      <c r="J123" s="82">
        <v>1497502.0000000009</v>
      </c>
      <c r="K123" s="82"/>
      <c r="L123" s="82"/>
      <c r="M123" s="82"/>
      <c r="N123" s="82">
        <f t="shared" si="14"/>
        <v>1497502.0000000009</v>
      </c>
      <c r="O123" s="67">
        <f t="shared" si="15"/>
        <v>1.0000000000000007</v>
      </c>
    </row>
    <row r="124" spans="1:15" s="64" customFormat="1" ht="15" collapsed="1" x14ac:dyDescent="0.25">
      <c r="A124" s="61" t="s">
        <v>133</v>
      </c>
      <c r="B124" s="40">
        <f>SUM(B125:B128)</f>
        <v>650714406.85360003</v>
      </c>
      <c r="C124" s="33"/>
      <c r="D124" s="33"/>
      <c r="E124" s="33"/>
      <c r="F124" s="33"/>
      <c r="G124" s="76">
        <f t="shared" si="18"/>
        <v>650714406.85360003</v>
      </c>
      <c r="H124" s="33"/>
      <c r="I124" s="76">
        <f t="shared" si="19"/>
        <v>650714406.85360003</v>
      </c>
      <c r="J124" s="34">
        <f>SUM(J125:J128)</f>
        <v>70832368</v>
      </c>
      <c r="K124" s="34">
        <f>SUM(K125:K128)</f>
        <v>183645724</v>
      </c>
      <c r="L124" s="34">
        <f>SUM(L125:L128)</f>
        <v>177193660</v>
      </c>
      <c r="M124" s="34">
        <f>SUM(M125:M128)</f>
        <v>217792989</v>
      </c>
      <c r="N124" s="34">
        <f t="shared" si="14"/>
        <v>649464741</v>
      </c>
      <c r="O124" s="80">
        <f t="shared" si="15"/>
        <v>0.99807954789314945</v>
      </c>
    </row>
    <row r="125" spans="1:15" s="64" customFormat="1" ht="15" hidden="1" outlineLevel="1" x14ac:dyDescent="0.25">
      <c r="A125" s="84" t="s">
        <v>134</v>
      </c>
      <c r="B125" s="23">
        <f>35000000-20600000</f>
        <v>14400000</v>
      </c>
      <c r="C125" s="33"/>
      <c r="D125" s="33"/>
      <c r="E125" s="33"/>
      <c r="F125" s="33"/>
      <c r="G125" s="30">
        <f t="shared" si="18"/>
        <v>14400000</v>
      </c>
      <c r="H125" s="33"/>
      <c r="I125" s="30">
        <f>+G125+H125</f>
        <v>14400000</v>
      </c>
      <c r="J125" s="82">
        <v>2051636</v>
      </c>
      <c r="K125" s="82">
        <v>2216008</v>
      </c>
      <c r="L125" s="82">
        <v>2219956</v>
      </c>
      <c r="M125" s="82">
        <v>7819286</v>
      </c>
      <c r="N125" s="82">
        <f t="shared" si="14"/>
        <v>14306886</v>
      </c>
      <c r="O125" s="67">
        <f t="shared" si="15"/>
        <v>0.99353374999999999</v>
      </c>
    </row>
    <row r="126" spans="1:15" s="64" customFormat="1" ht="15" hidden="1" outlineLevel="1" x14ac:dyDescent="0.25">
      <c r="A126" s="84" t="s">
        <v>135</v>
      </c>
      <c r="B126" s="23">
        <f>173103437.3962+2000000</f>
        <v>175103437.3962</v>
      </c>
      <c r="C126" s="33"/>
      <c r="D126" s="33"/>
      <c r="E126" s="33"/>
      <c r="F126" s="33"/>
      <c r="G126" s="30">
        <f t="shared" si="18"/>
        <v>175103437.3962</v>
      </c>
      <c r="H126" s="33"/>
      <c r="I126" s="30">
        <f>+G126+H126</f>
        <v>175103437.3962</v>
      </c>
      <c r="J126" s="82">
        <v>35732781.000000007</v>
      </c>
      <c r="K126" s="82">
        <v>51472367</v>
      </c>
      <c r="L126" s="82">
        <v>44621233</v>
      </c>
      <c r="M126" s="82">
        <v>43273685</v>
      </c>
      <c r="N126" s="82">
        <f t="shared" si="14"/>
        <v>175100066</v>
      </c>
      <c r="O126" s="72">
        <f t="shared" si="15"/>
        <v>0.99998074625918176</v>
      </c>
    </row>
    <row r="127" spans="1:15" s="64" customFormat="1" ht="15" hidden="1" outlineLevel="1" x14ac:dyDescent="0.25">
      <c r="A127" s="84" t="s">
        <v>136</v>
      </c>
      <c r="B127" s="23">
        <f>46794834.0574+34600000</f>
        <v>81394834.057400003</v>
      </c>
      <c r="C127" s="33"/>
      <c r="D127" s="33"/>
      <c r="E127" s="33"/>
      <c r="F127" s="33"/>
      <c r="G127" s="30">
        <f t="shared" si="18"/>
        <v>81394834.057400003</v>
      </c>
      <c r="H127" s="33"/>
      <c r="I127" s="30">
        <f t="shared" si="19"/>
        <v>81394834.057400003</v>
      </c>
      <c r="J127" s="82">
        <v>30869323</v>
      </c>
      <c r="K127" s="82">
        <v>11026865</v>
      </c>
      <c r="L127" s="82">
        <v>24513863</v>
      </c>
      <c r="M127" s="82">
        <v>14609191</v>
      </c>
      <c r="N127" s="82">
        <f t="shared" si="14"/>
        <v>81019242</v>
      </c>
      <c r="O127" s="72">
        <f t="shared" si="15"/>
        <v>0.99538555411102458</v>
      </c>
    </row>
    <row r="128" spans="1:15" s="64" customFormat="1" ht="14.25" hidden="1" outlineLevel="1" x14ac:dyDescent="0.2">
      <c r="A128" s="90" t="s">
        <v>137</v>
      </c>
      <c r="B128" s="23">
        <f>242545798.4+137270337</f>
        <v>379816135.39999998</v>
      </c>
      <c r="C128" s="23"/>
      <c r="D128" s="23"/>
      <c r="E128" s="23"/>
      <c r="F128" s="23"/>
      <c r="G128" s="30">
        <f t="shared" si="18"/>
        <v>379816135.39999998</v>
      </c>
      <c r="H128" s="23"/>
      <c r="I128" s="30">
        <f t="shared" si="19"/>
        <v>379816135.39999998</v>
      </c>
      <c r="J128" s="82">
        <v>2178628</v>
      </c>
      <c r="K128" s="82">
        <v>118930484</v>
      </c>
      <c r="L128" s="82">
        <v>105838608</v>
      </c>
      <c r="M128" s="82">
        <v>152090827</v>
      </c>
      <c r="N128" s="82">
        <f t="shared" si="14"/>
        <v>379038547</v>
      </c>
      <c r="O128" s="67">
        <f t="shared" si="15"/>
        <v>0.99795272415380387</v>
      </c>
    </row>
    <row r="129" spans="1:15" s="64" customFormat="1" ht="15" collapsed="1" x14ac:dyDescent="0.25">
      <c r="A129" s="61" t="s">
        <v>138</v>
      </c>
      <c r="B129" s="40">
        <f>+B130+B135+B140</f>
        <v>585006802.65359998</v>
      </c>
      <c r="C129" s="33"/>
      <c r="D129" s="33"/>
      <c r="E129" s="33"/>
      <c r="F129" s="33"/>
      <c r="G129" s="33">
        <f t="shared" si="18"/>
        <v>585006802.65359998</v>
      </c>
      <c r="H129" s="33"/>
      <c r="I129" s="33">
        <f t="shared" si="19"/>
        <v>585006802.65359998</v>
      </c>
      <c r="J129" s="34">
        <f>+J130+J135+J140</f>
        <v>73515991</v>
      </c>
      <c r="K129" s="34">
        <f>+K130+K135+K140</f>
        <v>89788220</v>
      </c>
      <c r="L129" s="34">
        <f>+L130+L135+L140</f>
        <v>165671407</v>
      </c>
      <c r="M129" s="34">
        <f>+M130+M135+M140</f>
        <v>255238060</v>
      </c>
      <c r="N129" s="34">
        <f t="shared" si="14"/>
        <v>584213678</v>
      </c>
      <c r="O129" s="63">
        <f t="shared" si="15"/>
        <v>0.99864424712669608</v>
      </c>
    </row>
    <row r="130" spans="1:15" s="64" customFormat="1" ht="15" hidden="1" outlineLevel="1" x14ac:dyDescent="0.25">
      <c r="A130" s="61" t="s">
        <v>139</v>
      </c>
      <c r="B130" s="18">
        <f>SUM(B131:B134)</f>
        <v>321273150</v>
      </c>
      <c r="C130" s="33"/>
      <c r="D130" s="33"/>
      <c r="E130" s="33"/>
      <c r="F130" s="33"/>
      <c r="G130" s="76">
        <f t="shared" si="18"/>
        <v>321273150</v>
      </c>
      <c r="H130" s="33"/>
      <c r="I130" s="76">
        <f t="shared" si="19"/>
        <v>321273150</v>
      </c>
      <c r="J130" s="19">
        <f>SUM(J131:J134)</f>
        <v>28698499</v>
      </c>
      <c r="K130" s="19">
        <f>SUM(K131:K134)</f>
        <v>19255776</v>
      </c>
      <c r="L130" s="19">
        <f>SUM(L131:L134)</f>
        <v>90923093</v>
      </c>
      <c r="M130" s="19">
        <f>SUM(M131:M134)</f>
        <v>182395779</v>
      </c>
      <c r="N130" s="19">
        <f t="shared" si="14"/>
        <v>321273147</v>
      </c>
      <c r="O130" s="80">
        <f t="shared" si="15"/>
        <v>0.99999999066215151</v>
      </c>
    </row>
    <row r="131" spans="1:15" s="64" customFormat="1" ht="15" hidden="1" outlineLevel="4" x14ac:dyDescent="0.25">
      <c r="A131" s="84" t="s">
        <v>140</v>
      </c>
      <c r="B131" s="23">
        <v>80000000</v>
      </c>
      <c r="C131" s="33"/>
      <c r="D131" s="33"/>
      <c r="E131" s="33"/>
      <c r="F131" s="33"/>
      <c r="G131" s="30">
        <f t="shared" si="18"/>
        <v>80000000</v>
      </c>
      <c r="H131" s="33"/>
      <c r="I131" s="30">
        <f t="shared" si="19"/>
        <v>80000000</v>
      </c>
      <c r="J131" s="82">
        <v>0</v>
      </c>
      <c r="K131" s="82">
        <v>0</v>
      </c>
      <c r="L131" s="82">
        <v>45000000</v>
      </c>
      <c r="M131" s="82">
        <v>35000000</v>
      </c>
      <c r="N131" s="82">
        <f t="shared" si="14"/>
        <v>80000000</v>
      </c>
      <c r="O131" s="67">
        <f t="shared" si="15"/>
        <v>1</v>
      </c>
    </row>
    <row r="132" spans="1:15" s="64" customFormat="1" ht="15" hidden="1" outlineLevel="4" x14ac:dyDescent="0.25">
      <c r="A132" s="84" t="s">
        <v>141</v>
      </c>
      <c r="B132" s="23">
        <f>39363425-39363425</f>
        <v>0</v>
      </c>
      <c r="C132" s="33"/>
      <c r="D132" s="33"/>
      <c r="E132" s="33"/>
      <c r="F132" s="33"/>
      <c r="G132" s="30">
        <f t="shared" si="18"/>
        <v>0</v>
      </c>
      <c r="H132" s="33"/>
      <c r="I132" s="30">
        <f t="shared" si="19"/>
        <v>0</v>
      </c>
      <c r="J132" s="82">
        <v>0</v>
      </c>
      <c r="K132" s="82">
        <v>0</v>
      </c>
      <c r="L132" s="82">
        <v>0</v>
      </c>
      <c r="M132" s="82"/>
      <c r="N132" s="82">
        <f t="shared" si="14"/>
        <v>0</v>
      </c>
      <c r="O132" s="67">
        <v>0</v>
      </c>
    </row>
    <row r="133" spans="1:15" s="64" customFormat="1" ht="15" hidden="1" outlineLevel="4" x14ac:dyDescent="0.25">
      <c r="A133" s="84" t="s">
        <v>142</v>
      </c>
      <c r="B133" s="23">
        <f>39363425-39363425</f>
        <v>0</v>
      </c>
      <c r="C133" s="33"/>
      <c r="D133" s="33"/>
      <c r="E133" s="33"/>
      <c r="F133" s="33"/>
      <c r="G133" s="30">
        <f t="shared" si="18"/>
        <v>0</v>
      </c>
      <c r="H133" s="33"/>
      <c r="I133" s="30">
        <f t="shared" si="19"/>
        <v>0</v>
      </c>
      <c r="J133" s="82">
        <v>0</v>
      </c>
      <c r="K133" s="82">
        <v>0</v>
      </c>
      <c r="L133" s="82">
        <v>0</v>
      </c>
      <c r="M133" s="82">
        <v>0</v>
      </c>
      <c r="N133" s="82">
        <f t="shared" si="14"/>
        <v>0</v>
      </c>
      <c r="O133" s="67">
        <v>0</v>
      </c>
    </row>
    <row r="134" spans="1:15" s="64" customFormat="1" ht="15" hidden="1" outlineLevel="4" x14ac:dyDescent="0.25">
      <c r="A134" s="84" t="s">
        <v>143</v>
      </c>
      <c r="B134" s="23">
        <v>241273150</v>
      </c>
      <c r="C134" s="33"/>
      <c r="D134" s="33"/>
      <c r="E134" s="33"/>
      <c r="F134" s="33"/>
      <c r="G134" s="30">
        <f t="shared" si="18"/>
        <v>241273150</v>
      </c>
      <c r="H134" s="33"/>
      <c r="I134" s="30">
        <f t="shared" si="19"/>
        <v>241273150</v>
      </c>
      <c r="J134" s="82">
        <v>28698499</v>
      </c>
      <c r="K134" s="82">
        <v>19255776</v>
      </c>
      <c r="L134" s="82">
        <v>45923093</v>
      </c>
      <c r="M134" s="82">
        <v>147395779</v>
      </c>
      <c r="N134" s="82">
        <f t="shared" si="14"/>
        <v>241273147</v>
      </c>
      <c r="O134" s="67">
        <f t="shared" si="15"/>
        <v>0.99999998756595998</v>
      </c>
    </row>
    <row r="135" spans="1:15" s="64" customFormat="1" ht="15" hidden="1" outlineLevel="1" x14ac:dyDescent="0.25">
      <c r="A135" s="61" t="s">
        <v>144</v>
      </c>
      <c r="B135" s="18">
        <f>SUM(B136:B139)</f>
        <v>230000000</v>
      </c>
      <c r="C135" s="33"/>
      <c r="D135" s="33"/>
      <c r="E135" s="33"/>
      <c r="F135" s="33"/>
      <c r="G135" s="76">
        <f t="shared" si="18"/>
        <v>230000000</v>
      </c>
      <c r="H135" s="33"/>
      <c r="I135" s="76">
        <f t="shared" si="19"/>
        <v>230000000</v>
      </c>
      <c r="J135" s="19">
        <f>SUM(J136:J139)</f>
        <v>37272233</v>
      </c>
      <c r="K135" s="19">
        <f>SUM(K136:K139)</f>
        <v>61538674</v>
      </c>
      <c r="L135" s="19">
        <f>SUM(L136:L139)</f>
        <v>66186814</v>
      </c>
      <c r="M135" s="19">
        <f>SUM(M136:M139)</f>
        <v>65002279</v>
      </c>
      <c r="N135" s="19">
        <f t="shared" si="14"/>
        <v>230000000</v>
      </c>
      <c r="O135" s="80">
        <f t="shared" si="15"/>
        <v>1</v>
      </c>
    </row>
    <row r="136" spans="1:15" s="64" customFormat="1" ht="15" hidden="1" outlineLevel="2" x14ac:dyDescent="0.25">
      <c r="A136" s="84" t="s">
        <v>140</v>
      </c>
      <c r="B136" s="23">
        <f>100000000-20000000</f>
        <v>80000000</v>
      </c>
      <c r="C136" s="33"/>
      <c r="D136" s="33"/>
      <c r="E136" s="33"/>
      <c r="F136" s="33"/>
      <c r="G136" s="30">
        <f t="shared" si="18"/>
        <v>80000000</v>
      </c>
      <c r="H136" s="33"/>
      <c r="I136" s="30">
        <f>+G136+H136-20000000</f>
        <v>60000000</v>
      </c>
      <c r="J136" s="82">
        <v>24300000</v>
      </c>
      <c r="K136" s="82">
        <v>11756540</v>
      </c>
      <c r="L136" s="82">
        <v>20113080</v>
      </c>
      <c r="M136" s="82">
        <v>23830380</v>
      </c>
      <c r="N136" s="82">
        <f t="shared" si="14"/>
        <v>80000000</v>
      </c>
      <c r="O136" s="67">
        <f t="shared" si="15"/>
        <v>1.3333333333333333</v>
      </c>
    </row>
    <row r="137" spans="1:15" s="64" customFormat="1" ht="15" hidden="1" outlineLevel="2" x14ac:dyDescent="0.25">
      <c r="A137" s="84" t="s">
        <v>141</v>
      </c>
      <c r="B137" s="23">
        <f>100000000-100000000</f>
        <v>0</v>
      </c>
      <c r="C137" s="33"/>
      <c r="D137" s="33"/>
      <c r="E137" s="33"/>
      <c r="F137" s="33"/>
      <c r="G137" s="30">
        <f t="shared" si="18"/>
        <v>0</v>
      </c>
      <c r="H137" s="33"/>
      <c r="I137" s="30">
        <f>+G137+H137-15000000</f>
        <v>-15000000</v>
      </c>
      <c r="J137" s="66">
        <v>0</v>
      </c>
      <c r="K137" s="66">
        <v>0</v>
      </c>
      <c r="L137" s="66">
        <v>0</v>
      </c>
      <c r="M137" s="66"/>
      <c r="N137" s="66">
        <f t="shared" ref="N137:N201" si="20">+J137+K137+L137+M137</f>
        <v>0</v>
      </c>
      <c r="O137" s="67">
        <f t="shared" ref="O137:O199" si="21">+N137/I137</f>
        <v>0</v>
      </c>
    </row>
    <row r="138" spans="1:15" s="64" customFormat="1" ht="15" hidden="1" outlineLevel="2" x14ac:dyDescent="0.25">
      <c r="A138" s="84" t="s">
        <v>142</v>
      </c>
      <c r="B138" s="23">
        <f>100000000-100000000</f>
        <v>0</v>
      </c>
      <c r="C138" s="33"/>
      <c r="D138" s="33"/>
      <c r="E138" s="33"/>
      <c r="F138" s="33"/>
      <c r="G138" s="30">
        <f t="shared" si="18"/>
        <v>0</v>
      </c>
      <c r="H138" s="33"/>
      <c r="I138" s="30">
        <f>+G138+H138-15000000</f>
        <v>-15000000</v>
      </c>
      <c r="J138" s="66">
        <v>0</v>
      </c>
      <c r="K138" s="66">
        <v>0</v>
      </c>
      <c r="L138" s="66">
        <v>0</v>
      </c>
      <c r="M138" s="66"/>
      <c r="N138" s="66">
        <f t="shared" si="20"/>
        <v>0</v>
      </c>
      <c r="O138" s="67">
        <f t="shared" si="21"/>
        <v>0</v>
      </c>
    </row>
    <row r="139" spans="1:15" s="64" customFormat="1" ht="15" hidden="1" outlineLevel="2" x14ac:dyDescent="0.25">
      <c r="A139" s="84" t="s">
        <v>143</v>
      </c>
      <c r="B139" s="23">
        <f>100000000+50000000</f>
        <v>150000000</v>
      </c>
      <c r="C139" s="33"/>
      <c r="D139" s="33"/>
      <c r="E139" s="33"/>
      <c r="F139" s="33"/>
      <c r="G139" s="30">
        <f t="shared" si="18"/>
        <v>150000000</v>
      </c>
      <c r="H139" s="33"/>
      <c r="I139" s="30">
        <f>+G139+H139+50000000</f>
        <v>200000000</v>
      </c>
      <c r="J139" s="66">
        <v>12972233</v>
      </c>
      <c r="K139" s="66">
        <v>49782134</v>
      </c>
      <c r="L139" s="66">
        <v>46073734</v>
      </c>
      <c r="M139" s="66">
        <v>41171899</v>
      </c>
      <c r="N139" s="66">
        <f t="shared" si="20"/>
        <v>150000000</v>
      </c>
      <c r="O139" s="67">
        <f t="shared" si="21"/>
        <v>0.75</v>
      </c>
    </row>
    <row r="140" spans="1:15" s="64" customFormat="1" ht="15" hidden="1" outlineLevel="1" x14ac:dyDescent="0.25">
      <c r="A140" s="61" t="s">
        <v>145</v>
      </c>
      <c r="B140" s="18">
        <v>33733652.653600007</v>
      </c>
      <c r="C140" s="40"/>
      <c r="D140" s="40"/>
      <c r="E140" s="40"/>
      <c r="F140" s="40"/>
      <c r="G140" s="76">
        <f t="shared" si="18"/>
        <v>33733652.653600007</v>
      </c>
      <c r="H140" s="40"/>
      <c r="I140" s="76">
        <f>+G140+H140</f>
        <v>33733652.653600007</v>
      </c>
      <c r="J140" s="79">
        <v>7545259</v>
      </c>
      <c r="K140" s="79">
        <v>8993770</v>
      </c>
      <c r="L140" s="79">
        <v>8561500</v>
      </c>
      <c r="M140" s="79">
        <v>7840002</v>
      </c>
      <c r="N140" s="79">
        <f t="shared" si="20"/>
        <v>32940531</v>
      </c>
      <c r="O140" s="80">
        <f t="shared" si="21"/>
        <v>0.9764887110878766</v>
      </c>
    </row>
    <row r="141" spans="1:15" s="60" customFormat="1" ht="30" collapsed="1" x14ac:dyDescent="0.25">
      <c r="A141" s="56" t="s">
        <v>146</v>
      </c>
      <c r="B141" s="57"/>
      <c r="C141" s="57">
        <f>+C142</f>
        <v>558921512.64977598</v>
      </c>
      <c r="D141" s="57"/>
      <c r="E141" s="57"/>
      <c r="F141" s="57">
        <f>+F145+F151</f>
        <v>266335694.24000001</v>
      </c>
      <c r="G141" s="57">
        <f>SUM(B141:F141)</f>
        <v>825257206.88977599</v>
      </c>
      <c r="H141" s="57"/>
      <c r="I141" s="57">
        <f t="shared" ref="I141:I155" si="22">+H141+G141</f>
        <v>825257206.88977599</v>
      </c>
      <c r="J141" s="58">
        <f>+J142+J145+J151</f>
        <v>150484087</v>
      </c>
      <c r="K141" s="58">
        <f>+K142+K145+K151</f>
        <v>219189892</v>
      </c>
      <c r="L141" s="58">
        <f>+L142+L145+L151</f>
        <v>213957506</v>
      </c>
      <c r="M141" s="58">
        <f>+M142+M145+M151</f>
        <v>231295402</v>
      </c>
      <c r="N141" s="58">
        <f t="shared" si="20"/>
        <v>814926887</v>
      </c>
      <c r="O141" s="59">
        <f t="shared" si="21"/>
        <v>0.98748230272509974</v>
      </c>
    </row>
    <row r="142" spans="1:15" s="64" customFormat="1" ht="15" x14ac:dyDescent="0.25">
      <c r="A142" s="91" t="s">
        <v>147</v>
      </c>
      <c r="B142" s="30"/>
      <c r="C142" s="76">
        <f>+C143+C144</f>
        <v>558921512.64977598</v>
      </c>
      <c r="D142" s="76"/>
      <c r="E142" s="76"/>
      <c r="F142" s="76"/>
      <c r="G142" s="76">
        <f t="shared" ref="G142:G154" si="23">+B142+C142+E142+F142+D142</f>
        <v>558921512.64977598</v>
      </c>
      <c r="H142" s="76"/>
      <c r="I142" s="76">
        <f t="shared" si="22"/>
        <v>558921512.64977598</v>
      </c>
      <c r="J142" s="79">
        <f>+J143+J144</f>
        <v>89633213</v>
      </c>
      <c r="K142" s="79">
        <f>+K143+K144</f>
        <v>146612584</v>
      </c>
      <c r="L142" s="79">
        <f>+L143+L144</f>
        <v>135499919</v>
      </c>
      <c r="M142" s="79">
        <f>+M143+M144</f>
        <v>186789677</v>
      </c>
      <c r="N142" s="79">
        <f t="shared" si="20"/>
        <v>558535393</v>
      </c>
      <c r="O142" s="80">
        <f t="shared" si="21"/>
        <v>0.99930917017678311</v>
      </c>
    </row>
    <row r="143" spans="1:15" s="64" customFormat="1" ht="15" x14ac:dyDescent="0.25">
      <c r="A143" s="91" t="s">
        <v>148</v>
      </c>
      <c r="B143" s="76"/>
      <c r="C143" s="76">
        <f>457115428.803776-30902472</f>
        <v>426212956.80377603</v>
      </c>
      <c r="D143" s="76"/>
      <c r="E143" s="76"/>
      <c r="F143" s="76"/>
      <c r="G143" s="76">
        <f t="shared" si="23"/>
        <v>426212956.80377603</v>
      </c>
      <c r="H143" s="76"/>
      <c r="I143" s="76">
        <f t="shared" si="22"/>
        <v>426212956.80377603</v>
      </c>
      <c r="J143" s="19">
        <v>77647948</v>
      </c>
      <c r="K143" s="19">
        <v>104753259</v>
      </c>
      <c r="L143" s="19">
        <v>98495133</v>
      </c>
      <c r="M143" s="19">
        <v>144930497</v>
      </c>
      <c r="N143" s="19">
        <f t="shared" si="20"/>
        <v>425826837</v>
      </c>
      <c r="O143" s="80">
        <f t="shared" si="21"/>
        <v>0.9990940683580537</v>
      </c>
    </row>
    <row r="144" spans="1:15" s="64" customFormat="1" ht="15" x14ac:dyDescent="0.25">
      <c r="A144" s="91" t="s">
        <v>149</v>
      </c>
      <c r="B144" s="76"/>
      <c r="C144" s="76">
        <v>132708555.846</v>
      </c>
      <c r="D144" s="76"/>
      <c r="E144" s="76"/>
      <c r="F144" s="76"/>
      <c r="G144" s="76">
        <f t="shared" si="23"/>
        <v>132708555.846</v>
      </c>
      <c r="H144" s="76"/>
      <c r="I144" s="76">
        <f t="shared" si="22"/>
        <v>132708555.846</v>
      </c>
      <c r="J144" s="79">
        <v>11985265</v>
      </c>
      <c r="K144" s="79">
        <v>41859325</v>
      </c>
      <c r="L144" s="79">
        <v>37004786</v>
      </c>
      <c r="M144" s="79">
        <v>41859180</v>
      </c>
      <c r="N144" s="79">
        <f t="shared" si="20"/>
        <v>132708556</v>
      </c>
      <c r="O144" s="80">
        <f t="shared" si="21"/>
        <v>1.0000000011604375</v>
      </c>
    </row>
    <row r="145" spans="1:15" s="92" customFormat="1" ht="15" x14ac:dyDescent="0.25">
      <c r="A145" s="91" t="s">
        <v>150</v>
      </c>
      <c r="B145" s="38"/>
      <c r="C145" s="24"/>
      <c r="D145" s="24"/>
      <c r="E145" s="24"/>
      <c r="F145" s="18">
        <f>SUM(F146:F150)</f>
        <v>192045694.24000001</v>
      </c>
      <c r="G145" s="76">
        <f t="shared" si="23"/>
        <v>192045694.24000001</v>
      </c>
      <c r="H145" s="76"/>
      <c r="I145" s="76">
        <f t="shared" si="22"/>
        <v>192045694.24000001</v>
      </c>
      <c r="J145" s="79">
        <f>SUM(J146:J150)</f>
        <v>44907536</v>
      </c>
      <c r="K145" s="79">
        <f>SUM(K146:K150)</f>
        <v>48718260</v>
      </c>
      <c r="L145" s="79">
        <f>SUM(L146:L150)</f>
        <v>57515774</v>
      </c>
      <c r="M145" s="79">
        <f>SUM(M146:M150)</f>
        <v>36986845</v>
      </c>
      <c r="N145" s="79">
        <f t="shared" si="20"/>
        <v>188128415</v>
      </c>
      <c r="O145" s="80">
        <f t="shared" si="21"/>
        <v>0.97960235841005328</v>
      </c>
    </row>
    <row r="146" spans="1:15" s="92" customFormat="1" ht="14.25" hidden="1" outlineLevel="1" x14ac:dyDescent="0.2">
      <c r="A146" s="70" t="s">
        <v>151</v>
      </c>
      <c r="B146" s="38"/>
      <c r="C146" s="24"/>
      <c r="D146" s="24"/>
      <c r="E146" s="24"/>
      <c r="F146" s="23">
        <f>132000000+25803608</f>
        <v>157803608</v>
      </c>
      <c r="G146" s="30">
        <f t="shared" si="23"/>
        <v>157803608</v>
      </c>
      <c r="H146" s="24"/>
      <c r="I146" s="30">
        <f t="shared" si="22"/>
        <v>157803608</v>
      </c>
      <c r="J146" s="66">
        <v>35742774</v>
      </c>
      <c r="K146" s="66">
        <v>41521868</v>
      </c>
      <c r="L146" s="66">
        <v>44278935</v>
      </c>
      <c r="M146" s="66">
        <v>36125189</v>
      </c>
      <c r="N146" s="66">
        <f t="shared" si="20"/>
        <v>157668766</v>
      </c>
      <c r="O146" s="72">
        <f t="shared" si="21"/>
        <v>0.99914550749688813</v>
      </c>
    </row>
    <row r="147" spans="1:15" s="92" customFormat="1" ht="14.25" hidden="1" outlineLevel="1" x14ac:dyDescent="0.2">
      <c r="A147" s="70" t="s">
        <v>152</v>
      </c>
      <c r="B147" s="38"/>
      <c r="C147" s="24"/>
      <c r="D147" s="24"/>
      <c r="E147" s="24"/>
      <c r="F147" s="23">
        <v>845694.24</v>
      </c>
      <c r="G147" s="30">
        <f t="shared" si="23"/>
        <v>845694.24</v>
      </c>
      <c r="H147" s="24"/>
      <c r="I147" s="30">
        <f t="shared" si="22"/>
        <v>845694.24</v>
      </c>
      <c r="J147" s="66">
        <v>845694</v>
      </c>
      <c r="K147" s="66">
        <v>0</v>
      </c>
      <c r="L147" s="66">
        <v>0</v>
      </c>
      <c r="M147" s="66">
        <v>0</v>
      </c>
      <c r="N147" s="66">
        <f t="shared" si="20"/>
        <v>845694</v>
      </c>
      <c r="O147" s="72">
        <f t="shared" si="21"/>
        <v>0.99999971620948958</v>
      </c>
    </row>
    <row r="148" spans="1:15" s="92" customFormat="1" ht="14.25" hidden="1" outlineLevel="1" x14ac:dyDescent="0.2">
      <c r="A148" s="70" t="s">
        <v>153</v>
      </c>
      <c r="B148" s="38"/>
      <c r="C148" s="24"/>
      <c r="D148" s="24"/>
      <c r="E148" s="24"/>
      <c r="F148" s="23">
        <f>21000000-16661432</f>
        <v>4338568</v>
      </c>
      <c r="G148" s="30">
        <f t="shared" si="23"/>
        <v>4338568</v>
      </c>
      <c r="H148" s="24"/>
      <c r="I148" s="30">
        <f t="shared" si="22"/>
        <v>4338568</v>
      </c>
      <c r="J148" s="66">
        <v>0</v>
      </c>
      <c r="K148" s="66">
        <v>338568</v>
      </c>
      <c r="L148" s="66">
        <v>3051817</v>
      </c>
      <c r="M148" s="66"/>
      <c r="N148" s="66">
        <f t="shared" si="20"/>
        <v>3390385</v>
      </c>
      <c r="O148" s="67">
        <f t="shared" si="21"/>
        <v>0.78145254378864182</v>
      </c>
    </row>
    <row r="149" spans="1:15" s="92" customFormat="1" ht="14.25" hidden="1" outlineLevel="1" x14ac:dyDescent="0.2">
      <c r="A149" s="70" t="s">
        <v>154</v>
      </c>
      <c r="B149" s="38"/>
      <c r="C149" s="24"/>
      <c r="D149" s="24"/>
      <c r="E149" s="24"/>
      <c r="F149" s="23">
        <f>28000000-9142176</f>
        <v>18857824</v>
      </c>
      <c r="G149" s="30">
        <f t="shared" si="23"/>
        <v>18857824</v>
      </c>
      <c r="H149" s="24"/>
      <c r="I149" s="30">
        <f t="shared" si="22"/>
        <v>18857824</v>
      </c>
      <c r="J149" s="66">
        <v>0</v>
      </c>
      <c r="K149" s="66">
        <v>6857824</v>
      </c>
      <c r="L149" s="66">
        <v>10185022</v>
      </c>
      <c r="M149" s="66">
        <v>861656</v>
      </c>
      <c r="N149" s="66">
        <f t="shared" si="20"/>
        <v>17904502</v>
      </c>
      <c r="O149" s="67">
        <f t="shared" si="21"/>
        <v>0.94944687149482354</v>
      </c>
    </row>
    <row r="150" spans="1:15" s="92" customFormat="1" ht="14.25" hidden="1" outlineLevel="1" x14ac:dyDescent="0.2">
      <c r="A150" s="70" t="s">
        <v>68</v>
      </c>
      <c r="B150" s="38"/>
      <c r="C150" s="24"/>
      <c r="D150" s="24"/>
      <c r="E150" s="24"/>
      <c r="F150" s="23">
        <v>10200000</v>
      </c>
      <c r="G150" s="30">
        <f t="shared" si="23"/>
        <v>10200000</v>
      </c>
      <c r="H150" s="24"/>
      <c r="I150" s="30">
        <f t="shared" si="22"/>
        <v>10200000</v>
      </c>
      <c r="J150" s="66">
        <v>8319068</v>
      </c>
      <c r="K150" s="66">
        <v>0</v>
      </c>
      <c r="L150" s="66">
        <v>0</v>
      </c>
      <c r="M150" s="66"/>
      <c r="N150" s="66">
        <f t="shared" si="20"/>
        <v>8319068</v>
      </c>
      <c r="O150" s="67">
        <f t="shared" si="21"/>
        <v>0.81559490196078432</v>
      </c>
    </row>
    <row r="151" spans="1:15" s="92" customFormat="1" ht="15" collapsed="1" x14ac:dyDescent="0.25">
      <c r="A151" s="74" t="s">
        <v>155</v>
      </c>
      <c r="B151" s="38"/>
      <c r="C151" s="24"/>
      <c r="D151" s="24"/>
      <c r="E151" s="24"/>
      <c r="F151" s="18">
        <f>SUM(F152:F154)</f>
        <v>74290000</v>
      </c>
      <c r="G151" s="76">
        <f t="shared" si="23"/>
        <v>74290000</v>
      </c>
      <c r="H151" s="24"/>
      <c r="I151" s="76">
        <f t="shared" si="22"/>
        <v>74290000</v>
      </c>
      <c r="J151" s="79">
        <f>SUM(J152:J154)</f>
        <v>15943338</v>
      </c>
      <c r="K151" s="79">
        <f>SUM(K152:K154)</f>
        <v>23859048</v>
      </c>
      <c r="L151" s="79">
        <f>SUM(L152:L154)</f>
        <v>20941813</v>
      </c>
      <c r="M151" s="79">
        <f>SUM(M152:M154)</f>
        <v>7518880</v>
      </c>
      <c r="N151" s="79">
        <f t="shared" si="20"/>
        <v>68263079</v>
      </c>
      <c r="O151" s="80">
        <f t="shared" si="21"/>
        <v>0.91887305155471799</v>
      </c>
    </row>
    <row r="152" spans="1:15" s="92" customFormat="1" ht="14.25" hidden="1" outlineLevel="1" x14ac:dyDescent="0.2">
      <c r="A152" s="70" t="s">
        <v>156</v>
      </c>
      <c r="B152" s="38"/>
      <c r="C152" s="24"/>
      <c r="D152" s="24"/>
      <c r="E152" s="24"/>
      <c r="F152" s="23">
        <f>17500000-17500000</f>
        <v>0</v>
      </c>
      <c r="G152" s="30">
        <f t="shared" si="23"/>
        <v>0</v>
      </c>
      <c r="H152" s="24"/>
      <c r="I152" s="30">
        <f t="shared" si="22"/>
        <v>0</v>
      </c>
      <c r="J152" s="66">
        <v>0</v>
      </c>
      <c r="K152" s="66">
        <v>0</v>
      </c>
      <c r="L152" s="66">
        <v>0</v>
      </c>
      <c r="M152" s="66">
        <v>0</v>
      </c>
      <c r="N152" s="66">
        <f t="shared" si="20"/>
        <v>0</v>
      </c>
      <c r="O152" s="67">
        <v>0</v>
      </c>
    </row>
    <row r="153" spans="1:15" s="92" customFormat="1" ht="14.25" hidden="1" outlineLevel="1" x14ac:dyDescent="0.2">
      <c r="A153" s="70" t="s">
        <v>157</v>
      </c>
      <c r="B153" s="38"/>
      <c r="C153" s="24"/>
      <c r="D153" s="24"/>
      <c r="E153" s="24"/>
      <c r="F153" s="23">
        <f>59400000-7110000</f>
        <v>52290000</v>
      </c>
      <c r="G153" s="30">
        <f t="shared" si="23"/>
        <v>52290000</v>
      </c>
      <c r="H153" s="24"/>
      <c r="I153" s="30">
        <f t="shared" si="22"/>
        <v>52290000</v>
      </c>
      <c r="J153" s="66">
        <v>12780000</v>
      </c>
      <c r="K153" s="66">
        <v>16200000</v>
      </c>
      <c r="L153" s="66">
        <v>13320000</v>
      </c>
      <c r="M153" s="66">
        <v>7110000</v>
      </c>
      <c r="N153" s="66">
        <f t="shared" si="20"/>
        <v>49410000</v>
      </c>
      <c r="O153" s="67">
        <f t="shared" si="21"/>
        <v>0.94492254733218584</v>
      </c>
    </row>
    <row r="154" spans="1:15" s="92" customFormat="1" ht="14.25" hidden="1" outlineLevel="1" x14ac:dyDescent="0.2">
      <c r="A154" s="70" t="s">
        <v>158</v>
      </c>
      <c r="B154" s="38"/>
      <c r="C154" s="24"/>
      <c r="D154" s="24"/>
      <c r="E154" s="24"/>
      <c r="F154" s="23">
        <v>22000000</v>
      </c>
      <c r="G154" s="30">
        <f t="shared" si="23"/>
        <v>22000000</v>
      </c>
      <c r="H154" s="24"/>
      <c r="I154" s="30">
        <f t="shared" si="22"/>
        <v>22000000</v>
      </c>
      <c r="J154" s="66">
        <v>3163338</v>
      </c>
      <c r="K154" s="66">
        <v>7659048</v>
      </c>
      <c r="L154" s="66">
        <v>7621813</v>
      </c>
      <c r="M154" s="66">
        <v>408880</v>
      </c>
      <c r="N154" s="66">
        <f t="shared" si="20"/>
        <v>18853079</v>
      </c>
      <c r="O154" s="67">
        <f t="shared" si="21"/>
        <v>0.85695813636363638</v>
      </c>
    </row>
    <row r="155" spans="1:15" s="60" customFormat="1" ht="30" collapsed="1" x14ac:dyDescent="0.25">
      <c r="A155" s="56" t="s">
        <v>159</v>
      </c>
      <c r="B155" s="57">
        <f>+B156+B159</f>
        <v>208393207.0988</v>
      </c>
      <c r="C155" s="57"/>
      <c r="D155" s="57"/>
      <c r="E155" s="57"/>
      <c r="F155" s="57"/>
      <c r="G155" s="57">
        <f>SUM(B155:F155)</f>
        <v>208393207.0988</v>
      </c>
      <c r="H155" s="57"/>
      <c r="I155" s="57">
        <f t="shared" si="22"/>
        <v>208393207.0988</v>
      </c>
      <c r="J155" s="58">
        <f>+J156+J159</f>
        <v>57428935</v>
      </c>
      <c r="K155" s="58">
        <f>+K156+K159</f>
        <v>32531812</v>
      </c>
      <c r="L155" s="58">
        <f>+L156+L159</f>
        <v>46400057</v>
      </c>
      <c r="M155" s="58">
        <f>+M156+M159</f>
        <v>55855272</v>
      </c>
      <c r="N155" s="58">
        <f t="shared" si="20"/>
        <v>192216076</v>
      </c>
      <c r="O155" s="59">
        <f t="shared" si="21"/>
        <v>0.92237208052981134</v>
      </c>
    </row>
    <row r="156" spans="1:15" s="64" customFormat="1" ht="15" x14ac:dyDescent="0.25">
      <c r="A156" s="61" t="s">
        <v>160</v>
      </c>
      <c r="B156" s="40">
        <f>+B157+B158</f>
        <v>161379421.0988</v>
      </c>
      <c r="C156" s="24"/>
      <c r="D156" s="24"/>
      <c r="E156" s="24"/>
      <c r="F156" s="33"/>
      <c r="G156" s="76">
        <f>+B156+C156+E156+F156+D156</f>
        <v>161379421.0988</v>
      </c>
      <c r="H156" s="76"/>
      <c r="I156" s="76">
        <f t="shared" ref="I156:I161" si="24">+G156+H156</f>
        <v>161379421.0988</v>
      </c>
      <c r="J156" s="34">
        <f>+J157+J158</f>
        <v>57428935</v>
      </c>
      <c r="K156" s="34">
        <f>+K157+K158</f>
        <v>32531812</v>
      </c>
      <c r="L156" s="34">
        <f>+L157+L158</f>
        <v>29861837</v>
      </c>
      <c r="M156" s="34">
        <f>+M157+M158</f>
        <v>39213992</v>
      </c>
      <c r="N156" s="34">
        <f t="shared" si="20"/>
        <v>159036576</v>
      </c>
      <c r="O156" s="80">
        <f t="shared" si="21"/>
        <v>0.98548238007765776</v>
      </c>
    </row>
    <row r="157" spans="1:15" s="64" customFormat="1" ht="14.25" hidden="1" outlineLevel="1" x14ac:dyDescent="0.2">
      <c r="A157" s="70" t="s">
        <v>161</v>
      </c>
      <c r="B157" s="22">
        <f>114439763.6988+1250000</f>
        <v>115689763.6988</v>
      </c>
      <c r="C157" s="24"/>
      <c r="D157" s="24"/>
      <c r="E157" s="24"/>
      <c r="F157" s="24"/>
      <c r="G157" s="24">
        <f>+B157+C157+E157+F157+D157</f>
        <v>115689763.6988</v>
      </c>
      <c r="H157" s="24"/>
      <c r="I157" s="24">
        <f t="shared" si="24"/>
        <v>115689763.6988</v>
      </c>
      <c r="J157" s="93">
        <v>37695293</v>
      </c>
      <c r="K157" s="93">
        <v>24905112</v>
      </c>
      <c r="L157" s="93">
        <v>22014737</v>
      </c>
      <c r="M157" s="93">
        <v>28807292</v>
      </c>
      <c r="N157" s="93">
        <f t="shared" si="20"/>
        <v>113422434</v>
      </c>
      <c r="O157" s="94">
        <f t="shared" si="21"/>
        <v>0.98040163946826775</v>
      </c>
    </row>
    <row r="158" spans="1:15" s="64" customFormat="1" ht="14.25" hidden="1" outlineLevel="1" x14ac:dyDescent="0.2">
      <c r="A158" s="70" t="s">
        <v>162</v>
      </c>
      <c r="B158" s="22">
        <f>46939657.4-1250000</f>
        <v>45689657.399999999</v>
      </c>
      <c r="C158" s="24"/>
      <c r="D158" s="24"/>
      <c r="E158" s="24"/>
      <c r="F158" s="24"/>
      <c r="G158" s="24">
        <f>+B158+C158+E158+F158+D158</f>
        <v>45689657.399999999</v>
      </c>
      <c r="H158" s="24"/>
      <c r="I158" s="24">
        <f t="shared" si="24"/>
        <v>45689657.399999999</v>
      </c>
      <c r="J158" s="93">
        <v>19733642</v>
      </c>
      <c r="K158" s="93">
        <v>7626700</v>
      </c>
      <c r="L158" s="93">
        <v>7847100</v>
      </c>
      <c r="M158" s="93">
        <v>10406700</v>
      </c>
      <c r="N158" s="93">
        <f t="shared" si="20"/>
        <v>45614142</v>
      </c>
      <c r="O158" s="94">
        <f t="shared" si="21"/>
        <v>0.99834721019378891</v>
      </c>
    </row>
    <row r="159" spans="1:15" s="64" customFormat="1" ht="15" collapsed="1" x14ac:dyDescent="0.25">
      <c r="A159" s="61" t="s">
        <v>163</v>
      </c>
      <c r="B159" s="18">
        <f>SUM(B160:B161)</f>
        <v>47013786</v>
      </c>
      <c r="C159" s="24"/>
      <c r="D159" s="24"/>
      <c r="E159" s="24"/>
      <c r="F159" s="24"/>
      <c r="G159" s="76">
        <f>+B159+C159+E159+F159+D159</f>
        <v>47013786</v>
      </c>
      <c r="H159" s="24"/>
      <c r="I159" s="76">
        <f t="shared" si="24"/>
        <v>47013786</v>
      </c>
      <c r="J159" s="79">
        <f>SUM(J160:J161)</f>
        <v>0</v>
      </c>
      <c r="K159" s="79">
        <f>SUM(K160:K161)</f>
        <v>0</v>
      </c>
      <c r="L159" s="79">
        <f>SUM(L160:L161)</f>
        <v>16538220</v>
      </c>
      <c r="M159" s="79">
        <f>SUM(M160:M161)</f>
        <v>16641280</v>
      </c>
      <c r="N159" s="79">
        <f t="shared" si="20"/>
        <v>33179500</v>
      </c>
      <c r="O159" s="80">
        <f t="shared" si="21"/>
        <v>0.70573980151268823</v>
      </c>
    </row>
    <row r="160" spans="1:15" s="64" customFormat="1" ht="14.25" hidden="1" outlineLevel="1" x14ac:dyDescent="0.2">
      <c r="A160" s="70" t="s">
        <v>164</v>
      </c>
      <c r="B160" s="22">
        <v>17013786</v>
      </c>
      <c r="C160" s="24"/>
      <c r="D160" s="24"/>
      <c r="E160" s="24"/>
      <c r="F160" s="24"/>
      <c r="G160" s="24">
        <f>+B160+C160+E160+F160+D160</f>
        <v>17013786</v>
      </c>
      <c r="H160" s="24"/>
      <c r="I160" s="24">
        <f t="shared" si="24"/>
        <v>17013786</v>
      </c>
      <c r="J160" s="93"/>
      <c r="K160" s="93"/>
      <c r="L160" s="93">
        <v>16538220</v>
      </c>
      <c r="M160" s="93">
        <v>0</v>
      </c>
      <c r="N160" s="93">
        <f t="shared" si="20"/>
        <v>16538220</v>
      </c>
      <c r="O160" s="94">
        <f t="shared" si="21"/>
        <v>0.9720481966800335</v>
      </c>
    </row>
    <row r="161" spans="1:15" s="64" customFormat="1" ht="14.25" hidden="1" outlineLevel="1" x14ac:dyDescent="0.2">
      <c r="A161" s="70" t="s">
        <v>165</v>
      </c>
      <c r="B161" s="22">
        <v>30000000</v>
      </c>
      <c r="C161" s="24"/>
      <c r="D161" s="24"/>
      <c r="E161" s="24"/>
      <c r="F161" s="24"/>
      <c r="G161" s="22">
        <v>30000000</v>
      </c>
      <c r="H161" s="24"/>
      <c r="I161" s="24">
        <f t="shared" si="24"/>
        <v>30000000</v>
      </c>
      <c r="J161" s="93"/>
      <c r="K161" s="93"/>
      <c r="L161" s="93">
        <v>0</v>
      </c>
      <c r="M161" s="93">
        <v>16641280</v>
      </c>
      <c r="N161" s="93">
        <f t="shared" si="20"/>
        <v>16641280</v>
      </c>
      <c r="O161" s="94">
        <f t="shared" si="21"/>
        <v>0.55470933333333339</v>
      </c>
    </row>
    <row r="162" spans="1:15" s="60" customFormat="1" ht="15" collapsed="1" x14ac:dyDescent="0.25">
      <c r="A162" s="56" t="s">
        <v>166</v>
      </c>
      <c r="B162" s="57">
        <f>+B163+B169</f>
        <v>603849772.39240003</v>
      </c>
      <c r="C162" s="57"/>
      <c r="D162" s="57"/>
      <c r="E162" s="57"/>
      <c r="F162" s="57"/>
      <c r="G162" s="57">
        <f>SUM(B162:F162)</f>
        <v>603849772.39240003</v>
      </c>
      <c r="H162" s="57"/>
      <c r="I162" s="57">
        <f>+H162+G162</f>
        <v>603849772.39240003</v>
      </c>
      <c r="J162" s="58">
        <f>+J163+J169</f>
        <v>118469465</v>
      </c>
      <c r="K162" s="58">
        <f>+K163+K169</f>
        <v>135737257</v>
      </c>
      <c r="L162" s="58">
        <f>+L163+L169</f>
        <v>125122475</v>
      </c>
      <c r="M162" s="58">
        <f>+M163+M169</f>
        <v>177672826</v>
      </c>
      <c r="N162" s="58">
        <f t="shared" si="20"/>
        <v>557002023</v>
      </c>
      <c r="O162" s="59">
        <f t="shared" si="21"/>
        <v>0.92241820476839242</v>
      </c>
    </row>
    <row r="163" spans="1:15" s="64" customFormat="1" ht="15" x14ac:dyDescent="0.25">
      <c r="A163" s="61" t="s">
        <v>167</v>
      </c>
      <c r="B163" s="18">
        <f>+B164+B165+B166+B167+B168</f>
        <v>456770604.98440003</v>
      </c>
      <c r="C163" s="76"/>
      <c r="D163" s="76"/>
      <c r="E163" s="76"/>
      <c r="F163" s="76"/>
      <c r="G163" s="76">
        <f t="shared" ref="G163:G171" si="25">+B163+C163+D163+E163+F163</f>
        <v>456770604.98440003</v>
      </c>
      <c r="H163" s="76"/>
      <c r="I163" s="76">
        <f t="shared" ref="I163:I172" si="26">+G163+H163</f>
        <v>456770604.98440003</v>
      </c>
      <c r="J163" s="19">
        <f>+J164+J165+J166+J167</f>
        <v>103276589</v>
      </c>
      <c r="K163" s="19">
        <f>+K164+K165+K166+K167</f>
        <v>113674209</v>
      </c>
      <c r="L163" s="19">
        <f>+L164+L165+L166+L167+L168</f>
        <v>100461708</v>
      </c>
      <c r="M163" s="19">
        <f>+M164+M165+M166+M167+M168</f>
        <v>105721714</v>
      </c>
      <c r="N163" s="19">
        <f>+J163+K163+L163+M163</f>
        <v>423134220</v>
      </c>
      <c r="O163" s="80">
        <f t="shared" si="21"/>
        <v>0.92636044303781584</v>
      </c>
    </row>
    <row r="164" spans="1:15" s="64" customFormat="1" ht="15" hidden="1" outlineLevel="1" x14ac:dyDescent="0.25">
      <c r="A164" s="70" t="s">
        <v>168</v>
      </c>
      <c r="B164" s="23">
        <f>138822467.9684-3200000-2968000</f>
        <v>132654467.9684</v>
      </c>
      <c r="C164" s="76"/>
      <c r="D164" s="76"/>
      <c r="E164" s="76"/>
      <c r="F164" s="76"/>
      <c r="G164" s="30">
        <f t="shared" si="25"/>
        <v>132654467.9684</v>
      </c>
      <c r="H164" s="30"/>
      <c r="I164" s="30">
        <f t="shared" si="26"/>
        <v>132654467.9684</v>
      </c>
      <c r="J164" s="82">
        <v>31205143</v>
      </c>
      <c r="K164" s="82">
        <v>34543789</v>
      </c>
      <c r="L164" s="82">
        <v>29268217</v>
      </c>
      <c r="M164" s="82">
        <f>+[1]FPOR!$M$163</f>
        <v>34852688</v>
      </c>
      <c r="N164" s="82">
        <f t="shared" si="20"/>
        <v>129869837</v>
      </c>
      <c r="O164" s="67">
        <f t="shared" si="21"/>
        <v>0.9790083891553254</v>
      </c>
    </row>
    <row r="165" spans="1:15" s="64" customFormat="1" ht="15" hidden="1" outlineLevel="1" x14ac:dyDescent="0.25">
      <c r="A165" s="70" t="s">
        <v>169</v>
      </c>
      <c r="B165" s="23">
        <f>29828923.416+3200000+11768000</f>
        <v>44796923.416000001</v>
      </c>
      <c r="C165" s="76"/>
      <c r="D165" s="76"/>
      <c r="E165" s="76"/>
      <c r="F165" s="76"/>
      <c r="G165" s="30">
        <f t="shared" si="25"/>
        <v>44796923.416000001</v>
      </c>
      <c r="H165" s="30"/>
      <c r="I165" s="30">
        <f t="shared" si="26"/>
        <v>44796923.416000001</v>
      </c>
      <c r="J165" s="66">
        <v>18085475</v>
      </c>
      <c r="K165" s="66">
        <v>11000000</v>
      </c>
      <c r="L165" s="82">
        <v>5419981</v>
      </c>
      <c r="M165" s="82">
        <f>+[1]FPOR!$M$164</f>
        <v>10275553</v>
      </c>
      <c r="N165" s="82">
        <f t="shared" si="20"/>
        <v>44781009</v>
      </c>
      <c r="O165" s="72">
        <f t="shared" si="21"/>
        <v>0.99964474310317664</v>
      </c>
    </row>
    <row r="166" spans="1:15" s="64" customFormat="1" ht="15" hidden="1" outlineLevel="1" x14ac:dyDescent="0.25">
      <c r="A166" s="70" t="s">
        <v>170</v>
      </c>
      <c r="B166" s="23">
        <f>154723473.6+17780000</f>
        <v>172503473.59999999</v>
      </c>
      <c r="C166" s="76"/>
      <c r="D166" s="76"/>
      <c r="E166" s="76"/>
      <c r="F166" s="76"/>
      <c r="G166" s="30">
        <f t="shared" si="25"/>
        <v>172503473.59999999</v>
      </c>
      <c r="H166" s="30"/>
      <c r="I166" s="30">
        <f t="shared" si="26"/>
        <v>172503473.59999999</v>
      </c>
      <c r="J166" s="66">
        <v>35268117</v>
      </c>
      <c r="K166" s="66">
        <v>39708593</v>
      </c>
      <c r="L166" s="82">
        <v>40990341</v>
      </c>
      <c r="M166" s="82">
        <f>+[1]FPOR!$M$165</f>
        <v>32729836</v>
      </c>
      <c r="N166" s="82">
        <f t="shared" si="20"/>
        <v>148696887</v>
      </c>
      <c r="O166" s="67">
        <f t="shared" si="21"/>
        <v>0.86199358132809223</v>
      </c>
    </row>
    <row r="167" spans="1:15" s="64" customFormat="1" ht="15" hidden="1" outlineLevel="1" x14ac:dyDescent="0.25">
      <c r="A167" s="70" t="s">
        <v>171</v>
      </c>
      <c r="B167" s="23">
        <f>78595740+7220000</f>
        <v>85815740</v>
      </c>
      <c r="C167" s="76"/>
      <c r="D167" s="76"/>
      <c r="E167" s="76"/>
      <c r="F167" s="76"/>
      <c r="G167" s="30">
        <f t="shared" si="25"/>
        <v>85815740</v>
      </c>
      <c r="H167" s="30"/>
      <c r="I167" s="30">
        <f t="shared" si="26"/>
        <v>85815740</v>
      </c>
      <c r="J167" s="66">
        <v>18717854</v>
      </c>
      <c r="K167" s="66">
        <v>28421827</v>
      </c>
      <c r="L167" s="82">
        <v>16993720</v>
      </c>
      <c r="M167" s="82">
        <f>+[1]FPOR!$M$166</f>
        <v>21676646</v>
      </c>
      <c r="N167" s="82">
        <f t="shared" si="20"/>
        <v>85810047</v>
      </c>
      <c r="O167" s="72">
        <f t="shared" si="21"/>
        <v>0.99993366018867869</v>
      </c>
    </row>
    <row r="168" spans="1:15" s="64" customFormat="1" ht="15" hidden="1" outlineLevel="1" x14ac:dyDescent="0.25">
      <c r="A168" s="70" t="s">
        <v>172</v>
      </c>
      <c r="B168" s="23">
        <v>21000000</v>
      </c>
      <c r="C168" s="76"/>
      <c r="D168" s="76"/>
      <c r="E168" s="76"/>
      <c r="F168" s="76"/>
      <c r="G168" s="30">
        <f t="shared" si="25"/>
        <v>21000000</v>
      </c>
      <c r="H168" s="30"/>
      <c r="I168" s="30">
        <f t="shared" si="26"/>
        <v>21000000</v>
      </c>
      <c r="J168" s="66"/>
      <c r="K168" s="66"/>
      <c r="L168" s="82">
        <v>7789449</v>
      </c>
      <c r="M168" s="82">
        <f>+[1]FPOR!$M$167</f>
        <v>6186991</v>
      </c>
      <c r="N168" s="82">
        <f t="shared" si="20"/>
        <v>13976440</v>
      </c>
      <c r="O168" s="67">
        <f t="shared" si="21"/>
        <v>0.66554476190476186</v>
      </c>
    </row>
    <row r="169" spans="1:15" s="64" customFormat="1" ht="15" collapsed="1" x14ac:dyDescent="0.25">
      <c r="A169" s="61" t="s">
        <v>173</v>
      </c>
      <c r="B169" s="18">
        <f>+B170+B171</f>
        <v>147079167.40799999</v>
      </c>
      <c r="C169" s="76"/>
      <c r="D169" s="76"/>
      <c r="E169" s="76"/>
      <c r="F169" s="76"/>
      <c r="G169" s="76">
        <f t="shared" si="25"/>
        <v>147079167.40799999</v>
      </c>
      <c r="H169" s="76"/>
      <c r="I169" s="76">
        <f t="shared" si="26"/>
        <v>147079167.40799999</v>
      </c>
      <c r="J169" s="79">
        <f>+J170+J171</f>
        <v>15192876</v>
      </c>
      <c r="K169" s="79">
        <f>+K170+K171</f>
        <v>22063048</v>
      </c>
      <c r="L169" s="79">
        <f>+L170+L171</f>
        <v>24660767</v>
      </c>
      <c r="M169" s="79">
        <f>+M170+M171</f>
        <v>71951112</v>
      </c>
      <c r="N169" s="79">
        <f t="shared" si="20"/>
        <v>133867803</v>
      </c>
      <c r="O169" s="80">
        <f t="shared" si="21"/>
        <v>0.91017514824957191</v>
      </c>
    </row>
    <row r="170" spans="1:15" s="64" customFormat="1" ht="15" hidden="1" outlineLevel="1" x14ac:dyDescent="0.25">
      <c r="A170" s="70" t="s">
        <v>174</v>
      </c>
      <c r="B170" s="23">
        <v>88155194</v>
      </c>
      <c r="C170" s="76"/>
      <c r="D170" s="76"/>
      <c r="E170" s="76"/>
      <c r="F170" s="76"/>
      <c r="G170" s="30">
        <f t="shared" si="25"/>
        <v>88155194</v>
      </c>
      <c r="H170" s="30"/>
      <c r="I170" s="30">
        <f t="shared" si="26"/>
        <v>88155194</v>
      </c>
      <c r="J170" s="66">
        <v>15192876</v>
      </c>
      <c r="K170" s="66">
        <v>22063048</v>
      </c>
      <c r="L170" s="66">
        <v>23313494</v>
      </c>
      <c r="M170" s="66">
        <v>20504716</v>
      </c>
      <c r="N170" s="66">
        <f t="shared" si="20"/>
        <v>81074134</v>
      </c>
      <c r="O170" s="67">
        <f t="shared" si="21"/>
        <v>0.91967506758592121</v>
      </c>
    </row>
    <row r="171" spans="1:15" s="64" customFormat="1" ht="15" hidden="1" outlineLevel="1" x14ac:dyDescent="0.25">
      <c r="A171" s="70" t="s">
        <v>175</v>
      </c>
      <c r="B171" s="23">
        <f>93923973.408-35000000</f>
        <v>58923973.408000007</v>
      </c>
      <c r="C171" s="76"/>
      <c r="D171" s="76"/>
      <c r="E171" s="76"/>
      <c r="F171" s="76"/>
      <c r="G171" s="30">
        <f t="shared" si="25"/>
        <v>58923973.408000007</v>
      </c>
      <c r="H171" s="30"/>
      <c r="I171" s="30">
        <f t="shared" si="26"/>
        <v>58923973.408000007</v>
      </c>
      <c r="J171" s="66"/>
      <c r="K171" s="66"/>
      <c r="L171" s="66">
        <v>1347273</v>
      </c>
      <c r="M171" s="66">
        <v>51446396</v>
      </c>
      <c r="N171" s="66">
        <f t="shared" si="20"/>
        <v>52793669</v>
      </c>
      <c r="O171" s="67">
        <f t="shared" si="21"/>
        <v>0.8959624741265716</v>
      </c>
    </row>
    <row r="172" spans="1:15" s="60" customFormat="1" ht="15" collapsed="1" x14ac:dyDescent="0.25">
      <c r="A172" s="56" t="s">
        <v>176</v>
      </c>
      <c r="B172" s="57"/>
      <c r="C172" s="57"/>
      <c r="D172" s="57">
        <f>+D173+D179</f>
        <v>765218885</v>
      </c>
      <c r="E172" s="57"/>
      <c r="F172" s="57"/>
      <c r="G172" s="57">
        <f>SUM(B172:F172)</f>
        <v>765218885</v>
      </c>
      <c r="H172" s="57"/>
      <c r="I172" s="57">
        <f t="shared" si="26"/>
        <v>765218885</v>
      </c>
      <c r="J172" s="58">
        <f>+J173+J179</f>
        <v>80111389</v>
      </c>
      <c r="K172" s="58">
        <f>+K173+K179</f>
        <v>161273393</v>
      </c>
      <c r="L172" s="58">
        <f>+L173+L179</f>
        <v>266912643.5</v>
      </c>
      <c r="M172" s="58">
        <f>+M173+M179</f>
        <v>238422951</v>
      </c>
      <c r="N172" s="58">
        <f t="shared" si="20"/>
        <v>746720376.5</v>
      </c>
      <c r="O172" s="59">
        <f t="shared" si="21"/>
        <v>0.97582585994332849</v>
      </c>
    </row>
    <row r="173" spans="1:15" ht="15" x14ac:dyDescent="0.25">
      <c r="A173" s="61" t="s">
        <v>177</v>
      </c>
      <c r="B173" s="95"/>
      <c r="C173" s="95"/>
      <c r="D173" s="95">
        <f>+D174</f>
        <v>214548492</v>
      </c>
      <c r="E173" s="24"/>
      <c r="F173" s="24"/>
      <c r="G173" s="33">
        <f t="shared" ref="G173:G195" si="27">+B173+C173+D173+E173+F173</f>
        <v>214548492</v>
      </c>
      <c r="H173" s="24"/>
      <c r="I173" s="33">
        <f t="shared" ref="I173:I195" si="28">+H173+G173</f>
        <v>214548492</v>
      </c>
      <c r="J173" s="96">
        <f>+J174</f>
        <v>6958218</v>
      </c>
      <c r="K173" s="96">
        <f>+K174</f>
        <v>51009171</v>
      </c>
      <c r="L173" s="96">
        <f>+L174</f>
        <v>121504079</v>
      </c>
      <c r="M173" s="96">
        <f>+M174</f>
        <v>34852381</v>
      </c>
      <c r="N173" s="96">
        <f t="shared" si="20"/>
        <v>214323849</v>
      </c>
      <c r="O173" s="63">
        <f t="shared" si="21"/>
        <v>0.99895294999323514</v>
      </c>
    </row>
    <row r="174" spans="1:15" ht="15" x14ac:dyDescent="0.25">
      <c r="A174" s="61" t="s">
        <v>178</v>
      </c>
      <c r="B174" s="95"/>
      <c r="C174" s="97"/>
      <c r="D174" s="98">
        <f>SUM(D175:D178)</f>
        <v>214548492</v>
      </c>
      <c r="E174" s="24"/>
      <c r="F174" s="30"/>
      <c r="G174" s="76">
        <f t="shared" si="27"/>
        <v>214548492</v>
      </c>
      <c r="H174" s="30"/>
      <c r="I174" s="98">
        <f t="shared" si="28"/>
        <v>214548492</v>
      </c>
      <c r="J174" s="99">
        <f>SUM(J175:J177)</f>
        <v>6958218</v>
      </c>
      <c r="K174" s="99">
        <f>SUM(K175:K177)</f>
        <v>51009171</v>
      </c>
      <c r="L174" s="99">
        <f>SUM(L175:L178)</f>
        <v>121504079</v>
      </c>
      <c r="M174" s="99">
        <f>SUM(M175:M178)</f>
        <v>34852381</v>
      </c>
      <c r="N174" s="99">
        <f>+J174+K174+L174+M174</f>
        <v>214323849</v>
      </c>
      <c r="O174" s="100">
        <f t="shared" si="21"/>
        <v>0.99895294999323514</v>
      </c>
    </row>
    <row r="175" spans="1:15" ht="15" hidden="1" outlineLevel="1" x14ac:dyDescent="0.25">
      <c r="A175" s="65" t="s">
        <v>179</v>
      </c>
      <c r="B175" s="95"/>
      <c r="C175" s="97"/>
      <c r="D175" s="23">
        <f>124000000-14483862</f>
        <v>109516138</v>
      </c>
      <c r="E175" s="24"/>
      <c r="F175" s="30"/>
      <c r="G175" s="30">
        <f t="shared" si="27"/>
        <v>109516138</v>
      </c>
      <c r="H175" s="30"/>
      <c r="I175" s="97">
        <f t="shared" si="28"/>
        <v>109516138</v>
      </c>
      <c r="J175" s="101">
        <v>4048492</v>
      </c>
      <c r="K175" s="101">
        <v>47545389</v>
      </c>
      <c r="L175" s="101">
        <v>32000000</v>
      </c>
      <c r="M175" s="101">
        <v>25922257</v>
      </c>
      <c r="N175" s="101">
        <f t="shared" si="20"/>
        <v>109516138</v>
      </c>
      <c r="O175" s="102">
        <f t="shared" si="21"/>
        <v>1</v>
      </c>
    </row>
    <row r="176" spans="1:15" ht="15" hidden="1" outlineLevel="1" x14ac:dyDescent="0.25">
      <c r="A176" s="65" t="s">
        <v>180</v>
      </c>
      <c r="B176" s="95"/>
      <c r="C176" s="97"/>
      <c r="D176" s="103">
        <f>10000000-430646</f>
        <v>9569354</v>
      </c>
      <c r="E176" s="24"/>
      <c r="F176" s="30"/>
      <c r="G176" s="30">
        <f t="shared" si="27"/>
        <v>9569354</v>
      </c>
      <c r="H176" s="30"/>
      <c r="I176" s="97">
        <f t="shared" si="28"/>
        <v>9569354</v>
      </c>
      <c r="J176" s="101">
        <v>2909726</v>
      </c>
      <c r="K176" s="101">
        <v>3463782</v>
      </c>
      <c r="L176" s="101">
        <v>2971248</v>
      </c>
      <c r="M176" s="101">
        <v>0</v>
      </c>
      <c r="N176" s="101">
        <f t="shared" si="20"/>
        <v>9344756</v>
      </c>
      <c r="O176" s="102">
        <f t="shared" si="21"/>
        <v>0.97652945015933157</v>
      </c>
    </row>
    <row r="177" spans="1:15" ht="15" hidden="1" outlineLevel="1" x14ac:dyDescent="0.25">
      <c r="A177" s="65" t="s">
        <v>181</v>
      </c>
      <c r="B177" s="95"/>
      <c r="C177" s="97"/>
      <c r="D177" s="103">
        <v>15000000</v>
      </c>
      <c r="E177" s="24"/>
      <c r="F177" s="30"/>
      <c r="G177" s="30">
        <f t="shared" si="27"/>
        <v>15000000</v>
      </c>
      <c r="H177" s="30"/>
      <c r="I177" s="97">
        <f t="shared" si="28"/>
        <v>15000000</v>
      </c>
      <c r="J177" s="101"/>
      <c r="K177" s="101">
        <v>0</v>
      </c>
      <c r="L177" s="101">
        <v>15000000</v>
      </c>
      <c r="M177" s="101">
        <v>0</v>
      </c>
      <c r="N177" s="101">
        <f t="shared" si="20"/>
        <v>15000000</v>
      </c>
      <c r="O177" s="102">
        <f t="shared" si="21"/>
        <v>1</v>
      </c>
    </row>
    <row r="178" spans="1:15" ht="15" hidden="1" outlineLevel="1" x14ac:dyDescent="0.25">
      <c r="A178" s="65" t="s">
        <v>182</v>
      </c>
      <c r="B178" s="95"/>
      <c r="C178" s="97"/>
      <c r="D178" s="103">
        <v>80463000</v>
      </c>
      <c r="E178" s="24"/>
      <c r="F178" s="30"/>
      <c r="G178" s="30">
        <f t="shared" si="27"/>
        <v>80463000</v>
      </c>
      <c r="H178" s="30"/>
      <c r="I178" s="97">
        <f t="shared" si="28"/>
        <v>80463000</v>
      </c>
      <c r="J178" s="101"/>
      <c r="K178" s="101"/>
      <c r="L178" s="101">
        <v>71532831</v>
      </c>
      <c r="M178" s="101">
        <v>8930124</v>
      </c>
      <c r="N178" s="101">
        <f t="shared" si="20"/>
        <v>80462955</v>
      </c>
      <c r="O178" s="104">
        <f t="shared" si="21"/>
        <v>0.99999944073673619</v>
      </c>
    </row>
    <row r="179" spans="1:15" ht="15" collapsed="1" x14ac:dyDescent="0.25">
      <c r="A179" s="61" t="s">
        <v>183</v>
      </c>
      <c r="B179" s="33"/>
      <c r="C179" s="33"/>
      <c r="D179" s="40">
        <f>+D180+D186</f>
        <v>550670393</v>
      </c>
      <c r="E179" s="24"/>
      <c r="F179" s="24"/>
      <c r="G179" s="33">
        <f t="shared" si="27"/>
        <v>550670393</v>
      </c>
      <c r="H179" s="76"/>
      <c r="I179" s="98">
        <f t="shared" si="28"/>
        <v>550670393</v>
      </c>
      <c r="J179" s="34">
        <f>+J180+J186</f>
        <v>73153171</v>
      </c>
      <c r="K179" s="34">
        <f>+K180+K186</f>
        <v>110264222</v>
      </c>
      <c r="L179" s="34">
        <f>+L180+L186</f>
        <v>145408564.5</v>
      </c>
      <c r="M179" s="34">
        <f>+M180+M186</f>
        <v>203570570</v>
      </c>
      <c r="N179" s="34">
        <f t="shared" si="20"/>
        <v>532396527.5</v>
      </c>
      <c r="O179" s="100">
        <f t="shared" si="21"/>
        <v>0.96681523878477338</v>
      </c>
    </row>
    <row r="180" spans="1:15" ht="15" x14ac:dyDescent="0.25">
      <c r="A180" s="105" t="s">
        <v>184</v>
      </c>
      <c r="B180" s="33"/>
      <c r="C180" s="33"/>
      <c r="D180" s="33">
        <f>SUM(D181:D185)</f>
        <v>129110538</v>
      </c>
      <c r="E180" s="24"/>
      <c r="F180" s="24"/>
      <c r="G180" s="33">
        <f t="shared" si="27"/>
        <v>129110538</v>
      </c>
      <c r="H180" s="76"/>
      <c r="I180" s="98">
        <f t="shared" si="28"/>
        <v>129110538</v>
      </c>
      <c r="J180" s="62">
        <f>SUM(J181:J184)</f>
        <v>19260538</v>
      </c>
      <c r="K180" s="62">
        <f>SUM(K181:K184)</f>
        <v>32461059</v>
      </c>
      <c r="L180" s="62">
        <f>SUM(L181:L184)</f>
        <v>31216883</v>
      </c>
      <c r="M180" s="62">
        <f>SUM(M181:M184)</f>
        <v>41856240</v>
      </c>
      <c r="N180" s="62">
        <f t="shared" si="20"/>
        <v>124794720</v>
      </c>
      <c r="O180" s="100">
        <f t="shared" si="21"/>
        <v>0.96657268982954747</v>
      </c>
    </row>
    <row r="181" spans="1:15" ht="15" hidden="1" outlineLevel="1" x14ac:dyDescent="0.25">
      <c r="A181" s="90" t="s">
        <v>185</v>
      </c>
      <c r="B181" s="33"/>
      <c r="C181" s="30"/>
      <c r="D181" s="30">
        <f>28700000-1999576</f>
        <v>26700424</v>
      </c>
      <c r="E181" s="24"/>
      <c r="F181" s="24"/>
      <c r="G181" s="30">
        <f t="shared" si="27"/>
        <v>26700424</v>
      </c>
      <c r="H181" s="24"/>
      <c r="I181" s="97">
        <f t="shared" si="28"/>
        <v>26700424</v>
      </c>
      <c r="J181" s="101">
        <v>9416960</v>
      </c>
      <c r="K181" s="101">
        <v>13572173</v>
      </c>
      <c r="L181" s="101">
        <v>3378343</v>
      </c>
      <c r="M181" s="101">
        <v>0</v>
      </c>
      <c r="N181" s="101">
        <f t="shared" si="20"/>
        <v>26367476</v>
      </c>
      <c r="O181" s="102">
        <f t="shared" si="21"/>
        <v>0.98753023547491225</v>
      </c>
    </row>
    <row r="182" spans="1:15" ht="15" hidden="1" outlineLevel="1" x14ac:dyDescent="0.25">
      <c r="A182" s="90" t="s">
        <v>186</v>
      </c>
      <c r="B182" s="33"/>
      <c r="C182" s="30"/>
      <c r="D182" s="30">
        <v>25720000</v>
      </c>
      <c r="E182" s="24"/>
      <c r="F182" s="24"/>
      <c r="G182" s="30">
        <f t="shared" si="27"/>
        <v>25720000</v>
      </c>
      <c r="H182" s="24"/>
      <c r="I182" s="97">
        <f t="shared" si="28"/>
        <v>25720000</v>
      </c>
      <c r="J182" s="101">
        <v>9843578</v>
      </c>
      <c r="K182" s="101">
        <v>2662308</v>
      </c>
      <c r="L182" s="101">
        <v>0</v>
      </c>
      <c r="M182" s="101">
        <v>11483952</v>
      </c>
      <c r="N182" s="101">
        <f t="shared" si="20"/>
        <v>23989838</v>
      </c>
      <c r="O182" s="102">
        <f t="shared" si="21"/>
        <v>0.9327308709175739</v>
      </c>
    </row>
    <row r="183" spans="1:15" ht="15" hidden="1" outlineLevel="1" x14ac:dyDescent="0.25">
      <c r="A183" s="90" t="s">
        <v>187</v>
      </c>
      <c r="B183" s="33"/>
      <c r="C183" s="30"/>
      <c r="D183" s="30">
        <f>70000000-7000000</f>
        <v>63000000</v>
      </c>
      <c r="E183" s="24"/>
      <c r="F183" s="24"/>
      <c r="G183" s="30">
        <f t="shared" si="27"/>
        <v>63000000</v>
      </c>
      <c r="H183" s="24"/>
      <c r="I183" s="97">
        <f t="shared" si="28"/>
        <v>63000000</v>
      </c>
      <c r="J183" s="101"/>
      <c r="K183" s="101">
        <v>4871000</v>
      </c>
      <c r="L183" s="101">
        <v>26461852</v>
      </c>
      <c r="M183" s="101">
        <v>30372288</v>
      </c>
      <c r="N183" s="101">
        <f t="shared" si="20"/>
        <v>61705140</v>
      </c>
      <c r="O183" s="102">
        <f t="shared" si="21"/>
        <v>0.97944666666666669</v>
      </c>
    </row>
    <row r="184" spans="1:15" ht="15" hidden="1" outlineLevel="1" x14ac:dyDescent="0.25">
      <c r="A184" s="90" t="s">
        <v>188</v>
      </c>
      <c r="B184" s="33"/>
      <c r="C184" s="30"/>
      <c r="D184" s="30">
        <f>21000000-7309886</f>
        <v>13690114</v>
      </c>
      <c r="E184" s="24"/>
      <c r="F184" s="24"/>
      <c r="G184" s="30">
        <f t="shared" si="27"/>
        <v>13690114</v>
      </c>
      <c r="H184" s="24"/>
      <c r="I184" s="97">
        <f t="shared" si="28"/>
        <v>13690114</v>
      </c>
      <c r="J184" s="101"/>
      <c r="K184" s="101">
        <v>11355578</v>
      </c>
      <c r="L184" s="101">
        <v>1376688</v>
      </c>
      <c r="M184" s="101">
        <v>0</v>
      </c>
      <c r="N184" s="101">
        <f t="shared" si="20"/>
        <v>12732266</v>
      </c>
      <c r="O184" s="102">
        <f t="shared" si="21"/>
        <v>0.93003359942802521</v>
      </c>
    </row>
    <row r="185" spans="1:15" ht="15" hidden="1" outlineLevel="1" x14ac:dyDescent="0.25">
      <c r="A185" s="90" t="s">
        <v>189</v>
      </c>
      <c r="B185" s="33"/>
      <c r="C185" s="30"/>
      <c r="D185" s="30">
        <v>0</v>
      </c>
      <c r="E185" s="24"/>
      <c r="F185" s="24"/>
      <c r="G185" s="30">
        <f t="shared" si="27"/>
        <v>0</v>
      </c>
      <c r="H185" s="24"/>
      <c r="I185" s="97">
        <f t="shared" si="28"/>
        <v>0</v>
      </c>
      <c r="J185" s="106"/>
      <c r="K185" s="106">
        <v>0</v>
      </c>
      <c r="L185" s="106">
        <v>0</v>
      </c>
      <c r="M185" s="106">
        <v>0</v>
      </c>
      <c r="N185" s="106">
        <f t="shared" si="20"/>
        <v>0</v>
      </c>
      <c r="O185" s="102">
        <v>0</v>
      </c>
    </row>
    <row r="186" spans="1:15" ht="15" collapsed="1" x14ac:dyDescent="0.25">
      <c r="A186" s="107" t="s">
        <v>190</v>
      </c>
      <c r="B186" s="33"/>
      <c r="C186" s="33"/>
      <c r="D186" s="33">
        <f>SUM(D187:D195)</f>
        <v>421559855</v>
      </c>
      <c r="E186" s="24"/>
      <c r="F186" s="24"/>
      <c r="G186" s="33">
        <f t="shared" si="27"/>
        <v>421559855</v>
      </c>
      <c r="H186" s="76"/>
      <c r="I186" s="98">
        <f t="shared" si="28"/>
        <v>421559855</v>
      </c>
      <c r="J186" s="62">
        <f>SUM(J187:J195)</f>
        <v>53892633</v>
      </c>
      <c r="K186" s="62">
        <f>SUM(K187:K195)</f>
        <v>77803163</v>
      </c>
      <c r="L186" s="62">
        <f>SUM(L187:L195)</f>
        <v>114191681.5</v>
      </c>
      <c r="M186" s="62">
        <f>SUM(M187:M195)</f>
        <v>161714330</v>
      </c>
      <c r="N186" s="62">
        <f t="shared" si="20"/>
        <v>407601807.5</v>
      </c>
      <c r="O186" s="100">
        <f t="shared" si="21"/>
        <v>0.9668895239087697</v>
      </c>
    </row>
    <row r="187" spans="1:15" ht="15" hidden="1" outlineLevel="1" x14ac:dyDescent="0.25">
      <c r="A187" s="65" t="s">
        <v>191</v>
      </c>
      <c r="B187" s="33"/>
      <c r="C187" s="30"/>
      <c r="D187" s="23">
        <v>130000000</v>
      </c>
      <c r="E187" s="24"/>
      <c r="F187" s="24"/>
      <c r="G187" s="30">
        <f t="shared" si="27"/>
        <v>130000000</v>
      </c>
      <c r="H187" s="24"/>
      <c r="I187" s="97">
        <f t="shared" si="28"/>
        <v>130000000</v>
      </c>
      <c r="J187" s="101">
        <v>7405078</v>
      </c>
      <c r="K187" s="101">
        <v>50335915</v>
      </c>
      <c r="L187" s="101">
        <v>12674758</v>
      </c>
      <c r="M187" s="101">
        <v>58515011</v>
      </c>
      <c r="N187" s="101">
        <f t="shared" si="20"/>
        <v>128930762</v>
      </c>
      <c r="O187" s="102">
        <f t="shared" si="21"/>
        <v>0.99177509230769234</v>
      </c>
    </row>
    <row r="188" spans="1:15" ht="15" hidden="1" outlineLevel="1" x14ac:dyDescent="0.25">
      <c r="A188" s="65" t="s">
        <v>192</v>
      </c>
      <c r="B188" s="33"/>
      <c r="C188" s="30"/>
      <c r="D188" s="23">
        <f>56000000-15900815</f>
        <v>40099185</v>
      </c>
      <c r="E188" s="24"/>
      <c r="F188" s="24"/>
      <c r="G188" s="30">
        <f t="shared" si="27"/>
        <v>40099185</v>
      </c>
      <c r="H188" s="24"/>
      <c r="I188" s="97">
        <f t="shared" si="28"/>
        <v>40099185</v>
      </c>
      <c r="J188" s="101">
        <v>20259185</v>
      </c>
      <c r="K188" s="101">
        <v>0</v>
      </c>
      <c r="L188" s="101">
        <v>19248008</v>
      </c>
      <c r="M188" s="101"/>
      <c r="N188" s="101">
        <f t="shared" si="20"/>
        <v>39507193</v>
      </c>
      <c r="O188" s="102">
        <f t="shared" si="21"/>
        <v>0.98523680718199136</v>
      </c>
    </row>
    <row r="189" spans="1:15" ht="15" hidden="1" outlineLevel="1" x14ac:dyDescent="0.25">
      <c r="A189" s="65" t="s">
        <v>193</v>
      </c>
      <c r="B189" s="33"/>
      <c r="C189" s="30"/>
      <c r="D189" s="23">
        <v>47500000</v>
      </c>
      <c r="E189" s="24"/>
      <c r="F189" s="24"/>
      <c r="G189" s="30">
        <f t="shared" si="27"/>
        <v>47500000</v>
      </c>
      <c r="H189" s="24"/>
      <c r="I189" s="97">
        <f t="shared" si="28"/>
        <v>47500000</v>
      </c>
      <c r="J189" s="101"/>
      <c r="K189" s="101">
        <v>0</v>
      </c>
      <c r="L189" s="101">
        <v>0</v>
      </c>
      <c r="M189" s="101">
        <v>45878000</v>
      </c>
      <c r="N189" s="101">
        <f t="shared" si="20"/>
        <v>45878000</v>
      </c>
      <c r="O189" s="102">
        <f t="shared" si="21"/>
        <v>0.96585263157894741</v>
      </c>
    </row>
    <row r="190" spans="1:15" ht="15" hidden="1" outlineLevel="1" x14ac:dyDescent="0.25">
      <c r="A190" s="65" t="s">
        <v>194</v>
      </c>
      <c r="B190" s="33"/>
      <c r="C190" s="30"/>
      <c r="D190" s="23">
        <f>18000000-125000</f>
        <v>17875000</v>
      </c>
      <c r="E190" s="24"/>
      <c r="F190" s="24"/>
      <c r="G190" s="30">
        <f t="shared" si="27"/>
        <v>17875000</v>
      </c>
      <c r="H190" s="24"/>
      <c r="I190" s="97">
        <f t="shared" si="28"/>
        <v>17875000</v>
      </c>
      <c r="J190" s="101"/>
      <c r="K190" s="101">
        <v>10127428</v>
      </c>
      <c r="L190" s="101">
        <v>5904444</v>
      </c>
      <c r="M190" s="101">
        <v>1702859</v>
      </c>
      <c r="N190" s="101">
        <f t="shared" si="20"/>
        <v>17734731</v>
      </c>
      <c r="O190" s="102">
        <f t="shared" si="21"/>
        <v>0.99215278321678324</v>
      </c>
    </row>
    <row r="191" spans="1:15" ht="15" hidden="1" outlineLevel="1" x14ac:dyDescent="0.25">
      <c r="A191" s="65" t="s">
        <v>195</v>
      </c>
      <c r="B191" s="33"/>
      <c r="C191" s="30"/>
      <c r="D191" s="23">
        <v>30000000</v>
      </c>
      <c r="E191" s="24"/>
      <c r="F191" s="24"/>
      <c r="G191" s="30">
        <f t="shared" si="27"/>
        <v>30000000</v>
      </c>
      <c r="H191" s="24"/>
      <c r="I191" s="97">
        <f t="shared" si="28"/>
        <v>30000000</v>
      </c>
      <c r="J191" s="101">
        <v>9204700</v>
      </c>
      <c r="K191" s="101">
        <v>0</v>
      </c>
      <c r="L191" s="101">
        <v>1944645</v>
      </c>
      <c r="M191" s="101">
        <v>18305690</v>
      </c>
      <c r="N191" s="101">
        <f t="shared" si="20"/>
        <v>29455035</v>
      </c>
      <c r="O191" s="102">
        <f t="shared" si="21"/>
        <v>0.98183450000000005</v>
      </c>
    </row>
    <row r="192" spans="1:15" ht="15" hidden="1" outlineLevel="1" x14ac:dyDescent="0.25">
      <c r="A192" s="65" t="s">
        <v>196</v>
      </c>
      <c r="B192" s="33"/>
      <c r="C192" s="30"/>
      <c r="D192" s="23">
        <f>41000000+8160000</f>
        <v>49160000</v>
      </c>
      <c r="E192" s="24"/>
      <c r="F192" s="24"/>
      <c r="G192" s="30">
        <f t="shared" si="27"/>
        <v>49160000</v>
      </c>
      <c r="H192" s="24"/>
      <c r="I192" s="97">
        <f t="shared" si="28"/>
        <v>49160000</v>
      </c>
      <c r="J192" s="101"/>
      <c r="K192" s="101">
        <v>0</v>
      </c>
      <c r="L192" s="101">
        <v>48604736</v>
      </c>
      <c r="M192" s="101"/>
      <c r="N192" s="101">
        <f t="shared" si="20"/>
        <v>48604736</v>
      </c>
      <c r="O192" s="104">
        <f t="shared" si="21"/>
        <v>0.9887049633848658</v>
      </c>
    </row>
    <row r="193" spans="1:20" ht="15" hidden="1" outlineLevel="1" x14ac:dyDescent="0.25">
      <c r="A193" s="65" t="s">
        <v>197</v>
      </c>
      <c r="B193" s="33"/>
      <c r="C193" s="30"/>
      <c r="D193" s="23">
        <v>16920000</v>
      </c>
      <c r="E193" s="24"/>
      <c r="F193" s="24"/>
      <c r="G193" s="30">
        <f t="shared" si="27"/>
        <v>16920000</v>
      </c>
      <c r="H193" s="24"/>
      <c r="I193" s="97">
        <f t="shared" si="28"/>
        <v>16920000</v>
      </c>
      <c r="J193" s="101"/>
      <c r="K193" s="101">
        <v>0</v>
      </c>
      <c r="L193" s="101">
        <v>7263708</v>
      </c>
      <c r="M193" s="101">
        <v>5802835</v>
      </c>
      <c r="N193" s="101">
        <f t="shared" si="20"/>
        <v>13066543</v>
      </c>
      <c r="O193" s="102">
        <f t="shared" si="21"/>
        <v>0.77225431442080383</v>
      </c>
    </row>
    <row r="194" spans="1:20" ht="15" hidden="1" outlineLevel="1" x14ac:dyDescent="0.25">
      <c r="A194" s="65" t="s">
        <v>198</v>
      </c>
      <c r="B194" s="33"/>
      <c r="C194" s="30"/>
      <c r="D194" s="23">
        <v>23280000</v>
      </c>
      <c r="E194" s="24"/>
      <c r="F194" s="24"/>
      <c r="G194" s="30">
        <f t="shared" si="27"/>
        <v>23280000</v>
      </c>
      <c r="H194" s="24"/>
      <c r="I194" s="97">
        <f t="shared" si="28"/>
        <v>23280000</v>
      </c>
      <c r="J194" s="101"/>
      <c r="K194" s="101">
        <v>0</v>
      </c>
      <c r="L194" s="101">
        <v>4475391</v>
      </c>
      <c r="M194" s="101">
        <v>13248185</v>
      </c>
      <c r="N194" s="101">
        <f t="shared" si="20"/>
        <v>17723576</v>
      </c>
      <c r="O194" s="102">
        <f t="shared" si="21"/>
        <v>0.76132199312714777</v>
      </c>
    </row>
    <row r="195" spans="1:20" ht="15" hidden="1" outlineLevel="1" x14ac:dyDescent="0.25">
      <c r="A195" s="65" t="s">
        <v>199</v>
      </c>
      <c r="B195" s="33"/>
      <c r="C195" s="30"/>
      <c r="D195" s="23">
        <f>70000000-3274330</f>
        <v>66725670</v>
      </c>
      <c r="E195" s="24"/>
      <c r="F195" s="24"/>
      <c r="G195" s="30">
        <f t="shared" si="27"/>
        <v>66725670</v>
      </c>
      <c r="H195" s="24"/>
      <c r="I195" s="97">
        <f t="shared" si="28"/>
        <v>66725670</v>
      </c>
      <c r="J195" s="101">
        <v>17023670</v>
      </c>
      <c r="K195" s="101">
        <v>17339820</v>
      </c>
      <c r="L195" s="101">
        <v>14075991.5</v>
      </c>
      <c r="M195" s="101">
        <v>18261750</v>
      </c>
      <c r="N195" s="101">
        <f t="shared" si="20"/>
        <v>66701231.5</v>
      </c>
      <c r="O195" s="104">
        <f t="shared" si="21"/>
        <v>0.99963374665252513</v>
      </c>
    </row>
    <row r="196" spans="1:20" ht="15" collapsed="1" x14ac:dyDescent="0.25">
      <c r="A196" s="81"/>
      <c r="B196" s="33"/>
      <c r="C196" s="33"/>
      <c r="D196" s="33"/>
      <c r="E196" s="33"/>
      <c r="F196" s="33"/>
      <c r="G196" s="33"/>
      <c r="H196" s="33"/>
      <c r="I196" s="33"/>
      <c r="J196" s="62"/>
      <c r="K196" s="62"/>
      <c r="L196" s="62"/>
      <c r="M196" s="62"/>
      <c r="N196" s="62"/>
      <c r="O196" s="63"/>
    </row>
    <row r="197" spans="1:20" ht="15" x14ac:dyDescent="0.25">
      <c r="A197" s="91" t="s">
        <v>200</v>
      </c>
      <c r="B197" s="22"/>
      <c r="C197" s="22"/>
      <c r="D197" s="22"/>
      <c r="E197" s="22"/>
      <c r="F197" s="22"/>
      <c r="G197" s="22"/>
      <c r="H197" s="40">
        <f>+H198+H199</f>
        <v>1985797116.6400001</v>
      </c>
      <c r="I197" s="40">
        <f>+H197+G197</f>
        <v>1985797116.6400001</v>
      </c>
      <c r="J197" s="34">
        <f>+J198+J199</f>
        <v>460435774.5</v>
      </c>
      <c r="K197" s="34">
        <f>+K198+K199</f>
        <v>481666786</v>
      </c>
      <c r="L197" s="34">
        <f>+L198+L199</f>
        <v>560485695</v>
      </c>
      <c r="M197" s="34">
        <f>+M198+M199</f>
        <v>647218017</v>
      </c>
      <c r="N197" s="34">
        <f t="shared" si="20"/>
        <v>2149806272.5</v>
      </c>
      <c r="O197" s="42">
        <f t="shared" si="21"/>
        <v>1.0825910937656642</v>
      </c>
    </row>
    <row r="198" spans="1:20" ht="14.25" hidden="1" outlineLevel="1" x14ac:dyDescent="0.2">
      <c r="A198" s="89" t="s">
        <v>201</v>
      </c>
      <c r="B198" s="22"/>
      <c r="C198" s="22"/>
      <c r="D198" s="22"/>
      <c r="E198" s="22"/>
      <c r="F198" s="22"/>
      <c r="G198" s="22"/>
      <c r="H198" s="23">
        <v>1241123197.9000001</v>
      </c>
      <c r="I198" s="23">
        <f>+H198+G198</f>
        <v>1241123197.9000001</v>
      </c>
      <c r="J198" s="82">
        <v>287772357.1875</v>
      </c>
      <c r="K198" s="82">
        <v>301041743</v>
      </c>
      <c r="L198" s="82">
        <v>350303559</v>
      </c>
      <c r="M198" s="82">
        <v>404511260</v>
      </c>
      <c r="N198" s="82">
        <f t="shared" si="20"/>
        <v>1343628919.1875</v>
      </c>
      <c r="O198" s="72">
        <f t="shared" si="21"/>
        <v>1.0825910928592273</v>
      </c>
    </row>
    <row r="199" spans="1:20" ht="14.25" hidden="1" outlineLevel="1" x14ac:dyDescent="0.2">
      <c r="A199" s="89" t="s">
        <v>202</v>
      </c>
      <c r="B199" s="22"/>
      <c r="C199" s="22"/>
      <c r="D199" s="22"/>
      <c r="E199" s="22"/>
      <c r="F199" s="22"/>
      <c r="G199" s="22"/>
      <c r="H199" s="23">
        <v>744673918.74000001</v>
      </c>
      <c r="I199" s="23">
        <f>+H199+G199</f>
        <v>744673918.74000001</v>
      </c>
      <c r="J199" s="82">
        <v>172663417.3125</v>
      </c>
      <c r="K199" s="82">
        <v>180625043</v>
      </c>
      <c r="L199" s="82">
        <v>210182136.00000003</v>
      </c>
      <c r="M199" s="82">
        <v>242706757</v>
      </c>
      <c r="N199" s="82">
        <f t="shared" si="20"/>
        <v>806177353.3125</v>
      </c>
      <c r="O199" s="72">
        <f t="shared" si="21"/>
        <v>1.0825910952763926</v>
      </c>
    </row>
    <row r="200" spans="1:20" ht="15" collapsed="1" x14ac:dyDescent="0.25">
      <c r="A200" s="32"/>
      <c r="B200" s="22"/>
      <c r="C200" s="22"/>
      <c r="D200" s="22"/>
      <c r="E200" s="22"/>
      <c r="F200" s="22"/>
      <c r="G200" s="22"/>
      <c r="H200" s="22"/>
      <c r="I200" s="22"/>
      <c r="J200" s="25"/>
      <c r="K200" s="25"/>
      <c r="L200" s="25"/>
      <c r="M200" s="25"/>
      <c r="N200" s="25"/>
      <c r="O200" s="16"/>
    </row>
    <row r="201" spans="1:20" ht="15" x14ac:dyDescent="0.25">
      <c r="A201" s="88" t="s">
        <v>203</v>
      </c>
      <c r="B201" s="18"/>
      <c r="C201" s="18"/>
      <c r="D201" s="18"/>
      <c r="E201" s="18">
        <v>7900000000</v>
      </c>
      <c r="F201" s="18"/>
      <c r="G201" s="76">
        <f>+B201+C201+D201+E201+F201</f>
        <v>7900000000</v>
      </c>
      <c r="H201" s="18"/>
      <c r="I201" s="98">
        <f>+H201+G201</f>
        <v>7900000000</v>
      </c>
      <c r="J201" s="99">
        <v>45493807</v>
      </c>
      <c r="K201" s="99">
        <v>336356121</v>
      </c>
      <c r="L201" s="99">
        <v>214323284</v>
      </c>
      <c r="M201" s="99">
        <v>1016326767</v>
      </c>
      <c r="N201" s="99">
        <f t="shared" si="20"/>
        <v>1612499979</v>
      </c>
      <c r="O201" s="100">
        <f>+N201/I201</f>
        <v>0.20411392139240506</v>
      </c>
    </row>
    <row r="202" spans="1:20" ht="15" x14ac:dyDescent="0.25">
      <c r="A202" s="32"/>
      <c r="B202" s="22"/>
      <c r="C202" s="22"/>
      <c r="D202" s="22"/>
      <c r="E202" s="22"/>
      <c r="F202" s="22"/>
      <c r="G202" s="22"/>
      <c r="H202" s="22"/>
      <c r="I202" s="22"/>
      <c r="J202" s="25"/>
      <c r="K202" s="25"/>
      <c r="L202" s="25"/>
      <c r="M202" s="25"/>
      <c r="N202" s="25"/>
      <c r="O202" s="16"/>
    </row>
    <row r="203" spans="1:20" ht="15" x14ac:dyDescent="0.25">
      <c r="A203" s="91" t="s">
        <v>204</v>
      </c>
      <c r="B203" s="22"/>
      <c r="C203" s="22"/>
      <c r="D203" s="22"/>
      <c r="E203" s="22"/>
      <c r="F203" s="22"/>
      <c r="G203" s="40">
        <f>+B203+C203+E203+F203</f>
        <v>0</v>
      </c>
      <c r="H203" s="40">
        <f>+H204+H205</f>
        <v>1718446946.4187565</v>
      </c>
      <c r="I203" s="40">
        <f>+H203+G203</f>
        <v>1718446946.4187565</v>
      </c>
      <c r="J203" s="34"/>
      <c r="K203" s="34"/>
      <c r="L203" s="34"/>
      <c r="M203" s="34"/>
      <c r="N203" s="34">
        <f>+J203+K203+L203+M203</f>
        <v>0</v>
      </c>
      <c r="O203" s="42">
        <f>+N203/I203</f>
        <v>0</v>
      </c>
    </row>
    <row r="204" spans="1:20" s="92" customFormat="1" ht="14.25" hidden="1" outlineLevel="1" x14ac:dyDescent="0.2">
      <c r="A204" s="36" t="s">
        <v>205</v>
      </c>
      <c r="B204" s="22"/>
      <c r="C204" s="22"/>
      <c r="D204" s="22"/>
      <c r="E204" s="22"/>
      <c r="F204" s="22"/>
      <c r="G204" s="22">
        <f>+B204+C204+E204+F204</f>
        <v>0</v>
      </c>
      <c r="H204" s="24">
        <v>454018224.87788391</v>
      </c>
      <c r="I204" s="22">
        <f>+H204+G204</f>
        <v>454018224.87788391</v>
      </c>
      <c r="J204" s="25"/>
      <c r="K204" s="25"/>
      <c r="L204" s="25"/>
      <c r="M204" s="25"/>
      <c r="N204" s="25">
        <f>+J204+K204+L204+M204</f>
        <v>0</v>
      </c>
      <c r="O204" s="16">
        <f>+N204/I204</f>
        <v>0</v>
      </c>
    </row>
    <row r="205" spans="1:20" s="92" customFormat="1" ht="14.25" hidden="1" outlineLevel="1" x14ac:dyDescent="0.2">
      <c r="A205" s="36" t="s">
        <v>206</v>
      </c>
      <c r="B205" s="22"/>
      <c r="C205" s="22"/>
      <c r="D205" s="22"/>
      <c r="E205" s="22"/>
      <c r="F205" s="22"/>
      <c r="G205" s="22">
        <f>+B205+C205+E205+F205</f>
        <v>0</v>
      </c>
      <c r="H205" s="22">
        <v>1264428721.5408726</v>
      </c>
      <c r="I205" s="22">
        <f>+H205+G205</f>
        <v>1264428721.5408726</v>
      </c>
      <c r="J205" s="25"/>
      <c r="K205" s="25"/>
      <c r="L205" s="25"/>
      <c r="M205" s="25"/>
      <c r="N205" s="25">
        <f>+J205+K205+L205+M205</f>
        <v>0</v>
      </c>
      <c r="O205" s="16">
        <f>+N205/I205</f>
        <v>0</v>
      </c>
    </row>
    <row r="206" spans="1:20" ht="15" collapsed="1" x14ac:dyDescent="0.25">
      <c r="A206" s="32"/>
      <c r="B206" s="22"/>
      <c r="C206" s="22"/>
      <c r="D206" s="22"/>
      <c r="E206" s="22"/>
      <c r="F206" s="22"/>
      <c r="G206" s="22"/>
      <c r="H206" s="22"/>
      <c r="I206" s="22"/>
      <c r="J206" s="25"/>
      <c r="K206" s="25"/>
      <c r="L206" s="25"/>
      <c r="M206" s="25"/>
      <c r="N206" s="25"/>
      <c r="O206" s="16"/>
    </row>
    <row r="207" spans="1:20" ht="15" x14ac:dyDescent="0.25">
      <c r="A207" s="32" t="s">
        <v>207</v>
      </c>
      <c r="B207" s="40">
        <f>+B39+B37</f>
        <v>3704455838.7203135</v>
      </c>
      <c r="C207" s="40">
        <f>+C37+C39</f>
        <v>1732130688.7110376</v>
      </c>
      <c r="D207" s="40">
        <f>+D39+D37</f>
        <v>1010723528.5241952</v>
      </c>
      <c r="E207" s="40">
        <f>+E37+E39+E201</f>
        <v>14885841716.688625</v>
      </c>
      <c r="F207" s="40">
        <f>+F39+F37</f>
        <v>6491168997.1063738</v>
      </c>
      <c r="G207" s="40">
        <f>+B207+C207+E207+F207+D207</f>
        <v>27824320769.750546</v>
      </c>
      <c r="H207" s="40">
        <f>+H203+H197+H39+H37</f>
        <v>4631414376.5632486</v>
      </c>
      <c r="I207" s="40">
        <f>+H207+G207</f>
        <v>32455735146.313793</v>
      </c>
      <c r="J207" s="34">
        <f>+J201+J197+J39+J37</f>
        <v>4322165408.3220997</v>
      </c>
      <c r="K207" s="34">
        <f>+K201+K197+K39+K37</f>
        <v>6072325835.9992237</v>
      </c>
      <c r="L207" s="34">
        <f>+L201+L197+L39+L37</f>
        <v>6845843591.6683331</v>
      </c>
      <c r="M207" s="34">
        <f>+M201+M197+M39+M37</f>
        <v>6776726394</v>
      </c>
      <c r="N207" s="34">
        <f>+J207+K207+L207+M207</f>
        <v>24017061229.989655</v>
      </c>
      <c r="O207" s="42">
        <f>+N207/I208</f>
        <v>0.98230140295125712</v>
      </c>
    </row>
    <row r="208" spans="1:20" ht="15.75" thickBot="1" x14ac:dyDescent="0.3">
      <c r="A208" s="108"/>
      <c r="B208" s="109"/>
      <c r="C208" s="110"/>
      <c r="D208" s="110"/>
      <c r="E208" s="111"/>
      <c r="F208" s="110"/>
      <c r="G208" s="110"/>
      <c r="H208" s="110"/>
      <c r="I208" s="112">
        <f>+I207-I203-I201+N201</f>
        <v>24449788178.895035</v>
      </c>
      <c r="J208" s="113"/>
      <c r="K208" s="113"/>
      <c r="L208" s="113"/>
      <c r="M208" s="113"/>
      <c r="N208" s="113"/>
      <c r="O208" s="114"/>
      <c r="P208" s="115"/>
      <c r="Q208" s="115"/>
      <c r="R208" s="115"/>
      <c r="S208" s="115"/>
      <c r="T208" s="115"/>
    </row>
    <row r="209" spans="1:15" ht="13.5" thickTop="1" x14ac:dyDescent="0.2">
      <c r="A209" s="116"/>
      <c r="B209" s="117"/>
      <c r="C209" s="117"/>
      <c r="D209" s="117"/>
      <c r="E209" s="117"/>
      <c r="F209" s="118"/>
      <c r="G209" s="119"/>
      <c r="H209" s="117"/>
      <c r="I209" s="117"/>
      <c r="J209" s="117"/>
      <c r="K209" s="117"/>
      <c r="L209" s="117"/>
      <c r="M209" s="117"/>
      <c r="N209" s="117"/>
      <c r="O209" s="120"/>
    </row>
    <row r="210" spans="1:15" x14ac:dyDescent="0.2">
      <c r="A210" s="116"/>
      <c r="B210" s="117"/>
      <c r="C210" s="117"/>
      <c r="D210" s="117"/>
      <c r="E210" s="117"/>
      <c r="F210" s="121"/>
      <c r="G210" s="117"/>
      <c r="H210" s="117"/>
      <c r="I210" s="122"/>
      <c r="J210" s="122"/>
      <c r="K210" s="122"/>
      <c r="L210" s="122"/>
      <c r="M210" s="122"/>
      <c r="N210" s="122"/>
      <c r="O210" s="123"/>
    </row>
    <row r="211" spans="1:15" ht="15.75" x14ac:dyDescent="0.25">
      <c r="A211" s="116"/>
      <c r="B211" s="119"/>
      <c r="C211" s="119"/>
      <c r="D211" s="119"/>
      <c r="E211" s="119"/>
      <c r="F211" s="124"/>
      <c r="G211" s="125"/>
      <c r="H211" s="124"/>
      <c r="I211" s="126"/>
      <c r="J211" s="126"/>
      <c r="K211" s="126"/>
      <c r="L211" s="126"/>
      <c r="M211" s="126"/>
      <c r="N211" s="126"/>
      <c r="O211" s="120"/>
    </row>
    <row r="212" spans="1:15" x14ac:dyDescent="0.2">
      <c r="A212" s="119"/>
      <c r="B212" s="119"/>
      <c r="C212" s="119"/>
      <c r="D212" s="119"/>
      <c r="E212" s="119"/>
      <c r="F212" s="119"/>
      <c r="G212" s="119"/>
      <c r="H212" s="119"/>
      <c r="I212" s="122"/>
      <c r="J212" s="122"/>
      <c r="K212" s="122"/>
      <c r="L212" s="122"/>
      <c r="M212" s="122"/>
      <c r="N212" s="122"/>
      <c r="O212" s="120"/>
    </row>
    <row r="213" spans="1:15" x14ac:dyDescent="0.2">
      <c r="A213" s="119"/>
      <c r="B213" s="119"/>
      <c r="C213" s="119"/>
      <c r="D213" s="119"/>
      <c r="E213" s="119"/>
      <c r="F213" s="119"/>
      <c r="G213" s="117"/>
      <c r="H213" s="117"/>
      <c r="I213" s="119"/>
      <c r="J213" s="119"/>
      <c r="K213" s="119"/>
      <c r="L213" s="119"/>
      <c r="M213" s="119"/>
      <c r="N213" s="119"/>
      <c r="O213" s="120"/>
    </row>
    <row r="214" spans="1:15" x14ac:dyDescent="0.2">
      <c r="A214" s="119"/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  <c r="O214" s="120"/>
    </row>
    <row r="215" spans="1:15" x14ac:dyDescent="0.2">
      <c r="A215" s="119"/>
      <c r="B215" s="119"/>
      <c r="C215" s="119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/>
      <c r="O215" s="120"/>
    </row>
    <row r="216" spans="1:15" x14ac:dyDescent="0.2">
      <c r="A216" s="119"/>
      <c r="B216" s="119"/>
      <c r="C216" s="119"/>
      <c r="D216" s="119"/>
      <c r="E216" s="119"/>
      <c r="F216" s="119"/>
      <c r="G216" s="119"/>
      <c r="H216" s="123"/>
      <c r="I216" s="119"/>
      <c r="J216" s="119"/>
      <c r="K216" s="119"/>
      <c r="L216" s="119"/>
      <c r="M216" s="119"/>
      <c r="N216" s="119"/>
      <c r="O216" s="120"/>
    </row>
    <row r="217" spans="1:15" x14ac:dyDescent="0.2">
      <c r="A217" s="119"/>
      <c r="B217" s="119"/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20"/>
    </row>
    <row r="218" spans="1:15" x14ac:dyDescent="0.2">
      <c r="A218" s="119"/>
      <c r="B218" s="119"/>
      <c r="C218" s="119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119"/>
      <c r="O218" s="120"/>
    </row>
    <row r="219" spans="1:15" x14ac:dyDescent="0.2">
      <c r="A219" s="119"/>
      <c r="B219" s="119"/>
      <c r="C219" s="119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20"/>
    </row>
    <row r="220" spans="1:15" x14ac:dyDescent="0.2">
      <c r="A220" s="119"/>
      <c r="B220" s="119"/>
      <c r="C220" s="119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20"/>
    </row>
    <row r="221" spans="1:15" x14ac:dyDescent="0.2">
      <c r="A221" s="119"/>
      <c r="B221" s="119"/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20"/>
    </row>
    <row r="222" spans="1:15" x14ac:dyDescent="0.2">
      <c r="A222" s="119"/>
      <c r="B222" s="119"/>
      <c r="C222" s="119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20"/>
    </row>
    <row r="223" spans="1:15" x14ac:dyDescent="0.2">
      <c r="A223" s="119"/>
      <c r="B223" s="119"/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20"/>
    </row>
    <row r="224" spans="1:15" x14ac:dyDescent="0.2">
      <c r="A224" s="119"/>
      <c r="B224" s="119"/>
      <c r="C224" s="119"/>
      <c r="D224" s="119"/>
      <c r="E224" s="119"/>
      <c r="F224" s="119"/>
      <c r="G224" s="119"/>
      <c r="H224" s="119"/>
      <c r="I224" s="119"/>
      <c r="J224" s="119"/>
      <c r="K224" s="119"/>
      <c r="L224" s="119"/>
      <c r="M224" s="119"/>
      <c r="N224" s="119"/>
      <c r="O224" s="120"/>
    </row>
    <row r="225" spans="1:15" x14ac:dyDescent="0.2">
      <c r="A225" s="119"/>
      <c r="B225" s="119"/>
      <c r="C225" s="119"/>
      <c r="D225" s="119"/>
      <c r="E225" s="119"/>
      <c r="F225" s="119"/>
      <c r="G225" s="119"/>
      <c r="H225" s="119"/>
      <c r="I225" s="119"/>
      <c r="J225" s="119"/>
      <c r="K225" s="119"/>
      <c r="L225" s="119"/>
      <c r="M225" s="119"/>
      <c r="N225" s="119"/>
      <c r="O225" s="120"/>
    </row>
    <row r="226" spans="1:15" x14ac:dyDescent="0.2">
      <c r="A226" s="119"/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119"/>
      <c r="N226" s="119"/>
      <c r="O226" s="120"/>
    </row>
    <row r="227" spans="1:15" x14ac:dyDescent="0.2">
      <c r="A227" s="119"/>
      <c r="B227" s="119"/>
      <c r="C227" s="119"/>
      <c r="D227" s="119"/>
      <c r="E227" s="119"/>
      <c r="F227" s="119"/>
      <c r="G227" s="119"/>
      <c r="H227" s="119"/>
      <c r="I227" s="119"/>
      <c r="J227" s="119"/>
      <c r="K227" s="119"/>
      <c r="L227" s="119"/>
      <c r="M227" s="119"/>
      <c r="N227" s="119"/>
      <c r="O227" s="120"/>
    </row>
    <row r="228" spans="1:15" x14ac:dyDescent="0.2">
      <c r="A228" s="119"/>
      <c r="B228" s="119"/>
      <c r="C228" s="119"/>
      <c r="D228" s="119"/>
      <c r="E228" s="119"/>
      <c r="F228" s="119"/>
      <c r="G228" s="119"/>
      <c r="H228" s="119"/>
      <c r="I228" s="119"/>
      <c r="J228" s="119"/>
      <c r="K228" s="119"/>
      <c r="L228" s="119"/>
      <c r="M228" s="119"/>
      <c r="N228" s="119"/>
      <c r="O228" s="120"/>
    </row>
    <row r="229" spans="1:15" x14ac:dyDescent="0.2">
      <c r="A229" s="119"/>
      <c r="B229" s="119"/>
      <c r="C229" s="119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19"/>
      <c r="O229" s="120"/>
    </row>
    <row r="230" spans="1:15" x14ac:dyDescent="0.2">
      <c r="A230" s="119"/>
      <c r="B230" s="119"/>
      <c r="C230" s="119"/>
      <c r="D230" s="119"/>
      <c r="E230" s="119"/>
      <c r="F230" s="119"/>
      <c r="G230" s="119"/>
      <c r="H230" s="119"/>
      <c r="I230" s="119"/>
      <c r="J230" s="119"/>
      <c r="K230" s="119"/>
      <c r="L230" s="119"/>
      <c r="M230" s="119"/>
      <c r="N230" s="119"/>
      <c r="O230" s="120"/>
    </row>
    <row r="231" spans="1:15" x14ac:dyDescent="0.2">
      <c r="A231" s="119"/>
      <c r="B231" s="119"/>
      <c r="C231" s="119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20"/>
    </row>
    <row r="232" spans="1:15" x14ac:dyDescent="0.2">
      <c r="A232" s="119"/>
      <c r="B232" s="119"/>
      <c r="C232" s="119"/>
      <c r="D232" s="119"/>
      <c r="E232" s="119"/>
      <c r="F232" s="119"/>
      <c r="G232" s="119"/>
      <c r="H232" s="119"/>
      <c r="I232" s="119"/>
      <c r="J232" s="119"/>
      <c r="K232" s="119"/>
      <c r="L232" s="119"/>
      <c r="M232" s="119"/>
      <c r="N232" s="119"/>
      <c r="O232" s="120"/>
    </row>
    <row r="233" spans="1:15" x14ac:dyDescent="0.2">
      <c r="A233" s="119"/>
      <c r="B233" s="119"/>
      <c r="C233" s="119"/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  <c r="N233" s="119"/>
      <c r="O233" s="120"/>
    </row>
    <row r="234" spans="1:15" x14ac:dyDescent="0.2">
      <c r="A234" s="119"/>
      <c r="B234" s="119"/>
      <c r="C234" s="119"/>
      <c r="D234" s="119"/>
      <c r="E234" s="119"/>
      <c r="F234" s="119"/>
      <c r="G234" s="119"/>
      <c r="H234" s="119"/>
      <c r="I234" s="119"/>
      <c r="J234" s="119"/>
      <c r="K234" s="119"/>
      <c r="L234" s="119"/>
      <c r="M234" s="119"/>
      <c r="N234" s="119"/>
      <c r="O234" s="120"/>
    </row>
    <row r="235" spans="1:15" x14ac:dyDescent="0.2">
      <c r="A235" s="119"/>
      <c r="B235" s="119"/>
      <c r="C235" s="119"/>
      <c r="D235" s="119"/>
      <c r="E235" s="119"/>
      <c r="F235" s="119"/>
      <c r="G235" s="119"/>
      <c r="H235" s="119"/>
      <c r="I235" s="119"/>
      <c r="J235" s="119"/>
      <c r="K235" s="119"/>
      <c r="L235" s="119"/>
      <c r="M235" s="119"/>
      <c r="N235" s="119"/>
      <c r="O235" s="120"/>
    </row>
    <row r="236" spans="1:15" x14ac:dyDescent="0.2">
      <c r="A236" s="119"/>
      <c r="B236" s="119"/>
      <c r="C236" s="119"/>
      <c r="D236" s="119"/>
      <c r="E236" s="119"/>
      <c r="F236" s="119"/>
      <c r="G236" s="119"/>
      <c r="H236" s="119"/>
      <c r="I236" s="119"/>
      <c r="J236" s="119"/>
      <c r="K236" s="119"/>
      <c r="L236" s="119"/>
      <c r="M236" s="119"/>
      <c r="N236" s="119"/>
      <c r="O236" s="120"/>
    </row>
    <row r="237" spans="1:15" x14ac:dyDescent="0.2">
      <c r="A237" s="119"/>
      <c r="B237" s="119"/>
      <c r="C237" s="119"/>
      <c r="D237" s="119"/>
      <c r="E237" s="119"/>
      <c r="F237" s="119"/>
      <c r="G237" s="119"/>
      <c r="H237" s="119"/>
      <c r="I237" s="119"/>
      <c r="J237" s="119"/>
      <c r="K237" s="119"/>
      <c r="L237" s="119"/>
      <c r="M237" s="119"/>
      <c r="N237" s="119"/>
      <c r="O237" s="120"/>
    </row>
    <row r="238" spans="1:15" x14ac:dyDescent="0.2">
      <c r="A238" s="119"/>
      <c r="B238" s="119"/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20"/>
    </row>
    <row r="239" spans="1:15" x14ac:dyDescent="0.2">
      <c r="A239" s="119"/>
      <c r="B239" s="119"/>
      <c r="C239" s="119"/>
      <c r="D239" s="119"/>
      <c r="E239" s="119"/>
      <c r="F239" s="119"/>
      <c r="G239" s="119"/>
      <c r="H239" s="119"/>
      <c r="I239" s="119"/>
      <c r="J239" s="119"/>
      <c r="K239" s="119"/>
      <c r="L239" s="119"/>
      <c r="M239" s="119"/>
      <c r="N239" s="119"/>
      <c r="O239" s="120"/>
    </row>
    <row r="240" spans="1:15" x14ac:dyDescent="0.2">
      <c r="A240" s="119"/>
      <c r="B240" s="119"/>
      <c r="C240" s="119"/>
      <c r="D240" s="119"/>
      <c r="E240" s="119"/>
      <c r="F240" s="119"/>
      <c r="G240" s="119"/>
      <c r="H240" s="119"/>
      <c r="I240" s="119"/>
      <c r="J240" s="119"/>
      <c r="K240" s="119"/>
      <c r="L240" s="119"/>
      <c r="M240" s="119"/>
      <c r="N240" s="119"/>
      <c r="O240" s="120"/>
    </row>
    <row r="241" spans="1:15" x14ac:dyDescent="0.2">
      <c r="A241" s="119"/>
      <c r="B241" s="119"/>
      <c r="C241" s="119"/>
      <c r="D241" s="119"/>
      <c r="E241" s="119"/>
      <c r="F241" s="119"/>
      <c r="G241" s="119"/>
      <c r="H241" s="119"/>
      <c r="I241" s="119"/>
      <c r="J241" s="119"/>
      <c r="K241" s="119"/>
      <c r="L241" s="119"/>
      <c r="M241" s="119"/>
      <c r="N241" s="119"/>
      <c r="O241" s="120"/>
    </row>
    <row r="242" spans="1:15" x14ac:dyDescent="0.2">
      <c r="A242" s="119"/>
      <c r="B242" s="119"/>
      <c r="C242" s="119"/>
      <c r="D242" s="119"/>
      <c r="E242" s="119"/>
      <c r="F242" s="119"/>
      <c r="G242" s="119"/>
      <c r="H242" s="119"/>
      <c r="I242" s="119"/>
      <c r="J242" s="119"/>
      <c r="K242" s="119"/>
      <c r="L242" s="119"/>
      <c r="M242" s="119"/>
      <c r="N242" s="119"/>
      <c r="O242" s="120"/>
    </row>
    <row r="243" spans="1:15" x14ac:dyDescent="0.2">
      <c r="A243" s="119"/>
      <c r="B243" s="119"/>
      <c r="C243" s="119"/>
      <c r="D243" s="119"/>
      <c r="E243" s="119"/>
      <c r="F243" s="119"/>
      <c r="G243" s="119"/>
      <c r="H243" s="119"/>
      <c r="I243" s="119"/>
      <c r="J243" s="119"/>
      <c r="K243" s="119"/>
      <c r="L243" s="119"/>
      <c r="M243" s="119"/>
      <c r="N243" s="119"/>
      <c r="O243" s="120"/>
    </row>
    <row r="244" spans="1:15" x14ac:dyDescent="0.2">
      <c r="A244" s="119"/>
      <c r="B244" s="119"/>
      <c r="C244" s="119"/>
      <c r="D244" s="119"/>
      <c r="E244" s="119"/>
      <c r="F244" s="119"/>
      <c r="G244" s="119"/>
      <c r="H244" s="119"/>
      <c r="I244" s="119"/>
      <c r="J244" s="119"/>
      <c r="K244" s="119"/>
      <c r="L244" s="119"/>
      <c r="M244" s="119"/>
      <c r="N244" s="119"/>
      <c r="O244" s="120"/>
    </row>
    <row r="245" spans="1:15" x14ac:dyDescent="0.2">
      <c r="A245" s="119"/>
      <c r="B245" s="119"/>
      <c r="C245" s="119"/>
      <c r="D245" s="119"/>
      <c r="E245" s="119"/>
      <c r="F245" s="119"/>
      <c r="G245" s="119"/>
      <c r="H245" s="119"/>
      <c r="I245" s="119"/>
      <c r="J245" s="119"/>
      <c r="K245" s="119"/>
      <c r="L245" s="119"/>
      <c r="M245" s="119"/>
      <c r="N245" s="119"/>
      <c r="O245" s="120"/>
    </row>
    <row r="246" spans="1:15" x14ac:dyDescent="0.2">
      <c r="A246" s="119"/>
      <c r="B246" s="119"/>
      <c r="C246" s="119"/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20"/>
    </row>
    <row r="247" spans="1:15" x14ac:dyDescent="0.2">
      <c r="A247" s="119"/>
      <c r="B247" s="119"/>
      <c r="C247" s="119"/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20"/>
    </row>
    <row r="248" spans="1:15" x14ac:dyDescent="0.2">
      <c r="A248" s="119"/>
      <c r="B248" s="119"/>
      <c r="C248" s="119"/>
      <c r="D248" s="119"/>
      <c r="E248" s="119"/>
      <c r="F248" s="119"/>
      <c r="G248" s="119"/>
      <c r="H248" s="119"/>
      <c r="I248" s="119"/>
      <c r="J248" s="119"/>
      <c r="K248" s="119"/>
      <c r="L248" s="119"/>
      <c r="M248" s="119"/>
      <c r="N248" s="119"/>
      <c r="O248" s="120"/>
    </row>
    <row r="249" spans="1:15" x14ac:dyDescent="0.2">
      <c r="A249" s="119"/>
      <c r="B249" s="119"/>
      <c r="C249" s="119"/>
      <c r="D249" s="119"/>
      <c r="E249" s="119"/>
      <c r="F249" s="119"/>
      <c r="G249" s="119"/>
      <c r="H249" s="119"/>
      <c r="I249" s="119"/>
      <c r="J249" s="119"/>
      <c r="K249" s="119"/>
      <c r="L249" s="119"/>
      <c r="M249" s="119"/>
      <c r="N249" s="119"/>
      <c r="O249" s="120"/>
    </row>
    <row r="250" spans="1:15" x14ac:dyDescent="0.2">
      <c r="A250" s="119"/>
      <c r="B250" s="119"/>
      <c r="C250" s="119"/>
      <c r="D250" s="119"/>
      <c r="E250" s="119"/>
      <c r="F250" s="119"/>
      <c r="G250" s="119"/>
      <c r="H250" s="119"/>
      <c r="I250" s="119"/>
      <c r="J250" s="119"/>
      <c r="K250" s="119"/>
      <c r="L250" s="119"/>
      <c r="M250" s="119"/>
      <c r="N250" s="119"/>
      <c r="O250" s="120"/>
    </row>
    <row r="251" spans="1:15" x14ac:dyDescent="0.2">
      <c r="A251" s="119"/>
      <c r="B251" s="119"/>
      <c r="C251" s="119"/>
      <c r="D251" s="119"/>
      <c r="E251" s="119"/>
      <c r="F251" s="119"/>
      <c r="G251" s="119"/>
      <c r="H251" s="119"/>
      <c r="I251" s="119"/>
      <c r="J251" s="119"/>
      <c r="K251" s="119"/>
      <c r="L251" s="119"/>
      <c r="M251" s="119"/>
      <c r="N251" s="119"/>
      <c r="O251" s="120"/>
    </row>
    <row r="252" spans="1:15" x14ac:dyDescent="0.2">
      <c r="A252" s="119"/>
      <c r="B252" s="119"/>
      <c r="C252" s="119"/>
      <c r="D252" s="119"/>
      <c r="E252" s="119"/>
      <c r="F252" s="119"/>
      <c r="G252" s="119"/>
      <c r="H252" s="119"/>
      <c r="I252" s="119"/>
      <c r="J252" s="119"/>
      <c r="K252" s="119"/>
      <c r="L252" s="119"/>
      <c r="M252" s="119"/>
      <c r="N252" s="119"/>
      <c r="O252" s="120"/>
    </row>
    <row r="253" spans="1:15" x14ac:dyDescent="0.2">
      <c r="A253" s="119"/>
      <c r="B253" s="119"/>
      <c r="C253" s="119"/>
      <c r="D253" s="119"/>
      <c r="E253" s="119"/>
      <c r="F253" s="119"/>
      <c r="G253" s="119"/>
      <c r="H253" s="119"/>
      <c r="I253" s="119"/>
      <c r="J253" s="119"/>
      <c r="K253" s="119"/>
      <c r="L253" s="119"/>
      <c r="M253" s="119"/>
      <c r="N253" s="119"/>
      <c r="O253" s="120"/>
    </row>
    <row r="254" spans="1:15" x14ac:dyDescent="0.2">
      <c r="A254" s="119"/>
      <c r="B254" s="119"/>
      <c r="C254" s="119"/>
      <c r="D254" s="119"/>
      <c r="E254" s="119"/>
      <c r="F254" s="119"/>
      <c r="G254" s="119"/>
      <c r="H254" s="119"/>
      <c r="I254" s="119"/>
      <c r="J254" s="119"/>
      <c r="K254" s="119"/>
      <c r="L254" s="119"/>
      <c r="M254" s="119"/>
      <c r="N254" s="119"/>
      <c r="O254" s="120"/>
    </row>
    <row r="255" spans="1:15" x14ac:dyDescent="0.2">
      <c r="A255" s="119"/>
      <c r="B255" s="119"/>
      <c r="C255" s="119"/>
      <c r="D255" s="119"/>
      <c r="E255" s="119"/>
      <c r="F255" s="119"/>
      <c r="G255" s="119"/>
      <c r="H255" s="119"/>
      <c r="I255" s="119"/>
      <c r="J255" s="119"/>
      <c r="K255" s="119"/>
      <c r="L255" s="119"/>
      <c r="M255" s="119"/>
      <c r="N255" s="119"/>
      <c r="O255" s="120"/>
    </row>
    <row r="256" spans="1:15" x14ac:dyDescent="0.2">
      <c r="A256" s="119"/>
      <c r="B256" s="119"/>
      <c r="C256" s="119"/>
      <c r="D256" s="119"/>
      <c r="E256" s="119"/>
      <c r="F256" s="119"/>
      <c r="G256" s="119"/>
      <c r="H256" s="119"/>
      <c r="I256" s="119"/>
      <c r="J256" s="119"/>
      <c r="K256" s="119"/>
      <c r="L256" s="119"/>
      <c r="M256" s="119"/>
      <c r="N256" s="119"/>
      <c r="O256" s="120"/>
    </row>
    <row r="257" spans="1:15" x14ac:dyDescent="0.2">
      <c r="A257" s="119"/>
      <c r="B257" s="119"/>
      <c r="C257" s="119"/>
      <c r="D257" s="119"/>
      <c r="E257" s="119"/>
      <c r="F257" s="119"/>
      <c r="G257" s="119"/>
      <c r="H257" s="119"/>
      <c r="I257" s="119"/>
      <c r="J257" s="119"/>
      <c r="K257" s="119"/>
      <c r="L257" s="119"/>
      <c r="M257" s="119"/>
      <c r="N257" s="119"/>
      <c r="O257" s="120"/>
    </row>
    <row r="258" spans="1:15" x14ac:dyDescent="0.2">
      <c r="A258" s="119"/>
      <c r="B258" s="119"/>
      <c r="C258" s="119"/>
      <c r="D258" s="119"/>
      <c r="E258" s="119"/>
      <c r="F258" s="119"/>
      <c r="G258" s="119"/>
      <c r="H258" s="119"/>
      <c r="I258" s="119"/>
      <c r="J258" s="119"/>
      <c r="K258" s="119"/>
      <c r="L258" s="119"/>
      <c r="M258" s="119"/>
      <c r="N258" s="119"/>
      <c r="O258" s="120"/>
    </row>
    <row r="259" spans="1:15" x14ac:dyDescent="0.2">
      <c r="A259" s="119"/>
      <c r="B259" s="119"/>
      <c r="C259" s="119"/>
      <c r="D259" s="119"/>
      <c r="E259" s="119"/>
      <c r="F259" s="119"/>
      <c r="G259" s="119"/>
      <c r="H259" s="119"/>
      <c r="I259" s="119"/>
      <c r="J259" s="119"/>
      <c r="K259" s="119"/>
      <c r="L259" s="119"/>
      <c r="M259" s="119"/>
      <c r="N259" s="119"/>
      <c r="O259" s="120"/>
    </row>
    <row r="260" spans="1:15" x14ac:dyDescent="0.2">
      <c r="A260" s="119"/>
      <c r="B260" s="119"/>
      <c r="C260" s="119"/>
      <c r="D260" s="119"/>
      <c r="E260" s="119"/>
      <c r="F260" s="119"/>
      <c r="G260" s="119"/>
      <c r="H260" s="119"/>
      <c r="I260" s="119"/>
      <c r="J260" s="119"/>
      <c r="K260" s="119"/>
      <c r="L260" s="119"/>
      <c r="M260" s="119"/>
      <c r="N260" s="119"/>
      <c r="O260" s="120"/>
    </row>
    <row r="261" spans="1:15" x14ac:dyDescent="0.2">
      <c r="A261" s="119"/>
      <c r="B261" s="119"/>
      <c r="C261" s="119"/>
      <c r="D261" s="119"/>
      <c r="E261" s="119"/>
      <c r="F261" s="119"/>
      <c r="G261" s="119"/>
      <c r="H261" s="119"/>
      <c r="I261" s="119"/>
      <c r="J261" s="119"/>
      <c r="K261" s="119"/>
      <c r="L261" s="119"/>
      <c r="M261" s="119"/>
      <c r="N261" s="119"/>
      <c r="O261" s="120"/>
    </row>
    <row r="262" spans="1:15" x14ac:dyDescent="0.2">
      <c r="A262" s="119"/>
      <c r="B262" s="119"/>
      <c r="C262" s="119"/>
      <c r="D262" s="119"/>
      <c r="E262" s="119"/>
      <c r="F262" s="119"/>
      <c r="G262" s="119"/>
      <c r="H262" s="119"/>
      <c r="I262" s="119"/>
      <c r="J262" s="119"/>
      <c r="K262" s="119"/>
      <c r="L262" s="119"/>
      <c r="M262" s="119"/>
      <c r="N262" s="119"/>
      <c r="O262" s="120"/>
    </row>
    <row r="263" spans="1:15" x14ac:dyDescent="0.2">
      <c r="A263" s="119"/>
      <c r="B263" s="119"/>
      <c r="C263" s="119"/>
      <c r="D263" s="119"/>
      <c r="E263" s="119"/>
      <c r="F263" s="119"/>
      <c r="G263" s="119"/>
      <c r="H263" s="119"/>
      <c r="I263" s="119"/>
      <c r="J263" s="119"/>
      <c r="K263" s="119"/>
      <c r="L263" s="119"/>
      <c r="M263" s="119"/>
      <c r="N263" s="119"/>
      <c r="O263" s="120"/>
    </row>
    <row r="264" spans="1:15" x14ac:dyDescent="0.2">
      <c r="A264" s="119"/>
      <c r="B264" s="119"/>
      <c r="C264" s="119"/>
      <c r="D264" s="119"/>
      <c r="E264" s="119"/>
      <c r="F264" s="119"/>
      <c r="G264" s="119"/>
      <c r="H264" s="119"/>
      <c r="I264" s="119"/>
      <c r="J264" s="119"/>
      <c r="K264" s="119"/>
      <c r="L264" s="119"/>
      <c r="M264" s="119"/>
      <c r="N264" s="119"/>
      <c r="O264" s="120"/>
    </row>
    <row r="265" spans="1:15" x14ac:dyDescent="0.2">
      <c r="A265" s="119"/>
      <c r="B265" s="119"/>
      <c r="C265" s="119"/>
      <c r="D265" s="119"/>
      <c r="E265" s="119"/>
      <c r="F265" s="119"/>
      <c r="G265" s="119"/>
      <c r="H265" s="119"/>
      <c r="I265" s="119"/>
      <c r="J265" s="119"/>
      <c r="K265" s="119"/>
      <c r="L265" s="119"/>
      <c r="M265" s="119"/>
      <c r="N265" s="119"/>
      <c r="O265" s="120"/>
    </row>
    <row r="266" spans="1:15" x14ac:dyDescent="0.2">
      <c r="A266" s="119"/>
      <c r="B266" s="119"/>
      <c r="C266" s="119"/>
      <c r="D266" s="119"/>
      <c r="E266" s="119"/>
      <c r="F266" s="119"/>
      <c r="G266" s="119"/>
      <c r="H266" s="119"/>
      <c r="I266" s="119"/>
      <c r="J266" s="119"/>
      <c r="K266" s="119"/>
      <c r="L266" s="119"/>
      <c r="M266" s="119"/>
      <c r="N266" s="119"/>
      <c r="O266" s="120"/>
    </row>
    <row r="267" spans="1:15" x14ac:dyDescent="0.2">
      <c r="A267" s="119"/>
      <c r="B267" s="119"/>
      <c r="C267" s="119"/>
      <c r="D267" s="119"/>
      <c r="E267" s="119"/>
      <c r="F267" s="119"/>
      <c r="G267" s="119"/>
      <c r="H267" s="119"/>
      <c r="I267" s="119"/>
      <c r="J267" s="119"/>
      <c r="K267" s="119"/>
      <c r="L267" s="119"/>
      <c r="M267" s="119"/>
      <c r="N267" s="119"/>
      <c r="O267" s="120"/>
    </row>
    <row r="268" spans="1:15" x14ac:dyDescent="0.2">
      <c r="A268" s="119"/>
      <c r="B268" s="119"/>
      <c r="C268" s="119"/>
      <c r="D268" s="119"/>
      <c r="E268" s="119"/>
      <c r="F268" s="119"/>
      <c r="G268" s="119"/>
      <c r="H268" s="119"/>
      <c r="I268" s="119"/>
      <c r="J268" s="119"/>
      <c r="K268" s="119"/>
      <c r="L268" s="119"/>
      <c r="M268" s="119"/>
      <c r="N268" s="119"/>
      <c r="O268" s="120"/>
    </row>
    <row r="269" spans="1:15" x14ac:dyDescent="0.2">
      <c r="A269" s="119"/>
      <c r="B269" s="119"/>
      <c r="C269" s="119"/>
      <c r="D269" s="119"/>
      <c r="E269" s="119"/>
      <c r="F269" s="119"/>
      <c r="G269" s="119"/>
      <c r="H269" s="119"/>
      <c r="I269" s="119"/>
      <c r="J269" s="119"/>
      <c r="K269" s="119"/>
      <c r="L269" s="119"/>
      <c r="M269" s="119"/>
      <c r="N269" s="119"/>
      <c r="O269" s="120"/>
    </row>
    <row r="270" spans="1:15" x14ac:dyDescent="0.2">
      <c r="A270" s="119"/>
      <c r="B270" s="119"/>
      <c r="C270" s="119"/>
      <c r="D270" s="119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20"/>
    </row>
    <row r="271" spans="1:15" x14ac:dyDescent="0.2">
      <c r="A271" s="119"/>
      <c r="B271" s="119"/>
      <c r="C271" s="119"/>
      <c r="D271" s="119"/>
      <c r="E271" s="119"/>
      <c r="F271" s="119"/>
      <c r="G271" s="119"/>
      <c r="H271" s="119"/>
      <c r="I271" s="119"/>
      <c r="J271" s="119"/>
      <c r="K271" s="119"/>
      <c r="L271" s="119"/>
      <c r="M271" s="119"/>
      <c r="N271" s="119"/>
      <c r="O271" s="120"/>
    </row>
    <row r="272" spans="1:15" x14ac:dyDescent="0.2">
      <c r="A272" s="119"/>
      <c r="B272" s="119"/>
      <c r="C272" s="119"/>
      <c r="D272" s="119"/>
      <c r="E272" s="119"/>
      <c r="F272" s="119"/>
      <c r="G272" s="119"/>
      <c r="H272" s="119"/>
      <c r="I272" s="119"/>
      <c r="J272" s="119"/>
      <c r="K272" s="119"/>
      <c r="L272" s="119"/>
      <c r="M272" s="119"/>
      <c r="N272" s="119"/>
      <c r="O272" s="120"/>
    </row>
    <row r="273" spans="1:15" x14ac:dyDescent="0.2">
      <c r="A273" s="119"/>
      <c r="B273" s="119"/>
      <c r="C273" s="119"/>
      <c r="D273" s="119"/>
      <c r="E273" s="119"/>
      <c r="F273" s="119"/>
      <c r="G273" s="119"/>
      <c r="H273" s="119"/>
      <c r="I273" s="119"/>
      <c r="J273" s="119"/>
      <c r="K273" s="119"/>
      <c r="L273" s="119"/>
      <c r="M273" s="119"/>
      <c r="N273" s="119"/>
      <c r="O273" s="120"/>
    </row>
    <row r="274" spans="1:15" x14ac:dyDescent="0.2">
      <c r="A274" s="119"/>
      <c r="B274" s="119"/>
      <c r="C274" s="119"/>
      <c r="D274" s="119"/>
      <c r="E274" s="119"/>
      <c r="F274" s="119"/>
      <c r="G274" s="119"/>
      <c r="H274" s="119"/>
      <c r="I274" s="119"/>
      <c r="J274" s="119"/>
      <c r="K274" s="119"/>
      <c r="L274" s="119"/>
      <c r="M274" s="119"/>
      <c r="N274" s="119"/>
      <c r="O274" s="120"/>
    </row>
    <row r="275" spans="1:15" x14ac:dyDescent="0.2">
      <c r="A275" s="119"/>
      <c r="B275" s="119"/>
      <c r="C275" s="119"/>
      <c r="D275" s="119"/>
      <c r="E275" s="119"/>
      <c r="F275" s="119"/>
      <c r="G275" s="119"/>
      <c r="H275" s="119"/>
      <c r="I275" s="119"/>
      <c r="J275" s="119"/>
      <c r="K275" s="119"/>
      <c r="L275" s="119"/>
      <c r="M275" s="119"/>
      <c r="N275" s="119"/>
      <c r="O275" s="120"/>
    </row>
    <row r="276" spans="1:15" x14ac:dyDescent="0.2">
      <c r="A276" s="119"/>
      <c r="B276" s="119"/>
      <c r="C276" s="119"/>
      <c r="D276" s="119"/>
      <c r="E276" s="119"/>
      <c r="F276" s="119"/>
      <c r="G276" s="119"/>
      <c r="H276" s="119"/>
      <c r="I276" s="119"/>
      <c r="J276" s="119"/>
      <c r="K276" s="119"/>
      <c r="L276" s="119"/>
      <c r="M276" s="119"/>
      <c r="N276" s="119"/>
      <c r="O276" s="120"/>
    </row>
    <row r="277" spans="1:15" x14ac:dyDescent="0.2">
      <c r="A277" s="119"/>
      <c r="B277" s="119"/>
      <c r="C277" s="119"/>
      <c r="D277" s="119"/>
      <c r="E277" s="119"/>
      <c r="F277" s="119"/>
      <c r="G277" s="119"/>
      <c r="H277" s="119"/>
      <c r="I277" s="119"/>
      <c r="J277" s="119"/>
      <c r="K277" s="119"/>
      <c r="L277" s="119"/>
      <c r="M277" s="119"/>
      <c r="N277" s="119"/>
      <c r="O277" s="120"/>
    </row>
    <row r="278" spans="1:15" x14ac:dyDescent="0.2">
      <c r="A278" s="119"/>
      <c r="B278" s="119"/>
      <c r="C278" s="119"/>
      <c r="D278" s="119"/>
      <c r="E278" s="119"/>
      <c r="F278" s="119"/>
      <c r="G278" s="119"/>
      <c r="H278" s="119"/>
      <c r="I278" s="119"/>
      <c r="J278" s="119"/>
      <c r="K278" s="119"/>
      <c r="L278" s="119"/>
      <c r="M278" s="119"/>
      <c r="N278" s="119"/>
      <c r="O278" s="120"/>
    </row>
    <row r="279" spans="1:15" x14ac:dyDescent="0.2">
      <c r="A279" s="119"/>
      <c r="B279" s="119"/>
      <c r="C279" s="119"/>
      <c r="D279" s="119"/>
      <c r="E279" s="119"/>
      <c r="F279" s="119"/>
      <c r="G279" s="119"/>
      <c r="H279" s="119"/>
      <c r="I279" s="119"/>
      <c r="J279" s="119"/>
      <c r="K279" s="119"/>
      <c r="L279" s="119"/>
      <c r="M279" s="119"/>
      <c r="N279" s="119"/>
      <c r="O279" s="120"/>
    </row>
    <row r="280" spans="1:15" x14ac:dyDescent="0.2">
      <c r="A280" s="119"/>
      <c r="B280" s="119"/>
      <c r="C280" s="119"/>
      <c r="D280" s="119"/>
      <c r="E280" s="119"/>
      <c r="F280" s="119"/>
      <c r="G280" s="119"/>
      <c r="H280" s="119"/>
      <c r="I280" s="119"/>
      <c r="J280" s="119"/>
      <c r="K280" s="119"/>
      <c r="L280" s="119"/>
      <c r="M280" s="119"/>
      <c r="N280" s="119"/>
      <c r="O280" s="120"/>
    </row>
    <row r="281" spans="1:15" x14ac:dyDescent="0.2">
      <c r="A281" s="119"/>
      <c r="B281" s="119"/>
      <c r="C281" s="119"/>
      <c r="D281" s="119"/>
      <c r="E281" s="119"/>
      <c r="F281" s="119"/>
      <c r="G281" s="119"/>
      <c r="H281" s="119"/>
      <c r="I281" s="119"/>
      <c r="J281" s="119"/>
      <c r="K281" s="119"/>
      <c r="L281" s="119"/>
      <c r="M281" s="119"/>
      <c r="N281" s="119"/>
      <c r="O281" s="120"/>
    </row>
    <row r="282" spans="1:15" x14ac:dyDescent="0.2">
      <c r="A282" s="119"/>
      <c r="B282" s="119"/>
      <c r="C282" s="119"/>
      <c r="D282" s="119"/>
      <c r="E282" s="119"/>
      <c r="F282" s="119"/>
      <c r="G282" s="119"/>
      <c r="H282" s="119"/>
      <c r="I282" s="119"/>
      <c r="J282" s="119"/>
      <c r="K282" s="119"/>
      <c r="L282" s="119"/>
      <c r="M282" s="119"/>
      <c r="N282" s="119"/>
      <c r="O282" s="120"/>
    </row>
  </sheetData>
  <mergeCells count="4">
    <mergeCell ref="A1:O1"/>
    <mergeCell ref="A2:O2"/>
    <mergeCell ref="A3:O3"/>
    <mergeCell ref="A4:O4"/>
  </mergeCells>
  <printOptions horizontalCentered="1"/>
  <pageMargins left="0" right="0" top="0.31496062992125984" bottom="0.27559055118110237" header="0" footer="0"/>
  <pageSetup scale="42" orientation="portrait" r:id="rId1"/>
  <headerFooter alignWithMargins="0"/>
  <rowBreaks count="1" manualBreakCount="1">
    <brk id="209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</vt:lpstr>
      <vt:lpstr>'Anexo 2'!Área_de_impresión</vt:lpstr>
      <vt:lpstr>'Anexo 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2019-10-16T19:12:49Z</dcterms:created>
  <dcterms:modified xsi:type="dcterms:W3CDTF">2019-10-16T19:13:34Z</dcterms:modified>
</cp:coreProperties>
</file>