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7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hidden="1">#REF!</definedName>
    <definedName name="ANEXO" hidden="1">'[8]Inversión total en programas'!$A$50:$IV$50,'[8]Inversión total en programas'!$A$60:$IV$63</definedName>
    <definedName name="_xlnm.Print_Area" localSheetId="0">'Anexo 2 '!$A$1:$M$206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'[10]Anexo 1 Minagricultura'!#REF!</definedName>
    <definedName name="CABEZAS_PROYEC" localSheetId="0">'[11]Anexo 1 Minagricultura'!$C$46</definedName>
    <definedName name="CABEZAS_PROYEC">'[1]Anexo 1'!#REF!</definedName>
    <definedName name="CUOTAPPC2005" localSheetId="0">'[11]Anexo 1 Minagricultura'!#REF!</definedName>
    <definedName name="CUOTAPPC2005">'[1]Anexo 1'!#REF!</definedName>
    <definedName name="CUOTAPPC2013" localSheetId="0">'[11]Anexo 1 Minagricultura'!#REF!</definedName>
    <definedName name="CUOTAPPC2013">'[1]Anexo 1'!#REF!</definedName>
    <definedName name="CUOTAPPC203" localSheetId="0">'[11]Anexo 1 Minagricultura'!#REF!</definedName>
    <definedName name="CUOTAPPC203">'[1]Anexo 1'!#REF!</definedName>
    <definedName name="DIAG_PPC">#REF!</definedName>
    <definedName name="DISTRIBUIDOR">#REF!</definedName>
    <definedName name="Dólar" localSheetId="0">#REF!</definedName>
    <definedName name="Dólar">#REF!</definedName>
    <definedName name="eeeee" localSheetId="0">'[11]Ejecución ingresos 2014'!#REF!</definedName>
    <definedName name="eeeee">#REF!</definedName>
    <definedName name="EPPC" localSheetId="0">'[11]Anexo 1 Minagricultura'!$C$54</definedName>
    <definedName name="EPPC">'[1]Anexo 1'!#REF!</definedName>
    <definedName name="Euro" localSheetId="0">#REF!</definedName>
    <definedName name="Euro">#REF!</definedName>
    <definedName name="FDGFDG">#REF!</definedName>
    <definedName name="FECHA_DE_RECIBIDO">[12]BASE!$E$3:$E$177</definedName>
    <definedName name="FOMENTO" localSheetId="0">'[11]Anexo 1 Minagricultura'!$C$53</definedName>
    <definedName name="FOMENTO">'[1]Anexo 1'!#REF!</definedName>
    <definedName name="FOMENTOS">'[15]Anexo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 localSheetId="0">#REF!</definedName>
    <definedName name="Pasajes">#REF!</definedName>
    <definedName name="ppc">'[1]Anexo 1'!$B$16</definedName>
    <definedName name="RESERV_FUTU">#REF!</definedName>
    <definedName name="saldo" localSheetId="0">'[11]Ejecución ingresos 2014'!#REF!</definedName>
    <definedName name="saldo">#REF!</definedName>
    <definedName name="saldos" localSheetId="0">'[11]Ejecución ingresos 2014'!#REF!</definedName>
    <definedName name="saldos">#REF!</definedName>
    <definedName name="SUPERA2004" localSheetId="0">'[11]Anexo 1 Minagricultura'!#REF!</definedName>
    <definedName name="SUPERA2004">'[1]Anexo 1'!#REF!</definedName>
    <definedName name="SUPERA2005" localSheetId="0">'[11]Anexo 1 Minagricultura'!#REF!</definedName>
    <definedName name="SUPERA2005">'[1]Anexo 1'!#REF!</definedName>
    <definedName name="SUPERA2010">'[17]Anexo 1 Minagricultura'!$C$21</definedName>
    <definedName name="SUPERA2012" localSheetId="0">'[11]Anexo 1 Minagricultura'!#REF!</definedName>
    <definedName name="SUPERA2012">'[1]Anexo 1'!#REF!</definedName>
    <definedName name="SUPERAVIT">#REF!</definedName>
    <definedName name="SUPERAVIT2005_FNP">#REF!</definedName>
    <definedName name="SUPERAVITPPC_2005">#REF!</definedName>
    <definedName name="_xlnm.Print_Titles" localSheetId="0">'Anexo 2 '!$1:$6</definedName>
    <definedName name="_xlnm.Print_Titles">#REF!</definedName>
    <definedName name="VTAS2005">'[1]Anexo 1'!#REF!</definedName>
    <definedName name="xx">[18]Ingresos!$C$19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'[20]Ingresos 2014'!#REF!</definedName>
    <definedName name="ZFRONTERA">'[20]Ingresos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9" i="1" l="1"/>
  <c r="I208" i="1"/>
  <c r="I207" i="1"/>
  <c r="L200" i="1"/>
  <c r="J200" i="1"/>
  <c r="K200" i="1" s="1"/>
  <c r="M200" i="1" s="1"/>
  <c r="H200" i="1"/>
  <c r="J199" i="1"/>
  <c r="K199" i="1" s="1"/>
  <c r="M199" i="1" s="1"/>
  <c r="H199" i="1"/>
  <c r="I198" i="1"/>
  <c r="H198" i="1"/>
  <c r="H196" i="1"/>
  <c r="J196" i="1" s="1"/>
  <c r="K196" i="1" s="1"/>
  <c r="L194" i="1"/>
  <c r="J194" i="1"/>
  <c r="M194" i="1" s="1"/>
  <c r="M193" i="1"/>
  <c r="L193" i="1"/>
  <c r="J193" i="1"/>
  <c r="K192" i="1"/>
  <c r="J192" i="1"/>
  <c r="I192" i="1"/>
  <c r="J190" i="1"/>
  <c r="E190" i="1"/>
  <c r="H190" i="1" s="1"/>
  <c r="E189" i="1"/>
  <c r="H189" i="1" s="1"/>
  <c r="J189" i="1" s="1"/>
  <c r="E188" i="1"/>
  <c r="H188" i="1" s="1"/>
  <c r="J188" i="1" s="1"/>
  <c r="M188" i="1" s="1"/>
  <c r="E187" i="1"/>
  <c r="H187" i="1" s="1"/>
  <c r="J187" i="1" s="1"/>
  <c r="L187" i="1" s="1"/>
  <c r="E186" i="1"/>
  <c r="H186" i="1" s="1"/>
  <c r="K185" i="1"/>
  <c r="I185" i="1"/>
  <c r="D182" i="1"/>
  <c r="H182" i="1" s="1"/>
  <c r="J182" i="1" s="1"/>
  <c r="L182" i="1" s="1"/>
  <c r="D181" i="1"/>
  <c r="H181" i="1" s="1"/>
  <c r="J181" i="1" s="1"/>
  <c r="M181" i="1" s="1"/>
  <c r="J180" i="1"/>
  <c r="H180" i="1"/>
  <c r="H179" i="1"/>
  <c r="J179" i="1" s="1"/>
  <c r="M178" i="1"/>
  <c r="H178" i="1"/>
  <c r="J178" i="1" s="1"/>
  <c r="L178" i="1" s="1"/>
  <c r="H177" i="1"/>
  <c r="K176" i="1"/>
  <c r="D176" i="1"/>
  <c r="J175" i="1"/>
  <c r="H175" i="1"/>
  <c r="D175" i="1"/>
  <c r="M174" i="1"/>
  <c r="L174" i="1"/>
  <c r="H174" i="1"/>
  <c r="J174" i="1" s="1"/>
  <c r="D174" i="1"/>
  <c r="D173" i="1"/>
  <c r="H173" i="1" s="1"/>
  <c r="J173" i="1" s="1"/>
  <c r="M173" i="1" s="1"/>
  <c r="J172" i="1"/>
  <c r="D172" i="1"/>
  <c r="H172" i="1" s="1"/>
  <c r="D171" i="1"/>
  <c r="H171" i="1" s="1"/>
  <c r="J171" i="1" s="1"/>
  <c r="D170" i="1"/>
  <c r="K169" i="1"/>
  <c r="K168" i="1"/>
  <c r="D167" i="1"/>
  <c r="H167" i="1" s="1"/>
  <c r="J166" i="1"/>
  <c r="M166" i="1" s="1"/>
  <c r="H166" i="1"/>
  <c r="M165" i="1"/>
  <c r="J165" i="1"/>
  <c r="L165" i="1" s="1"/>
  <c r="H165" i="1"/>
  <c r="D165" i="1"/>
  <c r="H164" i="1"/>
  <c r="J164" i="1" s="1"/>
  <c r="K163" i="1"/>
  <c r="D162" i="1"/>
  <c r="H162" i="1" s="1"/>
  <c r="J162" i="1" s="1"/>
  <c r="D161" i="1"/>
  <c r="D155" i="1" s="1"/>
  <c r="L160" i="1"/>
  <c r="J160" i="1"/>
  <c r="M160" i="1" s="1"/>
  <c r="H160" i="1"/>
  <c r="J159" i="1"/>
  <c r="H159" i="1"/>
  <c r="D159" i="1"/>
  <c r="M158" i="1"/>
  <c r="L158" i="1"/>
  <c r="H158" i="1"/>
  <c r="J158" i="1" s="1"/>
  <c r="H157" i="1"/>
  <c r="J157" i="1" s="1"/>
  <c r="D157" i="1"/>
  <c r="H156" i="1"/>
  <c r="D156" i="1"/>
  <c r="K155" i="1"/>
  <c r="H153" i="1"/>
  <c r="J153" i="1" s="1"/>
  <c r="H152" i="1"/>
  <c r="J152" i="1" s="1"/>
  <c r="H151" i="1"/>
  <c r="K150" i="1"/>
  <c r="D150" i="1"/>
  <c r="J147" i="1"/>
  <c r="H147" i="1"/>
  <c r="C147" i="1"/>
  <c r="K146" i="1"/>
  <c r="C146" i="1"/>
  <c r="H146" i="1" s="1"/>
  <c r="L145" i="1"/>
  <c r="C145" i="1"/>
  <c r="H145" i="1" s="1"/>
  <c r="J145" i="1" s="1"/>
  <c r="M145" i="1" s="1"/>
  <c r="H144" i="1"/>
  <c r="J144" i="1" s="1"/>
  <c r="C144" i="1"/>
  <c r="C143" i="1" s="1"/>
  <c r="H143" i="1" s="1"/>
  <c r="K143" i="1"/>
  <c r="H142" i="1"/>
  <c r="J142" i="1" s="1"/>
  <c r="C142" i="1"/>
  <c r="H141" i="1"/>
  <c r="J141" i="1" s="1"/>
  <c r="C141" i="1"/>
  <c r="K140" i="1"/>
  <c r="C140" i="1"/>
  <c r="H140" i="1" s="1"/>
  <c r="H139" i="1"/>
  <c r="J139" i="1" s="1"/>
  <c r="C138" i="1"/>
  <c r="H138" i="1" s="1"/>
  <c r="J138" i="1" s="1"/>
  <c r="M137" i="1"/>
  <c r="H137" i="1"/>
  <c r="J137" i="1" s="1"/>
  <c r="K136" i="1"/>
  <c r="J133" i="1"/>
  <c r="H133" i="1"/>
  <c r="G133" i="1"/>
  <c r="M132" i="1"/>
  <c r="L132" i="1"/>
  <c r="J132" i="1"/>
  <c r="H132" i="1"/>
  <c r="M131" i="1"/>
  <c r="L131" i="1"/>
  <c r="J131" i="1"/>
  <c r="H131" i="1"/>
  <c r="K130" i="1"/>
  <c r="H130" i="1"/>
  <c r="G130" i="1"/>
  <c r="G129" i="1"/>
  <c r="H129" i="1" s="1"/>
  <c r="J129" i="1" s="1"/>
  <c r="L129" i="1" s="1"/>
  <c r="J128" i="1"/>
  <c r="H128" i="1"/>
  <c r="G128" i="1"/>
  <c r="K127" i="1"/>
  <c r="G127" i="1"/>
  <c r="J126" i="1"/>
  <c r="G126" i="1"/>
  <c r="H126" i="1" s="1"/>
  <c r="H125" i="1"/>
  <c r="J125" i="1" s="1"/>
  <c r="G125" i="1"/>
  <c r="H124" i="1"/>
  <c r="J124" i="1" s="1"/>
  <c r="J123" i="1"/>
  <c r="L123" i="1" s="1"/>
  <c r="H123" i="1"/>
  <c r="G122" i="1"/>
  <c r="G121" i="1" s="1"/>
  <c r="K121" i="1"/>
  <c r="M120" i="1"/>
  <c r="H120" i="1"/>
  <c r="J120" i="1" s="1"/>
  <c r="L120" i="1" s="1"/>
  <c r="G120" i="1"/>
  <c r="G119" i="1"/>
  <c r="H119" i="1" s="1"/>
  <c r="K118" i="1"/>
  <c r="G118" i="1"/>
  <c r="M117" i="1"/>
  <c r="H117" i="1"/>
  <c r="J117" i="1" s="1"/>
  <c r="L117" i="1" s="1"/>
  <c r="G117" i="1"/>
  <c r="G116" i="1"/>
  <c r="H116" i="1" s="1"/>
  <c r="J116" i="1" s="1"/>
  <c r="L116" i="1" s="1"/>
  <c r="G115" i="1"/>
  <c r="J114" i="1"/>
  <c r="H114" i="1"/>
  <c r="K113" i="1"/>
  <c r="H110" i="1"/>
  <c r="J110" i="1" s="1"/>
  <c r="M109" i="1"/>
  <c r="J109" i="1"/>
  <c r="L109" i="1" s="1"/>
  <c r="H109" i="1"/>
  <c r="L108" i="1"/>
  <c r="F108" i="1"/>
  <c r="H108" i="1" s="1"/>
  <c r="J108" i="1" s="1"/>
  <c r="M108" i="1" s="1"/>
  <c r="J107" i="1"/>
  <c r="M107" i="1" s="1"/>
  <c r="F107" i="1"/>
  <c r="H107" i="1" s="1"/>
  <c r="K106" i="1"/>
  <c r="F106" i="1"/>
  <c r="H106" i="1" s="1"/>
  <c r="J106" i="1" s="1"/>
  <c r="J105" i="1"/>
  <c r="L105" i="1" s="1"/>
  <c r="F105" i="1"/>
  <c r="H105" i="1" s="1"/>
  <c r="H104" i="1"/>
  <c r="J104" i="1" s="1"/>
  <c r="F104" i="1"/>
  <c r="J103" i="1"/>
  <c r="F103" i="1"/>
  <c r="H103" i="1" s="1"/>
  <c r="H102" i="1"/>
  <c r="J102" i="1" s="1"/>
  <c r="F102" i="1"/>
  <c r="H101" i="1"/>
  <c r="J101" i="1" s="1"/>
  <c r="F101" i="1"/>
  <c r="J100" i="1"/>
  <c r="M100" i="1" s="1"/>
  <c r="H100" i="1"/>
  <c r="H99" i="1"/>
  <c r="J99" i="1" s="1"/>
  <c r="F99" i="1"/>
  <c r="J98" i="1"/>
  <c r="M98" i="1" s="1"/>
  <c r="F98" i="1"/>
  <c r="H98" i="1" s="1"/>
  <c r="J97" i="1"/>
  <c r="F97" i="1"/>
  <c r="H97" i="1" s="1"/>
  <c r="F96" i="1"/>
  <c r="M95" i="1"/>
  <c r="H95" i="1"/>
  <c r="J95" i="1" s="1"/>
  <c r="F95" i="1"/>
  <c r="K94" i="1"/>
  <c r="M93" i="1"/>
  <c r="H93" i="1"/>
  <c r="J93" i="1" s="1"/>
  <c r="L93" i="1" s="1"/>
  <c r="F93" i="1"/>
  <c r="M92" i="1"/>
  <c r="J92" i="1"/>
  <c r="L92" i="1" s="1"/>
  <c r="H92" i="1"/>
  <c r="H91" i="1"/>
  <c r="H90" i="1" s="1"/>
  <c r="K90" i="1"/>
  <c r="F90" i="1"/>
  <c r="L89" i="1"/>
  <c r="K89" i="1"/>
  <c r="F89" i="1"/>
  <c r="H89" i="1" s="1"/>
  <c r="J89" i="1" s="1"/>
  <c r="M89" i="1" s="1"/>
  <c r="K88" i="1"/>
  <c r="F88" i="1"/>
  <c r="H87" i="1"/>
  <c r="J87" i="1" s="1"/>
  <c r="M87" i="1" s="1"/>
  <c r="F86" i="1"/>
  <c r="H86" i="1" s="1"/>
  <c r="J86" i="1" s="1"/>
  <c r="H85" i="1"/>
  <c r="J85" i="1" s="1"/>
  <c r="F85" i="1"/>
  <c r="H84" i="1"/>
  <c r="F84" i="1"/>
  <c r="K83" i="1"/>
  <c r="H82" i="1"/>
  <c r="J82" i="1" s="1"/>
  <c r="L82" i="1" s="1"/>
  <c r="F81" i="1"/>
  <c r="H81" i="1" s="1"/>
  <c r="J81" i="1" s="1"/>
  <c r="H80" i="1"/>
  <c r="J80" i="1" s="1"/>
  <c r="M80" i="1" s="1"/>
  <c r="M79" i="1"/>
  <c r="L79" i="1"/>
  <c r="H79" i="1"/>
  <c r="J79" i="1" s="1"/>
  <c r="F79" i="1"/>
  <c r="J78" i="1"/>
  <c r="H78" i="1"/>
  <c r="J77" i="1"/>
  <c r="H77" i="1"/>
  <c r="H76" i="1"/>
  <c r="J76" i="1" s="1"/>
  <c r="K75" i="1"/>
  <c r="F75" i="1"/>
  <c r="L72" i="1"/>
  <c r="B72" i="1"/>
  <c r="H72" i="1" s="1"/>
  <c r="J72" i="1" s="1"/>
  <c r="M72" i="1" s="1"/>
  <c r="B71" i="1"/>
  <c r="K70" i="1"/>
  <c r="B69" i="1"/>
  <c r="H69" i="1" s="1"/>
  <c r="J69" i="1" s="1"/>
  <c r="H68" i="1"/>
  <c r="J68" i="1" s="1"/>
  <c r="B68" i="1"/>
  <c r="H67" i="1"/>
  <c r="H66" i="1" s="1"/>
  <c r="B67" i="1"/>
  <c r="K66" i="1"/>
  <c r="M65" i="1"/>
  <c r="L65" i="1"/>
  <c r="H65" i="1"/>
  <c r="J65" i="1" s="1"/>
  <c r="J64" i="1"/>
  <c r="M64" i="1" s="1"/>
  <c r="H64" i="1"/>
  <c r="H63" i="1"/>
  <c r="K62" i="1"/>
  <c r="B62" i="1"/>
  <c r="B61" i="1"/>
  <c r="H61" i="1" s="1"/>
  <c r="J61" i="1" s="1"/>
  <c r="M61" i="1" s="1"/>
  <c r="M60" i="1"/>
  <c r="L60" i="1"/>
  <c r="B60" i="1"/>
  <c r="H60" i="1" s="1"/>
  <c r="J60" i="1" s="1"/>
  <c r="H59" i="1"/>
  <c r="B59" i="1"/>
  <c r="K58" i="1"/>
  <c r="J57" i="1"/>
  <c r="B57" i="1"/>
  <c r="H57" i="1" s="1"/>
  <c r="J56" i="1"/>
  <c r="H56" i="1"/>
  <c r="B56" i="1"/>
  <c r="H55" i="1"/>
  <c r="J55" i="1" s="1"/>
  <c r="B55" i="1"/>
  <c r="J54" i="1"/>
  <c r="M54" i="1" s="1"/>
  <c r="H54" i="1"/>
  <c r="B54" i="1"/>
  <c r="B53" i="1"/>
  <c r="H53" i="1" s="1"/>
  <c r="J53" i="1" s="1"/>
  <c r="M53" i="1" s="1"/>
  <c r="H52" i="1"/>
  <c r="J52" i="1" s="1"/>
  <c r="L52" i="1" s="1"/>
  <c r="B52" i="1"/>
  <c r="H51" i="1"/>
  <c r="J51" i="1" s="1"/>
  <c r="B51" i="1"/>
  <c r="B50" i="1"/>
  <c r="H50" i="1" s="1"/>
  <c r="J50" i="1" s="1"/>
  <c r="B49" i="1"/>
  <c r="H49" i="1" s="1"/>
  <c r="J49" i="1" s="1"/>
  <c r="K48" i="1"/>
  <c r="B47" i="1"/>
  <c r="H47" i="1" s="1"/>
  <c r="J47" i="1" s="1"/>
  <c r="M47" i="1" s="1"/>
  <c r="M46" i="1"/>
  <c r="L46" i="1"/>
  <c r="B46" i="1"/>
  <c r="H46" i="1" s="1"/>
  <c r="J46" i="1" s="1"/>
  <c r="H44" i="1"/>
  <c r="J44" i="1" s="1"/>
  <c r="H43" i="1"/>
  <c r="B43" i="1"/>
  <c r="K42" i="1"/>
  <c r="B42" i="1"/>
  <c r="K36" i="1"/>
  <c r="L35" i="1"/>
  <c r="I35" i="1"/>
  <c r="H35" i="1"/>
  <c r="J35" i="1" s="1"/>
  <c r="M35" i="1" s="1"/>
  <c r="I34" i="1"/>
  <c r="H34" i="1"/>
  <c r="J34" i="1" s="1"/>
  <c r="L34" i="1" s="1"/>
  <c r="I33" i="1"/>
  <c r="H33" i="1"/>
  <c r="J33" i="1" s="1"/>
  <c r="L33" i="1" s="1"/>
  <c r="G33" i="1"/>
  <c r="F33" i="1"/>
  <c r="B33" i="1"/>
  <c r="J32" i="1"/>
  <c r="L32" i="1" s="1"/>
  <c r="I32" i="1"/>
  <c r="G32" i="1"/>
  <c r="F32" i="1"/>
  <c r="D32" i="1"/>
  <c r="C32" i="1"/>
  <c r="H32" i="1" s="1"/>
  <c r="B32" i="1"/>
  <c r="M31" i="1"/>
  <c r="J31" i="1"/>
  <c r="L31" i="1" s="1"/>
  <c r="I31" i="1"/>
  <c r="H31" i="1"/>
  <c r="I30" i="1"/>
  <c r="G30" i="1"/>
  <c r="F30" i="1"/>
  <c r="D30" i="1"/>
  <c r="C30" i="1"/>
  <c r="H30" i="1" s="1"/>
  <c r="J30" i="1" s="1"/>
  <c r="B30" i="1"/>
  <c r="I29" i="1"/>
  <c r="J29" i="1" s="1"/>
  <c r="H29" i="1"/>
  <c r="G29" i="1"/>
  <c r="M28" i="1"/>
  <c r="L28" i="1"/>
  <c r="I28" i="1"/>
  <c r="G28" i="1"/>
  <c r="E28" i="1"/>
  <c r="D28" i="1"/>
  <c r="C28" i="1"/>
  <c r="B28" i="1"/>
  <c r="H28" i="1" s="1"/>
  <c r="J28" i="1" s="1"/>
  <c r="I27" i="1"/>
  <c r="G27" i="1"/>
  <c r="F27" i="1"/>
  <c r="E27" i="1"/>
  <c r="D27" i="1"/>
  <c r="C27" i="1"/>
  <c r="B27" i="1"/>
  <c r="I26" i="1"/>
  <c r="H26" i="1"/>
  <c r="J26" i="1" s="1"/>
  <c r="I25" i="1"/>
  <c r="G25" i="1"/>
  <c r="F25" i="1"/>
  <c r="D25" i="1"/>
  <c r="D36" i="1" s="1"/>
  <c r="C25" i="1"/>
  <c r="H25" i="1" s="1"/>
  <c r="J25" i="1" s="1"/>
  <c r="B25" i="1"/>
  <c r="J24" i="1"/>
  <c r="I24" i="1"/>
  <c r="G24" i="1"/>
  <c r="F24" i="1"/>
  <c r="F36" i="1" s="1"/>
  <c r="E24" i="1"/>
  <c r="D24" i="1"/>
  <c r="C24" i="1"/>
  <c r="B24" i="1"/>
  <c r="H24" i="1" s="1"/>
  <c r="J23" i="1"/>
  <c r="I23" i="1"/>
  <c r="G23" i="1"/>
  <c r="B23" i="1"/>
  <c r="H23" i="1" s="1"/>
  <c r="I22" i="1"/>
  <c r="G22" i="1"/>
  <c r="F22" i="1"/>
  <c r="E22" i="1"/>
  <c r="E36" i="1" s="1"/>
  <c r="E37" i="1" s="1"/>
  <c r="C22" i="1"/>
  <c r="B22" i="1"/>
  <c r="I21" i="1"/>
  <c r="I36" i="1" s="1"/>
  <c r="G21" i="1"/>
  <c r="F21" i="1"/>
  <c r="C21" i="1"/>
  <c r="B21" i="1"/>
  <c r="H21" i="1" s="1"/>
  <c r="K19" i="1"/>
  <c r="E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I19" i="1" s="1"/>
  <c r="G16" i="1"/>
  <c r="F16" i="1"/>
  <c r="E16" i="1"/>
  <c r="D16" i="1"/>
  <c r="C16" i="1"/>
  <c r="B16" i="1"/>
  <c r="I15" i="1"/>
  <c r="G15" i="1"/>
  <c r="F15" i="1"/>
  <c r="E15" i="1"/>
  <c r="D15" i="1"/>
  <c r="C15" i="1"/>
  <c r="H15" i="1" s="1"/>
  <c r="J15" i="1" s="1"/>
  <c r="B15" i="1"/>
  <c r="J14" i="1"/>
  <c r="M14" i="1" s="1"/>
  <c r="I14" i="1"/>
  <c r="G14" i="1"/>
  <c r="F14" i="1"/>
  <c r="E14" i="1"/>
  <c r="D14" i="1"/>
  <c r="C14" i="1"/>
  <c r="B14" i="1"/>
  <c r="H14" i="1" s="1"/>
  <c r="H13" i="1"/>
  <c r="J13" i="1" s="1"/>
  <c r="G13" i="1"/>
  <c r="F13" i="1"/>
  <c r="D13" i="1"/>
  <c r="C13" i="1"/>
  <c r="B13" i="1"/>
  <c r="I12" i="1"/>
  <c r="B12" i="1"/>
  <c r="H12" i="1" s="1"/>
  <c r="J12" i="1" s="1"/>
  <c r="I11" i="1"/>
  <c r="G11" i="1"/>
  <c r="F11" i="1"/>
  <c r="F8" i="1" s="1"/>
  <c r="E11" i="1"/>
  <c r="D11" i="1"/>
  <c r="C11" i="1"/>
  <c r="B11" i="1"/>
  <c r="I10" i="1"/>
  <c r="G10" i="1"/>
  <c r="F10" i="1"/>
  <c r="E10" i="1"/>
  <c r="D10" i="1"/>
  <c r="H10" i="1" s="1"/>
  <c r="J10" i="1" s="1"/>
  <c r="C10" i="1"/>
  <c r="B10" i="1"/>
  <c r="I9" i="1"/>
  <c r="G9" i="1"/>
  <c r="F9" i="1"/>
  <c r="E9" i="1"/>
  <c r="D9" i="1"/>
  <c r="D19" i="1" s="1"/>
  <c r="C9" i="1"/>
  <c r="B9" i="1"/>
  <c r="K8" i="1"/>
  <c r="M10" i="1" l="1"/>
  <c r="L10" i="1"/>
  <c r="L25" i="1"/>
  <c r="M25" i="1"/>
  <c r="M29" i="1"/>
  <c r="L29" i="1"/>
  <c r="M50" i="1"/>
  <c r="L50" i="1"/>
  <c r="M44" i="1"/>
  <c r="L44" i="1"/>
  <c r="M12" i="1"/>
  <c r="L12" i="1"/>
  <c r="M30" i="1"/>
  <c r="L30" i="1"/>
  <c r="L51" i="1"/>
  <c r="M51" i="1"/>
  <c r="L15" i="1"/>
  <c r="M15" i="1"/>
  <c r="L69" i="1"/>
  <c r="M69" i="1"/>
  <c r="L86" i="1"/>
  <c r="M86" i="1"/>
  <c r="B8" i="1"/>
  <c r="H11" i="1"/>
  <c r="J11" i="1" s="1"/>
  <c r="M23" i="1"/>
  <c r="L23" i="1"/>
  <c r="M24" i="1"/>
  <c r="L24" i="1"/>
  <c r="H42" i="1"/>
  <c r="J43" i="1"/>
  <c r="M56" i="1"/>
  <c r="L56" i="1"/>
  <c r="H88" i="1"/>
  <c r="J88" i="1" s="1"/>
  <c r="L88" i="1" s="1"/>
  <c r="F83" i="1"/>
  <c r="F74" i="1" s="1"/>
  <c r="F39" i="1" s="1"/>
  <c r="M97" i="1"/>
  <c r="L97" i="1"/>
  <c r="L101" i="1"/>
  <c r="M101" i="1"/>
  <c r="L124" i="1"/>
  <c r="M124" i="1"/>
  <c r="M139" i="1"/>
  <c r="L139" i="1"/>
  <c r="L152" i="1"/>
  <c r="M152" i="1"/>
  <c r="M192" i="1"/>
  <c r="L192" i="1"/>
  <c r="M13" i="1"/>
  <c r="L13" i="1"/>
  <c r="C36" i="1"/>
  <c r="C37" i="1" s="1"/>
  <c r="L26" i="1"/>
  <c r="M26" i="1"/>
  <c r="M32" i="1"/>
  <c r="L47" i="1"/>
  <c r="J67" i="1"/>
  <c r="J75" i="1"/>
  <c r="M75" i="1" s="1"/>
  <c r="L76" i="1"/>
  <c r="M76" i="1"/>
  <c r="J84" i="1"/>
  <c r="M105" i="1"/>
  <c r="L128" i="1"/>
  <c r="J127" i="1"/>
  <c r="M128" i="1"/>
  <c r="M153" i="1"/>
  <c r="L153" i="1"/>
  <c r="D154" i="1"/>
  <c r="L181" i="1"/>
  <c r="D8" i="1"/>
  <c r="L14" i="1"/>
  <c r="M34" i="1"/>
  <c r="B48" i="1"/>
  <c r="M57" i="1"/>
  <c r="L57" i="1"/>
  <c r="M102" i="1"/>
  <c r="L102" i="1"/>
  <c r="M106" i="1"/>
  <c r="L106" i="1"/>
  <c r="M114" i="1"/>
  <c r="L114" i="1"/>
  <c r="M125" i="1"/>
  <c r="L125" i="1"/>
  <c r="M133" i="1"/>
  <c r="L133" i="1"/>
  <c r="M140" i="1"/>
  <c r="L140" i="1"/>
  <c r="M144" i="1"/>
  <c r="J143" i="1"/>
  <c r="L144" i="1"/>
  <c r="M147" i="1"/>
  <c r="J146" i="1"/>
  <c r="L147" i="1"/>
  <c r="L162" i="1"/>
  <c r="M162" i="1"/>
  <c r="D169" i="1"/>
  <c r="D168" i="1" s="1"/>
  <c r="H170" i="1"/>
  <c r="J177" i="1"/>
  <c r="H176" i="1"/>
  <c r="M187" i="1"/>
  <c r="G19" i="1"/>
  <c r="G8" i="1"/>
  <c r="H18" i="1"/>
  <c r="J18" i="1" s="1"/>
  <c r="H22" i="1"/>
  <c r="J22" i="1" s="1"/>
  <c r="D37" i="1"/>
  <c r="H27" i="1"/>
  <c r="J27" i="1" s="1"/>
  <c r="L54" i="1"/>
  <c r="L61" i="1"/>
  <c r="M68" i="1"/>
  <c r="L68" i="1"/>
  <c r="L77" i="1"/>
  <c r="M77" i="1"/>
  <c r="M81" i="1"/>
  <c r="L81" i="1"/>
  <c r="L85" i="1"/>
  <c r="M85" i="1"/>
  <c r="M129" i="1"/>
  <c r="K154" i="1"/>
  <c r="D163" i="1"/>
  <c r="M171" i="1"/>
  <c r="L171" i="1"/>
  <c r="M182" i="1"/>
  <c r="H9" i="1"/>
  <c r="H16" i="1"/>
  <c r="J16" i="1" s="1"/>
  <c r="I37" i="1"/>
  <c r="I202" i="1" s="1"/>
  <c r="M99" i="1"/>
  <c r="L99" i="1"/>
  <c r="M103" i="1"/>
  <c r="L103" i="1"/>
  <c r="M110" i="1"/>
  <c r="L110" i="1"/>
  <c r="L126" i="1"/>
  <c r="M126" i="1"/>
  <c r="K135" i="1"/>
  <c r="L136" i="1"/>
  <c r="M141" i="1"/>
  <c r="J140" i="1"/>
  <c r="L141" i="1"/>
  <c r="M189" i="1"/>
  <c r="L189" i="1"/>
  <c r="J21" i="1"/>
  <c r="M49" i="1"/>
  <c r="L49" i="1"/>
  <c r="M52" i="1"/>
  <c r="L55" i="1"/>
  <c r="M55" i="1"/>
  <c r="L78" i="1"/>
  <c r="M78" i="1"/>
  <c r="M82" i="1"/>
  <c r="H118" i="1"/>
  <c r="J119" i="1"/>
  <c r="H155" i="1"/>
  <c r="H154" i="1" s="1"/>
  <c r="J156" i="1"/>
  <c r="M159" i="1"/>
  <c r="L159" i="1"/>
  <c r="J167" i="1"/>
  <c r="H163" i="1"/>
  <c r="M172" i="1"/>
  <c r="L172" i="1"/>
  <c r="L179" i="1"/>
  <c r="M179" i="1"/>
  <c r="L199" i="1"/>
  <c r="B36" i="1"/>
  <c r="J59" i="1"/>
  <c r="H58" i="1"/>
  <c r="K74" i="1"/>
  <c r="M104" i="1"/>
  <c r="L104" i="1"/>
  <c r="L107" i="1"/>
  <c r="M116" i="1"/>
  <c r="M127" i="1"/>
  <c r="L127" i="1"/>
  <c r="K112" i="1"/>
  <c r="M142" i="1"/>
  <c r="L142" i="1"/>
  <c r="M175" i="1"/>
  <c r="L175" i="1"/>
  <c r="K184" i="1"/>
  <c r="M190" i="1"/>
  <c r="L190" i="1"/>
  <c r="C19" i="1"/>
  <c r="C8" i="1"/>
  <c r="I8" i="1"/>
  <c r="M33" i="1"/>
  <c r="L53" i="1"/>
  <c r="J63" i="1"/>
  <c r="H62" i="1"/>
  <c r="L138" i="1"/>
  <c r="M138" i="1"/>
  <c r="M157" i="1"/>
  <c r="L157" i="1"/>
  <c r="L173" i="1"/>
  <c r="M180" i="1"/>
  <c r="L180" i="1"/>
  <c r="J186" i="1"/>
  <c r="H185" i="1"/>
  <c r="H184" i="1" s="1"/>
  <c r="J184" i="1" s="1"/>
  <c r="M196" i="1"/>
  <c r="L196" i="1"/>
  <c r="E8" i="1"/>
  <c r="H75" i="1"/>
  <c r="H122" i="1"/>
  <c r="C136" i="1"/>
  <c r="D149" i="1"/>
  <c r="D39" i="1" s="1"/>
  <c r="D202" i="1" s="1"/>
  <c r="H161" i="1"/>
  <c r="J161" i="1" s="1"/>
  <c r="L188" i="1"/>
  <c r="F19" i="1"/>
  <c r="F37" i="1" s="1"/>
  <c r="H17" i="1"/>
  <c r="J17" i="1" s="1"/>
  <c r="G36" i="1"/>
  <c r="K45" i="1"/>
  <c r="B66" i="1"/>
  <c r="L75" i="1"/>
  <c r="L80" i="1"/>
  <c r="L87" i="1"/>
  <c r="J91" i="1"/>
  <c r="L95" i="1"/>
  <c r="J130" i="1"/>
  <c r="H96" i="1"/>
  <c r="F94" i="1"/>
  <c r="L143" i="1"/>
  <c r="J163" i="1"/>
  <c r="E185" i="1"/>
  <c r="E184" i="1" s="1"/>
  <c r="E39" i="1" s="1"/>
  <c r="E202" i="1" s="1"/>
  <c r="B58" i="1"/>
  <c r="L64" i="1"/>
  <c r="L98" i="1"/>
  <c r="L100" i="1"/>
  <c r="G113" i="1"/>
  <c r="G112" i="1" s="1"/>
  <c r="G39" i="1" s="1"/>
  <c r="J136" i="1"/>
  <c r="M136" i="1" s="1"/>
  <c r="M143" i="1"/>
  <c r="L164" i="1"/>
  <c r="B19" i="1"/>
  <c r="K37" i="1"/>
  <c r="B70" i="1"/>
  <c r="H71" i="1"/>
  <c r="H115" i="1"/>
  <c r="M123" i="1"/>
  <c r="H127" i="1"/>
  <c r="L137" i="1"/>
  <c r="H150" i="1"/>
  <c r="J151" i="1"/>
  <c r="M164" i="1"/>
  <c r="L166" i="1"/>
  <c r="M88" i="1"/>
  <c r="J198" i="1"/>
  <c r="K198" i="1" s="1"/>
  <c r="F202" i="1" l="1"/>
  <c r="L163" i="1"/>
  <c r="M163" i="1"/>
  <c r="H74" i="1"/>
  <c r="J74" i="1" s="1"/>
  <c r="M74" i="1" s="1"/>
  <c r="J62" i="1"/>
  <c r="M63" i="1"/>
  <c r="L63" i="1"/>
  <c r="L156" i="1"/>
  <c r="J155" i="1"/>
  <c r="M156" i="1"/>
  <c r="M18" i="1"/>
  <c r="L18" i="1"/>
  <c r="J115" i="1"/>
  <c r="H113" i="1"/>
  <c r="L16" i="1"/>
  <c r="M16" i="1"/>
  <c r="K149" i="1"/>
  <c r="H19" i="1"/>
  <c r="M161" i="1"/>
  <c r="L161" i="1"/>
  <c r="L74" i="1"/>
  <c r="L119" i="1"/>
  <c r="J118" i="1"/>
  <c r="M119" i="1"/>
  <c r="J9" i="1"/>
  <c r="H8" i="1"/>
  <c r="M84" i="1"/>
  <c r="J83" i="1"/>
  <c r="L84" i="1"/>
  <c r="J71" i="1"/>
  <c r="H70" i="1"/>
  <c r="J96" i="1"/>
  <c r="H94" i="1"/>
  <c r="L184" i="1"/>
  <c r="M184" i="1"/>
  <c r="M146" i="1"/>
  <c r="L146" i="1"/>
  <c r="C202" i="1"/>
  <c r="M151" i="1"/>
  <c r="J150" i="1"/>
  <c r="L151" i="1"/>
  <c r="K41" i="1"/>
  <c r="C135" i="1"/>
  <c r="C39" i="1" s="1"/>
  <c r="H136" i="1"/>
  <c r="H135" i="1" s="1"/>
  <c r="J135" i="1" s="1"/>
  <c r="L135" i="1" s="1"/>
  <c r="M21" i="1"/>
  <c r="J36" i="1"/>
  <c r="L21" i="1"/>
  <c r="H83" i="1"/>
  <c r="M130" i="1"/>
  <c r="L130" i="1"/>
  <c r="H121" i="1"/>
  <c r="J122" i="1"/>
  <c r="L186" i="1"/>
  <c r="J185" i="1"/>
  <c r="M186" i="1"/>
  <c r="M59" i="1"/>
  <c r="L59" i="1"/>
  <c r="J58" i="1"/>
  <c r="M167" i="1"/>
  <c r="L167" i="1"/>
  <c r="M27" i="1"/>
  <c r="L27" i="1"/>
  <c r="L177" i="1"/>
  <c r="M177" i="1"/>
  <c r="J176" i="1"/>
  <c r="L11" i="1"/>
  <c r="M11" i="1"/>
  <c r="H36" i="1"/>
  <c r="G37" i="1"/>
  <c r="G202" i="1" s="1"/>
  <c r="H208" i="1" s="1"/>
  <c r="J208" i="1" s="1"/>
  <c r="B37" i="1"/>
  <c r="H37" i="1" s="1"/>
  <c r="J170" i="1"/>
  <c r="H169" i="1"/>
  <c r="H168" i="1" s="1"/>
  <c r="H149" i="1" s="1"/>
  <c r="J149" i="1" s="1"/>
  <c r="H48" i="1"/>
  <c r="B45" i="1"/>
  <c r="B41" i="1" s="1"/>
  <c r="B39" i="1" s="1"/>
  <c r="M67" i="1"/>
  <c r="L67" i="1"/>
  <c r="J66" i="1"/>
  <c r="L198" i="1"/>
  <c r="M198" i="1"/>
  <c r="M91" i="1"/>
  <c r="J90" i="1"/>
  <c r="L91" i="1"/>
  <c r="M17" i="1"/>
  <c r="L17" i="1"/>
  <c r="M22" i="1"/>
  <c r="L22" i="1"/>
  <c r="L43" i="1"/>
  <c r="M43" i="1"/>
  <c r="J42" i="1"/>
  <c r="L42" i="1" l="1"/>
  <c r="M42" i="1"/>
  <c r="L90" i="1"/>
  <c r="M90" i="1"/>
  <c r="B202" i="1"/>
  <c r="H39" i="1"/>
  <c r="J39" i="1" s="1"/>
  <c r="L122" i="1"/>
  <c r="J121" i="1"/>
  <c r="M122" i="1"/>
  <c r="M118" i="1"/>
  <c r="L118" i="1"/>
  <c r="J48" i="1"/>
  <c r="H45" i="1"/>
  <c r="H41" i="1" s="1"/>
  <c r="M176" i="1"/>
  <c r="L176" i="1"/>
  <c r="J70" i="1"/>
  <c r="M71" i="1"/>
  <c r="L71" i="1"/>
  <c r="L62" i="1"/>
  <c r="M62" i="1"/>
  <c r="M58" i="1"/>
  <c r="L58" i="1"/>
  <c r="M170" i="1"/>
  <c r="L170" i="1"/>
  <c r="J169" i="1"/>
  <c r="M83" i="1"/>
  <c r="L83" i="1"/>
  <c r="K39" i="1"/>
  <c r="M66" i="1"/>
  <c r="L66" i="1"/>
  <c r="K208" i="1"/>
  <c r="J154" i="1"/>
  <c r="L155" i="1"/>
  <c r="M155" i="1"/>
  <c r="M135" i="1"/>
  <c r="L185" i="1"/>
  <c r="M185" i="1"/>
  <c r="J19" i="1"/>
  <c r="M9" i="1"/>
  <c r="L9" i="1"/>
  <c r="J8" i="1"/>
  <c r="H112" i="1"/>
  <c r="M36" i="1"/>
  <c r="L36" i="1"/>
  <c r="M150" i="1"/>
  <c r="L150" i="1"/>
  <c r="L96" i="1"/>
  <c r="M96" i="1"/>
  <c r="J94" i="1"/>
  <c r="L149" i="1"/>
  <c r="M149" i="1"/>
  <c r="M115" i="1"/>
  <c r="L115" i="1"/>
  <c r="J113" i="1"/>
  <c r="M154" i="1" l="1"/>
  <c r="L154" i="1"/>
  <c r="M19" i="1"/>
  <c r="L19" i="1"/>
  <c r="J37" i="1"/>
  <c r="M94" i="1"/>
  <c r="L94" i="1"/>
  <c r="L39" i="1"/>
  <c r="M39" i="1"/>
  <c r="K202" i="1"/>
  <c r="H207" i="1"/>
  <c r="H202" i="1"/>
  <c r="J202" i="1" s="1"/>
  <c r="M8" i="1"/>
  <c r="L8" i="1"/>
  <c r="L48" i="1"/>
  <c r="J45" i="1"/>
  <c r="M48" i="1"/>
  <c r="J112" i="1"/>
  <c r="L113" i="1"/>
  <c r="M113" i="1"/>
  <c r="L208" i="1"/>
  <c r="J168" i="1"/>
  <c r="M169" i="1"/>
  <c r="L169" i="1"/>
  <c r="M70" i="1"/>
  <c r="L70" i="1"/>
  <c r="M121" i="1"/>
  <c r="L121" i="1"/>
  <c r="M45" i="1" l="1"/>
  <c r="L45" i="1"/>
  <c r="J41" i="1"/>
  <c r="M168" i="1"/>
  <c r="L168" i="1"/>
  <c r="M37" i="1"/>
  <c r="L37" i="1"/>
  <c r="J207" i="1"/>
  <c r="H209" i="1"/>
  <c r="M112" i="1"/>
  <c r="L112" i="1"/>
  <c r="L202" i="1"/>
  <c r="M202" i="1"/>
  <c r="L41" i="1" l="1"/>
  <c r="M41" i="1"/>
  <c r="K207" i="1"/>
  <c r="J209" i="1"/>
  <c r="L207" i="1" l="1"/>
  <c r="L209" i="1" s="1"/>
  <c r="K209" i="1"/>
</calcChain>
</file>

<file path=xl/sharedStrings.xml><?xml version="1.0" encoding="utf-8"?>
<sst xmlns="http://schemas.openxmlformats.org/spreadsheetml/2006/main" count="209" uniqueCount="207">
  <si>
    <t>MINISTERIO DE AGRICULTURA  Y DESARROLLO RURAL</t>
  </si>
  <si>
    <t>DIRECCIÓN DE PLANEACIÓN Y SEGUIMIENTO PRESUPUESTAL</t>
  </si>
  <si>
    <t xml:space="preserve"> EJECUCIÓN JULIO-SEPTIEMBRE 2017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</si>
  <si>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</si>
  <si>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</si>
  <si>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</si>
  <si>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</si>
  <si>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</si>
  <si>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</si>
  <si>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</si>
  <si>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</si>
  <si>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</si>
  <si>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</si>
  <si>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</si>
  <si>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TOTAL EJECUTADO</t>
  </si>
  <si>
    <t>ACUERDO 13/17</t>
  </si>
  <si>
    <t>%EJECU-CIÓN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</si>
  <si>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</si>
  <si>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</si>
  <si>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</si>
  <si>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</si>
  <si>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</si>
  <si>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</si>
  <si>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</si>
  <si>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</si>
  <si>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</si>
  <si>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</si>
  <si>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</si>
  <si>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</si>
  <si>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</si>
  <si>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</si>
  <si>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</si>
  <si>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</si>
  <si>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</si>
  <si>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</si>
  <si>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</si>
  <si>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</si>
  <si>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</si>
  <si>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</si>
  <si>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</si>
  <si>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</si>
  <si>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</si>
  <si>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</si>
  <si>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</si>
  <si>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</si>
  <si>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</si>
  <si>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</si>
  <si>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</si>
  <si>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</si>
  <si>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</si>
  <si>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</si>
  <si>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Acceso a Mercados</t>
  </si>
  <si>
    <t xml:space="preserve">Cadena Carnica Porcína </t>
  </si>
  <si>
    <t>Centro de servicios técnicos y financieros</t>
  </si>
  <si>
    <t>Atención de Solicitudes (Asistencia a Productores)</t>
  </si>
  <si>
    <t>Herramientas del centro de servicios</t>
  </si>
  <si>
    <t>Convenios</t>
  </si>
  <si>
    <t xml:space="preserve">     Contrapartidas Gobernaciones / Alcaldias</t>
  </si>
  <si>
    <t xml:space="preserve">       Alcaldia de Pereira</t>
  </si>
  <si>
    <t xml:space="preserve">      Gobernación de Cundinamarca</t>
  </si>
  <si>
    <t xml:space="preserve">      Convenio Valle</t>
  </si>
  <si>
    <t xml:space="preserve">     Contrapartidas Gobernaciones / Alcaldias FNP</t>
  </si>
  <si>
    <t xml:space="preserve">       Alcaldia de Pereira FNP</t>
  </si>
  <si>
    <t xml:space="preserve">      Gobernación de Cundinamarca FNP</t>
  </si>
  <si>
    <t xml:space="preserve">      Convenio Valle FNP</t>
  </si>
  <si>
    <t>Apoyo autorización sanitaria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</si>
  <si>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</si>
  <si>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</si>
  <si>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</si>
  <si>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</si>
  <si>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</si>
  <si>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</si>
  <si>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</si>
  <si>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</si>
  <si>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</si>
  <si>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</si>
  <si>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</si>
  <si>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</si>
  <si>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</si>
  <si>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</si>
  <si>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</si>
  <si>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</si>
  <si>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</si>
  <si>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>Home panel de Nilsen</t>
  </si>
  <si>
    <t>Brand equity tracking</t>
  </si>
  <si>
    <t>Eye Trancking</t>
  </si>
  <si>
    <t>Monitoreo de Medios</t>
  </si>
  <si>
    <t>Estudio Neurologico de la campaña vigente</t>
  </si>
  <si>
    <t>Estudio Consumidor Shopper</t>
  </si>
  <si>
    <t>Estudio NSOP (LSDA)</t>
  </si>
  <si>
    <t>Comunicación integral</t>
  </si>
  <si>
    <t>Seguimiento y gestion comunicación integral.</t>
  </si>
  <si>
    <t>Porkcolombia.com</t>
  </si>
  <si>
    <t>Free Press ATL Influenciadores</t>
  </si>
  <si>
    <t>Kit Publicitario</t>
  </si>
  <si>
    <t>Desarrollo Digital (Concurso Innovador)</t>
  </si>
  <si>
    <t>Pauta digital</t>
  </si>
  <si>
    <t>Campaña de fomento al consumo</t>
  </si>
  <si>
    <t>Campaña de publicidad</t>
  </si>
  <si>
    <t>Consultoría MESA</t>
  </si>
  <si>
    <t>Pauta institucional</t>
  </si>
  <si>
    <t>Activaciones de consumo</t>
  </si>
  <si>
    <t xml:space="preserve">Cocina PorkColombia </t>
  </si>
  <si>
    <t>Asesores Gastronómicos Ejecutivos</t>
  </si>
  <si>
    <t>Viajes regionales equipo incentivo y sensibilizacion de las bondades de la carne de cerdo</t>
  </si>
  <si>
    <t>Capacitación anual contratistas</t>
  </si>
  <si>
    <t>Certificado PorkColombia (Expertos de carne de cerdo)</t>
  </si>
  <si>
    <t>Material de promocion al consumo</t>
  </si>
  <si>
    <t>Chef Regionales PorkColombia</t>
  </si>
  <si>
    <t>Festival PorkColombia</t>
  </si>
  <si>
    <t>Seguimiento gestión a eventos de sensibilización de las bondades de la carne de cerdo</t>
  </si>
  <si>
    <t>Agroexpo</t>
  </si>
  <si>
    <t>Eventos especializados (Sector, gastronomicos , sector salud)</t>
  </si>
  <si>
    <t>Comercialización y Nuevos Negocios</t>
  </si>
  <si>
    <t>Gestion y seguimiento comercializacion y nuevos negocios</t>
  </si>
  <si>
    <t xml:space="preserve">Gestion de actividades nutricionales </t>
  </si>
  <si>
    <t>Material Promocional y Publicitario</t>
  </si>
  <si>
    <t>Eventos Apertura Nuevos Negocios</t>
  </si>
  <si>
    <t>TOTAL ÁREA ERRADICACIÓN PPC</t>
  </si>
  <si>
    <t>Vacunacion e identificacion de Porcinos</t>
  </si>
  <si>
    <t>Chapetas y tenazas</t>
  </si>
  <si>
    <t>Suministros clínicos y dotaciones</t>
  </si>
  <si>
    <t>Pago de Axilios de frío, flete y movilización</t>
  </si>
  <si>
    <t xml:space="preserve">Barridos </t>
  </si>
  <si>
    <t>Capacitación y divulgación</t>
  </si>
  <si>
    <t>Capacitación</t>
  </si>
  <si>
    <t>Divulgación</t>
  </si>
  <si>
    <t>Vigilancia Epidemiológica</t>
  </si>
  <si>
    <t>Diagnóstico Rutinario</t>
  </si>
  <si>
    <t>Vigilancia epidemiológica</t>
  </si>
  <si>
    <t>Determinació de factores de riesgo</t>
  </si>
  <si>
    <t>Trabajo con autoridades y puestos de control</t>
  </si>
  <si>
    <t>Equipos de comunicación puestos de control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</si>
  <si>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</si>
  <si>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</si>
  <si>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</si>
  <si>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</si>
  <si>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</si>
  <si>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>Auxilios comités</t>
  </si>
  <si>
    <t>Recolección de desechos biológicos</t>
  </si>
  <si>
    <t>TOTAL ÁREA TÉCNICA</t>
  </si>
  <si>
    <t>Programa nacional de bioseguridad, sanidad y productividad-PNBSP</t>
  </si>
  <si>
    <t>Acompañamiento *(Certificación en granja y transporte)</t>
  </si>
  <si>
    <t>Taller técnico de bioseguridad, sanidad y productividad</t>
  </si>
  <si>
    <t>Pork Colombia 2017</t>
  </si>
  <si>
    <t xml:space="preserve">Sostenibilidad y responsabilidad social empresarial en producción primaria </t>
  </si>
  <si>
    <t xml:space="preserve">Acompañamiento y apoyo </t>
  </si>
  <si>
    <t>Granjas modelo y mesas de trabajo interinstitucionales e intergremiales</t>
  </si>
  <si>
    <t>Inocuidad y bienestar animal en producción primaria y transporte</t>
  </si>
  <si>
    <t>Profesionales de apoyo en implementación y certificación granja y transporte</t>
  </si>
  <si>
    <t>Fortalecimiento de competencias en bienestar animal e inocuidad</t>
  </si>
  <si>
    <t>Zonificación y ordenamiento productivo</t>
  </si>
  <si>
    <t>Proyecto UPRA-Porkcolombia</t>
  </si>
  <si>
    <t>TOTAL ÁREA INVESTIGACIÓN Y TRANSFERENCIA</t>
  </si>
  <si>
    <t>Investigación y desarrollo</t>
  </si>
  <si>
    <t>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</si>
  <si>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</si>
  <si>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</si>
  <si>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</si>
  <si>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</si>
  <si>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>Gira técnica</t>
  </si>
  <si>
    <t>Capacitación en desposte y transformación de la carne de cerdo</t>
  </si>
  <si>
    <t>Capacitación para expendedores</t>
  </si>
  <si>
    <t>Curso virtual en tecnologías ambientales para porcicultura</t>
  </si>
  <si>
    <t>Curso virtual resolución 20148</t>
  </si>
  <si>
    <t>Encuentros regionales</t>
  </si>
  <si>
    <t>Sistema de seguridad y bienestar  en el trabajo</t>
  </si>
  <si>
    <t xml:space="preserve">  Talleres y seminarios</t>
  </si>
  <si>
    <t>Buenas practicas en el manejo de medicamentos veterinarios</t>
  </si>
  <si>
    <t>Capacitaciones técnico-sanitarias</t>
  </si>
  <si>
    <t>Talleres educación ambiental</t>
  </si>
  <si>
    <t>Material de apoyo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</si>
  <si>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</si>
  <si>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</si>
  <si>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</si>
  <si>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</si>
  <si>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</si>
  <si>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 xml:space="preserve">  Compras de insumos</t>
  </si>
  <si>
    <t xml:space="preserve">  Diagnóstico importados</t>
  </si>
  <si>
    <t xml:space="preserve">  Capacitación funcionarios laboratorios ICA</t>
  </si>
  <si>
    <t>Diagnostico rutinario con laboratorios privados</t>
  </si>
  <si>
    <t>Rutinario</t>
  </si>
  <si>
    <t>Combos</t>
  </si>
  <si>
    <t>PRRS</t>
  </si>
  <si>
    <t>Pruebas interlaboratorios</t>
  </si>
  <si>
    <t>Promoción del diagnóstico</t>
  </si>
  <si>
    <t>Inocuidad y Ambiente</t>
  </si>
  <si>
    <t>TOTAL ÁREA SANIDAD</t>
  </si>
  <si>
    <t>Control y monitoreo de enfermedades en granjas de Colombia</t>
  </si>
  <si>
    <t>Apoyo programa PRRS</t>
  </si>
  <si>
    <t>Epidemiología de la enfermedad (Nacional)</t>
  </si>
  <si>
    <t>Sensibilización y divulgación</t>
  </si>
  <si>
    <t>Programa de vigilancia de influenza porcina</t>
  </si>
  <si>
    <t>Caracterización cerdos Asilvestrados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</si>
  <si>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</si>
  <si>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</si>
  <si>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</si>
  <si>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</si>
  <si>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</si>
  <si>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</si>
  <si>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</si>
  <si>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</si>
  <si>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GASTOS</t>
  </si>
  <si>
    <t>INGRESOS</t>
  </si>
  <si>
    <t>RESERVA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</si>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</sst>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_ ;_ * \-#,##0_ ;_ * &quot;-&quot;??_ ;_ @_ "/>
    <numFmt numFmtId="166" formatCode="_-* #,##0\ _€_-;\-* #,##0\ _€_-;_-* &quot;-&quot;??\ _€_-;_-@_-"/>
    <numFmt numFmtId="167" formatCode="_-* #,##0.00_-;\-* #,##0.00_-;_-* &quot;-&quot;??_-;_-@_-"/>
    <numFmt numFmtId="168" formatCode="#,##0.000000"/>
  </numFmts>
  <fonts count="13" x14ac:knownFonts="1">
    <font>
      <sz val="10"/>
      <name val="Arial"/>
    </font>
    <font>
      <b/>
      <sz val="11"/>
      <name val="Arial"/>
      <family val="2"/>
      <charset val="186"/>
    </font>
    <font>
      <b/>
      <sz val="11"/>
      <name val="Arial"/>
      <family val="2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Continuous"/>
    </xf>
    <xf numFmtId="3" fontId="1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/>
    <xf numFmtId="0" fontId="5" fillId="0" borderId="7" xfId="0" applyFont="1" applyFill="1" applyBorder="1"/>
    <xf numFmtId="0" fontId="5" fillId="0" borderId="8" xfId="0" applyFont="1" applyFill="1" applyBorder="1"/>
    <xf numFmtId="3" fontId="2" fillId="0" borderId="6" xfId="0" applyNumberFormat="1" applyFont="1" applyFill="1" applyBorder="1" applyAlignment="1"/>
    <xf numFmtId="3" fontId="2" fillId="0" borderId="7" xfId="0" applyNumberFormat="1" applyFont="1" applyFill="1" applyBorder="1"/>
    <xf numFmtId="10" fontId="2" fillId="0" borderId="8" xfId="1" applyNumberFormat="1" applyFont="1" applyFill="1" applyBorder="1"/>
    <xf numFmtId="3" fontId="5" fillId="0" borderId="6" xfId="0" applyNumberFormat="1" applyFont="1" applyFill="1" applyBorder="1" applyAlignment="1"/>
    <xf numFmtId="3" fontId="5" fillId="0" borderId="7" xfId="0" applyNumberFormat="1" applyFont="1" applyFill="1" applyBorder="1"/>
    <xf numFmtId="3" fontId="7" fillId="0" borderId="7" xfId="0" applyNumberFormat="1" applyFont="1" applyFill="1" applyBorder="1"/>
    <xf numFmtId="10" fontId="7" fillId="0" borderId="8" xfId="1" applyNumberFormat="1" applyFont="1" applyFill="1" applyBorder="1"/>
    <xf numFmtId="0" fontId="0" fillId="0" borderId="0" xfId="0" applyFill="1" applyAlignment="1">
      <alignment horizontal="center"/>
    </xf>
    <xf numFmtId="3" fontId="8" fillId="0" borderId="7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/>
    <xf numFmtId="3" fontId="1" fillId="0" borderId="7" xfId="0" applyNumberFormat="1" applyFont="1" applyFill="1" applyBorder="1"/>
    <xf numFmtId="0" fontId="5" fillId="0" borderId="6" xfId="0" applyFont="1" applyFill="1" applyBorder="1" applyAlignment="1"/>
    <xf numFmtId="3" fontId="5" fillId="0" borderId="7" xfId="2" applyNumberFormat="1" applyFont="1" applyFill="1" applyBorder="1"/>
    <xf numFmtId="3" fontId="2" fillId="0" borderId="7" xfId="2" applyNumberFormat="1" applyFont="1" applyFill="1" applyBorder="1"/>
    <xf numFmtId="0" fontId="1" fillId="0" borderId="9" xfId="0" applyFont="1" applyFill="1" applyBorder="1" applyAlignment="1"/>
    <xf numFmtId="3" fontId="1" fillId="0" borderId="10" xfId="0" applyNumberFormat="1" applyFont="1" applyFill="1" applyBorder="1"/>
    <xf numFmtId="3" fontId="2" fillId="0" borderId="10" xfId="2" applyNumberFormat="1" applyFont="1" applyFill="1" applyBorder="1"/>
    <xf numFmtId="10" fontId="2" fillId="0" borderId="11" xfId="1" applyNumberFormat="1" applyFont="1" applyFill="1" applyBorder="1"/>
    <xf numFmtId="0" fontId="5" fillId="0" borderId="12" xfId="0" applyFont="1" applyFill="1" applyBorder="1" applyAlignment="1"/>
    <xf numFmtId="3" fontId="5" fillId="0" borderId="13" xfId="0" applyNumberFormat="1" applyFont="1" applyFill="1" applyBorder="1"/>
    <xf numFmtId="10" fontId="2" fillId="0" borderId="14" xfId="1" applyNumberFormat="1" applyFont="1" applyFill="1" applyBorder="1"/>
    <xf numFmtId="0" fontId="1" fillId="0" borderId="15" xfId="0" applyFont="1" applyFill="1" applyBorder="1" applyAlignment="1"/>
    <xf numFmtId="3" fontId="1" fillId="0" borderId="16" xfId="0" applyNumberFormat="1" applyFont="1" applyFill="1" applyBorder="1"/>
    <xf numFmtId="10" fontId="2" fillId="0" borderId="17" xfId="1" applyNumberFormat="1" applyFont="1" applyFill="1" applyBorder="1"/>
    <xf numFmtId="37" fontId="1" fillId="0" borderId="6" xfId="0" applyNumberFormat="1" applyFont="1" applyFill="1" applyBorder="1" applyAlignment="1"/>
    <xf numFmtId="0" fontId="9" fillId="0" borderId="0" xfId="0" applyFont="1" applyFill="1"/>
    <xf numFmtId="37" fontId="7" fillId="0" borderId="6" xfId="0" applyNumberFormat="1" applyFont="1" applyFill="1" applyBorder="1" applyAlignment="1">
      <alignment horizontal="left"/>
    </xf>
    <xf numFmtId="37" fontId="2" fillId="0" borderId="6" xfId="0" applyNumberFormat="1" applyFont="1" applyFill="1" applyBorder="1" applyAlignment="1">
      <alignment horizontal="left"/>
    </xf>
    <xf numFmtId="164" fontId="1" fillId="0" borderId="7" xfId="2" applyFont="1" applyFill="1" applyBorder="1"/>
    <xf numFmtId="164" fontId="7" fillId="0" borderId="7" xfId="2" applyFont="1" applyFill="1" applyBorder="1"/>
    <xf numFmtId="164" fontId="9" fillId="0" borderId="0" xfId="2" applyFont="1" applyFill="1"/>
    <xf numFmtId="37" fontId="7" fillId="0" borderId="6" xfId="0" applyNumberFormat="1" applyFont="1" applyFill="1" applyBorder="1" applyAlignment="1"/>
    <xf numFmtId="37" fontId="2" fillId="0" borderId="6" xfId="0" applyNumberFormat="1" applyFont="1" applyFill="1" applyBorder="1" applyAlignment="1"/>
    <xf numFmtId="3" fontId="2" fillId="0" borderId="7" xfId="3" applyNumberFormat="1" applyFont="1" applyFill="1" applyBorder="1"/>
    <xf numFmtId="165" fontId="6" fillId="0" borderId="0" xfId="0" applyNumberFormat="1" applyFont="1" applyFill="1"/>
    <xf numFmtId="0" fontId="6" fillId="0" borderId="0" xfId="0" applyFont="1" applyFill="1"/>
    <xf numFmtId="3" fontId="6" fillId="0" borderId="0" xfId="0" applyNumberFormat="1" applyFont="1" applyFill="1"/>
    <xf numFmtId="0" fontId="5" fillId="0" borderId="18" xfId="0" applyFont="1" applyFill="1" applyBorder="1" applyAlignment="1"/>
    <xf numFmtId="3" fontId="1" fillId="0" borderId="19" xfId="0" applyNumberFormat="1" applyFont="1" applyFill="1" applyBorder="1"/>
    <xf numFmtId="0" fontId="5" fillId="0" borderId="19" xfId="0" applyFont="1" applyFill="1" applyBorder="1"/>
    <xf numFmtId="3" fontId="5" fillId="0" borderId="19" xfId="0" applyNumberFormat="1" applyFont="1" applyFill="1" applyBorder="1"/>
    <xf numFmtId="0" fontId="5" fillId="0" borderId="20" xfId="0" applyFont="1" applyFill="1" applyBorder="1"/>
    <xf numFmtId="10" fontId="0" fillId="0" borderId="0" xfId="1" applyNumberFormat="1" applyFont="1" applyFill="1"/>
    <xf numFmtId="0" fontId="10" fillId="0" borderId="0" xfId="0" applyFont="1" applyFill="1" applyAlignment="1"/>
    <xf numFmtId="3" fontId="10" fillId="0" borderId="0" xfId="0" applyNumberFormat="1" applyFont="1" applyFill="1"/>
    <xf numFmtId="37" fontId="10" fillId="0" borderId="0" xfId="0" applyNumberFormat="1" applyFont="1" applyFill="1"/>
    <xf numFmtId="0" fontId="10" fillId="0" borderId="0" xfId="0" applyFont="1" applyFill="1"/>
    <xf numFmtId="10" fontId="10" fillId="0" borderId="0" xfId="0" applyNumberFormat="1" applyFont="1" applyFill="1"/>
    <xf numFmtId="37" fontId="0" fillId="0" borderId="0" xfId="0" applyNumberFormat="1" applyFill="1"/>
    <xf numFmtId="164" fontId="10" fillId="0" borderId="0" xfId="2" applyFont="1" applyFill="1"/>
    <xf numFmtId="9" fontId="10" fillId="0" borderId="0" xfId="1" applyFont="1" applyFill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/>
    <xf numFmtId="3" fontId="11" fillId="0" borderId="0" xfId="0" applyNumberFormat="1" applyFont="1" applyFill="1"/>
    <xf numFmtId="165" fontId="11" fillId="0" borderId="0" xfId="2" applyNumberFormat="1" applyFont="1" applyFill="1"/>
    <xf numFmtId="10" fontId="10" fillId="0" borderId="0" xfId="1" applyNumberFormat="1" applyFont="1" applyFill="1"/>
    <xf numFmtId="3" fontId="11" fillId="0" borderId="1" xfId="0" applyNumberFormat="1" applyFont="1" applyFill="1" applyBorder="1"/>
    <xf numFmtId="165" fontId="11" fillId="0" borderId="1" xfId="2" applyNumberFormat="1" applyFont="1" applyFill="1" applyBorder="1"/>
    <xf numFmtId="3" fontId="12" fillId="0" borderId="0" xfId="0" applyNumberFormat="1" applyFont="1" applyFill="1" applyAlignment="1"/>
    <xf numFmtId="166" fontId="12" fillId="0" borderId="0" xfId="0" applyNumberFormat="1" applyFont="1" applyFill="1" applyAlignment="1"/>
    <xf numFmtId="164" fontId="11" fillId="0" borderId="0" xfId="2" applyFont="1" applyFill="1"/>
    <xf numFmtId="167" fontId="10" fillId="0" borderId="0" xfId="0" applyNumberFormat="1" applyFont="1" applyFill="1"/>
    <xf numFmtId="168" fontId="10" fillId="0" borderId="0" xfId="0" applyNumberFormat="1" applyFont="1" applyFill="1"/>
  </cellXfs>
  <cellStyles count="4">
    <cellStyle name="Millares 2 2" xfId="3"/>
    <cellStyle name="Millares 23" xfId="2"/>
    <cellStyle name="Normal" xfId="0" builtinId="0"/>
    <cellStyle name="Porcentaje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7/CIERRE%20JUL-SE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cuerdos\Definitivo\A&#241;o%202015\PRESUPUESTO%202015\PRESUPUESTO%202015%20V.6\Presupuesto%202015%20version%2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cuerdos\Definitivo\Users\directorppc\AppData\Local\Microsoft\Windows\Temporary%20Internet%20Files\Content.IE5\68SX2PI0\Desagregado%20&#193;rea%20201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cuerdos\Definitivo\A&#241;o%202017\Presupuesto%202017\Presupuesto%202017%202da%20versi&#243;n\Anexos\Presupuesto%20PPC%20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Solicitud%20areas\Solicitud%20III%20trimestre\AEcon&#243;mica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cuerdos\Definitivo\Users\JorgeOrtiz\Desktop\PPC2013\PRESUPUESTO%202014\PRESUPUESTO%20DEFINITIVO%202014%20NOV\Desagregado%20PPC%202014%20%20definitiv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Solicitud%20areas\Solicitud%20III%20trimestre\Solicitud%20III%20Trimestre%20mercadeo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ARCHIVOS%20DE%20CONTROL/EJECUCION/FNP/Ejecuci&#243;n%20FNP%2017-10-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Solicitud%20areas\Solicitud%20III%20trimestre\Solicitud%20presupuesto%20III%20trimestre%20PPC%20y%20Sanida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Solicitud%20areas\Solicitud%20III%20trimestre\Presupuesto%20T&#233;cnica%202017,%20Solicitud%20III%20Trimestre%20y%20Ejecuci&#243;n%20II%20complet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Solicitud%20areas\Solicitud%20III%20trimestre\Ejecucion%20IYT%20II%20trimestre%20y%20solicitud%20III%20trimestre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 "/>
      <sheetName val="Otros ingresos"/>
      <sheetName val="Funcionamiento"/>
      <sheetName val="Nómina y honorarios 2017"/>
    </sheetNames>
    <sheetDataSet>
      <sheetData sheetId="0">
        <row r="16">
          <cell r="B16">
            <v>3151909261.125</v>
          </cell>
        </row>
        <row r="41">
          <cell r="B41">
            <v>6946166301.375</v>
          </cell>
        </row>
        <row r="45">
          <cell r="B45">
            <v>4484901810.7643242</v>
          </cell>
        </row>
      </sheetData>
      <sheetData sheetId="1"/>
      <sheetData sheetId="2"/>
      <sheetData sheetId="3">
        <row r="8">
          <cell r="F8">
            <v>9795047</v>
          </cell>
        </row>
        <row r="10">
          <cell r="F10">
            <v>36489105.528750002</v>
          </cell>
          <cell r="G10">
            <v>500000</v>
          </cell>
          <cell r="I10">
            <v>39353572</v>
          </cell>
          <cell r="L10">
            <v>5000000</v>
          </cell>
        </row>
        <row r="12">
          <cell r="F12">
            <v>1937049</v>
          </cell>
        </row>
        <row r="14">
          <cell r="F14">
            <v>5399350.4531250009</v>
          </cell>
          <cell r="G14">
            <v>3000000</v>
          </cell>
        </row>
        <row r="16">
          <cell r="F16">
            <v>5847953.7206250001</v>
          </cell>
          <cell r="G16">
            <v>2184723.2250000001</v>
          </cell>
          <cell r="H16">
            <v>2184723.2250000001</v>
          </cell>
          <cell r="I16">
            <v>2184723.2250000001</v>
          </cell>
          <cell r="J16">
            <v>2184723.2250000001</v>
          </cell>
          <cell r="K16">
            <v>2184723.2250000001</v>
          </cell>
          <cell r="L16">
            <v>2184723.2250000001</v>
          </cell>
        </row>
        <row r="18">
          <cell r="F18">
            <v>7791753.588750001</v>
          </cell>
          <cell r="G18">
            <v>2472713.1225000001</v>
          </cell>
          <cell r="I18">
            <v>2750030.6006250004</v>
          </cell>
          <cell r="J18">
            <v>1069456.359375</v>
          </cell>
          <cell r="K18">
            <v>458338.47750000004</v>
          </cell>
          <cell r="L18">
            <v>2750030.6006250004</v>
          </cell>
        </row>
        <row r="20">
          <cell r="F20">
            <v>14115875.972500002</v>
          </cell>
          <cell r="G20">
            <v>2805523.2850000001</v>
          </cell>
          <cell r="I20">
            <v>7027962</v>
          </cell>
          <cell r="L20">
            <v>1000000</v>
          </cell>
        </row>
        <row r="22">
          <cell r="F22">
            <v>6673125</v>
          </cell>
          <cell r="G22">
            <v>93100000</v>
          </cell>
          <cell r="I22">
            <v>5000000</v>
          </cell>
          <cell r="J22">
            <v>4585921.7175000003</v>
          </cell>
          <cell r="K22">
            <v>2178711.4668750004</v>
          </cell>
          <cell r="L22">
            <v>6000000</v>
          </cell>
        </row>
        <row r="24">
          <cell r="F24">
            <v>3197455.6781250006</v>
          </cell>
          <cell r="G24">
            <v>3000000</v>
          </cell>
          <cell r="I24">
            <v>0</v>
          </cell>
          <cell r="J24">
            <v>1300000</v>
          </cell>
        </row>
        <row r="26">
          <cell r="F26">
            <v>12232243.570500001</v>
          </cell>
          <cell r="G26">
            <v>55000000</v>
          </cell>
          <cell r="H26">
            <v>1000000</v>
          </cell>
          <cell r="I26">
            <v>3650000</v>
          </cell>
          <cell r="J26">
            <v>2984460.3731250004</v>
          </cell>
          <cell r="K26">
            <v>1790741.1543750002</v>
          </cell>
          <cell r="L26">
            <v>5644686</v>
          </cell>
        </row>
        <row r="28">
          <cell r="F28">
            <v>1280488.944375</v>
          </cell>
          <cell r="G28">
            <v>700000</v>
          </cell>
          <cell r="I28">
            <v>250000</v>
          </cell>
          <cell r="J28">
            <v>677324.25</v>
          </cell>
          <cell r="K28">
            <v>528750</v>
          </cell>
          <cell r="L28">
            <v>764000</v>
          </cell>
        </row>
        <row r="30">
          <cell r="F30">
            <v>6210010.125</v>
          </cell>
          <cell r="G30">
            <v>5000000</v>
          </cell>
          <cell r="I30">
            <v>1500000</v>
          </cell>
          <cell r="J30">
            <v>200000</v>
          </cell>
          <cell r="K30">
            <v>1321875.0000000002</v>
          </cell>
        </row>
        <row r="32">
          <cell r="F32">
            <v>6924146.7250000006</v>
          </cell>
        </row>
        <row r="34">
          <cell r="F34">
            <v>29838204.743125003</v>
          </cell>
          <cell r="G34">
            <v>17500000</v>
          </cell>
        </row>
        <row r="36">
          <cell r="F36">
            <v>54171821.502499998</v>
          </cell>
        </row>
      </sheetData>
      <sheetData sheetId="4">
        <row r="12">
          <cell r="K12">
            <v>40453874.700000003</v>
          </cell>
          <cell r="L12">
            <v>2633439.375</v>
          </cell>
          <cell r="M12">
            <v>316012.72499999998</v>
          </cell>
          <cell r="N12">
            <v>2633439.375</v>
          </cell>
          <cell r="O12">
            <v>1316719.6875</v>
          </cell>
          <cell r="S12">
            <v>7796005.3634339999</v>
          </cell>
          <cell r="U12">
            <v>1348320.9600000002</v>
          </cell>
          <cell r="X12">
            <v>1685401.2000000002</v>
          </cell>
        </row>
        <row r="21">
          <cell r="K21">
            <v>208308487.53750005</v>
          </cell>
          <cell r="L21">
            <v>14843583.884375002</v>
          </cell>
          <cell r="M21">
            <v>1781230.0661250001</v>
          </cell>
          <cell r="N21">
            <v>14843583.884375002</v>
          </cell>
          <cell r="O21">
            <v>8679520.3140625022</v>
          </cell>
          <cell r="S21">
            <v>42177217.59304861</v>
          </cell>
          <cell r="U21">
            <v>8458886.9657600019</v>
          </cell>
          <cell r="X21">
            <v>10573608.707200002</v>
          </cell>
        </row>
        <row r="39">
          <cell r="K39">
            <v>61215025.732500009</v>
          </cell>
          <cell r="L39">
            <v>2585795.4006250002</v>
          </cell>
          <cell r="M39">
            <v>310295.44807500002</v>
          </cell>
          <cell r="N39">
            <v>2585795.4006250002</v>
          </cell>
          <cell r="O39">
            <v>2550626.0721875001</v>
          </cell>
          <cell r="S39">
            <v>10912512.0970701</v>
          </cell>
          <cell r="U39">
            <v>2214825.0220800005</v>
          </cell>
          <cell r="X39">
            <v>2768531.2776000006</v>
          </cell>
        </row>
        <row r="48">
          <cell r="K48">
            <v>68469759.142500013</v>
          </cell>
          <cell r="L48">
            <v>3190356.5181250004</v>
          </cell>
          <cell r="M48">
            <v>382842.78217500006</v>
          </cell>
          <cell r="N48">
            <v>3190356.5181250004</v>
          </cell>
          <cell r="O48">
            <v>2852906.6309375004</v>
          </cell>
          <cell r="S48">
            <v>12437602.154520301</v>
          </cell>
          <cell r="U48">
            <v>2524360.3142400002</v>
          </cell>
          <cell r="X48">
            <v>3155450.3928000005</v>
          </cell>
        </row>
        <row r="57">
          <cell r="K57">
            <v>59680623.900000006</v>
          </cell>
          <cell r="L57">
            <v>2457928.5812500003</v>
          </cell>
          <cell r="M57">
            <v>294951.42975000001</v>
          </cell>
          <cell r="N57">
            <v>2457928.5812500003</v>
          </cell>
          <cell r="O57">
            <v>2486692.6625000001</v>
          </cell>
          <cell r="S57">
            <v>10589950.14384195</v>
          </cell>
          <cell r="U57">
            <v>2149357.21056</v>
          </cell>
          <cell r="X57">
            <v>2686696.5132000004</v>
          </cell>
        </row>
        <row r="65">
          <cell r="K65">
            <v>7373629.1925000018</v>
          </cell>
          <cell r="L65">
            <v>614469.09937500011</v>
          </cell>
          <cell r="M65">
            <v>73736.291925000012</v>
          </cell>
          <cell r="N65">
            <v>614469.09937500011</v>
          </cell>
          <cell r="O65">
            <v>307234.54968750005</v>
          </cell>
          <cell r="S65">
            <v>1550084.3288473503</v>
          </cell>
          <cell r="U65">
            <v>314608.17888000008</v>
          </cell>
          <cell r="X65">
            <v>393260.22360000008</v>
          </cell>
        </row>
        <row r="69">
          <cell r="K69">
            <v>217056337.63500005</v>
          </cell>
          <cell r="L69">
            <v>15572571.392500002</v>
          </cell>
          <cell r="M69">
            <v>1868708.5671000001</v>
          </cell>
          <cell r="N69">
            <v>15572571.392500002</v>
          </cell>
          <cell r="O69">
            <v>9044014.0681250002</v>
          </cell>
          <cell r="S69">
            <v>44503509.011779666</v>
          </cell>
          <cell r="U69">
            <v>8842770.4899199996</v>
          </cell>
          <cell r="X69">
            <v>11053463.112400001</v>
          </cell>
        </row>
        <row r="96">
          <cell r="K96">
            <v>903274.20000000007</v>
          </cell>
          <cell r="M96">
            <v>225818.55000000002</v>
          </cell>
          <cell r="O96">
            <v>225818.55000000002</v>
          </cell>
          <cell r="Q96">
            <v>225818.55000000002</v>
          </cell>
          <cell r="S96">
            <v>677455.65</v>
          </cell>
        </row>
        <row r="107">
          <cell r="I107">
            <v>33920029.856666669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Modificaciones"/>
    </sheetNames>
    <sheetDataSet>
      <sheetData sheetId="0">
        <row r="7">
          <cell r="F7">
            <v>15964242.075000001</v>
          </cell>
        </row>
        <row r="23">
          <cell r="F23">
            <v>130215664.7175</v>
          </cell>
        </row>
        <row r="27">
          <cell r="F27">
            <v>101913755.425</v>
          </cell>
        </row>
        <row r="28">
          <cell r="F28">
            <v>41247201.5</v>
          </cell>
        </row>
        <row r="31">
          <cell r="F31">
            <v>35000000</v>
          </cell>
        </row>
        <row r="32">
          <cell r="F32">
            <v>190000000</v>
          </cell>
        </row>
        <row r="33">
          <cell r="F33">
            <v>15000000</v>
          </cell>
        </row>
        <row r="35">
          <cell r="F35">
            <v>30000000</v>
          </cell>
        </row>
        <row r="36">
          <cell r="F36">
            <v>55000000</v>
          </cell>
        </row>
        <row r="37">
          <cell r="F37">
            <v>15000000</v>
          </cell>
        </row>
        <row r="38">
          <cell r="F38">
            <v>127448222.5</v>
          </cell>
        </row>
        <row r="41">
          <cell r="F41">
            <v>62355277.082500003</v>
          </cell>
        </row>
        <row r="42">
          <cell r="F42">
            <v>14684433.71960175</v>
          </cell>
        </row>
        <row r="43">
          <cell r="F43">
            <v>26985757.665720001</v>
          </cell>
        </row>
        <row r="51">
          <cell r="F51">
            <v>6542699.625</v>
          </cell>
        </row>
        <row r="52">
          <cell r="F52">
            <v>76022000</v>
          </cell>
        </row>
        <row r="53">
          <cell r="F53">
            <v>14390250.870000001</v>
          </cell>
        </row>
        <row r="56">
          <cell r="F56">
            <v>140865265.87</v>
          </cell>
        </row>
        <row r="57">
          <cell r="F57">
            <v>51866150.217500001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4">
          <cell r="M4">
            <v>5000000</v>
          </cell>
        </row>
        <row r="16">
          <cell r="M16">
            <v>6746003.4448124999</v>
          </cell>
        </row>
        <row r="18">
          <cell r="M18">
            <v>84461534.122500002</v>
          </cell>
        </row>
        <row r="21">
          <cell r="M21">
            <v>25430178.933333334</v>
          </cell>
        </row>
        <row r="22">
          <cell r="M22">
            <v>33205000</v>
          </cell>
        </row>
        <row r="23">
          <cell r="M23">
            <v>70455285</v>
          </cell>
        </row>
        <row r="25">
          <cell r="M25">
            <v>125816897.92500001</v>
          </cell>
        </row>
        <row r="26">
          <cell r="M26">
            <v>140000000</v>
          </cell>
        </row>
        <row r="30">
          <cell r="M30">
            <v>8550000</v>
          </cell>
        </row>
        <row r="32">
          <cell r="M32">
            <v>92500000</v>
          </cell>
        </row>
        <row r="33">
          <cell r="M33">
            <v>23455180.799999997</v>
          </cell>
        </row>
        <row r="34">
          <cell r="M34">
            <v>16000000</v>
          </cell>
        </row>
        <row r="35">
          <cell r="M35">
            <v>10119953.25</v>
          </cell>
        </row>
        <row r="36">
          <cell r="M36">
            <v>55000000</v>
          </cell>
        </row>
        <row r="38">
          <cell r="M38">
            <v>47196559.170000002</v>
          </cell>
        </row>
        <row r="39">
          <cell r="M39">
            <v>550000000</v>
          </cell>
        </row>
        <row r="40">
          <cell r="M40">
            <v>15000000</v>
          </cell>
        </row>
        <row r="41">
          <cell r="M41">
            <v>270443000</v>
          </cell>
        </row>
        <row r="42">
          <cell r="M42">
            <v>46000000</v>
          </cell>
        </row>
        <row r="44">
          <cell r="M44">
            <v>37794876</v>
          </cell>
        </row>
        <row r="45">
          <cell r="M45">
            <v>46910362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FNP 17-10-17"/>
      <sheetName val="Desagregado ejecución Jul-Sept "/>
    </sheetNames>
    <sheetDataSet>
      <sheetData sheetId="0">
        <row r="131">
          <cell r="I131">
            <v>88854040</v>
          </cell>
        </row>
        <row r="132">
          <cell r="I132">
            <v>139998822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I TRIMESTRE PPC"/>
      <sheetName val="III TRIMESTRE SANIDAD"/>
      <sheetName val="VENTAS III TRIMESTRE PPC"/>
    </sheetNames>
    <sheetDataSet>
      <sheetData sheetId="0">
        <row r="7">
          <cell r="B7">
            <v>500000</v>
          </cell>
        </row>
        <row r="26">
          <cell r="B26">
            <v>45682000</v>
          </cell>
        </row>
        <row r="35">
          <cell r="B35">
            <v>25000000</v>
          </cell>
        </row>
        <row r="39">
          <cell r="B39">
            <v>522000000</v>
          </cell>
        </row>
        <row r="43">
          <cell r="B43">
            <v>119000000</v>
          </cell>
        </row>
        <row r="50">
          <cell r="B50">
            <v>20000000</v>
          </cell>
        </row>
        <row r="56">
          <cell r="B56">
            <v>105000000</v>
          </cell>
        </row>
        <row r="59">
          <cell r="B59">
            <v>100000000</v>
          </cell>
        </row>
        <row r="60">
          <cell r="B60">
            <v>1700000</v>
          </cell>
        </row>
        <row r="62">
          <cell r="B62">
            <v>79000000</v>
          </cell>
        </row>
        <row r="65">
          <cell r="B65">
            <v>40000000</v>
          </cell>
        </row>
        <row r="72">
          <cell r="B72">
            <v>20000000</v>
          </cell>
        </row>
      </sheetData>
      <sheetData sheetId="1">
        <row r="7">
          <cell r="B7">
            <v>1000000</v>
          </cell>
        </row>
        <row r="9">
          <cell r="B9">
            <v>16000000</v>
          </cell>
        </row>
        <row r="12">
          <cell r="B12">
            <v>56500000</v>
          </cell>
        </row>
        <row r="17">
          <cell r="B17">
            <v>3000000</v>
          </cell>
        </row>
        <row r="20">
          <cell r="B20">
            <v>30000000</v>
          </cell>
        </row>
        <row r="21">
          <cell r="B21">
            <v>147000000</v>
          </cell>
        </row>
      </sheetData>
      <sheetData sheetId="2">
        <row r="6">
          <cell r="D6">
            <v>442380000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do Ejecución I-TRI"/>
      <sheetName val="Solicitud Presupuesto II-TRI"/>
      <sheetName val="Solicitud Presupuesto III-TRI "/>
    </sheetNames>
    <sheetDataSet>
      <sheetData sheetId="0" refreshError="1"/>
      <sheetData sheetId="1" refreshError="1"/>
      <sheetData sheetId="2" refreshError="1">
        <row r="6">
          <cell r="N6">
            <v>1300000</v>
          </cell>
        </row>
        <row r="24">
          <cell r="N24">
            <v>0</v>
          </cell>
        </row>
        <row r="34">
          <cell r="N34">
            <v>191376989.05000004</v>
          </cell>
        </row>
        <row r="53">
          <cell r="N53">
            <v>83280077</v>
          </cell>
        </row>
        <row r="61">
          <cell r="N61">
            <v>27455586.390000001</v>
          </cell>
        </row>
        <row r="65">
          <cell r="N65">
            <v>36139290.399999999</v>
          </cell>
        </row>
        <row r="72">
          <cell r="N72">
            <v>29330586.390000001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. I trim Solic II trim-2017"/>
      <sheetName val="Ejec. II trim Solic III trim"/>
    </sheetNames>
    <sheetDataSet>
      <sheetData sheetId="0" refreshError="1"/>
      <sheetData sheetId="1">
        <row r="10">
          <cell r="J10">
            <v>95000000</v>
          </cell>
        </row>
        <row r="11">
          <cell r="J11">
            <v>28650000</v>
          </cell>
        </row>
        <row r="12">
          <cell r="J12">
            <v>7396895</v>
          </cell>
        </row>
        <row r="15">
          <cell r="J15">
            <v>24000000</v>
          </cell>
        </row>
        <row r="16">
          <cell r="J16">
            <v>15000000</v>
          </cell>
        </row>
        <row r="17">
          <cell r="J17">
            <v>16800000</v>
          </cell>
        </row>
        <row r="19">
          <cell r="J19">
            <v>40000000</v>
          </cell>
        </row>
        <row r="21">
          <cell r="J21">
            <v>4500000</v>
          </cell>
        </row>
        <row r="22">
          <cell r="J22">
            <v>4000000</v>
          </cell>
        </row>
        <row r="23">
          <cell r="J23">
            <v>5500000</v>
          </cell>
        </row>
        <row r="24">
          <cell r="J24">
            <v>20000000</v>
          </cell>
        </row>
        <row r="25">
          <cell r="J25">
            <v>23000000</v>
          </cell>
        </row>
        <row r="26">
          <cell r="J26">
            <v>7000000</v>
          </cell>
        </row>
        <row r="30">
          <cell r="J30">
            <v>5000000</v>
          </cell>
        </row>
        <row r="32">
          <cell r="J32">
            <v>7500000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1"/>
  <sheetViews>
    <sheetView tabSelected="1" view="pageBreakPreview" topLeftCell="A2" zoomScale="85" zoomScaleNormal="90" zoomScaleSheetLayoutView="85" workbookViewId="0">
      <pane xSplit="1" ySplit="5" topLeftCell="B127" activePane="bottomRight" state="frozen"/>
      <selection activeCell="A6" sqref="A6:E6"/>
      <selection pane="topRight" activeCell="A6" sqref="A6:E6"/>
      <selection pane="bottomLeft" activeCell="A6" sqref="A6:E6"/>
      <selection pane="bottomRight" activeCell="K193" sqref="K193:K194"/>
    </sheetView>
  </sheetViews>
  <sheetFormatPr baseColWidth="10" defaultRowHeight="12.75" outlineLevelRow="2" x14ac:dyDescent="0.2"/>
  <cols>
    <col min="1" max="1" width="57.7109375" style="2" customWidth="1"/>
    <col min="2" max="2" width="14.5703125" style="2" customWidth="1"/>
    <col min="3" max="3" width="14.7109375" style="2" customWidth="1"/>
    <col min="4" max="4" width="19.85546875" style="2" customWidth="1"/>
    <col min="5" max="5" width="13.42578125" style="2" customWidth="1"/>
    <col min="6" max="6" width="15.42578125" style="2" customWidth="1"/>
    <col min="7" max="7" width="17.5703125" style="2" hidden="1" customWidth="1"/>
    <col min="8" max="8" width="16.140625" style="2" hidden="1" customWidth="1"/>
    <col min="9" max="9" width="21.42578125" style="2" hidden="1" customWidth="1"/>
    <col min="10" max="10" width="19.7109375" style="2" hidden="1" customWidth="1"/>
    <col min="11" max="11" width="20.7109375" style="2" bestFit="1" customWidth="1"/>
    <col min="12" max="12" width="20.28515625" style="2" bestFit="1" customWidth="1"/>
    <col min="13" max="13" width="11.7109375" style="2" customWidth="1"/>
    <col min="14" max="16" width="14.5703125" style="2" customWidth="1"/>
    <col min="17" max="16384" width="11.42578125" style="2"/>
  </cols>
  <sheetData>
    <row r="1" spans="1:15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5.75" thickBot="1" x14ac:dyDescent="0.3">
      <c r="A5" s="4"/>
      <c r="B5" s="5"/>
      <c r="C5" s="6"/>
      <c r="D5" s="6"/>
      <c r="E5" s="7"/>
      <c r="F5" s="7"/>
      <c r="G5" s="7"/>
      <c r="H5" s="8"/>
      <c r="I5" s="7"/>
    </row>
    <row r="6" spans="1:15" ht="73.5" customHeight="1" thickTop="1" x14ac:dyDescent="0.2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1" t="s">
        <v>14</v>
      </c>
      <c r="L6" s="11" t="s">
        <v>15</v>
      </c>
      <c r="M6" s="12" t="s">
        <v>16</v>
      </c>
    </row>
    <row r="7" spans="1:15" ht="15" x14ac:dyDescent="0.25">
      <c r="A7" s="13" t="s">
        <v>17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5" ht="15" x14ac:dyDescent="0.25">
      <c r="A8" s="16" t="s">
        <v>18</v>
      </c>
      <c r="B8" s="17">
        <f t="shared" ref="B8:K8" si="0">SUM(B9:B18)</f>
        <v>332072176.22744614</v>
      </c>
      <c r="C8" s="17">
        <f t="shared" si="0"/>
        <v>99145617.003422812</v>
      </c>
      <c r="D8" s="17">
        <f t="shared" si="0"/>
        <v>85366536.572351947</v>
      </c>
      <c r="E8" s="17">
        <f t="shared" si="0"/>
        <v>11559939.964189854</v>
      </c>
      <c r="F8" s="17">
        <f t="shared" si="0"/>
        <v>87772076.000762612</v>
      </c>
      <c r="G8" s="17">
        <f t="shared" si="0"/>
        <v>346709641.31932473</v>
      </c>
      <c r="H8" s="17">
        <f t="shared" si="0"/>
        <v>962625987.08749819</v>
      </c>
      <c r="I8" s="17">
        <f t="shared" si="0"/>
        <v>93468022.242600664</v>
      </c>
      <c r="J8" s="17">
        <f t="shared" si="0"/>
        <v>1056094009.330099</v>
      </c>
      <c r="K8" s="17">
        <f t="shared" si="0"/>
        <v>1002068463</v>
      </c>
      <c r="L8" s="17">
        <f t="shared" ref="L8:L19" si="1">+K8-J8</f>
        <v>-54025546.330098987</v>
      </c>
      <c r="M8" s="18">
        <f>IFERROR(K8/J8,0)</f>
        <v>0.94884399887433468</v>
      </c>
    </row>
    <row r="9" spans="1:15" ht="14.25" x14ac:dyDescent="0.2">
      <c r="A9" s="19" t="s">
        <v>19</v>
      </c>
      <c r="B9" s="20">
        <f>+'[1]Nómina y honorarios 2017'!K21+3745055</f>
        <v>212053542.53750005</v>
      </c>
      <c r="C9" s="20">
        <f>+'[1]Nómina y honorarios 2017'!K48+1913825</f>
        <v>70383584.142500013</v>
      </c>
      <c r="D9" s="20">
        <f>+'[1]Nómina y honorarios 2017'!K57+1667258</f>
        <v>61347881.900000006</v>
      </c>
      <c r="E9" s="20">
        <f>+'[1]Nómina y honorarios 2017'!K65+206857</f>
        <v>7580486.1925000018</v>
      </c>
      <c r="F9" s="20">
        <f>+'[1]Nómina y honorarios 2017'!K39+1710304</f>
        <v>62925329.732500009</v>
      </c>
      <c r="G9" s="20">
        <f>+'[1]Nómina y honorarios 2017'!K69+2867958</f>
        <v>219924295.63500005</v>
      </c>
      <c r="H9" s="21">
        <f t="shared" ref="H9:H19" si="2">+B9+C9+D9+G9+E9+F9</f>
        <v>634215120.1400001</v>
      </c>
      <c r="I9" s="20">
        <f>+'[1]Nómina y honorarios 2017'!K12+886529</f>
        <v>41340403.700000003</v>
      </c>
      <c r="J9" s="20">
        <f t="shared" ref="J9:J18" si="3">+H9+I9</f>
        <v>675555523.84000015</v>
      </c>
      <c r="K9" s="20">
        <v>650282848</v>
      </c>
      <c r="L9" s="20">
        <f t="shared" si="1"/>
        <v>-25272675.840000153</v>
      </c>
      <c r="M9" s="22">
        <f t="shared" ref="M9:M19" si="4">IFERROR(K9/J9,0)</f>
        <v>0.96258978729632028</v>
      </c>
      <c r="O9" s="23"/>
    </row>
    <row r="10" spans="1:15" ht="14.25" x14ac:dyDescent="0.2">
      <c r="A10" s="19" t="s">
        <v>20</v>
      </c>
      <c r="B10" s="20">
        <f>+'[1]Nómina y honorarios 2017'!O21+189357</f>
        <v>8868877.3140625022</v>
      </c>
      <c r="C10" s="20">
        <f>+'[1]Nómina y honorarios 2017'!O48+96766</f>
        <v>2949672.6309375004</v>
      </c>
      <c r="D10" s="20">
        <f>+'[1]Nómina y honorarios 2017'!O57+84300</f>
        <v>2570992.6625000001</v>
      </c>
      <c r="E10" s="20">
        <f>+'[1]Nómina y honorarios 2017'!O65+10459</f>
        <v>317693.54968750005</v>
      </c>
      <c r="F10" s="20">
        <f>+'[1]Nómina y honorarios 2017'!O39+86476</f>
        <v>2637102.0721875001</v>
      </c>
      <c r="G10" s="20">
        <f>+'[1]Nómina y honorarios 2017'!O69+145009</f>
        <v>9189023.0681250002</v>
      </c>
      <c r="H10" s="21">
        <f t="shared" si="2"/>
        <v>26533361.297500007</v>
      </c>
      <c r="I10" s="20">
        <f>+'[1]Nómina y honorarios 2017'!O12+44824</f>
        <v>1361543.6875</v>
      </c>
      <c r="J10" s="20">
        <f t="shared" si="3"/>
        <v>27894904.985000007</v>
      </c>
      <c r="K10" s="20">
        <v>27166812</v>
      </c>
      <c r="L10" s="20">
        <f t="shared" si="1"/>
        <v>-728092.98500000685</v>
      </c>
      <c r="M10" s="22">
        <f t="shared" si="4"/>
        <v>0.97389871070034018</v>
      </c>
    </row>
    <row r="11" spans="1:15" ht="14.25" x14ac:dyDescent="0.2">
      <c r="A11" s="19" t="s">
        <v>21</v>
      </c>
      <c r="B11" s="20">
        <f>+'[1]Nómina y honorarios 2017'!N21+244234</f>
        <v>15087817.884375002</v>
      </c>
      <c r="C11" s="20">
        <f>+'[1]Nómina y honorarios 2017'!N48+89917</f>
        <v>3280273.5181250004</v>
      </c>
      <c r="D11" s="20">
        <f>+'[1]Nómina y honorarios 2017'!N57+69139</f>
        <v>2527067.5812500003</v>
      </c>
      <c r="E11" s="20">
        <f>+'[1]Nómina y honorarios 2017'!N65+17432</f>
        <v>631901.09937500011</v>
      </c>
      <c r="F11" s="20">
        <f>+'[1]Nómina y honorarios 2017'!N39+72766</f>
        <v>2658561.4006250002</v>
      </c>
      <c r="G11" s="20">
        <f>+'[1]Nómina y honorarios 2017'!N69+170321</f>
        <v>15742892.392500002</v>
      </c>
      <c r="H11" s="21">
        <f t="shared" si="2"/>
        <v>39928513.876250006</v>
      </c>
      <c r="I11" s="20">
        <f>+'[1]Nómina y honorarios 2017'!N12+74707</f>
        <v>2708146.375</v>
      </c>
      <c r="J11" s="20">
        <f t="shared" si="3"/>
        <v>42636660.251250006</v>
      </c>
      <c r="K11" s="20">
        <v>41417482</v>
      </c>
      <c r="L11" s="20">
        <f t="shared" si="1"/>
        <v>-1219178.2512500063</v>
      </c>
      <c r="M11" s="22">
        <f t="shared" si="4"/>
        <v>0.97140539985858154</v>
      </c>
    </row>
    <row r="12" spans="1:15" ht="14.25" x14ac:dyDescent="0.2">
      <c r="A12" s="19" t="s">
        <v>22</v>
      </c>
      <c r="B12" s="20">
        <f>+[2]Solicitud!$F$7</f>
        <v>15964242.075000001</v>
      </c>
      <c r="C12" s="24">
        <v>0</v>
      </c>
      <c r="D12" s="24">
        <v>0</v>
      </c>
      <c r="E12" s="20">
        <v>0</v>
      </c>
      <c r="F12" s="21">
        <v>0</v>
      </c>
      <c r="G12" s="21">
        <v>18323566</v>
      </c>
      <c r="H12" s="21">
        <f t="shared" si="2"/>
        <v>34287808.075000003</v>
      </c>
      <c r="I12" s="20">
        <f>+'[1]Nómina y honorarios 2017'!I107</f>
        <v>33920029.856666669</v>
      </c>
      <c r="J12" s="20">
        <f t="shared" si="3"/>
        <v>68207837.931666672</v>
      </c>
      <c r="K12" s="20">
        <v>52383377</v>
      </c>
      <c r="L12" s="20">
        <f t="shared" si="1"/>
        <v>-15824460.931666672</v>
      </c>
      <c r="M12" s="22">
        <f t="shared" si="4"/>
        <v>0.76799644422800428</v>
      </c>
    </row>
    <row r="13" spans="1:15" ht="14.25" x14ac:dyDescent="0.2">
      <c r="A13" s="19" t="s">
        <v>23</v>
      </c>
      <c r="B13" s="20">
        <f>+'[1]Nómina y honorarios 2017'!K96</f>
        <v>903274.20000000007</v>
      </c>
      <c r="C13" s="20">
        <f>+'[1]Nómina y honorarios 2017'!O96</f>
        <v>225818.55000000002</v>
      </c>
      <c r="D13" s="20">
        <f>+'[1]Nómina y honorarios 2017'!Q96</f>
        <v>225818.55000000002</v>
      </c>
      <c r="E13" s="20">
        <v>0</v>
      </c>
      <c r="F13" s="20">
        <f>+'[1]Nómina y honorarios 2017'!M96</f>
        <v>225818.55000000002</v>
      </c>
      <c r="G13" s="20">
        <f>+'[1]Nómina y honorarios 2017'!S96</f>
        <v>677455.65</v>
      </c>
      <c r="H13" s="21">
        <f t="shared" si="2"/>
        <v>2258185.5</v>
      </c>
      <c r="I13" s="20">
        <v>0</v>
      </c>
      <c r="J13" s="20">
        <f t="shared" si="3"/>
        <v>2258185.5</v>
      </c>
      <c r="K13" s="20">
        <v>1580731</v>
      </c>
      <c r="L13" s="20">
        <f t="shared" si="1"/>
        <v>-677454.5</v>
      </c>
      <c r="M13" s="22">
        <f t="shared" si="4"/>
        <v>0.70000050925842894</v>
      </c>
    </row>
    <row r="14" spans="1:15" ht="14.25" x14ac:dyDescent="0.2">
      <c r="A14" s="19" t="s">
        <v>24</v>
      </c>
      <c r="B14" s="20">
        <f>+'[1]Nómina y honorarios 2017'!L21+244234</f>
        <v>15087817.884375002</v>
      </c>
      <c r="C14" s="20">
        <f>+'[1]Nómina y honorarios 2017'!L48+89917</f>
        <v>3280273.5181250004</v>
      </c>
      <c r="D14" s="20">
        <f>+'[1]Nómina y honorarios 2017'!L57+69139</f>
        <v>2527067.5812500003</v>
      </c>
      <c r="E14" s="20">
        <f>+'[1]Nómina y honorarios 2017'!L65+17432</f>
        <v>631901.09937500011</v>
      </c>
      <c r="F14" s="20">
        <f>+'[1]Nómina y honorarios 2017'!L39+72766</f>
        <v>2658561.4006250002</v>
      </c>
      <c r="G14" s="20">
        <f>+'[1]Nómina y honorarios 2017'!L69+170321</f>
        <v>15742892.392500002</v>
      </c>
      <c r="H14" s="21">
        <f t="shared" si="2"/>
        <v>39928513.876250006</v>
      </c>
      <c r="I14" s="20">
        <f>+'[1]Nómina y honorarios 2017'!L12+74707</f>
        <v>2708146.375</v>
      </c>
      <c r="J14" s="20">
        <f t="shared" si="3"/>
        <v>42636660.251250006</v>
      </c>
      <c r="K14" s="20">
        <v>41418924</v>
      </c>
      <c r="L14" s="20">
        <f t="shared" si="1"/>
        <v>-1217736.2512500063</v>
      </c>
      <c r="M14" s="22">
        <f t="shared" si="4"/>
        <v>0.97143922051881859</v>
      </c>
      <c r="N14" s="25"/>
      <c r="O14" s="25"/>
    </row>
    <row r="15" spans="1:15" ht="14.25" x14ac:dyDescent="0.2">
      <c r="A15" s="19" t="s">
        <v>25</v>
      </c>
      <c r="B15" s="20">
        <f>+'[1]Nómina y honorarios 2017'!M21+29308</f>
        <v>1810538.0661250001</v>
      </c>
      <c r="C15" s="20">
        <f>+'[1]Nómina y honorarios 2017'!M48+10790</f>
        <v>393632.78217500006</v>
      </c>
      <c r="D15" s="20">
        <f>+'[1]Nómina y honorarios 2017'!M57+8297</f>
        <v>303248.42975000001</v>
      </c>
      <c r="E15" s="20">
        <f>+'[1]Nómina y honorarios 2017'!M65+2092</f>
        <v>75828.291925000012</v>
      </c>
      <c r="F15" s="20">
        <f>+'[1]Nómina y honorarios 2017'!M39+8732</f>
        <v>319027.44807500002</v>
      </c>
      <c r="G15" s="20">
        <f>+'[1]Nómina y honorarios 2017'!M69+20439</f>
        <v>1889147.5671000001</v>
      </c>
      <c r="H15" s="21">
        <f t="shared" si="2"/>
        <v>4791422.5851500006</v>
      </c>
      <c r="I15" s="20">
        <f>+'[1]Nómina y honorarios 2017'!M12+8965</f>
        <v>324977.72499999998</v>
      </c>
      <c r="J15" s="20">
        <f t="shared" si="3"/>
        <v>5116400.3101500003</v>
      </c>
      <c r="K15" s="20">
        <v>4965890</v>
      </c>
      <c r="L15" s="20">
        <f t="shared" si="1"/>
        <v>-150510.31015000027</v>
      </c>
      <c r="M15" s="22">
        <f t="shared" si="4"/>
        <v>0.97058277284296635</v>
      </c>
      <c r="N15" s="25"/>
      <c r="O15" s="25"/>
    </row>
    <row r="16" spans="1:15" ht="14.25" x14ac:dyDescent="0.2">
      <c r="A16" s="19" t="s">
        <v>26</v>
      </c>
      <c r="B16" s="20">
        <f>+'[1]Nómina y honorarios 2017'!S21+747451</f>
        <v>42924668.59304861</v>
      </c>
      <c r="C16" s="20">
        <f>+'[1]Nómina y honorarios 2017'!S48+353820</f>
        <v>12791422.154520301</v>
      </c>
      <c r="D16" s="20">
        <f>+'[1]Nómina y honorarios 2017'!S57+301259</f>
        <v>10891209.14384195</v>
      </c>
      <c r="E16" s="20">
        <f>+'[1]Nómina y honorarios 2017'!S65+44096</f>
        <v>1594180.3288473503</v>
      </c>
      <c r="F16" s="20">
        <f>+'[1]Nómina y honorarios 2017'!S39+310435</f>
        <v>11222947.0970701</v>
      </c>
      <c r="G16" s="20">
        <f>+'[1]Nómina y honorarios 2017'!S69+566871</f>
        <v>45070380.011779666</v>
      </c>
      <c r="H16" s="21">
        <f t="shared" si="2"/>
        <v>124494807.32910797</v>
      </c>
      <c r="I16" s="20">
        <f>+'[1]Nómina y honorarios 2017'!S12+188984</f>
        <v>7984989.3634339999</v>
      </c>
      <c r="J16" s="20">
        <f t="shared" si="3"/>
        <v>132479796.69254197</v>
      </c>
      <c r="K16" s="20">
        <v>128428299</v>
      </c>
      <c r="L16" s="20">
        <f t="shared" si="1"/>
        <v>-4051497.6925419718</v>
      </c>
      <c r="M16" s="22">
        <f t="shared" si="4"/>
        <v>0.96941799584773936</v>
      </c>
    </row>
    <row r="17" spans="1:13" ht="14.25" x14ac:dyDescent="0.2">
      <c r="A17" s="19" t="s">
        <v>27</v>
      </c>
      <c r="B17" s="20">
        <f>+'[1]Nómina y honorarios 2017'!U21+150623</f>
        <v>8609509.9657600019</v>
      </c>
      <c r="C17" s="20">
        <f>+'[1]Nómina y honorarios 2017'!U48+71613</f>
        <v>2595973.3142400002</v>
      </c>
      <c r="D17" s="20">
        <f>+'[1]Nómina y honorarios 2017'!U57+60979</f>
        <v>2210336.21056</v>
      </c>
      <c r="E17" s="20">
        <f>+'[1]Nómina y honorarios 2017'!U65+8925</f>
        <v>323533.17888000008</v>
      </c>
      <c r="F17" s="20">
        <f>+'[1]Nómina y honorarios 2017'!U39+62832</f>
        <v>2277657.0220800005</v>
      </c>
      <c r="G17" s="20">
        <f>+'[1]Nómina y honorarios 2017'!U69+112780</f>
        <v>8955550.4899199996</v>
      </c>
      <c r="H17" s="21">
        <f t="shared" si="2"/>
        <v>24972560.181439999</v>
      </c>
      <c r="I17" s="20">
        <f>+'[1]Nómina y honorarios 2017'!U12+38250</f>
        <v>1386570.9600000002</v>
      </c>
      <c r="J17" s="20">
        <f t="shared" si="3"/>
        <v>26359131.14144</v>
      </c>
      <c r="K17" s="20">
        <v>24181100</v>
      </c>
      <c r="L17" s="20">
        <f t="shared" si="1"/>
        <v>-2178031.1414400004</v>
      </c>
      <c r="M17" s="22">
        <f t="shared" si="4"/>
        <v>0.91737090537040311</v>
      </c>
    </row>
    <row r="18" spans="1:13" ht="14.25" x14ac:dyDescent="0.2">
      <c r="A18" s="19" t="s">
        <v>28</v>
      </c>
      <c r="B18" s="20">
        <f>+'[1]Nómina y honorarios 2017'!X21+188279</f>
        <v>10761887.707200002</v>
      </c>
      <c r="C18" s="20">
        <f>+'[1]Nómina y honorarios 2017'!X48+89516</f>
        <v>3244966.3928000005</v>
      </c>
      <c r="D18" s="20">
        <f>+'[1]Nómina y honorarios 2017'!X57+76218</f>
        <v>2762914.5132000004</v>
      </c>
      <c r="E18" s="20">
        <f>+'[1]Nómina y honorarios 2017'!X65+11156</f>
        <v>404416.22360000008</v>
      </c>
      <c r="F18" s="20">
        <f>+'[1]Nómina y honorarios 2017'!X39+78540</f>
        <v>2847071.2776000006</v>
      </c>
      <c r="G18" s="20">
        <f>+'[1]Nómina y honorarios 2017'!X69+140975</f>
        <v>11194438.112400001</v>
      </c>
      <c r="H18" s="21">
        <f t="shared" si="2"/>
        <v>31215694.226800006</v>
      </c>
      <c r="I18" s="20">
        <f>+'[1]Nómina y honorarios 2017'!X12+47813</f>
        <v>1733214.2000000002</v>
      </c>
      <c r="J18" s="20">
        <f t="shared" si="3"/>
        <v>32948908.426800005</v>
      </c>
      <c r="K18" s="20">
        <v>30243000</v>
      </c>
      <c r="L18" s="20">
        <f t="shared" si="1"/>
        <v>-2705908.4268000051</v>
      </c>
      <c r="M18" s="22">
        <f t="shared" si="4"/>
        <v>0.91787562757013608</v>
      </c>
    </row>
    <row r="19" spans="1:13" ht="15" x14ac:dyDescent="0.25">
      <c r="A19" s="26" t="s">
        <v>29</v>
      </c>
      <c r="B19" s="27">
        <f t="shared" ref="B19:G19" si="5">SUM(B9:B18)</f>
        <v>332072176.22744614</v>
      </c>
      <c r="C19" s="27">
        <f t="shared" si="5"/>
        <v>99145617.003422812</v>
      </c>
      <c r="D19" s="27">
        <f t="shared" si="5"/>
        <v>85366536.572351947</v>
      </c>
      <c r="E19" s="27">
        <f t="shared" si="5"/>
        <v>11559939.964189854</v>
      </c>
      <c r="F19" s="27">
        <f t="shared" si="5"/>
        <v>87772076.000762612</v>
      </c>
      <c r="G19" s="27">
        <f t="shared" si="5"/>
        <v>346709641.31932473</v>
      </c>
      <c r="H19" s="27">
        <f t="shared" si="2"/>
        <v>962625987.08749807</v>
      </c>
      <c r="I19" s="27">
        <f>SUM(I9:I18)</f>
        <v>93468022.242600664</v>
      </c>
      <c r="J19" s="27">
        <f>SUM(J9:J18)</f>
        <v>1056094009.330099</v>
      </c>
      <c r="K19" s="27">
        <f>SUM(K9:K18)</f>
        <v>1002068463</v>
      </c>
      <c r="L19" s="27">
        <f t="shared" si="1"/>
        <v>-54025546.330098987</v>
      </c>
      <c r="M19" s="18">
        <f t="shared" si="4"/>
        <v>0.94884399887433468</v>
      </c>
    </row>
    <row r="20" spans="1:13" ht="15" x14ac:dyDescent="0.25">
      <c r="A20" s="13" t="s">
        <v>30</v>
      </c>
      <c r="B20" s="20"/>
      <c r="C20" s="20"/>
      <c r="D20" s="20"/>
      <c r="E20" s="20"/>
      <c r="F20" s="20"/>
      <c r="G20" s="20"/>
      <c r="H20" s="20"/>
      <c r="I20" s="27"/>
      <c r="J20" s="20"/>
      <c r="K20" s="20"/>
      <c r="L20" s="20"/>
      <c r="M20" s="18"/>
    </row>
    <row r="21" spans="1:13" ht="14.25" x14ac:dyDescent="0.2">
      <c r="A21" s="28" t="s">
        <v>31</v>
      </c>
      <c r="B21" s="29">
        <f>+[1]Funcionamiento!I10</f>
        <v>39353572</v>
      </c>
      <c r="C21" s="29">
        <f>+[1]Funcionamiento!J10</f>
        <v>0</v>
      </c>
      <c r="D21" s="29">
        <v>0</v>
      </c>
      <c r="E21" s="29">
        <v>0</v>
      </c>
      <c r="F21" s="29">
        <f>+[1]Funcionamiento!L10</f>
        <v>5000000</v>
      </c>
      <c r="G21" s="29">
        <f>+[1]Funcionamiento!G10</f>
        <v>500000</v>
      </c>
      <c r="H21" s="29">
        <f t="shared" ref="H21:H33" si="6">+B21+C21+D21+G21+E21+F21</f>
        <v>44853572</v>
      </c>
      <c r="I21" s="20">
        <f>+[1]Funcionamiento!F10</f>
        <v>36489105.528750002</v>
      </c>
      <c r="J21" s="20">
        <f>+I21+H21</f>
        <v>81342677.528750002</v>
      </c>
      <c r="K21" s="20">
        <v>65078640</v>
      </c>
      <c r="L21" s="20">
        <f t="shared" ref="L21:L35" si="7">+K21-J21</f>
        <v>-16264037.528750002</v>
      </c>
      <c r="M21" s="22">
        <f t="shared" ref="M21:M37" si="8">IFERROR(K21/J21,0)</f>
        <v>0.80005529664300035</v>
      </c>
    </row>
    <row r="22" spans="1:13" ht="14.25" x14ac:dyDescent="0.2">
      <c r="A22" s="28" t="s">
        <v>32</v>
      </c>
      <c r="B22" s="20">
        <f>+[1]Funcionamiento!I24</f>
        <v>0</v>
      </c>
      <c r="C22" s="29">
        <f>+[1]Funcionamiento!J24</f>
        <v>1300000</v>
      </c>
      <c r="D22" s="29">
        <v>0</v>
      </c>
      <c r="E22" s="20">
        <f>+[1]Funcionamiento!H24</f>
        <v>0</v>
      </c>
      <c r="F22" s="29">
        <f>+[1]Funcionamiento!L24</f>
        <v>0</v>
      </c>
      <c r="G22" s="20">
        <f>+[1]Funcionamiento!G24</f>
        <v>3000000</v>
      </c>
      <c r="H22" s="29">
        <f t="shared" si="6"/>
        <v>4300000</v>
      </c>
      <c r="I22" s="20">
        <f>+[1]Funcionamiento!F24</f>
        <v>3197455.6781250006</v>
      </c>
      <c r="J22" s="20">
        <f t="shared" ref="J22:J35" si="9">+H22+I22</f>
        <v>7497455.6781250006</v>
      </c>
      <c r="K22" s="20">
        <v>3900842</v>
      </c>
      <c r="L22" s="20">
        <f t="shared" si="7"/>
        <v>-3596613.6781250006</v>
      </c>
      <c r="M22" s="22">
        <f t="shared" si="8"/>
        <v>0.52028877094683157</v>
      </c>
    </row>
    <row r="23" spans="1:13" ht="14.25" x14ac:dyDescent="0.2">
      <c r="A23" s="28" t="s">
        <v>33</v>
      </c>
      <c r="B23" s="29">
        <f>+[1]Funcionamiento!I14</f>
        <v>0</v>
      </c>
      <c r="C23" s="29">
        <v>0</v>
      </c>
      <c r="D23" s="29">
        <v>0</v>
      </c>
      <c r="E23" s="29">
        <v>0</v>
      </c>
      <c r="F23" s="29"/>
      <c r="G23" s="29">
        <f>+[1]Funcionamiento!G14</f>
        <v>3000000</v>
      </c>
      <c r="H23" s="29">
        <f t="shared" si="6"/>
        <v>3000000</v>
      </c>
      <c r="I23" s="20">
        <f>+[1]Funcionamiento!F14</f>
        <v>5399350.4531250009</v>
      </c>
      <c r="J23" s="20">
        <f t="shared" si="9"/>
        <v>8399350.453125</v>
      </c>
      <c r="K23" s="20">
        <v>6277556</v>
      </c>
      <c r="L23" s="20">
        <f t="shared" si="7"/>
        <v>-2121794.453125</v>
      </c>
      <c r="M23" s="22">
        <f t="shared" si="8"/>
        <v>0.74738588835335706</v>
      </c>
    </row>
    <row r="24" spans="1:13" ht="14.25" x14ac:dyDescent="0.2">
      <c r="A24" s="28" t="s">
        <v>34</v>
      </c>
      <c r="B24" s="20">
        <f>+[1]Funcionamiento!I26</f>
        <v>3650000</v>
      </c>
      <c r="C24" s="29">
        <f>+[1]Funcionamiento!J26</f>
        <v>2984460.3731250004</v>
      </c>
      <c r="D24" s="29">
        <f>+[1]Funcionamiento!K26</f>
        <v>1790741.1543750002</v>
      </c>
      <c r="E24" s="29">
        <f>+[1]Funcionamiento!H26</f>
        <v>1000000</v>
      </c>
      <c r="F24" s="29">
        <f>+[1]Funcionamiento!L26</f>
        <v>5644686</v>
      </c>
      <c r="G24" s="29">
        <f>+[1]Funcionamiento!G26</f>
        <v>55000000</v>
      </c>
      <c r="H24" s="29">
        <f t="shared" si="6"/>
        <v>70069887.527500004</v>
      </c>
      <c r="I24" s="20">
        <f>+[1]Funcionamiento!F26</f>
        <v>12232243.570500001</v>
      </c>
      <c r="J24" s="20">
        <f t="shared" si="9"/>
        <v>82302131.098000005</v>
      </c>
      <c r="K24" s="20">
        <v>61601573</v>
      </c>
      <c r="L24" s="20">
        <f t="shared" si="7"/>
        <v>-20700558.098000005</v>
      </c>
      <c r="M24" s="22">
        <f t="shared" si="8"/>
        <v>0.74848089810273399</v>
      </c>
    </row>
    <row r="25" spans="1:13" ht="14.25" x14ac:dyDescent="0.2">
      <c r="A25" s="28" t="s">
        <v>35</v>
      </c>
      <c r="B25" s="29">
        <f>+[1]Funcionamiento!I28</f>
        <v>250000</v>
      </c>
      <c r="C25" s="29">
        <f>+[1]Funcionamiento!J28</f>
        <v>677324.25</v>
      </c>
      <c r="D25" s="29">
        <f>+[1]Funcionamiento!K28</f>
        <v>528750</v>
      </c>
      <c r="E25" s="29">
        <v>0</v>
      </c>
      <c r="F25" s="29">
        <f>+[1]Funcionamiento!L28</f>
        <v>764000</v>
      </c>
      <c r="G25" s="29">
        <f>+[1]Funcionamiento!G28</f>
        <v>700000</v>
      </c>
      <c r="H25" s="29">
        <f t="shared" si="6"/>
        <v>2920074.25</v>
      </c>
      <c r="I25" s="20">
        <f>+[1]Funcionamiento!F28</f>
        <v>1280488.944375</v>
      </c>
      <c r="J25" s="20">
        <f t="shared" si="9"/>
        <v>4200563.194375</v>
      </c>
      <c r="K25" s="20">
        <v>2507400</v>
      </c>
      <c r="L25" s="20">
        <f t="shared" si="7"/>
        <v>-1693163.194375</v>
      </c>
      <c r="M25" s="22">
        <f t="shared" si="8"/>
        <v>0.59691995667573217</v>
      </c>
    </row>
    <row r="26" spans="1:13" ht="14.25" x14ac:dyDescent="0.2">
      <c r="A26" s="19" t="s">
        <v>36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f t="shared" si="6"/>
        <v>0</v>
      </c>
      <c r="I26" s="20">
        <f>+[1]Funcionamiento!F8</f>
        <v>9795047</v>
      </c>
      <c r="J26" s="20">
        <f t="shared" si="9"/>
        <v>9795047</v>
      </c>
      <c r="K26" s="20">
        <v>8261700</v>
      </c>
      <c r="L26" s="20">
        <f t="shared" si="7"/>
        <v>-1533347</v>
      </c>
      <c r="M26" s="22">
        <f t="shared" si="8"/>
        <v>0.84345690224865688</v>
      </c>
    </row>
    <row r="27" spans="1:13" ht="14.25" x14ac:dyDescent="0.2">
      <c r="A27" s="28" t="s">
        <v>37</v>
      </c>
      <c r="B27" s="29">
        <f>+[1]Funcionamiento!I16</f>
        <v>2184723.2250000001</v>
      </c>
      <c r="C27" s="29">
        <f>+[1]Funcionamiento!J16</f>
        <v>2184723.2250000001</v>
      </c>
      <c r="D27" s="29">
        <f>+[1]Funcionamiento!K16</f>
        <v>2184723.2250000001</v>
      </c>
      <c r="E27" s="29">
        <f>+[1]Funcionamiento!H16</f>
        <v>2184723.2250000001</v>
      </c>
      <c r="F27" s="29">
        <f>+[1]Funcionamiento!L16</f>
        <v>2184723.2250000001</v>
      </c>
      <c r="G27" s="29">
        <f>+[1]Funcionamiento!G16</f>
        <v>2184723.2250000001</v>
      </c>
      <c r="H27" s="29">
        <f t="shared" si="6"/>
        <v>13108339.35</v>
      </c>
      <c r="I27" s="20">
        <f>+[1]Funcionamiento!F16</f>
        <v>5847953.7206250001</v>
      </c>
      <c r="J27" s="20">
        <f t="shared" si="9"/>
        <v>18956293.070625</v>
      </c>
      <c r="K27" s="20">
        <v>15293053</v>
      </c>
      <c r="L27" s="20">
        <f t="shared" si="7"/>
        <v>-3663240.0706249997</v>
      </c>
      <c r="M27" s="22">
        <f t="shared" si="8"/>
        <v>0.80675335325440711</v>
      </c>
    </row>
    <row r="28" spans="1:13" ht="14.25" x14ac:dyDescent="0.2">
      <c r="A28" s="28" t="s">
        <v>38</v>
      </c>
      <c r="B28" s="29">
        <f>+[1]Funcionamiento!I30</f>
        <v>1500000</v>
      </c>
      <c r="C28" s="29">
        <f>+[1]Funcionamiento!J30</f>
        <v>200000</v>
      </c>
      <c r="D28" s="29">
        <f>+[1]Funcionamiento!K30</f>
        <v>1321875.0000000002</v>
      </c>
      <c r="E28" s="29">
        <f>+[1]Funcionamiento!H30</f>
        <v>0</v>
      </c>
      <c r="F28" s="29"/>
      <c r="G28" s="29">
        <f>+[1]Funcionamiento!G30+2000000</f>
        <v>7000000</v>
      </c>
      <c r="H28" s="29">
        <f t="shared" si="6"/>
        <v>10021875</v>
      </c>
      <c r="I28" s="20">
        <f>+[1]Funcionamiento!F30</f>
        <v>6210010.125</v>
      </c>
      <c r="J28" s="20">
        <f t="shared" si="9"/>
        <v>16231885.125</v>
      </c>
      <c r="K28" s="20">
        <v>11162820</v>
      </c>
      <c r="L28" s="20">
        <f t="shared" si="7"/>
        <v>-5069065.125</v>
      </c>
      <c r="M28" s="22">
        <f t="shared" si="8"/>
        <v>0.68770940122088864</v>
      </c>
    </row>
    <row r="29" spans="1:13" ht="14.25" x14ac:dyDescent="0.2">
      <c r="A29" s="28" t="s">
        <v>39</v>
      </c>
      <c r="B29" s="29">
        <v>0</v>
      </c>
      <c r="C29" s="29">
        <v>0</v>
      </c>
      <c r="D29" s="29">
        <v>0</v>
      </c>
      <c r="E29" s="29"/>
      <c r="F29" s="29"/>
      <c r="G29" s="29">
        <f>+[1]Funcionamiento!G34</f>
        <v>17500000</v>
      </c>
      <c r="H29" s="29">
        <f t="shared" si="6"/>
        <v>17500000</v>
      </c>
      <c r="I29" s="20">
        <f>+[1]Funcionamiento!F34</f>
        <v>29838204.743125003</v>
      </c>
      <c r="J29" s="20">
        <f t="shared" si="9"/>
        <v>47338204.743125007</v>
      </c>
      <c r="K29" s="20">
        <v>45614059</v>
      </c>
      <c r="L29" s="20">
        <f t="shared" si="7"/>
        <v>-1724145.7431250066</v>
      </c>
      <c r="M29" s="22">
        <f t="shared" si="8"/>
        <v>0.96357813414173876</v>
      </c>
    </row>
    <row r="30" spans="1:13" ht="14.25" x14ac:dyDescent="0.2">
      <c r="A30" s="28" t="s">
        <v>40</v>
      </c>
      <c r="B30" s="20">
        <f>+[1]Funcionamiento!I22</f>
        <v>5000000</v>
      </c>
      <c r="C30" s="20">
        <f>+[1]Funcionamiento!J22</f>
        <v>4585921.7175000003</v>
      </c>
      <c r="D30" s="20">
        <f>+[1]Funcionamiento!K22</f>
        <v>2178711.4668750004</v>
      </c>
      <c r="E30" s="20"/>
      <c r="F30" s="29">
        <f>+[1]Funcionamiento!L22</f>
        <v>6000000</v>
      </c>
      <c r="G30" s="20">
        <f>+[1]Funcionamiento!G22</f>
        <v>93100000</v>
      </c>
      <c r="H30" s="29">
        <f t="shared" si="6"/>
        <v>110864633.184375</v>
      </c>
      <c r="I30" s="20">
        <f>+[1]Funcionamiento!F22</f>
        <v>6673125</v>
      </c>
      <c r="J30" s="20">
        <f t="shared" si="9"/>
        <v>117537758.184375</v>
      </c>
      <c r="K30" s="20">
        <v>85835361</v>
      </c>
      <c r="L30" s="20">
        <f t="shared" si="7"/>
        <v>-31702397.184375003</v>
      </c>
      <c r="M30" s="22">
        <f t="shared" si="8"/>
        <v>0.73027903820791618</v>
      </c>
    </row>
    <row r="31" spans="1:13" ht="14.25" x14ac:dyDescent="0.2">
      <c r="A31" s="28" t="s">
        <v>41</v>
      </c>
      <c r="B31" s="29">
        <v>0</v>
      </c>
      <c r="C31" s="29">
        <v>0</v>
      </c>
      <c r="D31" s="29">
        <v>0</v>
      </c>
      <c r="E31" s="29"/>
      <c r="F31" s="29"/>
      <c r="G31" s="29"/>
      <c r="H31" s="29">
        <f t="shared" si="6"/>
        <v>0</v>
      </c>
      <c r="I31" s="20">
        <f>+[1]Funcionamiento!F12</f>
        <v>1937049</v>
      </c>
      <c r="J31" s="20">
        <f t="shared" si="9"/>
        <v>1937049</v>
      </c>
      <c r="K31" s="20">
        <v>1891073</v>
      </c>
      <c r="L31" s="20">
        <f t="shared" si="7"/>
        <v>-45976</v>
      </c>
      <c r="M31" s="22">
        <f t="shared" si="8"/>
        <v>0.97626492670035714</v>
      </c>
    </row>
    <row r="32" spans="1:13" ht="14.25" x14ac:dyDescent="0.2">
      <c r="A32" s="28" t="s">
        <v>42</v>
      </c>
      <c r="B32" s="20">
        <f>+[1]Funcionamiento!I18</f>
        <v>2750030.6006250004</v>
      </c>
      <c r="C32" s="20">
        <f>+[1]Funcionamiento!J18</f>
        <v>1069456.359375</v>
      </c>
      <c r="D32" s="20">
        <f>+[1]Funcionamiento!K18</f>
        <v>458338.47750000004</v>
      </c>
      <c r="E32" s="20"/>
      <c r="F32" s="20">
        <f>+[1]Funcionamiento!L18</f>
        <v>2750030.6006250004</v>
      </c>
      <c r="G32" s="20">
        <f>+[1]Funcionamiento!G18</f>
        <v>2472713.1225000001</v>
      </c>
      <c r="H32" s="29">
        <f t="shared" si="6"/>
        <v>9500569.1606250014</v>
      </c>
      <c r="I32" s="20">
        <f>+[1]Funcionamiento!F18</f>
        <v>7791753.588750001</v>
      </c>
      <c r="J32" s="20">
        <f t="shared" si="9"/>
        <v>17292322.749375001</v>
      </c>
      <c r="K32" s="20">
        <v>14938491</v>
      </c>
      <c r="L32" s="20">
        <f t="shared" si="7"/>
        <v>-2353831.7493750006</v>
      </c>
      <c r="M32" s="22">
        <f t="shared" si="8"/>
        <v>0.86387995508237458</v>
      </c>
    </row>
    <row r="33" spans="1:13" ht="14.25" x14ac:dyDescent="0.2">
      <c r="A33" s="28" t="s">
        <v>43</v>
      </c>
      <c r="B33" s="29">
        <f>+[1]Funcionamiento!I20</f>
        <v>7027962</v>
      </c>
      <c r="C33" s="29">
        <v>0</v>
      </c>
      <c r="D33" s="29">
        <v>0</v>
      </c>
      <c r="E33" s="29"/>
      <c r="F33" s="29">
        <f>+[1]Funcionamiento!L20</f>
        <v>1000000</v>
      </c>
      <c r="G33" s="29">
        <f>+[1]Funcionamiento!G20</f>
        <v>2805523.2850000001</v>
      </c>
      <c r="H33" s="29">
        <f t="shared" si="6"/>
        <v>10833485.285</v>
      </c>
      <c r="I33" s="20">
        <f>+[1]Funcionamiento!F20</f>
        <v>14115875.972500002</v>
      </c>
      <c r="J33" s="20">
        <f t="shared" si="9"/>
        <v>24949361.2575</v>
      </c>
      <c r="K33" s="20">
        <v>17669139</v>
      </c>
      <c r="L33" s="20">
        <f t="shared" si="7"/>
        <v>-7280222.2575000003</v>
      </c>
      <c r="M33" s="22">
        <f t="shared" si="8"/>
        <v>0.70820005440774558</v>
      </c>
    </row>
    <row r="34" spans="1:13" ht="14.25" x14ac:dyDescent="0.2">
      <c r="A34" s="28" t="s">
        <v>44</v>
      </c>
      <c r="B34" s="29">
        <v>0</v>
      </c>
      <c r="C34" s="29">
        <v>0</v>
      </c>
      <c r="D34" s="29">
        <v>0</v>
      </c>
      <c r="E34" s="29"/>
      <c r="F34" s="29"/>
      <c r="G34" s="29"/>
      <c r="H34" s="29">
        <f>+B34+C34+D34+G34+E34+F34</f>
        <v>0</v>
      </c>
      <c r="I34" s="20">
        <f>+[1]Funcionamiento!F36</f>
        <v>54171821.502499998</v>
      </c>
      <c r="J34" s="20">
        <f t="shared" si="9"/>
        <v>54171821.502499998</v>
      </c>
      <c r="K34" s="20">
        <v>0</v>
      </c>
      <c r="L34" s="20">
        <f t="shared" si="7"/>
        <v>-54171821.502499998</v>
      </c>
      <c r="M34" s="22">
        <f t="shared" si="8"/>
        <v>0</v>
      </c>
    </row>
    <row r="35" spans="1:13" ht="14.25" x14ac:dyDescent="0.2">
      <c r="A35" s="28" t="s">
        <v>45</v>
      </c>
      <c r="B35" s="29">
        <v>0</v>
      </c>
      <c r="C35" s="29">
        <v>0</v>
      </c>
      <c r="D35" s="29">
        <v>0</v>
      </c>
      <c r="E35" s="29"/>
      <c r="F35" s="29"/>
      <c r="G35" s="29"/>
      <c r="H35" s="29">
        <f>+B35+C35+D35+G35+E35+F35</f>
        <v>0</v>
      </c>
      <c r="I35" s="20">
        <f>+[1]Funcionamiento!F32</f>
        <v>6924146.7250000006</v>
      </c>
      <c r="J35" s="20">
        <f t="shared" si="9"/>
        <v>6924146.7250000006</v>
      </c>
      <c r="K35" s="20">
        <v>1346680</v>
      </c>
      <c r="L35" s="20">
        <f t="shared" si="7"/>
        <v>-5577466.7250000006</v>
      </c>
      <c r="M35" s="22">
        <f t="shared" si="8"/>
        <v>0.19449039043868613</v>
      </c>
    </row>
    <row r="36" spans="1:13" ht="15" x14ac:dyDescent="0.25">
      <c r="A36" s="26" t="s">
        <v>46</v>
      </c>
      <c r="B36" s="27">
        <f t="shared" ref="B36:K36" si="10">SUM(B21:B35)</f>
        <v>61716287.825625002</v>
      </c>
      <c r="C36" s="27">
        <f t="shared" si="10"/>
        <v>13001885.925000001</v>
      </c>
      <c r="D36" s="27">
        <f t="shared" si="10"/>
        <v>8463139.3237500004</v>
      </c>
      <c r="E36" s="27">
        <f t="shared" si="10"/>
        <v>3184723.2250000001</v>
      </c>
      <c r="F36" s="27">
        <f t="shared" si="10"/>
        <v>23343439.825625002</v>
      </c>
      <c r="G36" s="27">
        <f t="shared" si="10"/>
        <v>187262959.63249999</v>
      </c>
      <c r="H36" s="30">
        <f t="shared" si="10"/>
        <v>296972435.75749999</v>
      </c>
      <c r="I36" s="27">
        <f>SUM(I21:I35)</f>
        <v>201903631.55237502</v>
      </c>
      <c r="J36" s="27">
        <f t="shared" si="10"/>
        <v>498876067.30987501</v>
      </c>
      <c r="K36" s="27">
        <f t="shared" si="10"/>
        <v>341378387</v>
      </c>
      <c r="L36" s="27">
        <f>+K36-J36</f>
        <v>-157497680.30987501</v>
      </c>
      <c r="M36" s="18">
        <f t="shared" si="8"/>
        <v>0.68429497698865172</v>
      </c>
    </row>
    <row r="37" spans="1:13" ht="15" x14ac:dyDescent="0.25">
      <c r="A37" s="31" t="s">
        <v>47</v>
      </c>
      <c r="B37" s="32">
        <f t="shared" ref="B37:G37" si="11">+B36+B19</f>
        <v>393788464.05307114</v>
      </c>
      <c r="C37" s="32">
        <f t="shared" si="11"/>
        <v>112147502.92842281</v>
      </c>
      <c r="D37" s="32">
        <f t="shared" si="11"/>
        <v>93829675.896101952</v>
      </c>
      <c r="E37" s="32">
        <f t="shared" si="11"/>
        <v>14744663.189189853</v>
      </c>
      <c r="F37" s="32">
        <f t="shared" si="11"/>
        <v>111115515.82638761</v>
      </c>
      <c r="G37" s="32">
        <f t="shared" si="11"/>
        <v>533972600.95182472</v>
      </c>
      <c r="H37" s="33">
        <f>+B37+C37+D37+G37+E37+F37</f>
        <v>1259598422.8449981</v>
      </c>
      <c r="I37" s="32">
        <f>+I36+I19</f>
        <v>295371653.7949757</v>
      </c>
      <c r="J37" s="32">
        <f>+J36+J19</f>
        <v>1554970076.6399741</v>
      </c>
      <c r="K37" s="32">
        <f>+K36+K19</f>
        <v>1343446850</v>
      </c>
      <c r="L37" s="32">
        <f>+K37-J37</f>
        <v>-211523226.63997412</v>
      </c>
      <c r="M37" s="34">
        <f t="shared" si="8"/>
        <v>0.86396958384109879</v>
      </c>
    </row>
    <row r="38" spans="1:13" ht="1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</row>
    <row r="39" spans="1:13" ht="15" x14ac:dyDescent="0.25">
      <c r="A39" s="38" t="s">
        <v>48</v>
      </c>
      <c r="B39" s="39">
        <f>+B41</f>
        <v>1220601869.4188795</v>
      </c>
      <c r="C39" s="39">
        <f>+C135</f>
        <v>464973993.38000005</v>
      </c>
      <c r="D39" s="39">
        <f>+D149</f>
        <v>596696804</v>
      </c>
      <c r="E39" s="39">
        <f>+E184</f>
        <v>252500000</v>
      </c>
      <c r="F39" s="39">
        <f>+F74</f>
        <v>2864434830.6456461</v>
      </c>
      <c r="G39" s="39">
        <f>+G112</f>
        <v>3635352413</v>
      </c>
      <c r="H39" s="39">
        <f>+B39+C39+D39+G39+E39+F39</f>
        <v>9034559910.4445267</v>
      </c>
      <c r="I39" s="39">
        <v>0</v>
      </c>
      <c r="J39" s="39">
        <f>+I39+H39</f>
        <v>9034559910.4445267</v>
      </c>
      <c r="K39" s="39">
        <f>+K41+K74+K112+K135+K149+K184</f>
        <v>7229960450.21</v>
      </c>
      <c r="L39" s="39">
        <f>+K39-J39</f>
        <v>-1804599460.2345266</v>
      </c>
      <c r="M39" s="40">
        <f>IFERROR(K39/J39,0)</f>
        <v>0.80025596397359711</v>
      </c>
    </row>
    <row r="40" spans="1:13" ht="15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40"/>
    </row>
    <row r="41" spans="1:13" ht="15" x14ac:dyDescent="0.25">
      <c r="A41" s="38" t="s">
        <v>49</v>
      </c>
      <c r="B41" s="39">
        <f>+B42+B45+B58+B62+B66+B70</f>
        <v>1220601869.4188795</v>
      </c>
      <c r="C41" s="39"/>
      <c r="D41" s="39"/>
      <c r="E41" s="39"/>
      <c r="F41" s="39"/>
      <c r="G41" s="39"/>
      <c r="H41" s="39">
        <f>+H42+H45+H58+H62+H66+H70</f>
        <v>1220601869.4188795</v>
      </c>
      <c r="I41" s="39"/>
      <c r="J41" s="39">
        <f>+J42+J45+J58+J62+J66+J70</f>
        <v>1220601869.4188795</v>
      </c>
      <c r="K41" s="39">
        <f>+K42+K45+K58+K62+K66+K70</f>
        <v>828338472.21000004</v>
      </c>
      <c r="L41" s="39">
        <f t="shared" ref="L41:L72" si="12">+K41-J41</f>
        <v>-392263397.20887947</v>
      </c>
      <c r="M41" s="18">
        <f t="shared" ref="M41:M72" si="13">IFERROR(K41/J41,0)</f>
        <v>0.67863116792076228</v>
      </c>
    </row>
    <row r="42" spans="1:13" s="42" customFormat="1" ht="15" x14ac:dyDescent="0.25">
      <c r="A42" s="41" t="s">
        <v>50</v>
      </c>
      <c r="B42" s="27">
        <f>+SUM(B43:B44)</f>
        <v>130215664.7175</v>
      </c>
      <c r="C42" s="27"/>
      <c r="D42" s="27"/>
      <c r="E42" s="27"/>
      <c r="F42" s="27"/>
      <c r="G42" s="27"/>
      <c r="H42" s="27">
        <f>+SUM(H43:H44)</f>
        <v>130215664.7175</v>
      </c>
      <c r="I42" s="27"/>
      <c r="J42" s="27">
        <f>+SUM(J43:J44)</f>
        <v>130215664.7175</v>
      </c>
      <c r="K42" s="27">
        <f>+SUM(K43:K44)</f>
        <v>67288520.209999993</v>
      </c>
      <c r="L42" s="27">
        <f t="shared" si="12"/>
        <v>-62927144.507500008</v>
      </c>
      <c r="M42" s="18">
        <f t="shared" si="13"/>
        <v>0.51674673977190799</v>
      </c>
    </row>
    <row r="43" spans="1:13" s="42" customFormat="1" ht="15" hidden="1" outlineLevel="1" x14ac:dyDescent="0.25">
      <c r="A43" s="43" t="s">
        <v>51</v>
      </c>
      <c r="B43" s="20">
        <f>+[2]Solicitud!$F$23</f>
        <v>130215664.7175</v>
      </c>
      <c r="C43" s="27"/>
      <c r="D43" s="27"/>
      <c r="E43" s="27"/>
      <c r="F43" s="27"/>
      <c r="G43" s="27"/>
      <c r="H43" s="20">
        <f>+B43+C43+D43+G43+E43+F43</f>
        <v>130215664.7175</v>
      </c>
      <c r="I43" s="27"/>
      <c r="J43" s="21">
        <f>+H43+I43</f>
        <v>130215664.7175</v>
      </c>
      <c r="K43" s="21">
        <v>67288520.209999993</v>
      </c>
      <c r="L43" s="21">
        <f t="shared" si="12"/>
        <v>-62927144.507500008</v>
      </c>
      <c r="M43" s="22">
        <f t="shared" si="13"/>
        <v>0.51674673977190799</v>
      </c>
    </row>
    <row r="44" spans="1:13" s="42" customFormat="1" ht="15" hidden="1" outlineLevel="1" x14ac:dyDescent="0.25">
      <c r="A44" s="43" t="s">
        <v>52</v>
      </c>
      <c r="B44" s="20"/>
      <c r="C44" s="27"/>
      <c r="D44" s="27"/>
      <c r="E44" s="27"/>
      <c r="F44" s="27"/>
      <c r="G44" s="27"/>
      <c r="H44" s="20">
        <f>+B44+C44+D44+G44+E44+F44</f>
        <v>0</v>
      </c>
      <c r="I44" s="27"/>
      <c r="J44" s="21">
        <f>+H44+I44</f>
        <v>0</v>
      </c>
      <c r="K44" s="21"/>
      <c r="L44" s="21">
        <f t="shared" si="12"/>
        <v>0</v>
      </c>
      <c r="M44" s="22">
        <f t="shared" si="13"/>
        <v>0</v>
      </c>
    </row>
    <row r="45" spans="1:13" s="42" customFormat="1" ht="15" collapsed="1" x14ac:dyDescent="0.25">
      <c r="A45" s="44" t="s">
        <v>53</v>
      </c>
      <c r="B45" s="17">
        <f>+B46+B47+B48+B57</f>
        <v>610609179.42499995</v>
      </c>
      <c r="C45" s="27"/>
      <c r="D45" s="27"/>
      <c r="E45" s="27"/>
      <c r="F45" s="27"/>
      <c r="G45" s="27"/>
      <c r="H45" s="17">
        <f>+H46+H47+H48+H57</f>
        <v>610609179.42499995</v>
      </c>
      <c r="I45" s="27"/>
      <c r="J45" s="17">
        <f>+J46+J48+J57+J47</f>
        <v>610609179.42499995</v>
      </c>
      <c r="K45" s="17">
        <f>+K46+K48+K57+K47+K50+K54+K55+K56</f>
        <v>453427303</v>
      </c>
      <c r="L45" s="17">
        <f t="shared" si="12"/>
        <v>-157181876.42499995</v>
      </c>
      <c r="M45" s="18">
        <f t="shared" si="13"/>
        <v>0.74258186460115883</v>
      </c>
    </row>
    <row r="46" spans="1:13" s="42" customFormat="1" ht="15" hidden="1" outlineLevel="1" x14ac:dyDescent="0.25">
      <c r="A46" s="43" t="s">
        <v>54</v>
      </c>
      <c r="B46" s="20">
        <f>+[2]Solicitud!$F$27-2000000</f>
        <v>99913755.424999997</v>
      </c>
      <c r="C46" s="27"/>
      <c r="D46" s="27"/>
      <c r="E46" s="27"/>
      <c r="F46" s="27"/>
      <c r="G46" s="27"/>
      <c r="H46" s="20">
        <f>+B46+C46+D46+G46+E46+F46</f>
        <v>99913755.424999997</v>
      </c>
      <c r="I46" s="27"/>
      <c r="J46" s="21">
        <f t="shared" ref="J46:J57" si="14">+H46+I46</f>
        <v>99913755.424999997</v>
      </c>
      <c r="K46" s="21">
        <v>92096203</v>
      </c>
      <c r="L46" s="21">
        <f t="shared" si="12"/>
        <v>-7817552.424999997</v>
      </c>
      <c r="M46" s="22">
        <f t="shared" si="13"/>
        <v>0.92175699540321832</v>
      </c>
    </row>
    <row r="47" spans="1:13" s="42" customFormat="1" ht="15" hidden="1" outlineLevel="1" x14ac:dyDescent="0.25">
      <c r="A47" s="43" t="s">
        <v>55</v>
      </c>
      <c r="B47" s="20">
        <f>+[2]Solicitud!$F$28+2000000</f>
        <v>43247201.5</v>
      </c>
      <c r="C47" s="27"/>
      <c r="D47" s="27"/>
      <c r="E47" s="27"/>
      <c r="F47" s="27"/>
      <c r="G47" s="27"/>
      <c r="H47" s="20">
        <f t="shared" ref="H47:H52" si="15">+B47+C47+D47+G47+E47+F47</f>
        <v>43247201.5</v>
      </c>
      <c r="I47" s="27"/>
      <c r="J47" s="21">
        <f t="shared" si="14"/>
        <v>43247201.5</v>
      </c>
      <c r="K47" s="21">
        <v>33749738</v>
      </c>
      <c r="L47" s="21">
        <f t="shared" si="12"/>
        <v>-9497463.5</v>
      </c>
      <c r="M47" s="22">
        <f t="shared" si="13"/>
        <v>0.78039125838003642</v>
      </c>
    </row>
    <row r="48" spans="1:13" s="42" customFormat="1" ht="15" hidden="1" outlineLevel="1" x14ac:dyDescent="0.25">
      <c r="A48" s="43" t="s">
        <v>56</v>
      </c>
      <c r="B48" s="17">
        <f>+B49+B53</f>
        <v>340000000</v>
      </c>
      <c r="C48" s="27"/>
      <c r="D48" s="27"/>
      <c r="E48" s="27"/>
      <c r="F48" s="27"/>
      <c r="G48" s="27"/>
      <c r="H48" s="17">
        <f>+B48+C48+D48+G48+E48+F48</f>
        <v>340000000</v>
      </c>
      <c r="I48" s="17"/>
      <c r="J48" s="17">
        <f>+H48+I48</f>
        <v>340000000</v>
      </c>
      <c r="K48" s="17">
        <f>+K49+K53</f>
        <v>0</v>
      </c>
      <c r="L48" s="17">
        <f t="shared" si="12"/>
        <v>-340000000</v>
      </c>
      <c r="M48" s="18">
        <f t="shared" si="13"/>
        <v>0</v>
      </c>
    </row>
    <row r="49" spans="1:13" s="42" customFormat="1" ht="15" hidden="1" outlineLevel="2" x14ac:dyDescent="0.25">
      <c r="A49" s="43" t="s">
        <v>57</v>
      </c>
      <c r="B49" s="20">
        <f>+B50+B51+B52</f>
        <v>240000000</v>
      </c>
      <c r="C49" s="27"/>
      <c r="D49" s="27"/>
      <c r="E49" s="27"/>
      <c r="F49" s="27"/>
      <c r="G49" s="27"/>
      <c r="H49" s="20">
        <f t="shared" si="15"/>
        <v>240000000</v>
      </c>
      <c r="I49" s="27"/>
      <c r="J49" s="21">
        <f t="shared" si="14"/>
        <v>240000000</v>
      </c>
      <c r="K49" s="20"/>
      <c r="L49" s="21">
        <f t="shared" si="12"/>
        <v>-240000000</v>
      </c>
      <c r="M49" s="22">
        <f t="shared" si="13"/>
        <v>0</v>
      </c>
    </row>
    <row r="50" spans="1:13" s="42" customFormat="1" ht="15" hidden="1" outlineLevel="2" x14ac:dyDescent="0.25">
      <c r="A50" s="43" t="s">
        <v>58</v>
      </c>
      <c r="B50" s="20">
        <f>+[2]Solicitud!$F$32</f>
        <v>190000000</v>
      </c>
      <c r="C50" s="27"/>
      <c r="D50" s="27"/>
      <c r="E50" s="27"/>
      <c r="F50" s="27"/>
      <c r="G50" s="27"/>
      <c r="H50" s="20">
        <f t="shared" si="15"/>
        <v>190000000</v>
      </c>
      <c r="I50" s="27"/>
      <c r="J50" s="21">
        <f t="shared" si="14"/>
        <v>190000000</v>
      </c>
      <c r="K50" s="21">
        <v>137360214</v>
      </c>
      <c r="L50" s="21">
        <f t="shared" si="12"/>
        <v>-52639786</v>
      </c>
      <c r="M50" s="22">
        <f t="shared" si="13"/>
        <v>0.72294849473684208</v>
      </c>
    </row>
    <row r="51" spans="1:13" s="42" customFormat="1" ht="15" hidden="1" outlineLevel="2" x14ac:dyDescent="0.25">
      <c r="A51" s="43" t="s">
        <v>59</v>
      </c>
      <c r="B51" s="20">
        <f>+[2]Solicitud!$F$31</f>
        <v>35000000</v>
      </c>
      <c r="C51" s="27"/>
      <c r="D51" s="27"/>
      <c r="E51" s="27"/>
      <c r="F51" s="27"/>
      <c r="G51" s="27"/>
      <c r="H51" s="20">
        <f>+B51+C51+D51+G51+E51+F51</f>
        <v>35000000</v>
      </c>
      <c r="I51" s="27"/>
      <c r="J51" s="21">
        <f t="shared" si="14"/>
        <v>35000000</v>
      </c>
      <c r="K51" s="21"/>
      <c r="L51" s="21">
        <f t="shared" si="12"/>
        <v>-35000000</v>
      </c>
      <c r="M51" s="22">
        <f t="shared" si="13"/>
        <v>0</v>
      </c>
    </row>
    <row r="52" spans="1:13" s="42" customFormat="1" ht="15" hidden="1" outlineLevel="2" x14ac:dyDescent="0.25">
      <c r="A52" s="43" t="s">
        <v>60</v>
      </c>
      <c r="B52" s="20">
        <f>+[2]Solicitud!$F$33</f>
        <v>15000000</v>
      </c>
      <c r="C52" s="27"/>
      <c r="D52" s="27"/>
      <c r="E52" s="27"/>
      <c r="F52" s="27"/>
      <c r="G52" s="27"/>
      <c r="H52" s="20">
        <f t="shared" si="15"/>
        <v>15000000</v>
      </c>
      <c r="I52" s="27"/>
      <c r="J52" s="21">
        <f t="shared" si="14"/>
        <v>15000000</v>
      </c>
      <c r="K52" s="21"/>
      <c r="L52" s="21">
        <f t="shared" si="12"/>
        <v>-15000000</v>
      </c>
      <c r="M52" s="22">
        <f t="shared" si="13"/>
        <v>0</v>
      </c>
    </row>
    <row r="53" spans="1:13" s="42" customFormat="1" ht="15" hidden="1" outlineLevel="2" x14ac:dyDescent="0.25">
      <c r="A53" s="43" t="s">
        <v>61</v>
      </c>
      <c r="B53" s="20">
        <f>+B54+B55+B56</f>
        <v>100000000</v>
      </c>
      <c r="C53" s="27"/>
      <c r="D53" s="27"/>
      <c r="E53" s="27"/>
      <c r="F53" s="27"/>
      <c r="G53" s="27"/>
      <c r="H53" s="20">
        <f>+B53+C53+D53+G53+E53+F53</f>
        <v>100000000</v>
      </c>
      <c r="I53" s="27"/>
      <c r="J53" s="21">
        <f t="shared" si="14"/>
        <v>100000000</v>
      </c>
      <c r="K53" s="20"/>
      <c r="L53" s="21">
        <f t="shared" si="12"/>
        <v>-100000000</v>
      </c>
      <c r="M53" s="22">
        <f t="shared" si="13"/>
        <v>0</v>
      </c>
    </row>
    <row r="54" spans="1:13" s="42" customFormat="1" ht="15" hidden="1" outlineLevel="2" x14ac:dyDescent="0.25">
      <c r="A54" s="43" t="s">
        <v>62</v>
      </c>
      <c r="B54" s="20">
        <f>+[2]Solicitud!$F$36</f>
        <v>55000000</v>
      </c>
      <c r="C54" s="27"/>
      <c r="D54" s="27"/>
      <c r="E54" s="27"/>
      <c r="F54" s="27"/>
      <c r="G54" s="27"/>
      <c r="H54" s="20">
        <f>+B54+C54+D54+G54+E54+F54</f>
        <v>55000000</v>
      </c>
      <c r="I54" s="27"/>
      <c r="J54" s="21">
        <f t="shared" si="14"/>
        <v>55000000</v>
      </c>
      <c r="K54" s="21">
        <v>53872735</v>
      </c>
      <c r="L54" s="21">
        <f t="shared" si="12"/>
        <v>-1127265</v>
      </c>
      <c r="M54" s="22">
        <f t="shared" si="13"/>
        <v>0.9795042727272727</v>
      </c>
    </row>
    <row r="55" spans="1:13" s="42" customFormat="1" ht="15" hidden="1" outlineLevel="2" x14ac:dyDescent="0.25">
      <c r="A55" s="43" t="s">
        <v>63</v>
      </c>
      <c r="B55" s="20">
        <f>+[2]Solicitud!$F$35</f>
        <v>30000000</v>
      </c>
      <c r="C55" s="27"/>
      <c r="D55" s="27"/>
      <c r="E55" s="27"/>
      <c r="F55" s="27"/>
      <c r="G55" s="27"/>
      <c r="H55" s="20">
        <f>+B55+C55+D55+G55+E55+F55</f>
        <v>30000000</v>
      </c>
      <c r="I55" s="27"/>
      <c r="J55" s="21">
        <f t="shared" si="14"/>
        <v>30000000</v>
      </c>
      <c r="K55" s="21">
        <v>15860934</v>
      </c>
      <c r="L55" s="21">
        <f t="shared" si="12"/>
        <v>-14139066</v>
      </c>
      <c r="M55" s="22">
        <f t="shared" si="13"/>
        <v>0.5286978</v>
      </c>
    </row>
    <row r="56" spans="1:13" s="42" customFormat="1" ht="15" hidden="1" outlineLevel="2" x14ac:dyDescent="0.25">
      <c r="A56" s="43" t="s">
        <v>64</v>
      </c>
      <c r="B56" s="20">
        <f>+[2]Solicitud!$F$37</f>
        <v>15000000</v>
      </c>
      <c r="C56" s="27"/>
      <c r="D56" s="27"/>
      <c r="E56" s="27"/>
      <c r="F56" s="27"/>
      <c r="G56" s="27"/>
      <c r="H56" s="20">
        <f>+B56+C56+D56+G56+E56+F56</f>
        <v>15000000</v>
      </c>
      <c r="I56" s="27"/>
      <c r="J56" s="21">
        <f t="shared" si="14"/>
        <v>15000000</v>
      </c>
      <c r="K56" s="21">
        <v>3079478</v>
      </c>
      <c r="L56" s="21">
        <f t="shared" si="12"/>
        <v>-11920522</v>
      </c>
      <c r="M56" s="22">
        <f t="shared" si="13"/>
        <v>0.20529853333333334</v>
      </c>
    </row>
    <row r="57" spans="1:13" s="42" customFormat="1" ht="15" hidden="1" outlineLevel="1" x14ac:dyDescent="0.25">
      <c r="A57" s="43" t="s">
        <v>65</v>
      </c>
      <c r="B57" s="17">
        <f>+[2]Solicitud!$F$38</f>
        <v>127448222.5</v>
      </c>
      <c r="C57" s="27"/>
      <c r="D57" s="27"/>
      <c r="E57" s="27"/>
      <c r="F57" s="27"/>
      <c r="G57" s="27"/>
      <c r="H57" s="20">
        <f>+B57+C57+D57+G57+E57+F57</f>
        <v>127448222.5</v>
      </c>
      <c r="I57" s="27"/>
      <c r="J57" s="21">
        <f t="shared" si="14"/>
        <v>127448222.5</v>
      </c>
      <c r="K57" s="21">
        <v>117408001</v>
      </c>
      <c r="L57" s="21">
        <f t="shared" si="12"/>
        <v>-10040221.5</v>
      </c>
      <c r="M57" s="22">
        <f t="shared" si="13"/>
        <v>0.92122117277861604</v>
      </c>
    </row>
    <row r="58" spans="1:13" s="42" customFormat="1" ht="15" collapsed="1" x14ac:dyDescent="0.25">
      <c r="A58" s="44" t="s">
        <v>66</v>
      </c>
      <c r="B58" s="17">
        <f>SUM(B59:B61)</f>
        <v>104025468.46782176</v>
      </c>
      <c r="C58" s="27"/>
      <c r="D58" s="27"/>
      <c r="E58" s="27"/>
      <c r="F58" s="27"/>
      <c r="G58" s="27"/>
      <c r="H58" s="17">
        <f>SUM(H59:H61)</f>
        <v>104025468.46782176</v>
      </c>
      <c r="I58" s="27"/>
      <c r="J58" s="17">
        <f>SUM(J59:J61)</f>
        <v>104025468.46782176</v>
      </c>
      <c r="K58" s="17">
        <f>SUM(K59:K61)</f>
        <v>64682896</v>
      </c>
      <c r="L58" s="17">
        <f t="shared" si="12"/>
        <v>-39342572.467821762</v>
      </c>
      <c r="M58" s="18">
        <f t="shared" si="13"/>
        <v>0.62179865135631074</v>
      </c>
    </row>
    <row r="59" spans="1:13" s="42" customFormat="1" ht="15" hidden="1" outlineLevel="1" x14ac:dyDescent="0.25">
      <c r="A59" s="43" t="s">
        <v>67</v>
      </c>
      <c r="B59" s="20">
        <f>+[2]Solicitud!$F$41</f>
        <v>62355277.082500003</v>
      </c>
      <c r="C59" s="27"/>
      <c r="D59" s="27"/>
      <c r="E59" s="27"/>
      <c r="F59" s="27"/>
      <c r="G59" s="27"/>
      <c r="H59" s="20">
        <f>+B59+C59+D59+G59+E59+F59</f>
        <v>62355277.082500003</v>
      </c>
      <c r="I59" s="27"/>
      <c r="J59" s="21">
        <f>+H59+I59</f>
        <v>62355277.082500003</v>
      </c>
      <c r="K59" s="21">
        <v>25672103</v>
      </c>
      <c r="L59" s="21">
        <f t="shared" si="12"/>
        <v>-36683174.082500003</v>
      </c>
      <c r="M59" s="22">
        <f t="shared" si="13"/>
        <v>0.41170698297169256</v>
      </c>
    </row>
    <row r="60" spans="1:13" s="42" customFormat="1" ht="15" hidden="1" outlineLevel="1" x14ac:dyDescent="0.25">
      <c r="A60" s="43" t="s">
        <v>68</v>
      </c>
      <c r="B60" s="20">
        <f>+[2]Solicitud!$F$42</f>
        <v>14684433.71960175</v>
      </c>
      <c r="C60" s="27"/>
      <c r="D60" s="27"/>
      <c r="E60" s="27"/>
      <c r="F60" s="27"/>
      <c r="G60" s="27"/>
      <c r="H60" s="20">
        <f>+B60+C60+D60+G60+E60+F60</f>
        <v>14684433.71960175</v>
      </c>
      <c r="I60" s="27"/>
      <c r="J60" s="21">
        <f>+H60+I60</f>
        <v>14684433.71960175</v>
      </c>
      <c r="K60" s="21">
        <v>14457833</v>
      </c>
      <c r="L60" s="21">
        <f t="shared" si="12"/>
        <v>-226600.71960175037</v>
      </c>
      <c r="M60" s="22">
        <f t="shared" si="13"/>
        <v>0.98456864432577551</v>
      </c>
    </row>
    <row r="61" spans="1:13" s="42" customFormat="1" ht="15" hidden="1" outlineLevel="1" x14ac:dyDescent="0.25">
      <c r="A61" s="43" t="s">
        <v>69</v>
      </c>
      <c r="B61" s="20">
        <f>+[2]Solicitud!$F$43</f>
        <v>26985757.665720001</v>
      </c>
      <c r="C61" s="27"/>
      <c r="D61" s="27"/>
      <c r="E61" s="27"/>
      <c r="F61" s="27"/>
      <c r="G61" s="27"/>
      <c r="H61" s="20">
        <f>+B61+C61+D61+G61+E61+F61</f>
        <v>26985757.665720001</v>
      </c>
      <c r="I61" s="27"/>
      <c r="J61" s="21">
        <f>+H61+I61</f>
        <v>26985757.665720001</v>
      </c>
      <c r="K61" s="21">
        <v>24552960</v>
      </c>
      <c r="L61" s="21">
        <f t="shared" si="12"/>
        <v>-2432797.6657200009</v>
      </c>
      <c r="M61" s="22">
        <f t="shared" si="13"/>
        <v>0.90984882856150517</v>
      </c>
    </row>
    <row r="62" spans="1:13" s="42" customFormat="1" ht="15" collapsed="1" x14ac:dyDescent="0.25">
      <c r="A62" s="44" t="s">
        <v>70</v>
      </c>
      <c r="B62" s="17">
        <f>SUM(B63:B65)</f>
        <v>86065190.226057902</v>
      </c>
      <c r="C62" s="27"/>
      <c r="D62" s="27"/>
      <c r="E62" s="27"/>
      <c r="F62" s="27"/>
      <c r="G62" s="27"/>
      <c r="H62" s="17">
        <f>SUM(H63:H65)</f>
        <v>86065190.226057902</v>
      </c>
      <c r="I62" s="27"/>
      <c r="J62" s="17">
        <f>SUM(J63:J65)</f>
        <v>86065190.226057902</v>
      </c>
      <c r="K62" s="17">
        <f>SUM(K63:K65)</f>
        <v>81421753</v>
      </c>
      <c r="L62" s="17">
        <f t="shared" si="12"/>
        <v>-4643437.226057902</v>
      </c>
      <c r="M62" s="18">
        <f t="shared" si="13"/>
        <v>0.94604744131905716</v>
      </c>
    </row>
    <row r="63" spans="1:13" s="42" customFormat="1" ht="15" hidden="1" outlineLevel="1" x14ac:dyDescent="0.25">
      <c r="A63" s="43" t="s">
        <v>71</v>
      </c>
      <c r="B63" s="20">
        <v>38398537.6713484</v>
      </c>
      <c r="C63" s="27"/>
      <c r="D63" s="27"/>
      <c r="E63" s="27"/>
      <c r="F63" s="27"/>
      <c r="G63" s="27"/>
      <c r="H63" s="20">
        <f>+B63+C63+D63+G63+E63+F63</f>
        <v>38398537.6713484</v>
      </c>
      <c r="I63" s="27"/>
      <c r="J63" s="21">
        <f>+H63+I63</f>
        <v>38398537.6713484</v>
      </c>
      <c r="K63" s="21">
        <v>33755468</v>
      </c>
      <c r="L63" s="21">
        <f t="shared" si="12"/>
        <v>-4643069.6713484004</v>
      </c>
      <c r="M63" s="22">
        <f t="shared" si="13"/>
        <v>0.87908212257747276</v>
      </c>
    </row>
    <row r="64" spans="1:13" s="42" customFormat="1" ht="15" hidden="1" outlineLevel="1" x14ac:dyDescent="0.25">
      <c r="A64" s="43" t="s">
        <v>72</v>
      </c>
      <c r="B64" s="20">
        <v>47666652.554709502</v>
      </c>
      <c r="C64" s="27"/>
      <c r="D64" s="27"/>
      <c r="E64" s="27"/>
      <c r="F64" s="27"/>
      <c r="G64" s="27"/>
      <c r="H64" s="20">
        <f>+B64+C64+D64+G64+E64+F64</f>
        <v>47666652.554709502</v>
      </c>
      <c r="I64" s="27"/>
      <c r="J64" s="21">
        <f>+H64+I64</f>
        <v>47666652.554709502</v>
      </c>
      <c r="K64" s="21">
        <v>47666285</v>
      </c>
      <c r="L64" s="21">
        <f t="shared" si="12"/>
        <v>-367.5547095015645</v>
      </c>
      <c r="M64" s="22">
        <f t="shared" si="13"/>
        <v>0.99999228905975557</v>
      </c>
    </row>
    <row r="65" spans="1:13" s="42" customFormat="1" ht="15" hidden="1" outlineLevel="1" x14ac:dyDescent="0.25">
      <c r="A65" s="43" t="s">
        <v>73</v>
      </c>
      <c r="B65" s="20"/>
      <c r="C65" s="27"/>
      <c r="D65" s="27"/>
      <c r="E65" s="27"/>
      <c r="F65" s="27"/>
      <c r="G65" s="27"/>
      <c r="H65" s="20">
        <f>+B65+C65+D65+G65+E65+F65</f>
        <v>0</v>
      </c>
      <c r="I65" s="27"/>
      <c r="J65" s="21">
        <f>+H65+I65</f>
        <v>0</v>
      </c>
      <c r="K65" s="21"/>
      <c r="L65" s="21">
        <f t="shared" si="12"/>
        <v>0</v>
      </c>
      <c r="M65" s="22">
        <f t="shared" si="13"/>
        <v>0</v>
      </c>
    </row>
    <row r="66" spans="1:13" s="42" customFormat="1" ht="15" collapsed="1" x14ac:dyDescent="0.25">
      <c r="A66" s="44" t="s">
        <v>74</v>
      </c>
      <c r="B66" s="17">
        <f>SUM(B67:B69)</f>
        <v>96954950.495000005</v>
      </c>
      <c r="C66" s="27"/>
      <c r="D66" s="27"/>
      <c r="E66" s="27"/>
      <c r="F66" s="27"/>
      <c r="G66" s="27"/>
      <c r="H66" s="17">
        <f>SUM(H67:H69)</f>
        <v>96954950.495000005</v>
      </c>
      <c r="I66" s="27"/>
      <c r="J66" s="17">
        <f>SUM(J67:J69)</f>
        <v>96954950.495000005</v>
      </c>
      <c r="K66" s="17">
        <f>SUM(K67:K69)</f>
        <v>66262416</v>
      </c>
      <c r="L66" s="17">
        <f t="shared" si="12"/>
        <v>-30692534.495000005</v>
      </c>
      <c r="M66" s="18">
        <f t="shared" si="13"/>
        <v>0.68343509703939431</v>
      </c>
    </row>
    <row r="67" spans="1:13" s="42" customFormat="1" ht="15" hidden="1" outlineLevel="1" x14ac:dyDescent="0.25">
      <c r="A67" s="43" t="s">
        <v>75</v>
      </c>
      <c r="B67" s="20">
        <f>+[2]Solicitud!$F$51</f>
        <v>6542699.625</v>
      </c>
      <c r="C67" s="27"/>
      <c r="D67" s="27"/>
      <c r="E67" s="27"/>
      <c r="F67" s="27"/>
      <c r="G67" s="27"/>
      <c r="H67" s="20">
        <f>+B67+C67+D67+G67+E67+F67</f>
        <v>6542699.625</v>
      </c>
      <c r="I67" s="27"/>
      <c r="J67" s="21">
        <f>+H67+I67</f>
        <v>6542699.625</v>
      </c>
      <c r="K67" s="21">
        <v>5312934</v>
      </c>
      <c r="L67" s="21">
        <f t="shared" si="12"/>
        <v>-1229765.625</v>
      </c>
      <c r="M67" s="22">
        <f t="shared" si="13"/>
        <v>0.81204003003576675</v>
      </c>
    </row>
    <row r="68" spans="1:13" s="42" customFormat="1" ht="15" hidden="1" outlineLevel="1" x14ac:dyDescent="0.25">
      <c r="A68" s="43" t="s">
        <v>76</v>
      </c>
      <c r="B68" s="20">
        <f>+[2]Solicitud!$F$52-3664798</f>
        <v>72357202</v>
      </c>
      <c r="C68" s="27"/>
      <c r="D68" s="27"/>
      <c r="E68" s="27"/>
      <c r="F68" s="27"/>
      <c r="G68" s="27"/>
      <c r="H68" s="20">
        <f>+B68+C68+D68+G68+E68+F68</f>
        <v>72357202</v>
      </c>
      <c r="I68" s="27"/>
      <c r="J68" s="21">
        <f>+H68+I68</f>
        <v>72357202</v>
      </c>
      <c r="K68" s="21">
        <v>43817293</v>
      </c>
      <c r="L68" s="21">
        <f t="shared" si="12"/>
        <v>-28539909</v>
      </c>
      <c r="M68" s="22">
        <f t="shared" si="13"/>
        <v>0.60556920097601341</v>
      </c>
    </row>
    <row r="69" spans="1:13" s="42" customFormat="1" ht="15" hidden="1" outlineLevel="1" x14ac:dyDescent="0.25">
      <c r="A69" s="43" t="s">
        <v>77</v>
      </c>
      <c r="B69" s="20">
        <f>+[2]Solicitud!$F$53+3664798</f>
        <v>18055048.870000001</v>
      </c>
      <c r="C69" s="27"/>
      <c r="D69" s="27"/>
      <c r="E69" s="27"/>
      <c r="F69" s="27"/>
      <c r="G69" s="27"/>
      <c r="H69" s="20">
        <f>+B69+C69+D69+G69+E69+F69</f>
        <v>18055048.870000001</v>
      </c>
      <c r="I69" s="27"/>
      <c r="J69" s="21">
        <f>+H69+I69</f>
        <v>18055048.870000001</v>
      </c>
      <c r="K69" s="21">
        <v>17132189</v>
      </c>
      <c r="L69" s="21">
        <f t="shared" si="12"/>
        <v>-922859.87000000104</v>
      </c>
      <c r="M69" s="22">
        <f t="shared" si="13"/>
        <v>0.94888632666437078</v>
      </c>
    </row>
    <row r="70" spans="1:13" s="42" customFormat="1" ht="15" collapsed="1" x14ac:dyDescent="0.25">
      <c r="A70" s="44" t="s">
        <v>78</v>
      </c>
      <c r="B70" s="17">
        <f>SUM(B71:B72)</f>
        <v>192731416.08750001</v>
      </c>
      <c r="C70" s="27"/>
      <c r="D70" s="27"/>
      <c r="E70" s="27"/>
      <c r="F70" s="27"/>
      <c r="G70" s="27"/>
      <c r="H70" s="17">
        <f>SUM(H71:H72)</f>
        <v>192731416.08750001</v>
      </c>
      <c r="I70" s="27"/>
      <c r="J70" s="17">
        <f>SUM(J71:J72)</f>
        <v>192731416.08750001</v>
      </c>
      <c r="K70" s="17">
        <f>SUM(K71:K72)</f>
        <v>95255584</v>
      </c>
      <c r="L70" s="17">
        <f t="shared" si="12"/>
        <v>-97475832.087500006</v>
      </c>
      <c r="M70" s="18">
        <f t="shared" si="13"/>
        <v>0.49424004624525769</v>
      </c>
    </row>
    <row r="71" spans="1:13" s="42" customFormat="1" ht="15" hidden="1" outlineLevel="1" x14ac:dyDescent="0.25">
      <c r="A71" s="43" t="s">
        <v>79</v>
      </c>
      <c r="B71" s="20">
        <f>+[2]Solicitud!$F$56</f>
        <v>140865265.87</v>
      </c>
      <c r="C71" s="27"/>
      <c r="D71" s="27"/>
      <c r="E71" s="27"/>
      <c r="F71" s="27"/>
      <c r="G71" s="27"/>
      <c r="H71" s="20">
        <f>+B71+C71+D71+G71+E71+F71</f>
        <v>140865265.87</v>
      </c>
      <c r="I71" s="27"/>
      <c r="J71" s="21">
        <f>+H71+I71</f>
        <v>140865265.87</v>
      </c>
      <c r="K71" s="21">
        <v>78477272</v>
      </c>
      <c r="L71" s="21">
        <f t="shared" si="12"/>
        <v>-62387993.870000005</v>
      </c>
      <c r="M71" s="22">
        <f t="shared" si="13"/>
        <v>0.55710874867069171</v>
      </c>
    </row>
    <row r="72" spans="1:13" s="42" customFormat="1" ht="15" hidden="1" outlineLevel="1" x14ac:dyDescent="0.25">
      <c r="A72" s="43" t="s">
        <v>80</v>
      </c>
      <c r="B72" s="20">
        <f>+[2]Solicitud!$F$57</f>
        <v>51866150.217500001</v>
      </c>
      <c r="C72" s="27"/>
      <c r="D72" s="27"/>
      <c r="E72" s="27"/>
      <c r="F72" s="27"/>
      <c r="G72" s="27"/>
      <c r="H72" s="20">
        <f>+B72+C72+D72+G72+E72+F72</f>
        <v>51866150.217500001</v>
      </c>
      <c r="I72" s="27"/>
      <c r="J72" s="21">
        <f>+H72+I72</f>
        <v>51866150.217500001</v>
      </c>
      <c r="K72" s="21">
        <v>16778312</v>
      </c>
      <c r="L72" s="21">
        <f t="shared" si="12"/>
        <v>-35087838.217500001</v>
      </c>
      <c r="M72" s="22">
        <f t="shared" si="13"/>
        <v>0.32349252700731351</v>
      </c>
    </row>
    <row r="73" spans="1:13" s="42" customFormat="1" ht="15" collapsed="1" x14ac:dyDescent="0.25">
      <c r="A73" s="43"/>
      <c r="B73" s="20"/>
      <c r="C73" s="27"/>
      <c r="D73" s="27"/>
      <c r="E73" s="27"/>
      <c r="F73" s="27"/>
      <c r="G73" s="27"/>
      <c r="H73" s="20"/>
      <c r="I73" s="27"/>
      <c r="J73" s="21"/>
      <c r="K73" s="21"/>
      <c r="L73" s="21"/>
      <c r="M73" s="22"/>
    </row>
    <row r="74" spans="1:13" s="42" customFormat="1" ht="15" x14ac:dyDescent="0.25">
      <c r="A74" s="44" t="s">
        <v>81</v>
      </c>
      <c r="B74" s="20"/>
      <c r="C74" s="27"/>
      <c r="D74" s="27"/>
      <c r="E74" s="27"/>
      <c r="F74" s="27">
        <f>+F75+F83+F90+F94+F106</f>
        <v>2864434830.6456461</v>
      </c>
      <c r="G74" s="27"/>
      <c r="H74" s="27">
        <f>+H75+H83+H90+H94+H106</f>
        <v>2864434830.6456461</v>
      </c>
      <c r="I74" s="27"/>
      <c r="J74" s="17">
        <f>+H74+I74</f>
        <v>2864434830.6456461</v>
      </c>
      <c r="K74" s="27">
        <f>+K75+K83+K90+K94+K106</f>
        <v>2182461416</v>
      </c>
      <c r="L74" s="17">
        <f t="shared" ref="L74:L110" si="16">+K74-J74</f>
        <v>-681973414.6456461</v>
      </c>
      <c r="M74" s="18">
        <f t="shared" ref="M74:M110" si="17">IFERROR(K74/J74,0)</f>
        <v>0.76191693825621831</v>
      </c>
    </row>
    <row r="75" spans="1:13" s="42" customFormat="1" ht="15" x14ac:dyDescent="0.25">
      <c r="A75" s="44" t="s">
        <v>82</v>
      </c>
      <c r="B75" s="20"/>
      <c r="C75" s="27"/>
      <c r="D75" s="27"/>
      <c r="E75" s="27"/>
      <c r="F75" s="27">
        <f>SUM(F76:F82)</f>
        <v>91207537.567312509</v>
      </c>
      <c r="G75" s="27"/>
      <c r="H75" s="27">
        <f>SUM(H76:H82)</f>
        <v>91207537.567312509</v>
      </c>
      <c r="I75" s="27"/>
      <c r="J75" s="27">
        <f>SUM(J76:J82)</f>
        <v>91207537.567312509</v>
      </c>
      <c r="K75" s="27">
        <f>SUM(K76:K82)</f>
        <v>90278022</v>
      </c>
      <c r="L75" s="27">
        <f t="shared" si="16"/>
        <v>-929515.56731250882</v>
      </c>
      <c r="M75" s="18">
        <f t="shared" si="17"/>
        <v>0.9898087856321468</v>
      </c>
    </row>
    <row r="76" spans="1:13" s="42" customFormat="1" ht="15" hidden="1" outlineLevel="1" x14ac:dyDescent="0.25">
      <c r="A76" s="43" t="s">
        <v>83</v>
      </c>
      <c r="B76" s="20"/>
      <c r="C76" s="27"/>
      <c r="D76" s="27"/>
      <c r="E76" s="27"/>
      <c r="F76" s="21"/>
      <c r="G76" s="27"/>
      <c r="H76" s="20">
        <f t="shared" ref="H76:H81" si="18">+B76+C76+D76+G76+E76+F76</f>
        <v>0</v>
      </c>
      <c r="I76" s="27"/>
      <c r="J76" s="21">
        <f t="shared" ref="J76:J81" si="19">+H76+I76</f>
        <v>0</v>
      </c>
      <c r="K76" s="21"/>
      <c r="L76" s="21">
        <f t="shared" si="16"/>
        <v>0</v>
      </c>
      <c r="M76" s="22">
        <f t="shared" si="17"/>
        <v>0</v>
      </c>
    </row>
    <row r="77" spans="1:13" s="42" customFormat="1" ht="15" hidden="1" outlineLevel="1" x14ac:dyDescent="0.25">
      <c r="A77" s="43" t="s">
        <v>84</v>
      </c>
      <c r="B77" s="20"/>
      <c r="C77" s="27"/>
      <c r="D77" s="27"/>
      <c r="E77" s="27"/>
      <c r="F77" s="21"/>
      <c r="G77" s="27"/>
      <c r="H77" s="20">
        <f t="shared" si="18"/>
        <v>0</v>
      </c>
      <c r="I77" s="27"/>
      <c r="J77" s="21">
        <f t="shared" si="19"/>
        <v>0</v>
      </c>
      <c r="K77" s="21"/>
      <c r="L77" s="21">
        <f t="shared" si="16"/>
        <v>0</v>
      </c>
      <c r="M77" s="22">
        <f t="shared" si="17"/>
        <v>0</v>
      </c>
    </row>
    <row r="78" spans="1:13" s="42" customFormat="1" ht="15" hidden="1" outlineLevel="1" x14ac:dyDescent="0.25">
      <c r="A78" s="43" t="s">
        <v>85</v>
      </c>
      <c r="B78" s="20"/>
      <c r="C78" s="27"/>
      <c r="D78" s="27"/>
      <c r="E78" s="27"/>
      <c r="F78" s="21"/>
      <c r="G78" s="27"/>
      <c r="H78" s="20">
        <f t="shared" si="18"/>
        <v>0</v>
      </c>
      <c r="I78" s="27"/>
      <c r="J78" s="21">
        <f t="shared" si="19"/>
        <v>0</v>
      </c>
      <c r="K78" s="21"/>
      <c r="L78" s="21">
        <f t="shared" si="16"/>
        <v>0</v>
      </c>
      <c r="M78" s="22">
        <f t="shared" si="17"/>
        <v>0</v>
      </c>
    </row>
    <row r="79" spans="1:13" s="42" customFormat="1" ht="15" hidden="1" outlineLevel="1" x14ac:dyDescent="0.25">
      <c r="A79" s="43" t="s">
        <v>86</v>
      </c>
      <c r="B79" s="20"/>
      <c r="C79" s="27"/>
      <c r="D79" s="27"/>
      <c r="E79" s="27"/>
      <c r="F79" s="21">
        <f>+[3]Hoja1!$M$16</f>
        <v>6746003.4448124999</v>
      </c>
      <c r="G79" s="27"/>
      <c r="H79" s="20">
        <f t="shared" si="18"/>
        <v>6746003.4448124999</v>
      </c>
      <c r="I79" s="27"/>
      <c r="J79" s="21">
        <f t="shared" si="19"/>
        <v>6746003.4448124999</v>
      </c>
      <c r="K79" s="21">
        <v>6278022</v>
      </c>
      <c r="L79" s="21">
        <f t="shared" si="16"/>
        <v>-467981.44481249992</v>
      </c>
      <c r="M79" s="22">
        <f t="shared" si="17"/>
        <v>0.93062834185589316</v>
      </c>
    </row>
    <row r="80" spans="1:13" s="42" customFormat="1" ht="15" hidden="1" outlineLevel="1" x14ac:dyDescent="0.25">
      <c r="A80" s="43" t="s">
        <v>87</v>
      </c>
      <c r="B80" s="20"/>
      <c r="C80" s="27"/>
      <c r="D80" s="27"/>
      <c r="E80" s="27"/>
      <c r="F80" s="21"/>
      <c r="G80" s="27"/>
      <c r="H80" s="20">
        <f t="shared" si="18"/>
        <v>0</v>
      </c>
      <c r="I80" s="27"/>
      <c r="J80" s="21">
        <f t="shared" si="19"/>
        <v>0</v>
      </c>
      <c r="K80" s="21"/>
      <c r="L80" s="21">
        <f t="shared" si="16"/>
        <v>0</v>
      </c>
      <c r="M80" s="22">
        <f t="shared" si="17"/>
        <v>0</v>
      </c>
    </row>
    <row r="81" spans="1:13" s="42" customFormat="1" ht="15" hidden="1" outlineLevel="1" x14ac:dyDescent="0.25">
      <c r="A81" s="43" t="s">
        <v>88</v>
      </c>
      <c r="B81" s="20"/>
      <c r="C81" s="27"/>
      <c r="D81" s="27"/>
      <c r="E81" s="27"/>
      <c r="F81" s="21">
        <f>+[3]Hoja1!$M$18</f>
        <v>84461534.122500002</v>
      </c>
      <c r="G81" s="27"/>
      <c r="H81" s="20">
        <f t="shared" si="18"/>
        <v>84461534.122500002</v>
      </c>
      <c r="I81" s="27"/>
      <c r="J81" s="21">
        <f t="shared" si="19"/>
        <v>84461534.122500002</v>
      </c>
      <c r="K81" s="21">
        <v>84000000</v>
      </c>
      <c r="L81" s="21">
        <f t="shared" si="16"/>
        <v>-461534.12250000238</v>
      </c>
      <c r="M81" s="22">
        <f t="shared" si="17"/>
        <v>0.99453557021790995</v>
      </c>
    </row>
    <row r="82" spans="1:13" s="42" customFormat="1" ht="15" hidden="1" outlineLevel="1" x14ac:dyDescent="0.25">
      <c r="A82" s="43" t="s">
        <v>89</v>
      </c>
      <c r="B82" s="20"/>
      <c r="C82" s="27"/>
      <c r="D82" s="27"/>
      <c r="E82" s="27"/>
      <c r="F82" s="21"/>
      <c r="G82" s="27"/>
      <c r="H82" s="20">
        <f>+B82+C82+D82+G82+E82+F82</f>
        <v>0</v>
      </c>
      <c r="I82" s="27"/>
      <c r="J82" s="21">
        <f>+H82+I82</f>
        <v>0</v>
      </c>
      <c r="K82" s="21"/>
      <c r="L82" s="21">
        <f t="shared" si="16"/>
        <v>0</v>
      </c>
      <c r="M82" s="22">
        <f t="shared" si="17"/>
        <v>0</v>
      </c>
    </row>
    <row r="83" spans="1:13" s="42" customFormat="1" ht="15" collapsed="1" x14ac:dyDescent="0.25">
      <c r="A83" s="44" t="s">
        <v>90</v>
      </c>
      <c r="B83" s="20"/>
      <c r="C83" s="27"/>
      <c r="D83" s="27"/>
      <c r="E83" s="27"/>
      <c r="F83" s="27">
        <f>SUM(F84:F89)</f>
        <v>394907361.85833335</v>
      </c>
      <c r="G83" s="27"/>
      <c r="H83" s="27">
        <f>SUM(H84:H89)</f>
        <v>394907361.85833335</v>
      </c>
      <c r="I83" s="27"/>
      <c r="J83" s="27">
        <f>SUM(J84:J89)</f>
        <v>394907361.85833335</v>
      </c>
      <c r="K83" s="27">
        <f>SUM(K84:K89)</f>
        <v>332851269</v>
      </c>
      <c r="L83" s="27">
        <f t="shared" si="16"/>
        <v>-62056092.858333349</v>
      </c>
      <c r="M83" s="18">
        <f t="shared" si="17"/>
        <v>0.84285911367589295</v>
      </c>
    </row>
    <row r="84" spans="1:13" s="42" customFormat="1" ht="15" hidden="1" outlineLevel="1" x14ac:dyDescent="0.25">
      <c r="A84" s="43" t="s">
        <v>91</v>
      </c>
      <c r="B84" s="20"/>
      <c r="C84" s="27"/>
      <c r="D84" s="27"/>
      <c r="E84" s="27"/>
      <c r="F84" s="21">
        <f>+[3]Hoja1!$M$21</f>
        <v>25430178.933333334</v>
      </c>
      <c r="G84" s="27"/>
      <c r="H84" s="20">
        <f t="shared" ref="H84:H89" si="20">+B84+C84+D84+G84+E84+F84</f>
        <v>25430178.933333334</v>
      </c>
      <c r="I84" s="27"/>
      <c r="J84" s="21">
        <f t="shared" ref="J84:J89" si="21">+H84+I84</f>
        <v>25430178.933333334</v>
      </c>
      <c r="K84" s="21">
        <v>25430179</v>
      </c>
      <c r="L84" s="21">
        <f t="shared" si="16"/>
        <v>6.666666641831398E-2</v>
      </c>
      <c r="M84" s="22">
        <f t="shared" si="17"/>
        <v>1.0000000026215572</v>
      </c>
    </row>
    <row r="85" spans="1:13" s="42" customFormat="1" ht="15" hidden="1" outlineLevel="1" x14ac:dyDescent="0.25">
      <c r="A85" s="43" t="s">
        <v>92</v>
      </c>
      <c r="B85" s="20"/>
      <c r="C85" s="27"/>
      <c r="D85" s="27"/>
      <c r="E85" s="27"/>
      <c r="F85" s="21">
        <f>+[3]Hoja1!$M$22</f>
        <v>33205000</v>
      </c>
      <c r="G85" s="27"/>
      <c r="H85" s="20">
        <f t="shared" si="20"/>
        <v>33205000</v>
      </c>
      <c r="I85" s="27"/>
      <c r="J85" s="21">
        <f t="shared" si="21"/>
        <v>33205000</v>
      </c>
      <c r="K85" s="21">
        <v>29174221</v>
      </c>
      <c r="L85" s="21">
        <f t="shared" si="16"/>
        <v>-4030779</v>
      </c>
      <c r="M85" s="22">
        <f t="shared" si="17"/>
        <v>0.87860927571148928</v>
      </c>
    </row>
    <row r="86" spans="1:13" s="42" customFormat="1" ht="15" hidden="1" outlineLevel="1" x14ac:dyDescent="0.25">
      <c r="A86" s="43" t="s">
        <v>93</v>
      </c>
      <c r="B86" s="20"/>
      <c r="C86" s="27"/>
      <c r="D86" s="27"/>
      <c r="E86" s="27"/>
      <c r="F86" s="21">
        <f>+[3]Hoja1!$M$23</f>
        <v>70455285</v>
      </c>
      <c r="G86" s="27"/>
      <c r="H86" s="20">
        <f t="shared" si="20"/>
        <v>70455285</v>
      </c>
      <c r="I86" s="27"/>
      <c r="J86" s="21">
        <f t="shared" si="21"/>
        <v>70455285</v>
      </c>
      <c r="K86" s="21">
        <v>49394007</v>
      </c>
      <c r="L86" s="21">
        <f t="shared" si="16"/>
        <v>-21061278</v>
      </c>
      <c r="M86" s="22">
        <f t="shared" si="17"/>
        <v>0.7010688694254803</v>
      </c>
    </row>
    <row r="87" spans="1:13" s="42" customFormat="1" ht="15" hidden="1" outlineLevel="1" x14ac:dyDescent="0.25">
      <c r="A87" s="43" t="s">
        <v>94</v>
      </c>
      <c r="B87" s="20"/>
      <c r="C87" s="27"/>
      <c r="D87" s="27"/>
      <c r="E87" s="27"/>
      <c r="F87" s="21"/>
      <c r="G87" s="27"/>
      <c r="H87" s="20">
        <f t="shared" si="20"/>
        <v>0</v>
      </c>
      <c r="I87" s="27"/>
      <c r="J87" s="21">
        <f t="shared" si="21"/>
        <v>0</v>
      </c>
      <c r="K87" s="21">
        <v>0</v>
      </c>
      <c r="L87" s="21">
        <f t="shared" si="16"/>
        <v>0</v>
      </c>
      <c r="M87" s="22">
        <f t="shared" si="17"/>
        <v>0</v>
      </c>
    </row>
    <row r="88" spans="1:13" s="42" customFormat="1" ht="15" hidden="1" outlineLevel="1" x14ac:dyDescent="0.25">
      <c r="A88" s="43" t="s">
        <v>95</v>
      </c>
      <c r="B88" s="20"/>
      <c r="C88" s="27"/>
      <c r="D88" s="27"/>
      <c r="E88" s="27"/>
      <c r="F88" s="21">
        <f>+[3]Hoja1!$M$25</f>
        <v>125816897.92500001</v>
      </c>
      <c r="G88" s="27"/>
      <c r="H88" s="20">
        <f t="shared" si="20"/>
        <v>125816897.92500001</v>
      </c>
      <c r="I88" s="27"/>
      <c r="J88" s="21">
        <f t="shared" si="21"/>
        <v>125816897.92500001</v>
      </c>
      <c r="K88" s="21">
        <f>+'[4]Ejecución FNP 17-10-17'!$I$131</f>
        <v>88854040</v>
      </c>
      <c r="L88" s="21">
        <f t="shared" si="16"/>
        <v>-36962857.925000012</v>
      </c>
      <c r="M88" s="22">
        <f t="shared" si="17"/>
        <v>0.70621706197975309</v>
      </c>
    </row>
    <row r="89" spans="1:13" s="42" customFormat="1" ht="15" hidden="1" outlineLevel="1" x14ac:dyDescent="0.25">
      <c r="A89" s="43" t="s">
        <v>96</v>
      </c>
      <c r="B89" s="20"/>
      <c r="C89" s="27"/>
      <c r="D89" s="27"/>
      <c r="E89" s="27"/>
      <c r="F89" s="21">
        <f>+[3]Hoja1!$M$26</f>
        <v>140000000</v>
      </c>
      <c r="G89" s="27"/>
      <c r="H89" s="20">
        <f t="shared" si="20"/>
        <v>140000000</v>
      </c>
      <c r="I89" s="27"/>
      <c r="J89" s="21">
        <f t="shared" si="21"/>
        <v>140000000</v>
      </c>
      <c r="K89" s="21">
        <f>+'[4]Ejecución FNP 17-10-17'!$I$132</f>
        <v>139998822</v>
      </c>
      <c r="L89" s="21">
        <f t="shared" si="16"/>
        <v>-1178</v>
      </c>
      <c r="M89" s="22">
        <f t="shared" si="17"/>
        <v>0.9999915857142857</v>
      </c>
    </row>
    <row r="90" spans="1:13" s="42" customFormat="1" ht="15" collapsed="1" x14ac:dyDescent="0.25">
      <c r="A90" s="44" t="s">
        <v>97</v>
      </c>
      <c r="B90" s="20"/>
      <c r="C90" s="27"/>
      <c r="D90" s="27"/>
      <c r="E90" s="27"/>
      <c r="F90" s="27">
        <f>+SUM(F91:F93)</f>
        <v>1009200000</v>
      </c>
      <c r="G90" s="27"/>
      <c r="H90" s="27">
        <f>SUM(H91:H93)</f>
        <v>1009200000</v>
      </c>
      <c r="I90" s="27"/>
      <c r="J90" s="27">
        <f>SUM(J91:J93)</f>
        <v>1009200000</v>
      </c>
      <c r="K90" s="27">
        <f>SUM(K91:K93)</f>
        <v>991234281</v>
      </c>
      <c r="L90" s="27">
        <f t="shared" si="16"/>
        <v>-17965719</v>
      </c>
      <c r="M90" s="18">
        <f t="shared" si="17"/>
        <v>0.98219805885850175</v>
      </c>
    </row>
    <row r="91" spans="1:13" s="42" customFormat="1" ht="15" hidden="1" outlineLevel="1" x14ac:dyDescent="0.25">
      <c r="A91" s="43" t="s">
        <v>98</v>
      </c>
      <c r="B91" s="20"/>
      <c r="C91" s="27"/>
      <c r="D91" s="27"/>
      <c r="E91" s="27"/>
      <c r="F91" s="21">
        <v>973000000</v>
      </c>
      <c r="G91" s="27"/>
      <c r="H91" s="20">
        <f>+B91+C91+D91+G91+E91+F91</f>
        <v>973000000</v>
      </c>
      <c r="I91" s="27"/>
      <c r="J91" s="21">
        <f>+H91+I91</f>
        <v>973000000</v>
      </c>
      <c r="K91" s="21">
        <v>955348451</v>
      </c>
      <c r="L91" s="21">
        <f t="shared" si="16"/>
        <v>-17651549</v>
      </c>
      <c r="M91" s="22">
        <f t="shared" si="17"/>
        <v>0.98185863412127439</v>
      </c>
    </row>
    <row r="92" spans="1:13" s="42" customFormat="1" ht="15" hidden="1" outlineLevel="1" x14ac:dyDescent="0.25">
      <c r="A92" s="43" t="s">
        <v>99</v>
      </c>
      <c r="B92" s="20"/>
      <c r="C92" s="27"/>
      <c r="D92" s="27"/>
      <c r="E92" s="27"/>
      <c r="F92" s="21">
        <v>19100000</v>
      </c>
      <c r="G92" s="27"/>
      <c r="H92" s="20">
        <f>+B92+C92+D92+G92+E92+F92</f>
        <v>19100000</v>
      </c>
      <c r="I92" s="27"/>
      <c r="J92" s="21">
        <f>+H92+I92</f>
        <v>19100000</v>
      </c>
      <c r="K92" s="21">
        <v>18821794</v>
      </c>
      <c r="L92" s="21">
        <f t="shared" si="16"/>
        <v>-278206</v>
      </c>
      <c r="M92" s="22">
        <f t="shared" si="17"/>
        <v>0.98543424083769637</v>
      </c>
    </row>
    <row r="93" spans="1:13" s="42" customFormat="1" ht="15" hidden="1" outlineLevel="1" x14ac:dyDescent="0.25">
      <c r="A93" s="43" t="s">
        <v>100</v>
      </c>
      <c r="B93" s="20"/>
      <c r="C93" s="27"/>
      <c r="D93" s="27"/>
      <c r="E93" s="27"/>
      <c r="F93" s="21">
        <f>+[3]Hoja1!$M$30+8550000</f>
        <v>17100000</v>
      </c>
      <c r="G93" s="27"/>
      <c r="H93" s="20">
        <f>+B93+C93+D93+G93+E93+F93</f>
        <v>17100000</v>
      </c>
      <c r="I93" s="27"/>
      <c r="J93" s="21">
        <f>+H93+I93</f>
        <v>17100000</v>
      </c>
      <c r="K93" s="21">
        <v>17064036</v>
      </c>
      <c r="L93" s="21">
        <f t="shared" si="16"/>
        <v>-35964</v>
      </c>
      <c r="M93" s="22">
        <f t="shared" si="17"/>
        <v>0.99789684210526319</v>
      </c>
    </row>
    <row r="94" spans="1:13" s="42" customFormat="1" ht="15" collapsed="1" x14ac:dyDescent="0.25">
      <c r="A94" s="44" t="s">
        <v>101</v>
      </c>
      <c r="B94" s="20"/>
      <c r="C94" s="27"/>
      <c r="D94" s="27"/>
      <c r="E94" s="27"/>
      <c r="F94" s="27">
        <f>SUM(F95:F105)</f>
        <v>1155714693.22</v>
      </c>
      <c r="G94" s="27"/>
      <c r="H94" s="27">
        <f>SUM(H95:H105)</f>
        <v>1155714693.22</v>
      </c>
      <c r="I94" s="27"/>
      <c r="J94" s="27">
        <f>SUM(J95:J105)</f>
        <v>1155714693.22</v>
      </c>
      <c r="K94" s="27">
        <f>SUM(K95:K105)</f>
        <v>583013638</v>
      </c>
      <c r="L94" s="27">
        <f t="shared" si="16"/>
        <v>-572701055.22000003</v>
      </c>
      <c r="M94" s="18">
        <f t="shared" si="17"/>
        <v>0.50446156081621996</v>
      </c>
    </row>
    <row r="95" spans="1:13" s="42" customFormat="1" ht="15" hidden="1" outlineLevel="1" x14ac:dyDescent="0.25">
      <c r="A95" s="43" t="s">
        <v>102</v>
      </c>
      <c r="B95" s="20"/>
      <c r="C95" s="27"/>
      <c r="D95" s="27"/>
      <c r="E95" s="27"/>
      <c r="F95" s="21">
        <f>+[3]Hoja1!$M$32</f>
        <v>92500000</v>
      </c>
      <c r="G95" s="27"/>
      <c r="H95" s="20">
        <f t="shared" ref="H95:H110" si="22">+B95+C95+D95+G95+E95+F95</f>
        <v>92500000</v>
      </c>
      <c r="I95" s="27"/>
      <c r="J95" s="21">
        <f t="shared" ref="J95:J109" si="23">+H95+I95</f>
        <v>92500000</v>
      </c>
      <c r="K95" s="21">
        <v>83813294</v>
      </c>
      <c r="L95" s="21">
        <f t="shared" si="16"/>
        <v>-8686706</v>
      </c>
      <c r="M95" s="22">
        <f t="shared" si="17"/>
        <v>0.90608966486486486</v>
      </c>
    </row>
    <row r="96" spans="1:13" s="42" customFormat="1" ht="15" hidden="1" outlineLevel="1" x14ac:dyDescent="0.25">
      <c r="A96" s="43" t="s">
        <v>103</v>
      </c>
      <c r="B96" s="20"/>
      <c r="C96" s="27"/>
      <c r="D96" s="27"/>
      <c r="E96" s="27"/>
      <c r="F96" s="21">
        <f>+[3]Hoja1!$M$33</f>
        <v>23455180.799999997</v>
      </c>
      <c r="G96" s="27"/>
      <c r="H96" s="20">
        <f t="shared" si="22"/>
        <v>23455180.799999997</v>
      </c>
      <c r="I96" s="27"/>
      <c r="J96" s="21">
        <f t="shared" si="23"/>
        <v>23455180.799999997</v>
      </c>
      <c r="K96" s="21">
        <v>17591386</v>
      </c>
      <c r="L96" s="21">
        <f t="shared" si="16"/>
        <v>-5863794.799999997</v>
      </c>
      <c r="M96" s="22">
        <f t="shared" si="17"/>
        <v>0.7500000170538017</v>
      </c>
    </row>
    <row r="97" spans="1:13" s="42" customFormat="1" ht="15" hidden="1" outlineLevel="1" x14ac:dyDescent="0.25">
      <c r="A97" s="43" t="s">
        <v>104</v>
      </c>
      <c r="B97" s="20"/>
      <c r="C97" s="27"/>
      <c r="D97" s="27"/>
      <c r="E97" s="27"/>
      <c r="F97" s="21">
        <f>+[3]Hoja1!$M$34</f>
        <v>16000000</v>
      </c>
      <c r="G97" s="27"/>
      <c r="H97" s="20">
        <f t="shared" si="22"/>
        <v>16000000</v>
      </c>
      <c r="I97" s="27"/>
      <c r="J97" s="21">
        <f t="shared" si="23"/>
        <v>16000000</v>
      </c>
      <c r="K97" s="21">
        <v>3654342</v>
      </c>
      <c r="L97" s="21">
        <f t="shared" si="16"/>
        <v>-12345658</v>
      </c>
      <c r="M97" s="22">
        <f t="shared" si="17"/>
        <v>0.22839637500000001</v>
      </c>
    </row>
    <row r="98" spans="1:13" s="42" customFormat="1" ht="15" hidden="1" outlineLevel="1" x14ac:dyDescent="0.25">
      <c r="A98" s="43" t="s">
        <v>105</v>
      </c>
      <c r="B98" s="20"/>
      <c r="C98" s="27"/>
      <c r="D98" s="27"/>
      <c r="E98" s="27"/>
      <c r="F98" s="21">
        <f>+[3]Hoja1!$M$35</f>
        <v>10119953.25</v>
      </c>
      <c r="G98" s="27"/>
      <c r="H98" s="20">
        <f t="shared" si="22"/>
        <v>10119953.25</v>
      </c>
      <c r="I98" s="27"/>
      <c r="J98" s="21">
        <f t="shared" si="23"/>
        <v>10119953.25</v>
      </c>
      <c r="K98" s="21">
        <v>4273422</v>
      </c>
      <c r="L98" s="21">
        <f t="shared" si="16"/>
        <v>-5846531.25</v>
      </c>
      <c r="M98" s="22">
        <f t="shared" si="17"/>
        <v>0.42227685192122799</v>
      </c>
    </row>
    <row r="99" spans="1:13" s="42" customFormat="1" ht="15" hidden="1" outlineLevel="1" x14ac:dyDescent="0.25">
      <c r="A99" s="43" t="s">
        <v>106</v>
      </c>
      <c r="B99" s="20"/>
      <c r="C99" s="27"/>
      <c r="D99" s="27"/>
      <c r="E99" s="27"/>
      <c r="F99" s="21">
        <f>+[3]Hoja1!$M$36</f>
        <v>55000000</v>
      </c>
      <c r="G99" s="27"/>
      <c r="H99" s="20">
        <f t="shared" si="22"/>
        <v>55000000</v>
      </c>
      <c r="I99" s="27"/>
      <c r="J99" s="21">
        <f t="shared" si="23"/>
        <v>55000000</v>
      </c>
      <c r="K99" s="21">
        <v>19603462</v>
      </c>
      <c r="L99" s="21">
        <f t="shared" si="16"/>
        <v>-35396538</v>
      </c>
      <c r="M99" s="22">
        <f t="shared" si="17"/>
        <v>0.35642658181818182</v>
      </c>
    </row>
    <row r="100" spans="1:13" s="42" customFormat="1" ht="15" hidden="1" outlineLevel="1" x14ac:dyDescent="0.25">
      <c r="A100" s="43" t="s">
        <v>107</v>
      </c>
      <c r="B100" s="20"/>
      <c r="C100" s="27"/>
      <c r="D100" s="27"/>
      <c r="E100" s="27"/>
      <c r="F100" s="21">
        <v>30000000</v>
      </c>
      <c r="G100" s="27"/>
      <c r="H100" s="20">
        <f t="shared" si="22"/>
        <v>30000000</v>
      </c>
      <c r="I100" s="27"/>
      <c r="J100" s="21">
        <f t="shared" si="23"/>
        <v>30000000</v>
      </c>
      <c r="K100" s="21">
        <v>3092110</v>
      </c>
      <c r="L100" s="21">
        <f t="shared" si="16"/>
        <v>-26907890</v>
      </c>
      <c r="M100" s="22">
        <f t="shared" si="17"/>
        <v>0.10307033333333333</v>
      </c>
    </row>
    <row r="101" spans="1:13" s="42" customFormat="1" ht="15" hidden="1" outlineLevel="1" x14ac:dyDescent="0.25">
      <c r="A101" s="43" t="s">
        <v>108</v>
      </c>
      <c r="B101" s="20"/>
      <c r="C101" s="27"/>
      <c r="D101" s="27"/>
      <c r="E101" s="27"/>
      <c r="F101" s="21">
        <f>+[3]Hoja1!$M$38</f>
        <v>47196559.170000002</v>
      </c>
      <c r="G101" s="27"/>
      <c r="H101" s="20">
        <f t="shared" si="22"/>
        <v>47196559.170000002</v>
      </c>
      <c r="I101" s="27"/>
      <c r="J101" s="21">
        <f t="shared" si="23"/>
        <v>47196559.170000002</v>
      </c>
      <c r="K101" s="21">
        <v>45512089</v>
      </c>
      <c r="L101" s="21">
        <f t="shared" si="16"/>
        <v>-1684470.1700000018</v>
      </c>
      <c r="M101" s="22">
        <f t="shared" si="17"/>
        <v>0.96430947086772556</v>
      </c>
    </row>
    <row r="102" spans="1:13" s="42" customFormat="1" ht="15" hidden="1" outlineLevel="1" x14ac:dyDescent="0.25">
      <c r="A102" s="43" t="s">
        <v>109</v>
      </c>
      <c r="B102" s="20"/>
      <c r="C102" s="27"/>
      <c r="D102" s="27"/>
      <c r="E102" s="27"/>
      <c r="F102" s="21">
        <f>+[3]Hoja1!$M$39</f>
        <v>550000000</v>
      </c>
      <c r="G102" s="27"/>
      <c r="H102" s="20">
        <f t="shared" si="22"/>
        <v>550000000</v>
      </c>
      <c r="I102" s="27"/>
      <c r="J102" s="21">
        <f t="shared" si="23"/>
        <v>550000000</v>
      </c>
      <c r="K102" s="21">
        <v>77456037</v>
      </c>
      <c r="L102" s="21">
        <f t="shared" si="16"/>
        <v>-472543963</v>
      </c>
      <c r="M102" s="22">
        <f t="shared" si="17"/>
        <v>0.14082915818181818</v>
      </c>
    </row>
    <row r="103" spans="1:13" s="42" customFormat="1" ht="15" hidden="1" outlineLevel="1" x14ac:dyDescent="0.25">
      <c r="A103" s="43" t="s">
        <v>110</v>
      </c>
      <c r="B103" s="20"/>
      <c r="C103" s="27"/>
      <c r="D103" s="27"/>
      <c r="E103" s="27"/>
      <c r="F103" s="21">
        <f>+[3]Hoja1!$M$40</f>
        <v>15000000</v>
      </c>
      <c r="G103" s="27"/>
      <c r="H103" s="20">
        <f>+B103+C103+D103+G103+E103+F103</f>
        <v>15000000</v>
      </c>
      <c r="I103" s="27"/>
      <c r="J103" s="21">
        <f t="shared" si="23"/>
        <v>15000000</v>
      </c>
      <c r="K103" s="21">
        <v>13955586</v>
      </c>
      <c r="L103" s="21">
        <f t="shared" si="16"/>
        <v>-1044414</v>
      </c>
      <c r="M103" s="22">
        <f t="shared" si="17"/>
        <v>0.93037239999999999</v>
      </c>
    </row>
    <row r="104" spans="1:13" s="42" customFormat="1" ht="15" hidden="1" outlineLevel="1" x14ac:dyDescent="0.25">
      <c r="A104" s="43" t="s">
        <v>111</v>
      </c>
      <c r="B104" s="20"/>
      <c r="C104" s="27"/>
      <c r="D104" s="27"/>
      <c r="E104" s="27"/>
      <c r="F104" s="21">
        <f>+[3]Hoja1!$M$41</f>
        <v>270443000</v>
      </c>
      <c r="G104" s="27"/>
      <c r="H104" s="20">
        <f>+B104+C104+D104+G104+E104+F104</f>
        <v>270443000</v>
      </c>
      <c r="I104" s="27"/>
      <c r="J104" s="21">
        <f t="shared" si="23"/>
        <v>270443000</v>
      </c>
      <c r="K104" s="21">
        <v>269092770</v>
      </c>
      <c r="L104" s="21">
        <f t="shared" si="16"/>
        <v>-1350230</v>
      </c>
      <c r="M104" s="22">
        <f t="shared" si="17"/>
        <v>0.99500733980912803</v>
      </c>
    </row>
    <row r="105" spans="1:13" s="42" customFormat="1" ht="15" hidden="1" outlineLevel="1" x14ac:dyDescent="0.25">
      <c r="A105" s="43" t="s">
        <v>112</v>
      </c>
      <c r="B105" s="20"/>
      <c r="C105" s="27"/>
      <c r="D105" s="27"/>
      <c r="E105" s="27"/>
      <c r="F105" s="21">
        <f>+[3]Hoja1!$M$42</f>
        <v>46000000</v>
      </c>
      <c r="G105" s="27"/>
      <c r="H105" s="20">
        <f>+B105+C105+D105+G105+E105+F105</f>
        <v>46000000</v>
      </c>
      <c r="I105" s="27"/>
      <c r="J105" s="21">
        <f t="shared" si="23"/>
        <v>46000000</v>
      </c>
      <c r="K105" s="21">
        <v>44969140</v>
      </c>
      <c r="L105" s="21">
        <f t="shared" si="16"/>
        <v>-1030860</v>
      </c>
      <c r="M105" s="22">
        <f t="shared" si="17"/>
        <v>0.97758999999999996</v>
      </c>
    </row>
    <row r="106" spans="1:13" s="42" customFormat="1" ht="15" collapsed="1" x14ac:dyDescent="0.25">
      <c r="A106" s="44" t="s">
        <v>113</v>
      </c>
      <c r="B106" s="17"/>
      <c r="C106" s="17"/>
      <c r="D106" s="17"/>
      <c r="E106" s="17"/>
      <c r="F106" s="17">
        <f>SUM(F107:F110)</f>
        <v>213405238</v>
      </c>
      <c r="G106" s="17"/>
      <c r="H106" s="17">
        <f t="shared" si="22"/>
        <v>213405238</v>
      </c>
      <c r="I106" s="17"/>
      <c r="J106" s="17">
        <f t="shared" si="23"/>
        <v>213405238</v>
      </c>
      <c r="K106" s="17">
        <f>SUM(K107:K110)</f>
        <v>185084206</v>
      </c>
      <c r="L106" s="17">
        <f t="shared" si="16"/>
        <v>-28321032</v>
      </c>
      <c r="M106" s="18">
        <f t="shared" si="17"/>
        <v>0.86728989285633185</v>
      </c>
    </row>
    <row r="107" spans="1:13" s="42" customFormat="1" ht="15" hidden="1" outlineLevel="1" x14ac:dyDescent="0.25">
      <c r="A107" s="43" t="s">
        <v>114</v>
      </c>
      <c r="B107" s="20"/>
      <c r="C107" s="27"/>
      <c r="D107" s="27"/>
      <c r="E107" s="27"/>
      <c r="F107" s="21">
        <f>+[3]Hoja1!$M$44</f>
        <v>37794876</v>
      </c>
      <c r="G107" s="27"/>
      <c r="H107" s="20">
        <f t="shared" si="22"/>
        <v>37794876</v>
      </c>
      <c r="I107" s="27"/>
      <c r="J107" s="21">
        <f t="shared" si="23"/>
        <v>37794876</v>
      </c>
      <c r="K107" s="21">
        <v>28485484</v>
      </c>
      <c r="L107" s="21">
        <f t="shared" si="16"/>
        <v>-9309392</v>
      </c>
      <c r="M107" s="22">
        <f t="shared" si="17"/>
        <v>0.75368639918278868</v>
      </c>
    </row>
    <row r="108" spans="1:13" s="42" customFormat="1" ht="15" hidden="1" outlineLevel="1" x14ac:dyDescent="0.25">
      <c r="A108" s="43" t="s">
        <v>115</v>
      </c>
      <c r="B108" s="20"/>
      <c r="C108" s="27"/>
      <c r="D108" s="27"/>
      <c r="E108" s="27"/>
      <c r="F108" s="21">
        <f>+[3]Hoja1!$M$45</f>
        <v>46910362</v>
      </c>
      <c r="G108" s="27"/>
      <c r="H108" s="20">
        <f t="shared" si="22"/>
        <v>46910362</v>
      </c>
      <c r="I108" s="27"/>
      <c r="J108" s="21">
        <f t="shared" si="23"/>
        <v>46910362</v>
      </c>
      <c r="K108" s="21">
        <v>39091970</v>
      </c>
      <c r="L108" s="21">
        <f t="shared" si="16"/>
        <v>-7818392</v>
      </c>
      <c r="M108" s="22">
        <f t="shared" si="17"/>
        <v>0.83333336886208642</v>
      </c>
    </row>
    <row r="109" spans="1:13" s="42" customFormat="1" ht="15" hidden="1" outlineLevel="1" x14ac:dyDescent="0.25">
      <c r="A109" s="43" t="s">
        <v>116</v>
      </c>
      <c r="B109" s="20"/>
      <c r="C109" s="27"/>
      <c r="D109" s="27"/>
      <c r="E109" s="27"/>
      <c r="F109" s="21">
        <v>23800000</v>
      </c>
      <c r="G109" s="27"/>
      <c r="H109" s="20">
        <f t="shared" si="22"/>
        <v>23800000</v>
      </c>
      <c r="I109" s="27"/>
      <c r="J109" s="21">
        <f t="shared" si="23"/>
        <v>23800000</v>
      </c>
      <c r="K109" s="21">
        <v>12938699</v>
      </c>
      <c r="L109" s="21">
        <f t="shared" si="16"/>
        <v>-10861301</v>
      </c>
      <c r="M109" s="22">
        <f t="shared" si="17"/>
        <v>0.54364281512605039</v>
      </c>
    </row>
    <row r="110" spans="1:13" s="42" customFormat="1" ht="15" hidden="1" outlineLevel="1" x14ac:dyDescent="0.25">
      <c r="A110" s="43" t="s">
        <v>117</v>
      </c>
      <c r="B110" s="20"/>
      <c r="C110" s="27"/>
      <c r="D110" s="27"/>
      <c r="E110" s="27"/>
      <c r="F110" s="21">
        <v>104900000</v>
      </c>
      <c r="G110" s="27"/>
      <c r="H110" s="20">
        <f t="shared" si="22"/>
        <v>104900000</v>
      </c>
      <c r="I110" s="27"/>
      <c r="J110" s="21">
        <f>+H110+I110</f>
        <v>104900000</v>
      </c>
      <c r="K110" s="21">
        <v>104568053</v>
      </c>
      <c r="L110" s="21">
        <f t="shared" si="16"/>
        <v>-331947</v>
      </c>
      <c r="M110" s="22">
        <f t="shared" si="17"/>
        <v>0.99683558627264057</v>
      </c>
    </row>
    <row r="111" spans="1:13" s="42" customFormat="1" ht="15" collapsed="1" x14ac:dyDescent="0.25">
      <c r="A111" s="43"/>
      <c r="B111" s="20"/>
      <c r="C111" s="27"/>
      <c r="D111" s="27"/>
      <c r="E111" s="27"/>
      <c r="F111" s="21"/>
      <c r="G111" s="27"/>
      <c r="H111" s="20"/>
      <c r="I111" s="27"/>
      <c r="J111" s="21"/>
      <c r="K111" s="21"/>
      <c r="L111" s="21"/>
      <c r="M111" s="22"/>
    </row>
    <row r="112" spans="1:13" s="42" customFormat="1" ht="15" x14ac:dyDescent="0.25">
      <c r="A112" s="44" t="s">
        <v>118</v>
      </c>
      <c r="B112" s="27"/>
      <c r="C112" s="27"/>
      <c r="D112" s="27"/>
      <c r="E112" s="27"/>
      <c r="F112" s="27"/>
      <c r="G112" s="27">
        <f>+G113+G118+G121+G127+G130</f>
        <v>3635352413</v>
      </c>
      <c r="H112" s="27">
        <f>+H113+H118+H121+H127+H130</f>
        <v>3635352413</v>
      </c>
      <c r="I112" s="27"/>
      <c r="J112" s="27">
        <f>+J113+J118+J121+J127+J130</f>
        <v>3635352413</v>
      </c>
      <c r="K112" s="27">
        <f>+K113+K118+K121+K127+K130</f>
        <v>3300176378</v>
      </c>
      <c r="L112" s="27">
        <f t="shared" ref="L112:L133" si="24">+K112-J112</f>
        <v>-335176035</v>
      </c>
      <c r="M112" s="18">
        <f t="shared" ref="M112:M133" si="25">IFERROR(K112/J112,0)</f>
        <v>0.90780095107109493</v>
      </c>
    </row>
    <row r="113" spans="1:13" s="42" customFormat="1" ht="15" x14ac:dyDescent="0.25">
      <c r="A113" s="44" t="s">
        <v>119</v>
      </c>
      <c r="B113" s="27"/>
      <c r="C113" s="27"/>
      <c r="D113" s="27"/>
      <c r="E113" s="17"/>
      <c r="F113" s="27"/>
      <c r="G113" s="17">
        <f>SUM(G114:G117)</f>
        <v>1152402572</v>
      </c>
      <c r="H113" s="17">
        <f>SUM(H114:H117)</f>
        <v>1152402572</v>
      </c>
      <c r="I113" s="27"/>
      <c r="J113" s="17">
        <f>SUM(J114:J117)</f>
        <v>1152402572</v>
      </c>
      <c r="K113" s="17">
        <f>SUM(K114:K117)</f>
        <v>1084243295</v>
      </c>
      <c r="L113" s="17">
        <f t="shared" si="24"/>
        <v>-68159277</v>
      </c>
      <c r="M113" s="18">
        <f t="shared" si="25"/>
        <v>0.94085462957470734</v>
      </c>
    </row>
    <row r="114" spans="1:13" s="42" customFormat="1" ht="15" hidden="1" outlineLevel="1" x14ac:dyDescent="0.25">
      <c r="A114" s="43" t="s">
        <v>120</v>
      </c>
      <c r="B114" s="27"/>
      <c r="C114" s="27"/>
      <c r="D114" s="27"/>
      <c r="E114" s="20"/>
      <c r="F114" s="27"/>
      <c r="G114" s="20">
        <v>559720572</v>
      </c>
      <c r="H114" s="20">
        <f>+B114+C114+D114+G114+E114+F114</f>
        <v>559720572</v>
      </c>
      <c r="I114" s="27"/>
      <c r="J114" s="21">
        <f>+H114+I114</f>
        <v>559720572</v>
      </c>
      <c r="K114" s="21">
        <v>517078800</v>
      </c>
      <c r="L114" s="21">
        <f t="shared" si="24"/>
        <v>-42641772</v>
      </c>
      <c r="M114" s="22">
        <f t="shared" si="25"/>
        <v>0.92381596437016433</v>
      </c>
    </row>
    <row r="115" spans="1:13" s="42" customFormat="1" ht="15" hidden="1" outlineLevel="1" x14ac:dyDescent="0.25">
      <c r="A115" s="43" t="s">
        <v>121</v>
      </c>
      <c r="B115" s="27"/>
      <c r="C115" s="27"/>
      <c r="D115" s="27"/>
      <c r="E115" s="20"/>
      <c r="F115" s="27"/>
      <c r="G115" s="20">
        <f>+'[5]III TRIMESTRE PPC'!$B$26</f>
        <v>45682000</v>
      </c>
      <c r="H115" s="20">
        <f>+B115+C115+D115+G115+E115+F115</f>
        <v>45682000</v>
      </c>
      <c r="I115" s="27"/>
      <c r="J115" s="21">
        <f>+H115+I115</f>
        <v>45682000</v>
      </c>
      <c r="K115" s="21">
        <v>44423617</v>
      </c>
      <c r="L115" s="21">
        <f t="shared" si="24"/>
        <v>-1258383</v>
      </c>
      <c r="M115" s="22">
        <f t="shared" si="25"/>
        <v>0.97245341710082744</v>
      </c>
    </row>
    <row r="116" spans="1:13" s="42" customFormat="1" ht="15" hidden="1" outlineLevel="1" x14ac:dyDescent="0.25">
      <c r="A116" s="43" t="s">
        <v>122</v>
      </c>
      <c r="B116" s="27"/>
      <c r="C116" s="27"/>
      <c r="D116" s="27"/>
      <c r="E116" s="20"/>
      <c r="F116" s="27"/>
      <c r="G116" s="20">
        <f>+'[5]III TRIMESTRE PPC'!$B$35</f>
        <v>25000000</v>
      </c>
      <c r="H116" s="20">
        <f>+B116+C116+D116+G116+E116+F116</f>
        <v>25000000</v>
      </c>
      <c r="I116" s="27"/>
      <c r="J116" s="21">
        <f>+H116+I116</f>
        <v>25000000</v>
      </c>
      <c r="K116" s="21">
        <v>22744504</v>
      </c>
      <c r="L116" s="21">
        <f t="shared" si="24"/>
        <v>-2255496</v>
      </c>
      <c r="M116" s="22">
        <f t="shared" si="25"/>
        <v>0.90978015999999995</v>
      </c>
    </row>
    <row r="117" spans="1:13" s="42" customFormat="1" ht="15" hidden="1" outlineLevel="1" x14ac:dyDescent="0.25">
      <c r="A117" s="43" t="s">
        <v>123</v>
      </c>
      <c r="B117" s="27"/>
      <c r="C117" s="27"/>
      <c r="D117" s="27"/>
      <c r="E117" s="20"/>
      <c r="F117" s="27"/>
      <c r="G117" s="20">
        <f>+'[5]III TRIMESTRE PPC'!$B$39</f>
        <v>522000000</v>
      </c>
      <c r="H117" s="20">
        <f>+B117+C117+D117+G117+E117+F117</f>
        <v>522000000</v>
      </c>
      <c r="I117" s="27"/>
      <c r="J117" s="21">
        <f>+H117+I117</f>
        <v>522000000</v>
      </c>
      <c r="K117" s="21">
        <v>499996374</v>
      </c>
      <c r="L117" s="21">
        <f t="shared" si="24"/>
        <v>-22003626</v>
      </c>
      <c r="M117" s="22">
        <f t="shared" si="25"/>
        <v>0.95784745977011498</v>
      </c>
    </row>
    <row r="118" spans="1:13" s="42" customFormat="1" ht="15" collapsed="1" x14ac:dyDescent="0.25">
      <c r="A118" s="44" t="s">
        <v>124</v>
      </c>
      <c r="B118" s="27"/>
      <c r="C118" s="27"/>
      <c r="D118" s="27"/>
      <c r="E118" s="17"/>
      <c r="F118" s="27"/>
      <c r="G118" s="17">
        <f>SUM(G119:G120)</f>
        <v>185500000</v>
      </c>
      <c r="H118" s="17">
        <f>SUM(H119:H120)</f>
        <v>185500000</v>
      </c>
      <c r="I118" s="27"/>
      <c r="J118" s="17">
        <f>SUM(J119:J120)</f>
        <v>185500000</v>
      </c>
      <c r="K118" s="17">
        <f>SUM(K119:K120)</f>
        <v>128713892</v>
      </c>
      <c r="L118" s="17">
        <f t="shared" si="24"/>
        <v>-56786108</v>
      </c>
      <c r="M118" s="18">
        <f t="shared" si="25"/>
        <v>0.69387542857142859</v>
      </c>
    </row>
    <row r="119" spans="1:13" s="42" customFormat="1" ht="15" hidden="1" outlineLevel="1" x14ac:dyDescent="0.25">
      <c r="A119" s="43" t="s">
        <v>125</v>
      </c>
      <c r="B119" s="27"/>
      <c r="C119" s="27"/>
      <c r="D119" s="27"/>
      <c r="E119" s="20"/>
      <c r="F119" s="27"/>
      <c r="G119" s="20">
        <f>+'[5]III TRIMESTRE PPC'!$B$43+26500000</f>
        <v>145500000</v>
      </c>
      <c r="H119" s="20">
        <f>+B119+C119+D119+G119+E119+F119</f>
        <v>145500000</v>
      </c>
      <c r="I119" s="27"/>
      <c r="J119" s="21">
        <f>+H119+I119</f>
        <v>145500000</v>
      </c>
      <c r="K119" s="21">
        <v>95600592</v>
      </c>
      <c r="L119" s="21">
        <f t="shared" si="24"/>
        <v>-49899408</v>
      </c>
      <c r="M119" s="22">
        <f t="shared" si="25"/>
        <v>0.65704874226804122</v>
      </c>
    </row>
    <row r="120" spans="1:13" s="42" customFormat="1" ht="15" hidden="1" outlineLevel="1" x14ac:dyDescent="0.25">
      <c r="A120" s="43" t="s">
        <v>126</v>
      </c>
      <c r="B120" s="27"/>
      <c r="C120" s="27"/>
      <c r="D120" s="27"/>
      <c r="E120" s="20"/>
      <c r="F120" s="27"/>
      <c r="G120" s="20">
        <f>+'[5]III TRIMESTRE PPC'!$B$50+20000000</f>
        <v>40000000</v>
      </c>
      <c r="H120" s="20">
        <f>+B120+C120+D120+G120+E120+F120</f>
        <v>40000000</v>
      </c>
      <c r="I120" s="27"/>
      <c r="J120" s="21">
        <f>+H120+I120</f>
        <v>40000000</v>
      </c>
      <c r="K120" s="21">
        <v>33113300</v>
      </c>
      <c r="L120" s="21">
        <f t="shared" si="24"/>
        <v>-6886700</v>
      </c>
      <c r="M120" s="22">
        <f t="shared" si="25"/>
        <v>0.82783249999999997</v>
      </c>
    </row>
    <row r="121" spans="1:13" s="42" customFormat="1" ht="15" collapsed="1" x14ac:dyDescent="0.25">
      <c r="A121" s="44" t="s">
        <v>127</v>
      </c>
      <c r="B121" s="27"/>
      <c r="C121" s="27"/>
      <c r="D121" s="27"/>
      <c r="E121" s="17"/>
      <c r="F121" s="27"/>
      <c r="G121" s="17">
        <f>SUM(G122:G126)</f>
        <v>411449841</v>
      </c>
      <c r="H121" s="17">
        <f>SUM(H122:H126)</f>
        <v>411449841</v>
      </c>
      <c r="I121" s="27"/>
      <c r="J121" s="17">
        <f>SUM(J122:J126)</f>
        <v>411449841</v>
      </c>
      <c r="K121" s="17">
        <f>SUM(K122:K126)</f>
        <v>359205096</v>
      </c>
      <c r="L121" s="17">
        <f t="shared" si="24"/>
        <v>-52244745</v>
      </c>
      <c r="M121" s="18">
        <f t="shared" si="25"/>
        <v>0.87302280911563168</v>
      </c>
    </row>
    <row r="122" spans="1:13" s="42" customFormat="1" ht="15" hidden="1" outlineLevel="1" x14ac:dyDescent="0.25">
      <c r="A122" s="43" t="s">
        <v>128</v>
      </c>
      <c r="B122" s="27"/>
      <c r="C122" s="27"/>
      <c r="D122" s="27"/>
      <c r="E122" s="20"/>
      <c r="F122" s="27"/>
      <c r="G122" s="20">
        <f>+'[5]III TRIMESTRE PPC'!$B$56</f>
        <v>105000000</v>
      </c>
      <c r="H122" s="20">
        <f>+B122+C122+D122+G122+E122+F122</f>
        <v>105000000</v>
      </c>
      <c r="I122" s="27"/>
      <c r="J122" s="21">
        <f>+H122+I122</f>
        <v>105000000</v>
      </c>
      <c r="K122" s="21">
        <v>105000000</v>
      </c>
      <c r="L122" s="21">
        <f t="shared" si="24"/>
        <v>0</v>
      </c>
      <c r="M122" s="22">
        <f t="shared" si="25"/>
        <v>1</v>
      </c>
    </row>
    <row r="123" spans="1:13" s="42" customFormat="1" ht="15" hidden="1" outlineLevel="1" x14ac:dyDescent="0.25">
      <c r="A123" s="43" t="s">
        <v>129</v>
      </c>
      <c r="B123" s="27"/>
      <c r="C123" s="27"/>
      <c r="D123" s="27"/>
      <c r="E123" s="20"/>
      <c r="F123" s="27"/>
      <c r="G123" s="20">
        <v>191749841</v>
      </c>
      <c r="H123" s="20">
        <f>+B123+C123+D123+G123+E123+F123</f>
        <v>191749841</v>
      </c>
      <c r="I123" s="27"/>
      <c r="J123" s="21">
        <f>+H123+I123</f>
        <v>191749841</v>
      </c>
      <c r="K123" s="21">
        <v>191518573</v>
      </c>
      <c r="L123" s="21">
        <f t="shared" si="24"/>
        <v>-231268</v>
      </c>
      <c r="M123" s="22">
        <f t="shared" si="25"/>
        <v>0.99879390773523513</v>
      </c>
    </row>
    <row r="124" spans="1:13" s="42" customFormat="1" ht="15" hidden="1" outlineLevel="1" x14ac:dyDescent="0.25">
      <c r="A124" s="43" t="s">
        <v>130</v>
      </c>
      <c r="B124" s="27"/>
      <c r="C124" s="27"/>
      <c r="D124" s="27"/>
      <c r="E124" s="20"/>
      <c r="F124" s="27"/>
      <c r="G124" s="20">
        <v>13000000</v>
      </c>
      <c r="H124" s="20">
        <f>+B124+C124+D124+G124+E124+F124</f>
        <v>13000000</v>
      </c>
      <c r="I124" s="27"/>
      <c r="J124" s="21">
        <f>+H124+I124</f>
        <v>13000000</v>
      </c>
      <c r="K124" s="21">
        <v>11664735</v>
      </c>
      <c r="L124" s="21">
        <f t="shared" si="24"/>
        <v>-1335265</v>
      </c>
      <c r="M124" s="22">
        <f t="shared" si="25"/>
        <v>0.89728730769230769</v>
      </c>
    </row>
    <row r="125" spans="1:13" s="42" customFormat="1" ht="15" hidden="1" outlineLevel="1" x14ac:dyDescent="0.25">
      <c r="A125" s="43" t="s">
        <v>131</v>
      </c>
      <c r="B125" s="27"/>
      <c r="C125" s="27"/>
      <c r="D125" s="27"/>
      <c r="E125" s="20"/>
      <c r="F125" s="27"/>
      <c r="G125" s="20">
        <f>+'[5]III TRIMESTRE PPC'!$B$59</f>
        <v>100000000</v>
      </c>
      <c r="H125" s="20">
        <f>+B125+C125+D125+G125+E125+F125</f>
        <v>100000000</v>
      </c>
      <c r="I125" s="27"/>
      <c r="J125" s="21">
        <f>+H125+I125</f>
        <v>100000000</v>
      </c>
      <c r="K125" s="21">
        <v>49783157</v>
      </c>
      <c r="L125" s="21">
        <f t="shared" si="24"/>
        <v>-50216843</v>
      </c>
      <c r="M125" s="22">
        <f t="shared" si="25"/>
        <v>0.49783157</v>
      </c>
    </row>
    <row r="126" spans="1:13" s="42" customFormat="1" ht="15" hidden="1" outlineLevel="1" x14ac:dyDescent="0.25">
      <c r="A126" s="43" t="s">
        <v>132</v>
      </c>
      <c r="B126" s="27"/>
      <c r="C126" s="27"/>
      <c r="D126" s="27"/>
      <c r="E126" s="20"/>
      <c r="F126" s="27"/>
      <c r="G126" s="20">
        <f>+'[5]III TRIMESTRE PPC'!$B$60</f>
        <v>1700000</v>
      </c>
      <c r="H126" s="20">
        <f>+B126+C126+D126+G126+E126+F126</f>
        <v>1700000</v>
      </c>
      <c r="I126" s="27"/>
      <c r="J126" s="21">
        <f>+H126+I126</f>
        <v>1700000</v>
      </c>
      <c r="K126" s="21">
        <v>1238631</v>
      </c>
      <c r="L126" s="21">
        <f t="shared" si="24"/>
        <v>-461369</v>
      </c>
      <c r="M126" s="22">
        <f t="shared" si="25"/>
        <v>0.72860647058823524</v>
      </c>
    </row>
    <row r="127" spans="1:13" s="42" customFormat="1" ht="15" collapsed="1" x14ac:dyDescent="0.25">
      <c r="A127" s="44" t="s">
        <v>133</v>
      </c>
      <c r="B127" s="27"/>
      <c r="C127" s="27"/>
      <c r="D127" s="27"/>
      <c r="E127" s="17"/>
      <c r="F127" s="27"/>
      <c r="G127" s="17">
        <f>SUM(G128:G129)</f>
        <v>119000000</v>
      </c>
      <c r="H127" s="17">
        <f>SUM(H128:H129)</f>
        <v>119000000</v>
      </c>
      <c r="I127" s="27"/>
      <c r="J127" s="17">
        <f>SUM(J128:J129)</f>
        <v>119000000</v>
      </c>
      <c r="K127" s="17">
        <f>SUM(K128:K129)</f>
        <v>63727701</v>
      </c>
      <c r="L127" s="17">
        <f t="shared" si="24"/>
        <v>-55272299</v>
      </c>
      <c r="M127" s="18">
        <f t="shared" si="25"/>
        <v>0.53552689915966389</v>
      </c>
    </row>
    <row r="128" spans="1:13" s="42" customFormat="1" ht="15" hidden="1" outlineLevel="1" x14ac:dyDescent="0.25">
      <c r="A128" s="43" t="s">
        <v>134</v>
      </c>
      <c r="B128" s="27"/>
      <c r="C128" s="27"/>
      <c r="D128" s="27"/>
      <c r="E128" s="20"/>
      <c r="F128" s="27"/>
      <c r="G128" s="20">
        <f>+'[5]III TRIMESTRE PPC'!$B$62</f>
        <v>79000000</v>
      </c>
      <c r="H128" s="20">
        <f>+B128+C128+D128+G128+E128+F128</f>
        <v>79000000</v>
      </c>
      <c r="I128" s="27"/>
      <c r="J128" s="21">
        <f>+H128+I128</f>
        <v>79000000</v>
      </c>
      <c r="K128" s="21">
        <v>51876688</v>
      </c>
      <c r="L128" s="21">
        <f t="shared" si="24"/>
        <v>-27123312</v>
      </c>
      <c r="M128" s="22">
        <f t="shared" si="25"/>
        <v>0.65666693670886078</v>
      </c>
    </row>
    <row r="129" spans="1:13" s="42" customFormat="1" ht="15" hidden="1" outlineLevel="1" x14ac:dyDescent="0.25">
      <c r="A129" s="43" t="s">
        <v>135</v>
      </c>
      <c r="B129" s="27"/>
      <c r="C129" s="27"/>
      <c r="D129" s="27"/>
      <c r="E129" s="20"/>
      <c r="F129" s="27"/>
      <c r="G129" s="20">
        <f>+'[5]III TRIMESTRE PPC'!$B$65</f>
        <v>40000000</v>
      </c>
      <c r="H129" s="20">
        <f>+B129+C129+D129+G129+E129+F129</f>
        <v>40000000</v>
      </c>
      <c r="I129" s="27"/>
      <c r="J129" s="21">
        <f>+H129+I129</f>
        <v>40000000</v>
      </c>
      <c r="K129" s="21">
        <v>11851013</v>
      </c>
      <c r="L129" s="21">
        <f t="shared" si="24"/>
        <v>-28148987</v>
      </c>
      <c r="M129" s="22">
        <f t="shared" si="25"/>
        <v>0.29627532499999998</v>
      </c>
    </row>
    <row r="130" spans="1:13" s="42" customFormat="1" ht="15" collapsed="1" x14ac:dyDescent="0.25">
      <c r="A130" s="44" t="s">
        <v>136</v>
      </c>
      <c r="B130" s="27"/>
      <c r="C130" s="27"/>
      <c r="D130" s="27"/>
      <c r="E130" s="27"/>
      <c r="F130" s="27"/>
      <c r="G130" s="27">
        <f>SUM(G131:G133)</f>
        <v>1767000000</v>
      </c>
      <c r="H130" s="27">
        <f>SUM(H131:H133)</f>
        <v>1767000000</v>
      </c>
      <c r="I130" s="27"/>
      <c r="J130" s="27">
        <f>SUM(J131:J133)</f>
        <v>1767000000</v>
      </c>
      <c r="K130" s="27">
        <f>SUM(K131:K133)</f>
        <v>1664286394</v>
      </c>
      <c r="L130" s="27">
        <f t="shared" si="24"/>
        <v>-102713606</v>
      </c>
      <c r="M130" s="18">
        <f t="shared" si="25"/>
        <v>0.94187119071873227</v>
      </c>
    </row>
    <row r="131" spans="1:13" s="42" customFormat="1" ht="15" hidden="1" outlineLevel="1" x14ac:dyDescent="0.25">
      <c r="A131" s="43" t="s">
        <v>137</v>
      </c>
      <c r="B131" s="27"/>
      <c r="C131" s="27"/>
      <c r="D131" s="27"/>
      <c r="E131" s="21"/>
      <c r="F131" s="27"/>
      <c r="G131" s="21">
        <v>1709000000</v>
      </c>
      <c r="H131" s="20">
        <f>+B131+C131+D131+G131+E131+F131</f>
        <v>1709000000</v>
      </c>
      <c r="I131" s="27"/>
      <c r="J131" s="21">
        <f>+H131+I131</f>
        <v>1709000000</v>
      </c>
      <c r="K131" s="21">
        <v>1614767859</v>
      </c>
      <c r="L131" s="21">
        <f t="shared" si="24"/>
        <v>-94232141</v>
      </c>
      <c r="M131" s="22">
        <f t="shared" si="25"/>
        <v>0.94486123990637805</v>
      </c>
    </row>
    <row r="132" spans="1:13" s="42" customFormat="1" ht="15" hidden="1" outlineLevel="1" x14ac:dyDescent="0.25">
      <c r="A132" s="43" t="s">
        <v>138</v>
      </c>
      <c r="B132" s="27"/>
      <c r="C132" s="27"/>
      <c r="D132" s="27"/>
      <c r="E132" s="21"/>
      <c r="F132" s="27"/>
      <c r="G132" s="21">
        <v>38000000</v>
      </c>
      <c r="H132" s="20">
        <f>+B132+C132+D132+G132+E132+F132</f>
        <v>38000000</v>
      </c>
      <c r="I132" s="27"/>
      <c r="J132" s="21">
        <f>+H132+I132</f>
        <v>38000000</v>
      </c>
      <c r="K132" s="21">
        <v>32763349</v>
      </c>
      <c r="L132" s="21">
        <f t="shared" si="24"/>
        <v>-5236651</v>
      </c>
      <c r="M132" s="22">
        <f t="shared" si="25"/>
        <v>0.86219339473684209</v>
      </c>
    </row>
    <row r="133" spans="1:13" s="42" customFormat="1" ht="15" hidden="1" outlineLevel="1" x14ac:dyDescent="0.25">
      <c r="A133" s="43" t="s">
        <v>139</v>
      </c>
      <c r="B133" s="27"/>
      <c r="C133" s="27"/>
      <c r="D133" s="27"/>
      <c r="E133" s="21"/>
      <c r="F133" s="27"/>
      <c r="G133" s="21">
        <f>+'[5]III TRIMESTRE PPC'!$B$72</f>
        <v>20000000</v>
      </c>
      <c r="H133" s="20">
        <f>+B133+C133+D133+G133+E133+F133</f>
        <v>20000000</v>
      </c>
      <c r="I133" s="27"/>
      <c r="J133" s="21">
        <f>+H133+I133</f>
        <v>20000000</v>
      </c>
      <c r="K133" s="21">
        <v>16755186</v>
      </c>
      <c r="L133" s="21">
        <f t="shared" si="24"/>
        <v>-3244814</v>
      </c>
      <c r="M133" s="22">
        <f t="shared" si="25"/>
        <v>0.83775929999999998</v>
      </c>
    </row>
    <row r="134" spans="1:13" s="42" customFormat="1" ht="15" collapsed="1" x14ac:dyDescent="0.25">
      <c r="A134" s="43"/>
      <c r="B134" s="27"/>
      <c r="C134" s="27"/>
      <c r="D134" s="27"/>
      <c r="E134" s="21"/>
      <c r="F134" s="27"/>
      <c r="G134" s="21"/>
      <c r="H134" s="20"/>
      <c r="I134" s="27"/>
      <c r="J134" s="21"/>
      <c r="K134" s="21"/>
      <c r="L134" s="21"/>
      <c r="M134" s="22"/>
    </row>
    <row r="135" spans="1:13" s="47" customFormat="1" ht="15" x14ac:dyDescent="0.25">
      <c r="A135" s="44" t="s">
        <v>140</v>
      </c>
      <c r="B135" s="45"/>
      <c r="C135" s="17">
        <f>+C136+C140+C143+C146</f>
        <v>464973993.38000005</v>
      </c>
      <c r="D135" s="45"/>
      <c r="E135" s="46"/>
      <c r="F135" s="45"/>
      <c r="G135" s="46"/>
      <c r="H135" s="17">
        <f>+H136+H140+H143+H146</f>
        <v>464973993.38000005</v>
      </c>
      <c r="I135" s="45"/>
      <c r="J135" s="17">
        <f>+H135+I135</f>
        <v>464973993.38000005</v>
      </c>
      <c r="K135" s="17">
        <f>+K136+K140+K143+K146</f>
        <v>390754914</v>
      </c>
      <c r="L135" s="17">
        <f>+K135-J135</f>
        <v>-74219079.380000055</v>
      </c>
      <c r="M135" s="18">
        <f t="shared" ref="M135:M147" si="26">IFERROR(K135/J135,0)</f>
        <v>0.84038014934881633</v>
      </c>
    </row>
    <row r="136" spans="1:13" s="42" customFormat="1" ht="15" x14ac:dyDescent="0.25">
      <c r="A136" s="44" t="s">
        <v>141</v>
      </c>
      <c r="B136" s="45"/>
      <c r="C136" s="27">
        <f>SUM(C137:C139)</f>
        <v>97391464.150000006</v>
      </c>
      <c r="D136" s="27"/>
      <c r="E136" s="27"/>
      <c r="F136" s="27"/>
      <c r="G136" s="27"/>
      <c r="H136" s="17">
        <f>+B136+C136+D136+G136+E136+F136</f>
        <v>97391464.150000006</v>
      </c>
      <c r="I136" s="17"/>
      <c r="J136" s="27">
        <f>SUM(J137:J139)</f>
        <v>97391464.150000006</v>
      </c>
      <c r="K136" s="27">
        <f>SUM(K137:K139)</f>
        <v>93138584</v>
      </c>
      <c r="L136" s="27">
        <f>+K136-J136</f>
        <v>-4252880.150000006</v>
      </c>
      <c r="M136" s="18">
        <f t="shared" si="26"/>
        <v>0.95633210582551853</v>
      </c>
    </row>
    <row r="137" spans="1:13" s="42" customFormat="1" ht="15" hidden="1" outlineLevel="1" x14ac:dyDescent="0.25">
      <c r="A137" s="43" t="s">
        <v>142</v>
      </c>
      <c r="B137" s="45"/>
      <c r="C137" s="21">
        <v>75451464.150000006</v>
      </c>
      <c r="D137" s="27"/>
      <c r="E137" s="27"/>
      <c r="F137" s="27"/>
      <c r="G137" s="27"/>
      <c r="H137" s="21">
        <f>+B137+C137+D137+G137+E137+F137</f>
        <v>75451464.150000006</v>
      </c>
      <c r="I137" s="17"/>
      <c r="J137" s="21">
        <f>+H137+I137</f>
        <v>75451464.150000006</v>
      </c>
      <c r="K137" s="21">
        <v>71200594</v>
      </c>
      <c r="L137" s="21">
        <f>+K137-J137</f>
        <v>-4250870.150000006</v>
      </c>
      <c r="M137" s="22">
        <f t="shared" si="26"/>
        <v>0.94366086598996757</v>
      </c>
    </row>
    <row r="138" spans="1:13" s="42" customFormat="1" ht="15" hidden="1" outlineLevel="1" x14ac:dyDescent="0.25">
      <c r="A138" s="43" t="s">
        <v>143</v>
      </c>
      <c r="B138" s="45"/>
      <c r="C138" s="21">
        <f>+'[6]Solicitud Presupuesto III-TRI '!$N$24</f>
        <v>0</v>
      </c>
      <c r="D138" s="27"/>
      <c r="E138" s="27"/>
      <c r="F138" s="27"/>
      <c r="G138" s="27"/>
      <c r="H138" s="21">
        <f t="shared" ref="H138:H145" si="27">+B138+C138+D138+G138+E138+F138</f>
        <v>0</v>
      </c>
      <c r="I138" s="17"/>
      <c r="J138" s="21">
        <f t="shared" ref="J138:J145" si="28">+H138+I138</f>
        <v>0</v>
      </c>
      <c r="K138" s="21">
        <v>0</v>
      </c>
      <c r="L138" s="21">
        <f t="shared" ref="L138:L147" si="29">+K138-J138</f>
        <v>0</v>
      </c>
      <c r="M138" s="22">
        <f t="shared" si="26"/>
        <v>0</v>
      </c>
    </row>
    <row r="139" spans="1:13" s="42" customFormat="1" ht="15" hidden="1" outlineLevel="1" x14ac:dyDescent="0.25">
      <c r="A139" s="43" t="s">
        <v>144</v>
      </c>
      <c r="B139" s="45"/>
      <c r="C139" s="21">
        <v>21940000</v>
      </c>
      <c r="D139" s="27"/>
      <c r="E139" s="27"/>
      <c r="F139" s="27"/>
      <c r="G139" s="27"/>
      <c r="H139" s="21">
        <f t="shared" si="27"/>
        <v>21940000</v>
      </c>
      <c r="I139" s="17"/>
      <c r="J139" s="21">
        <f t="shared" si="28"/>
        <v>21940000</v>
      </c>
      <c r="K139" s="21">
        <v>21937990</v>
      </c>
      <c r="L139" s="21">
        <f t="shared" si="29"/>
        <v>-2010</v>
      </c>
      <c r="M139" s="22">
        <f t="shared" si="26"/>
        <v>0.99990838650865999</v>
      </c>
    </row>
    <row r="140" spans="1:13" s="42" customFormat="1" ht="15" collapsed="1" x14ac:dyDescent="0.25">
      <c r="A140" s="44" t="s">
        <v>145</v>
      </c>
      <c r="B140" s="45"/>
      <c r="C140" s="27">
        <f>SUM(C141:C142)</f>
        <v>274657066.05000007</v>
      </c>
      <c r="D140" s="27"/>
      <c r="E140" s="27"/>
      <c r="F140" s="27"/>
      <c r="G140" s="27"/>
      <c r="H140" s="17">
        <f>+B140+C140+D140+G140+E140+F140</f>
        <v>274657066.05000007</v>
      </c>
      <c r="I140" s="17"/>
      <c r="J140" s="27">
        <f>SUM(J141:J142)</f>
        <v>274657066.05000007</v>
      </c>
      <c r="K140" s="27">
        <f>SUM(K141:K142)</f>
        <v>223772436</v>
      </c>
      <c r="L140" s="27">
        <f t="shared" si="29"/>
        <v>-50884630.050000072</v>
      </c>
      <c r="M140" s="18">
        <f t="shared" si="26"/>
        <v>0.81473394884100026</v>
      </c>
    </row>
    <row r="141" spans="1:13" s="42" customFormat="1" ht="15" hidden="1" outlineLevel="1" x14ac:dyDescent="0.25">
      <c r="A141" s="43" t="s">
        <v>146</v>
      </c>
      <c r="B141" s="45"/>
      <c r="C141" s="21">
        <f>+'[6]Solicitud Presupuesto III-TRI '!$N$34</f>
        <v>191376989.05000004</v>
      </c>
      <c r="D141" s="27"/>
      <c r="E141" s="27"/>
      <c r="F141" s="27"/>
      <c r="G141" s="27"/>
      <c r="H141" s="21">
        <f t="shared" si="27"/>
        <v>191376989.05000004</v>
      </c>
      <c r="I141" s="17"/>
      <c r="J141" s="21">
        <f t="shared" si="28"/>
        <v>191376989.05000004</v>
      </c>
      <c r="K141" s="21">
        <v>188596194</v>
      </c>
      <c r="L141" s="21">
        <f t="shared" si="29"/>
        <v>-2780795.0500000417</v>
      </c>
      <c r="M141" s="22">
        <f t="shared" si="26"/>
        <v>0.98546954331446024</v>
      </c>
    </row>
    <row r="142" spans="1:13" s="42" customFormat="1" ht="15" hidden="1" outlineLevel="1" x14ac:dyDescent="0.25">
      <c r="A142" s="43" t="s">
        <v>147</v>
      </c>
      <c r="B142" s="45"/>
      <c r="C142" s="21">
        <f>+'[6]Solicitud Presupuesto III-TRI '!$N$53</f>
        <v>83280077</v>
      </c>
      <c r="D142" s="27"/>
      <c r="E142" s="27"/>
      <c r="F142" s="27"/>
      <c r="G142" s="27"/>
      <c r="H142" s="21">
        <f t="shared" si="27"/>
        <v>83280077</v>
      </c>
      <c r="I142" s="17"/>
      <c r="J142" s="21">
        <f t="shared" si="28"/>
        <v>83280077</v>
      </c>
      <c r="K142" s="21">
        <v>35176242</v>
      </c>
      <c r="L142" s="21">
        <f t="shared" si="29"/>
        <v>-48103835</v>
      </c>
      <c r="M142" s="22">
        <f t="shared" si="26"/>
        <v>0.42238484001401677</v>
      </c>
    </row>
    <row r="143" spans="1:13" s="42" customFormat="1" ht="15" collapsed="1" x14ac:dyDescent="0.25">
      <c r="A143" s="44" t="s">
        <v>148</v>
      </c>
      <c r="B143" s="45"/>
      <c r="C143" s="27">
        <f>SUM(C144:C145)</f>
        <v>63594876.789999999</v>
      </c>
      <c r="D143" s="27"/>
      <c r="E143" s="27"/>
      <c r="F143" s="27"/>
      <c r="G143" s="27"/>
      <c r="H143" s="17">
        <f>+B143+C143+D143+G143+E143+F143</f>
        <v>63594876.789999999</v>
      </c>
      <c r="I143" s="17"/>
      <c r="J143" s="27">
        <f>SUM(J144:J145)</f>
        <v>63594876.789999999</v>
      </c>
      <c r="K143" s="27">
        <f>SUM(K144:K145)</f>
        <v>50172707</v>
      </c>
      <c r="L143" s="27">
        <f t="shared" si="29"/>
        <v>-13422169.789999999</v>
      </c>
      <c r="M143" s="18">
        <f t="shared" si="26"/>
        <v>0.78894259305946834</v>
      </c>
    </row>
    <row r="144" spans="1:13" s="42" customFormat="1" ht="15" hidden="1" outlineLevel="1" x14ac:dyDescent="0.25">
      <c r="A144" s="43" t="s">
        <v>149</v>
      </c>
      <c r="B144" s="45"/>
      <c r="C144" s="21">
        <f>+'[6]Solicitud Presupuesto III-TRI '!$N$61</f>
        <v>27455586.390000001</v>
      </c>
      <c r="D144" s="27"/>
      <c r="E144" s="27"/>
      <c r="F144" s="27"/>
      <c r="G144" s="27"/>
      <c r="H144" s="21">
        <f t="shared" si="27"/>
        <v>27455586.390000001</v>
      </c>
      <c r="I144" s="17"/>
      <c r="J144" s="21">
        <f t="shared" si="28"/>
        <v>27455586.390000001</v>
      </c>
      <c r="K144" s="21">
        <v>16977867</v>
      </c>
      <c r="L144" s="21">
        <f t="shared" si="29"/>
        <v>-10477719.390000001</v>
      </c>
      <c r="M144" s="22">
        <f t="shared" si="26"/>
        <v>0.61837568350693672</v>
      </c>
    </row>
    <row r="145" spans="1:13" s="42" customFormat="1" ht="15" hidden="1" outlineLevel="1" x14ac:dyDescent="0.25">
      <c r="A145" s="43" t="s">
        <v>150</v>
      </c>
      <c r="B145" s="45"/>
      <c r="C145" s="21">
        <f>+'[6]Solicitud Presupuesto III-TRI '!$N$65</f>
        <v>36139290.399999999</v>
      </c>
      <c r="D145" s="27"/>
      <c r="E145" s="27"/>
      <c r="F145" s="27"/>
      <c r="G145" s="27"/>
      <c r="H145" s="21">
        <f t="shared" si="27"/>
        <v>36139290.399999999</v>
      </c>
      <c r="I145" s="17"/>
      <c r="J145" s="21">
        <f t="shared" si="28"/>
        <v>36139290.399999999</v>
      </c>
      <c r="K145" s="21">
        <v>33194840</v>
      </c>
      <c r="L145" s="21">
        <f t="shared" si="29"/>
        <v>-2944450.3999999985</v>
      </c>
      <c r="M145" s="22">
        <f t="shared" si="26"/>
        <v>0.91852495255413213</v>
      </c>
    </row>
    <row r="146" spans="1:13" s="42" customFormat="1" ht="15" collapsed="1" x14ac:dyDescent="0.25">
      <c r="A146" s="44" t="s">
        <v>151</v>
      </c>
      <c r="B146" s="45"/>
      <c r="C146" s="27">
        <f>SUM(C147:C148)</f>
        <v>29330586.390000001</v>
      </c>
      <c r="D146" s="27"/>
      <c r="E146" s="27"/>
      <c r="F146" s="27"/>
      <c r="G146" s="27"/>
      <c r="H146" s="17">
        <f>+B146+C146+D146+G146+E146+F146</f>
        <v>29330586.390000001</v>
      </c>
      <c r="I146" s="17"/>
      <c r="J146" s="27">
        <f>SUM(J147:J148)</f>
        <v>29330586.390000001</v>
      </c>
      <c r="K146" s="27">
        <f>SUM(K147:K148)</f>
        <v>23671187</v>
      </c>
      <c r="L146" s="27">
        <f t="shared" si="29"/>
        <v>-5659399.3900000006</v>
      </c>
      <c r="M146" s="18">
        <f t="shared" si="26"/>
        <v>0.80704786072979695</v>
      </c>
    </row>
    <row r="147" spans="1:13" s="42" customFormat="1" ht="15" hidden="1" outlineLevel="1" x14ac:dyDescent="0.25">
      <c r="A147" s="43" t="s">
        <v>152</v>
      </c>
      <c r="B147" s="45"/>
      <c r="C147" s="21">
        <f>+'[6]Solicitud Presupuesto III-TRI '!$N$72</f>
        <v>29330586.390000001</v>
      </c>
      <c r="D147" s="27"/>
      <c r="E147" s="27"/>
      <c r="F147" s="27"/>
      <c r="G147" s="27"/>
      <c r="H147" s="21">
        <f>+B147+C147+D147+G147+E147+F147</f>
        <v>29330586.390000001</v>
      </c>
      <c r="I147" s="17"/>
      <c r="J147" s="21">
        <f>+H147+I147</f>
        <v>29330586.390000001</v>
      </c>
      <c r="K147" s="21">
        <v>23671187</v>
      </c>
      <c r="L147" s="21">
        <f t="shared" si="29"/>
        <v>-5659399.3900000006</v>
      </c>
      <c r="M147" s="22">
        <f t="shared" si="26"/>
        <v>0.80704786072979695</v>
      </c>
    </row>
    <row r="148" spans="1:13" s="42" customFormat="1" ht="15" collapsed="1" x14ac:dyDescent="0.25">
      <c r="A148" s="43"/>
      <c r="B148" s="45"/>
      <c r="C148" s="27"/>
      <c r="D148" s="27"/>
      <c r="E148" s="27"/>
      <c r="F148" s="27"/>
      <c r="G148" s="27"/>
      <c r="H148" s="21"/>
      <c r="I148" s="27"/>
      <c r="J148" s="21"/>
      <c r="K148" s="21"/>
      <c r="L148" s="21"/>
      <c r="M148" s="22"/>
    </row>
    <row r="149" spans="1:13" s="42" customFormat="1" ht="15" x14ac:dyDescent="0.25">
      <c r="A149" s="44" t="s">
        <v>153</v>
      </c>
      <c r="B149" s="45"/>
      <c r="C149" s="27"/>
      <c r="D149" s="27">
        <f>+D150+D154+D168</f>
        <v>596696804</v>
      </c>
      <c r="E149" s="27"/>
      <c r="F149" s="27"/>
      <c r="G149" s="27"/>
      <c r="H149" s="27">
        <f>+H150+H154+H168</f>
        <v>596696804</v>
      </c>
      <c r="I149" s="27"/>
      <c r="J149" s="17">
        <f>+H149+I149</f>
        <v>596696804</v>
      </c>
      <c r="K149" s="27">
        <f>+K150+K154+K168</f>
        <v>477064137</v>
      </c>
      <c r="L149" s="17">
        <f t="shared" ref="L149:L182" si="30">+K149-J149</f>
        <v>-119632667</v>
      </c>
      <c r="M149" s="18">
        <f t="shared" ref="M149:M182" si="31">IFERROR(K149/J149,0)</f>
        <v>0.7995084501910622</v>
      </c>
    </row>
    <row r="150" spans="1:13" s="42" customFormat="1" ht="15" x14ac:dyDescent="0.25">
      <c r="A150" s="44" t="s">
        <v>154</v>
      </c>
      <c r="B150" s="27"/>
      <c r="C150" s="27"/>
      <c r="D150" s="27">
        <f>SUM(D151:D153)</f>
        <v>130187909</v>
      </c>
      <c r="E150" s="27"/>
      <c r="F150" s="27"/>
      <c r="G150" s="27"/>
      <c r="H150" s="27">
        <f>SUM(H151:H153)</f>
        <v>130187909</v>
      </c>
      <c r="I150" s="27"/>
      <c r="J150" s="27">
        <f>SUM(J151:J153)</f>
        <v>130187909</v>
      </c>
      <c r="K150" s="27">
        <f>SUM(K151:K153)</f>
        <v>122995451</v>
      </c>
      <c r="L150" s="27">
        <f t="shared" si="30"/>
        <v>-7192458</v>
      </c>
      <c r="M150" s="18">
        <f t="shared" si="31"/>
        <v>0.94475325661770937</v>
      </c>
    </row>
    <row r="151" spans="1:13" s="42" customFormat="1" ht="15" hidden="1" outlineLevel="1" x14ac:dyDescent="0.25">
      <c r="A151" s="43" t="s">
        <v>155</v>
      </c>
      <c r="B151" s="27"/>
      <c r="C151" s="27"/>
      <c r="D151" s="21">
        <v>113257909</v>
      </c>
      <c r="E151" s="27"/>
      <c r="F151" s="27"/>
      <c r="G151" s="27"/>
      <c r="H151" s="20">
        <f>+B151+C151+D151+G151+E151+F151</f>
        <v>113257909</v>
      </c>
      <c r="I151" s="27"/>
      <c r="J151" s="21">
        <f>+H151+I151</f>
        <v>113257909</v>
      </c>
      <c r="K151" s="21">
        <v>108513165</v>
      </c>
      <c r="L151" s="21">
        <f t="shared" si="30"/>
        <v>-4744744</v>
      </c>
      <c r="M151" s="22">
        <f t="shared" si="31"/>
        <v>0.95810673142482261</v>
      </c>
    </row>
    <row r="152" spans="1:13" s="42" customFormat="1" ht="15" hidden="1" outlineLevel="1" x14ac:dyDescent="0.25">
      <c r="A152" s="43" t="s">
        <v>156</v>
      </c>
      <c r="B152" s="27"/>
      <c r="C152" s="27"/>
      <c r="D152" s="21">
        <v>250000</v>
      </c>
      <c r="E152" s="27"/>
      <c r="F152" s="27"/>
      <c r="G152" s="27"/>
      <c r="H152" s="20">
        <f>+B152+C152+D152+G152+E152+F152</f>
        <v>250000</v>
      </c>
      <c r="I152" s="27"/>
      <c r="J152" s="21">
        <f>+H152+I152</f>
        <v>250000</v>
      </c>
      <c r="K152" s="21">
        <v>250000</v>
      </c>
      <c r="L152" s="21">
        <f t="shared" si="30"/>
        <v>0</v>
      </c>
      <c r="M152" s="22">
        <f t="shared" si="31"/>
        <v>1</v>
      </c>
    </row>
    <row r="153" spans="1:13" s="42" customFormat="1" ht="15" hidden="1" outlineLevel="1" x14ac:dyDescent="0.25">
      <c r="A153" s="43" t="s">
        <v>157</v>
      </c>
      <c r="B153" s="27"/>
      <c r="C153" s="27"/>
      <c r="D153" s="21">
        <v>16680000</v>
      </c>
      <c r="E153" s="27"/>
      <c r="F153" s="27"/>
      <c r="G153" s="27"/>
      <c r="H153" s="20">
        <f>+B153+C153+D153+G153+E153+F153</f>
        <v>16680000</v>
      </c>
      <c r="I153" s="27"/>
      <c r="J153" s="21">
        <f>+H153+I153</f>
        <v>16680000</v>
      </c>
      <c r="K153" s="21">
        <v>14232286</v>
      </c>
      <c r="L153" s="21">
        <f t="shared" si="30"/>
        <v>-2447714</v>
      </c>
      <c r="M153" s="22">
        <f t="shared" si="31"/>
        <v>0.85325455635491609</v>
      </c>
    </row>
    <row r="154" spans="1:13" s="42" customFormat="1" ht="15" collapsed="1" x14ac:dyDescent="0.25">
      <c r="A154" s="44" t="s">
        <v>158</v>
      </c>
      <c r="B154" s="27"/>
      <c r="C154" s="27"/>
      <c r="D154" s="27">
        <f>+D155+D163</f>
        <v>309508895</v>
      </c>
      <c r="E154" s="27"/>
      <c r="F154" s="27"/>
      <c r="G154" s="27"/>
      <c r="H154" s="27">
        <f>+H155+H163</f>
        <v>309508895</v>
      </c>
      <c r="I154" s="27"/>
      <c r="J154" s="27">
        <f>+J155+J163</f>
        <v>309508895</v>
      </c>
      <c r="K154" s="27">
        <f>+K155+K163</f>
        <v>212556528</v>
      </c>
      <c r="L154" s="27">
        <f t="shared" si="30"/>
        <v>-96952367</v>
      </c>
      <c r="M154" s="18">
        <f t="shared" si="31"/>
        <v>0.68675418197593319</v>
      </c>
    </row>
    <row r="155" spans="1:13" s="42" customFormat="1" ht="15" hidden="1" outlineLevel="1" x14ac:dyDescent="0.25">
      <c r="A155" s="44" t="s">
        <v>159</v>
      </c>
      <c r="B155" s="27"/>
      <c r="C155" s="27"/>
      <c r="D155" s="27">
        <f>SUM(D156:D162)</f>
        <v>226263895</v>
      </c>
      <c r="E155" s="27"/>
      <c r="F155" s="27"/>
      <c r="G155" s="27"/>
      <c r="H155" s="27">
        <f>SUM(H156:H162)</f>
        <v>226263895</v>
      </c>
      <c r="I155" s="27"/>
      <c r="J155" s="27">
        <f>SUM(J156:J162)</f>
        <v>226263895</v>
      </c>
      <c r="K155" s="27">
        <f>SUM(K156:K162)</f>
        <v>148052319</v>
      </c>
      <c r="L155" s="27">
        <f t="shared" si="30"/>
        <v>-78211576</v>
      </c>
      <c r="M155" s="18">
        <f t="shared" si="31"/>
        <v>0.65433470505756119</v>
      </c>
    </row>
    <row r="156" spans="1:13" s="42" customFormat="1" ht="15" hidden="1" outlineLevel="2" x14ac:dyDescent="0.25">
      <c r="A156" s="43" t="s">
        <v>160</v>
      </c>
      <c r="B156" s="27"/>
      <c r="C156" s="27"/>
      <c r="D156" s="21">
        <f>+'[7]Ejec. II trim Solic III trim'!$J$11+21535000</f>
        <v>50185000</v>
      </c>
      <c r="E156" s="27"/>
      <c r="F156" s="27"/>
      <c r="G156" s="27"/>
      <c r="H156" s="20">
        <f t="shared" ref="H156:H161" si="32">+B156+C156+D156+G156+E156+F156</f>
        <v>50185000</v>
      </c>
      <c r="I156" s="27"/>
      <c r="J156" s="21">
        <f t="shared" ref="J156:J161" si="33">+H156+I156</f>
        <v>50185000</v>
      </c>
      <c r="K156" s="21">
        <v>3885408</v>
      </c>
      <c r="L156" s="21">
        <f t="shared" si="30"/>
        <v>-46299592</v>
      </c>
      <c r="M156" s="22">
        <f t="shared" si="31"/>
        <v>7.7421699711069047E-2</v>
      </c>
    </row>
    <row r="157" spans="1:13" s="42" customFormat="1" ht="15" hidden="1" outlineLevel="2" x14ac:dyDescent="0.25">
      <c r="A157" s="43" t="s">
        <v>161</v>
      </c>
      <c r="B157" s="27"/>
      <c r="C157" s="27"/>
      <c r="D157" s="21">
        <f>+'[7]Ejec. II trim Solic III trim'!$J$12</f>
        <v>7396895</v>
      </c>
      <c r="E157" s="27"/>
      <c r="F157" s="27"/>
      <c r="G157" s="27"/>
      <c r="H157" s="20">
        <f t="shared" si="32"/>
        <v>7396895</v>
      </c>
      <c r="I157" s="27"/>
      <c r="J157" s="21">
        <f t="shared" si="33"/>
        <v>7396895</v>
      </c>
      <c r="K157" s="21">
        <v>0</v>
      </c>
      <c r="L157" s="21">
        <f t="shared" si="30"/>
        <v>-7396895</v>
      </c>
      <c r="M157" s="22">
        <f t="shared" si="31"/>
        <v>0</v>
      </c>
    </row>
    <row r="158" spans="1:13" s="42" customFormat="1" ht="15" hidden="1" outlineLevel="2" x14ac:dyDescent="0.25">
      <c r="A158" s="43" t="s">
        <v>162</v>
      </c>
      <c r="B158" s="27"/>
      <c r="C158" s="27"/>
      <c r="D158" s="21">
        <v>11723513</v>
      </c>
      <c r="E158" s="27"/>
      <c r="F158" s="27"/>
      <c r="G158" s="27"/>
      <c r="H158" s="20">
        <f t="shared" si="32"/>
        <v>11723513</v>
      </c>
      <c r="I158" s="27"/>
      <c r="J158" s="21">
        <f t="shared" si="33"/>
        <v>11723513</v>
      </c>
      <c r="K158" s="21">
        <v>11723513</v>
      </c>
      <c r="L158" s="21">
        <f t="shared" si="30"/>
        <v>0</v>
      </c>
      <c r="M158" s="22">
        <f t="shared" si="31"/>
        <v>1</v>
      </c>
    </row>
    <row r="159" spans="1:13" s="42" customFormat="1" ht="15" hidden="1" outlineLevel="2" x14ac:dyDescent="0.25">
      <c r="A159" s="43" t="s">
        <v>163</v>
      </c>
      <c r="B159" s="27"/>
      <c r="C159" s="27"/>
      <c r="D159" s="21">
        <f>+'[7]Ejec. II trim Solic III trim'!$J$10</f>
        <v>95000000</v>
      </c>
      <c r="E159" s="27"/>
      <c r="F159" s="27"/>
      <c r="G159" s="27"/>
      <c r="H159" s="20">
        <f t="shared" si="32"/>
        <v>95000000</v>
      </c>
      <c r="I159" s="27"/>
      <c r="J159" s="21">
        <f t="shared" si="33"/>
        <v>95000000</v>
      </c>
      <c r="K159" s="21">
        <v>90958594</v>
      </c>
      <c r="L159" s="21">
        <f t="shared" si="30"/>
        <v>-4041406</v>
      </c>
      <c r="M159" s="22">
        <f t="shared" si="31"/>
        <v>0.95745888421052627</v>
      </c>
    </row>
    <row r="160" spans="1:13" s="42" customFormat="1" ht="15" hidden="1" outlineLevel="2" x14ac:dyDescent="0.25">
      <c r="A160" s="43" t="s">
        <v>164</v>
      </c>
      <c r="B160" s="27"/>
      <c r="C160" s="27"/>
      <c r="D160" s="21">
        <v>22958487</v>
      </c>
      <c r="E160" s="27"/>
      <c r="F160" s="27"/>
      <c r="G160" s="27"/>
      <c r="H160" s="20">
        <f t="shared" si="32"/>
        <v>22958487</v>
      </c>
      <c r="I160" s="27"/>
      <c r="J160" s="21">
        <f t="shared" si="33"/>
        <v>22958487</v>
      </c>
      <c r="K160" s="21">
        <v>22332000</v>
      </c>
      <c r="L160" s="21">
        <f t="shared" si="30"/>
        <v>-626487</v>
      </c>
      <c r="M160" s="22">
        <f t="shared" si="31"/>
        <v>0.97271218264513681</v>
      </c>
    </row>
    <row r="161" spans="1:13" s="42" customFormat="1" ht="15" hidden="1" outlineLevel="2" x14ac:dyDescent="0.25">
      <c r="A161" s="43" t="s">
        <v>165</v>
      </c>
      <c r="B161" s="27"/>
      <c r="C161" s="27"/>
      <c r="D161" s="21">
        <f>+'[7]Ejec. II trim Solic III trim'!$J$15</f>
        <v>24000000</v>
      </c>
      <c r="E161" s="27"/>
      <c r="F161" s="27"/>
      <c r="G161" s="27"/>
      <c r="H161" s="20">
        <f t="shared" si="32"/>
        <v>24000000</v>
      </c>
      <c r="I161" s="27"/>
      <c r="J161" s="21">
        <f t="shared" si="33"/>
        <v>24000000</v>
      </c>
      <c r="K161" s="21">
        <v>19152804</v>
      </c>
      <c r="L161" s="21">
        <f t="shared" si="30"/>
        <v>-4847196</v>
      </c>
      <c r="M161" s="22">
        <f t="shared" si="31"/>
        <v>0.79803349999999995</v>
      </c>
    </row>
    <row r="162" spans="1:13" s="42" customFormat="1" ht="15" hidden="1" outlineLevel="2" x14ac:dyDescent="0.25">
      <c r="A162" s="43" t="s">
        <v>166</v>
      </c>
      <c r="B162" s="27"/>
      <c r="C162" s="27"/>
      <c r="D162" s="21">
        <f>+'[7]Ejec. II trim Solic III trim'!$J$16</f>
        <v>15000000</v>
      </c>
      <c r="E162" s="27"/>
      <c r="F162" s="27"/>
      <c r="G162" s="27"/>
      <c r="H162" s="20">
        <f>+B162+C162+D162+G162+E162+F162</f>
        <v>15000000</v>
      </c>
      <c r="I162" s="27"/>
      <c r="J162" s="21">
        <f>+H162+I162</f>
        <v>15000000</v>
      </c>
      <c r="K162" s="21"/>
      <c r="L162" s="21">
        <f t="shared" si="30"/>
        <v>-15000000</v>
      </c>
      <c r="M162" s="22">
        <f t="shared" si="31"/>
        <v>0</v>
      </c>
    </row>
    <row r="163" spans="1:13" s="42" customFormat="1" ht="15" hidden="1" outlineLevel="1" x14ac:dyDescent="0.25">
      <c r="A163" s="44" t="s">
        <v>167</v>
      </c>
      <c r="B163" s="27"/>
      <c r="C163" s="27"/>
      <c r="D163" s="27">
        <f>SUM(D164:D167)</f>
        <v>83245000</v>
      </c>
      <c r="E163" s="27"/>
      <c r="F163" s="27"/>
      <c r="G163" s="27"/>
      <c r="H163" s="27">
        <f>SUM(H164:H167)</f>
        <v>83245000</v>
      </c>
      <c r="I163" s="27"/>
      <c r="J163" s="27">
        <f>SUM(J164:J167)</f>
        <v>83245000</v>
      </c>
      <c r="K163" s="27">
        <f>SUM(K164:K167)</f>
        <v>64504209</v>
      </c>
      <c r="L163" s="27">
        <f t="shared" si="30"/>
        <v>-18740791</v>
      </c>
      <c r="M163" s="18">
        <f t="shared" si="31"/>
        <v>0.77487187218451559</v>
      </c>
    </row>
    <row r="164" spans="1:13" s="42" customFormat="1" ht="15" hidden="1" outlineLevel="2" x14ac:dyDescent="0.25">
      <c r="A164" s="43" t="s">
        <v>168</v>
      </c>
      <c r="B164" s="27"/>
      <c r="C164" s="27"/>
      <c r="D164" s="21">
        <v>19450000</v>
      </c>
      <c r="E164" s="27"/>
      <c r="F164" s="27"/>
      <c r="G164" s="27"/>
      <c r="H164" s="20">
        <f>+B164+C164+D164+G164+E164+F164</f>
        <v>19450000</v>
      </c>
      <c r="I164" s="27"/>
      <c r="J164" s="21">
        <f>+H164+I164</f>
        <v>19450000</v>
      </c>
      <c r="K164" s="21">
        <v>11369362</v>
      </c>
      <c r="L164" s="21">
        <f t="shared" si="30"/>
        <v>-8080638</v>
      </c>
      <c r="M164" s="22">
        <f t="shared" si="31"/>
        <v>0.58454303341902314</v>
      </c>
    </row>
    <row r="165" spans="1:13" s="42" customFormat="1" ht="15" hidden="1" outlineLevel="2" x14ac:dyDescent="0.25">
      <c r="A165" s="43" t="s">
        <v>169</v>
      </c>
      <c r="B165" s="27"/>
      <c r="C165" s="27"/>
      <c r="D165" s="21">
        <f>+'[7]Ejec. II trim Solic III trim'!$J$17</f>
        <v>16800000</v>
      </c>
      <c r="E165" s="27"/>
      <c r="F165" s="27"/>
      <c r="G165" s="27"/>
      <c r="H165" s="20">
        <f>+B165+C165+D165+G165+E165+F165</f>
        <v>16800000</v>
      </c>
      <c r="I165" s="27"/>
      <c r="J165" s="21">
        <f>+H165+I165</f>
        <v>16800000</v>
      </c>
      <c r="K165" s="21">
        <v>14131355</v>
      </c>
      <c r="L165" s="21">
        <f t="shared" si="30"/>
        <v>-2668645</v>
      </c>
      <c r="M165" s="22">
        <f t="shared" si="31"/>
        <v>0.84115208333333336</v>
      </c>
    </row>
    <row r="166" spans="1:13" s="42" customFormat="1" ht="15" hidden="1" outlineLevel="2" x14ac:dyDescent="0.25">
      <c r="A166" s="43" t="s">
        <v>170</v>
      </c>
      <c r="B166" s="27"/>
      <c r="C166" s="27"/>
      <c r="D166" s="21">
        <v>6995000</v>
      </c>
      <c r="E166" s="27"/>
      <c r="F166" s="27"/>
      <c r="G166" s="27"/>
      <c r="H166" s="20">
        <f>+B166+C166+D166+G166+E166+F166</f>
        <v>6995000</v>
      </c>
      <c r="I166" s="27"/>
      <c r="J166" s="21">
        <f>+H166+I166</f>
        <v>6995000</v>
      </c>
      <c r="K166" s="21">
        <v>6983207</v>
      </c>
      <c r="L166" s="21">
        <f t="shared" si="30"/>
        <v>-11793</v>
      </c>
      <c r="M166" s="22">
        <f t="shared" si="31"/>
        <v>0.99831408148677625</v>
      </c>
    </row>
    <row r="167" spans="1:13" s="42" customFormat="1" ht="15" hidden="1" outlineLevel="2" x14ac:dyDescent="0.25">
      <c r="A167" s="43" t="s">
        <v>171</v>
      </c>
      <c r="B167" s="27"/>
      <c r="C167" s="27"/>
      <c r="D167" s="21">
        <f>+'[7]Ejec. II trim Solic III trim'!$J$19</f>
        <v>40000000</v>
      </c>
      <c r="E167" s="27"/>
      <c r="F167" s="27"/>
      <c r="G167" s="27"/>
      <c r="H167" s="20">
        <f>+B167+C167+D167+G167+E167+F167</f>
        <v>40000000</v>
      </c>
      <c r="I167" s="27"/>
      <c r="J167" s="21">
        <f>+H167+I167</f>
        <v>40000000</v>
      </c>
      <c r="K167" s="21">
        <v>32020285</v>
      </c>
      <c r="L167" s="21">
        <f t="shared" si="30"/>
        <v>-7979715</v>
      </c>
      <c r="M167" s="22">
        <f t="shared" si="31"/>
        <v>0.80050712499999999</v>
      </c>
    </row>
    <row r="168" spans="1:13" s="42" customFormat="1" ht="15" collapsed="1" x14ac:dyDescent="0.25">
      <c r="A168" s="44" t="s">
        <v>172</v>
      </c>
      <c r="B168" s="27"/>
      <c r="C168" s="27"/>
      <c r="D168" s="27">
        <f>+D169+D176+D181+D182</f>
        <v>157000000</v>
      </c>
      <c r="E168" s="27"/>
      <c r="F168" s="27"/>
      <c r="G168" s="27"/>
      <c r="H168" s="27">
        <f>+H169+H176+H181+H182</f>
        <v>157000000</v>
      </c>
      <c r="I168" s="27"/>
      <c r="J168" s="27">
        <f>+J169+J176+J181+J182</f>
        <v>157000000</v>
      </c>
      <c r="K168" s="27">
        <f>+K169+K176+K181+K182</f>
        <v>141512158</v>
      </c>
      <c r="L168" s="27">
        <f t="shared" si="30"/>
        <v>-15487842</v>
      </c>
      <c r="M168" s="18">
        <f t="shared" si="31"/>
        <v>0.9013513248407643</v>
      </c>
    </row>
    <row r="169" spans="1:13" s="42" customFormat="1" ht="15" hidden="1" outlineLevel="1" x14ac:dyDescent="0.25">
      <c r="A169" s="44" t="s">
        <v>173</v>
      </c>
      <c r="B169" s="27"/>
      <c r="C169" s="27"/>
      <c r="D169" s="27">
        <f>SUM(D170:D175)</f>
        <v>64000000</v>
      </c>
      <c r="E169" s="27"/>
      <c r="F169" s="27"/>
      <c r="G169" s="27"/>
      <c r="H169" s="27">
        <f>SUM(H170:H175)</f>
        <v>64000000</v>
      </c>
      <c r="I169" s="27"/>
      <c r="J169" s="27">
        <f>SUM(J170:J175)</f>
        <v>64000000</v>
      </c>
      <c r="K169" s="27">
        <f>SUM(K170:K175)</f>
        <v>56879812</v>
      </c>
      <c r="L169" s="27">
        <f t="shared" si="30"/>
        <v>-7120188</v>
      </c>
      <c r="M169" s="18">
        <f t="shared" si="31"/>
        <v>0.88874706250000002</v>
      </c>
    </row>
    <row r="170" spans="1:13" s="42" customFormat="1" ht="15" hidden="1" outlineLevel="2" x14ac:dyDescent="0.25">
      <c r="A170" s="43" t="s">
        <v>174</v>
      </c>
      <c r="B170" s="27"/>
      <c r="C170" s="27"/>
      <c r="D170" s="20">
        <f>+'[7]Ejec. II trim Solic III trim'!$J$21</f>
        <v>4500000</v>
      </c>
      <c r="E170" s="27"/>
      <c r="F170" s="27"/>
      <c r="G170" s="27"/>
      <c r="H170" s="20">
        <f t="shared" ref="H170:H175" si="34">+B170+C170+D170+G170+E170+F170</f>
        <v>4500000</v>
      </c>
      <c r="I170" s="27"/>
      <c r="J170" s="21">
        <f t="shared" ref="J170:J175" si="35">+H170+I170</f>
        <v>4500000</v>
      </c>
      <c r="K170" s="21">
        <v>4479500</v>
      </c>
      <c r="L170" s="21">
        <f t="shared" si="30"/>
        <v>-20500</v>
      </c>
      <c r="M170" s="22">
        <f t="shared" si="31"/>
        <v>0.99544444444444447</v>
      </c>
    </row>
    <row r="171" spans="1:13" s="42" customFormat="1" ht="15" hidden="1" outlineLevel="2" x14ac:dyDescent="0.25">
      <c r="A171" s="43" t="s">
        <v>175</v>
      </c>
      <c r="B171" s="27"/>
      <c r="C171" s="27"/>
      <c r="D171" s="20">
        <f>+'[7]Ejec. II trim Solic III trim'!$J$22</f>
        <v>4000000</v>
      </c>
      <c r="E171" s="27"/>
      <c r="F171" s="27"/>
      <c r="G171" s="27"/>
      <c r="H171" s="20">
        <f t="shared" si="34"/>
        <v>4000000</v>
      </c>
      <c r="I171" s="27"/>
      <c r="J171" s="21">
        <f t="shared" si="35"/>
        <v>4000000</v>
      </c>
      <c r="K171" s="21">
        <v>3994200</v>
      </c>
      <c r="L171" s="21">
        <f t="shared" si="30"/>
        <v>-5800</v>
      </c>
      <c r="M171" s="22">
        <f t="shared" si="31"/>
        <v>0.99855000000000005</v>
      </c>
    </row>
    <row r="172" spans="1:13" s="42" customFormat="1" ht="15" hidden="1" outlineLevel="2" x14ac:dyDescent="0.25">
      <c r="A172" s="43" t="s">
        <v>176</v>
      </c>
      <c r="B172" s="27"/>
      <c r="C172" s="27"/>
      <c r="D172" s="20">
        <f>+'[7]Ejec. II trim Solic III trim'!$J$23</f>
        <v>5500000</v>
      </c>
      <c r="E172" s="27"/>
      <c r="F172" s="27"/>
      <c r="G172" s="27"/>
      <c r="H172" s="20">
        <f t="shared" si="34"/>
        <v>5500000</v>
      </c>
      <c r="I172" s="27"/>
      <c r="J172" s="21">
        <f t="shared" si="35"/>
        <v>5500000</v>
      </c>
      <c r="K172" s="21">
        <v>5484950</v>
      </c>
      <c r="L172" s="21">
        <f t="shared" si="30"/>
        <v>-15050</v>
      </c>
      <c r="M172" s="22">
        <f t="shared" si="31"/>
        <v>0.99726363636363635</v>
      </c>
    </row>
    <row r="173" spans="1:13" s="42" customFormat="1" ht="15" hidden="1" outlineLevel="2" x14ac:dyDescent="0.25">
      <c r="A173" s="43" t="s">
        <v>177</v>
      </c>
      <c r="B173" s="27"/>
      <c r="C173" s="27"/>
      <c r="D173" s="20">
        <f>+'[7]Ejec. II trim Solic III trim'!$J$24</f>
        <v>20000000</v>
      </c>
      <c r="E173" s="27"/>
      <c r="F173" s="27"/>
      <c r="G173" s="27"/>
      <c r="H173" s="20">
        <f t="shared" si="34"/>
        <v>20000000</v>
      </c>
      <c r="I173" s="27"/>
      <c r="J173" s="21">
        <f t="shared" si="35"/>
        <v>20000000</v>
      </c>
      <c r="K173" s="21">
        <v>19970630</v>
      </c>
      <c r="L173" s="21">
        <f t="shared" si="30"/>
        <v>-29370</v>
      </c>
      <c r="M173" s="22">
        <f t="shared" si="31"/>
        <v>0.99853150000000002</v>
      </c>
    </row>
    <row r="174" spans="1:13" s="42" customFormat="1" ht="15" hidden="1" outlineLevel="2" x14ac:dyDescent="0.25">
      <c r="A174" s="43" t="s">
        <v>178</v>
      </c>
      <c r="B174" s="27"/>
      <c r="C174" s="27"/>
      <c r="D174" s="20">
        <f>+'[7]Ejec. II trim Solic III trim'!$J$25</f>
        <v>23000000</v>
      </c>
      <c r="E174" s="27"/>
      <c r="F174" s="27"/>
      <c r="G174" s="27"/>
      <c r="H174" s="20">
        <f t="shared" si="34"/>
        <v>23000000</v>
      </c>
      <c r="I174" s="27"/>
      <c r="J174" s="21">
        <f t="shared" si="35"/>
        <v>23000000</v>
      </c>
      <c r="K174" s="21">
        <v>22950532</v>
      </c>
      <c r="L174" s="21">
        <f t="shared" si="30"/>
        <v>-49468</v>
      </c>
      <c r="M174" s="22">
        <f t="shared" si="31"/>
        <v>0.99784921739130439</v>
      </c>
    </row>
    <row r="175" spans="1:13" s="42" customFormat="1" ht="15" hidden="1" outlineLevel="2" x14ac:dyDescent="0.25">
      <c r="A175" s="43" t="s">
        <v>179</v>
      </c>
      <c r="B175" s="27"/>
      <c r="C175" s="27"/>
      <c r="D175" s="20">
        <f>+'[7]Ejec. II trim Solic III trim'!$J$26</f>
        <v>7000000</v>
      </c>
      <c r="E175" s="27"/>
      <c r="F175" s="27"/>
      <c r="G175" s="27"/>
      <c r="H175" s="20">
        <f t="shared" si="34"/>
        <v>7000000</v>
      </c>
      <c r="I175" s="27"/>
      <c r="J175" s="21">
        <f t="shared" si="35"/>
        <v>7000000</v>
      </c>
      <c r="K175" s="21"/>
      <c r="L175" s="21">
        <f t="shared" si="30"/>
        <v>-7000000</v>
      </c>
      <c r="M175" s="22">
        <f t="shared" si="31"/>
        <v>0</v>
      </c>
    </row>
    <row r="176" spans="1:13" s="42" customFormat="1" ht="15" hidden="1" outlineLevel="1" x14ac:dyDescent="0.25">
      <c r="A176" s="44" t="s">
        <v>180</v>
      </c>
      <c r="B176" s="27"/>
      <c r="C176" s="27"/>
      <c r="D176" s="27">
        <f>SUM(D177:D180)</f>
        <v>80500000</v>
      </c>
      <c r="E176" s="27"/>
      <c r="F176" s="27"/>
      <c r="G176" s="27"/>
      <c r="H176" s="27">
        <f>SUM(H177:H180)</f>
        <v>80500000</v>
      </c>
      <c r="I176" s="27"/>
      <c r="J176" s="27">
        <f>SUM(J177:J180)</f>
        <v>80500000</v>
      </c>
      <c r="K176" s="27">
        <f>SUM(K177:K180)</f>
        <v>73076316</v>
      </c>
      <c r="L176" s="27">
        <f t="shared" si="30"/>
        <v>-7423684</v>
      </c>
      <c r="M176" s="18">
        <f t="shared" si="31"/>
        <v>0.90778032298136646</v>
      </c>
    </row>
    <row r="177" spans="1:13" s="42" customFormat="1" ht="15" hidden="1" outlineLevel="2" x14ac:dyDescent="0.25">
      <c r="A177" s="43" t="s">
        <v>181</v>
      </c>
      <c r="B177" s="27"/>
      <c r="C177" s="27"/>
      <c r="D177" s="20">
        <v>25250000</v>
      </c>
      <c r="E177" s="27"/>
      <c r="F177" s="27"/>
      <c r="G177" s="27"/>
      <c r="H177" s="20">
        <f t="shared" ref="H177:H182" si="36">+B177+C177+D177+G177+E177+F177</f>
        <v>25250000</v>
      </c>
      <c r="I177" s="27"/>
      <c r="J177" s="21">
        <f t="shared" ref="J177:J182" si="37">+H177+I177</f>
        <v>25250000</v>
      </c>
      <c r="K177" s="21">
        <v>25249725</v>
      </c>
      <c r="L177" s="21">
        <f t="shared" si="30"/>
        <v>-275</v>
      </c>
      <c r="M177" s="22">
        <f t="shared" si="31"/>
        <v>0.9999891089108911</v>
      </c>
    </row>
    <row r="178" spans="1:13" s="42" customFormat="1" ht="15" hidden="1" outlineLevel="2" x14ac:dyDescent="0.25">
      <c r="A178" s="43" t="s">
        <v>182</v>
      </c>
      <c r="B178" s="27"/>
      <c r="C178" s="27"/>
      <c r="D178" s="20">
        <v>16950000</v>
      </c>
      <c r="E178" s="27"/>
      <c r="F178" s="27"/>
      <c r="G178" s="27"/>
      <c r="H178" s="20">
        <f t="shared" si="36"/>
        <v>16950000</v>
      </c>
      <c r="I178" s="27"/>
      <c r="J178" s="21">
        <f t="shared" si="37"/>
        <v>16950000</v>
      </c>
      <c r="K178" s="21">
        <v>16826036</v>
      </c>
      <c r="L178" s="21">
        <f t="shared" si="30"/>
        <v>-123964</v>
      </c>
      <c r="M178" s="22">
        <f t="shared" si="31"/>
        <v>0.9926864896755162</v>
      </c>
    </row>
    <row r="179" spans="1:13" s="42" customFormat="1" ht="15" hidden="1" outlineLevel="2" x14ac:dyDescent="0.25">
      <c r="A179" s="43" t="s">
        <v>183</v>
      </c>
      <c r="B179" s="27"/>
      <c r="C179" s="27"/>
      <c r="D179" s="20">
        <v>31050000</v>
      </c>
      <c r="E179" s="27"/>
      <c r="F179" s="27"/>
      <c r="G179" s="27"/>
      <c r="H179" s="20">
        <f t="shared" si="36"/>
        <v>31050000</v>
      </c>
      <c r="I179" s="27"/>
      <c r="J179" s="21">
        <f t="shared" si="37"/>
        <v>31050000</v>
      </c>
      <c r="K179" s="21">
        <v>31000555</v>
      </c>
      <c r="L179" s="21">
        <f t="shared" si="30"/>
        <v>-49445</v>
      </c>
      <c r="M179" s="22">
        <f t="shared" si="31"/>
        <v>0.99840756843800327</v>
      </c>
    </row>
    <row r="180" spans="1:13" s="42" customFormat="1" ht="15" hidden="1" outlineLevel="2" x14ac:dyDescent="0.25">
      <c r="A180" s="43" t="s">
        <v>184</v>
      </c>
      <c r="B180" s="27"/>
      <c r="C180" s="27"/>
      <c r="D180" s="20">
        <v>7250000</v>
      </c>
      <c r="E180" s="27"/>
      <c r="F180" s="27"/>
      <c r="G180" s="27"/>
      <c r="H180" s="20">
        <f t="shared" si="36"/>
        <v>7250000</v>
      </c>
      <c r="I180" s="27"/>
      <c r="J180" s="21">
        <f t="shared" si="37"/>
        <v>7250000</v>
      </c>
      <c r="K180" s="21"/>
      <c r="L180" s="21">
        <f t="shared" si="30"/>
        <v>-7250000</v>
      </c>
      <c r="M180" s="22">
        <f t="shared" si="31"/>
        <v>0</v>
      </c>
    </row>
    <row r="181" spans="1:13" s="42" customFormat="1" ht="15" hidden="1" outlineLevel="1" x14ac:dyDescent="0.25">
      <c r="A181" s="44" t="s">
        <v>185</v>
      </c>
      <c r="B181" s="27"/>
      <c r="C181" s="27"/>
      <c r="D181" s="27">
        <f>+'[7]Ejec. II trim Solic III trim'!$J$30</f>
        <v>5000000</v>
      </c>
      <c r="E181" s="27"/>
      <c r="F181" s="27"/>
      <c r="G181" s="27"/>
      <c r="H181" s="17">
        <f t="shared" si="36"/>
        <v>5000000</v>
      </c>
      <c r="I181" s="17"/>
      <c r="J181" s="17">
        <f t="shared" si="37"/>
        <v>5000000</v>
      </c>
      <c r="K181" s="17">
        <v>4306640</v>
      </c>
      <c r="L181" s="17">
        <f t="shared" si="30"/>
        <v>-693360</v>
      </c>
      <c r="M181" s="18">
        <f t="shared" si="31"/>
        <v>0.86132799999999998</v>
      </c>
    </row>
    <row r="182" spans="1:13" s="42" customFormat="1" ht="15" hidden="1" outlineLevel="1" x14ac:dyDescent="0.25">
      <c r="A182" s="44" t="s">
        <v>186</v>
      </c>
      <c r="B182" s="27"/>
      <c r="C182" s="27"/>
      <c r="D182" s="27">
        <f>+'[7]Ejec. II trim Solic III trim'!$J$32</f>
        <v>7500000</v>
      </c>
      <c r="E182" s="27"/>
      <c r="F182" s="27"/>
      <c r="G182" s="27"/>
      <c r="H182" s="17">
        <f t="shared" si="36"/>
        <v>7500000</v>
      </c>
      <c r="I182" s="17"/>
      <c r="J182" s="17">
        <f t="shared" si="37"/>
        <v>7500000</v>
      </c>
      <c r="K182" s="17">
        <v>7249390</v>
      </c>
      <c r="L182" s="17">
        <f t="shared" si="30"/>
        <v>-250610</v>
      </c>
      <c r="M182" s="18">
        <f t="shared" si="31"/>
        <v>0.9665853333333333</v>
      </c>
    </row>
    <row r="183" spans="1:13" s="42" customFormat="1" ht="15" collapsed="1" x14ac:dyDescent="0.25">
      <c r="A183" s="43"/>
      <c r="B183" s="27"/>
      <c r="C183" s="27"/>
      <c r="D183" s="27"/>
      <c r="E183" s="27"/>
      <c r="F183" s="27"/>
      <c r="G183" s="27"/>
      <c r="H183" s="20"/>
      <c r="I183" s="27"/>
      <c r="J183" s="21"/>
      <c r="K183" s="21"/>
      <c r="L183" s="21"/>
      <c r="M183" s="22"/>
    </row>
    <row r="184" spans="1:13" s="42" customFormat="1" ht="15" x14ac:dyDescent="0.25">
      <c r="A184" s="44" t="s">
        <v>187</v>
      </c>
      <c r="B184" s="27"/>
      <c r="C184" s="27"/>
      <c r="D184" s="27"/>
      <c r="E184" s="17">
        <f>+E185</f>
        <v>252500000</v>
      </c>
      <c r="F184" s="17"/>
      <c r="G184" s="17"/>
      <c r="H184" s="17">
        <f>+H185</f>
        <v>252500000</v>
      </c>
      <c r="I184" s="17"/>
      <c r="J184" s="17">
        <f>+H184+I184</f>
        <v>252500000</v>
      </c>
      <c r="K184" s="17">
        <f>+K185</f>
        <v>51165133</v>
      </c>
      <c r="L184" s="17">
        <f t="shared" ref="L184:L190" si="38">+K184-J184</f>
        <v>-201334867</v>
      </c>
      <c r="M184" s="18">
        <f t="shared" ref="M184:M190" si="39">IFERROR(K184/J184,0)</f>
        <v>0.2026341900990099</v>
      </c>
    </row>
    <row r="185" spans="1:13" s="42" customFormat="1" ht="15" x14ac:dyDescent="0.25">
      <c r="A185" s="44" t="s">
        <v>188</v>
      </c>
      <c r="B185" s="27"/>
      <c r="C185" s="27"/>
      <c r="D185" s="27"/>
      <c r="E185" s="27">
        <f>SUM(E186:E190)</f>
        <v>252500000</v>
      </c>
      <c r="F185" s="27"/>
      <c r="G185" s="27"/>
      <c r="H185" s="27">
        <f>SUM(H186:H190)</f>
        <v>252500000</v>
      </c>
      <c r="I185" s="27">
        <f>SUM(I186:I190)</f>
        <v>0</v>
      </c>
      <c r="J185" s="27">
        <f>SUM(J186:J190)</f>
        <v>252500000</v>
      </c>
      <c r="K185" s="27">
        <f>SUM(K186:K190)</f>
        <v>51165133</v>
      </c>
      <c r="L185" s="27">
        <f t="shared" si="38"/>
        <v>-201334867</v>
      </c>
      <c r="M185" s="18">
        <f t="shared" si="39"/>
        <v>0.2026341900990099</v>
      </c>
    </row>
    <row r="186" spans="1:13" s="42" customFormat="1" ht="15" hidden="1" outlineLevel="1" x14ac:dyDescent="0.25">
      <c r="A186" s="43" t="s">
        <v>189</v>
      </c>
      <c r="B186" s="27"/>
      <c r="C186" s="27"/>
      <c r="D186" s="27"/>
      <c r="E186" s="21">
        <f>+'[5]III TRIMESTRE SANIDAD'!$B$9</f>
        <v>16000000</v>
      </c>
      <c r="F186" s="27"/>
      <c r="G186" s="27"/>
      <c r="H186" s="20">
        <f>+B186+C186+D186+G186+E186+F186</f>
        <v>16000000</v>
      </c>
      <c r="I186" s="27"/>
      <c r="J186" s="21">
        <f>+H186+I186</f>
        <v>16000000</v>
      </c>
      <c r="K186" s="21">
        <v>12433503</v>
      </c>
      <c r="L186" s="21">
        <f t="shared" si="38"/>
        <v>-3566497</v>
      </c>
      <c r="M186" s="22">
        <f t="shared" si="39"/>
        <v>0.7770939375</v>
      </c>
    </row>
    <row r="187" spans="1:13" s="42" customFormat="1" ht="15" hidden="1" outlineLevel="1" x14ac:dyDescent="0.25">
      <c r="A187" s="43" t="s">
        <v>190</v>
      </c>
      <c r="B187" s="27"/>
      <c r="C187" s="27"/>
      <c r="D187" s="27"/>
      <c r="E187" s="21">
        <f>+'[5]III TRIMESTRE SANIDAD'!$B$12</f>
        <v>56500000</v>
      </c>
      <c r="F187" s="27"/>
      <c r="G187" s="27"/>
      <c r="H187" s="20">
        <f>+B187+C187+D187+G187+E187+F187</f>
        <v>56500000</v>
      </c>
      <c r="I187" s="27"/>
      <c r="J187" s="21">
        <f>+H187+I187</f>
        <v>56500000</v>
      </c>
      <c r="K187" s="21">
        <v>35656530</v>
      </c>
      <c r="L187" s="21">
        <f t="shared" si="38"/>
        <v>-20843470</v>
      </c>
      <c r="M187" s="22">
        <f t="shared" si="39"/>
        <v>0.6310890265486726</v>
      </c>
    </row>
    <row r="188" spans="1:13" s="42" customFormat="1" ht="15" hidden="1" outlineLevel="1" x14ac:dyDescent="0.25">
      <c r="A188" s="43" t="s">
        <v>191</v>
      </c>
      <c r="B188" s="27"/>
      <c r="C188" s="27"/>
      <c r="D188" s="27"/>
      <c r="E188" s="21">
        <f>+'[5]III TRIMESTRE SANIDAD'!$B$17</f>
        <v>3000000</v>
      </c>
      <c r="F188" s="27"/>
      <c r="G188" s="27"/>
      <c r="H188" s="20">
        <f>+B188+C188+D188+G188+E188+F188</f>
        <v>3000000</v>
      </c>
      <c r="I188" s="27"/>
      <c r="J188" s="21">
        <f>+H188+I188</f>
        <v>3000000</v>
      </c>
      <c r="K188" s="21">
        <v>3000000</v>
      </c>
      <c r="L188" s="21">
        <f t="shared" si="38"/>
        <v>0</v>
      </c>
      <c r="M188" s="22">
        <f t="shared" si="39"/>
        <v>1</v>
      </c>
    </row>
    <row r="189" spans="1:13" s="42" customFormat="1" ht="15" hidden="1" outlineLevel="1" x14ac:dyDescent="0.25">
      <c r="A189" s="43" t="s">
        <v>192</v>
      </c>
      <c r="B189" s="27"/>
      <c r="C189" s="27"/>
      <c r="D189" s="27"/>
      <c r="E189" s="21">
        <f>+'[5]III TRIMESTRE SANIDAD'!$B$20</f>
        <v>30000000</v>
      </c>
      <c r="F189" s="27"/>
      <c r="G189" s="27"/>
      <c r="H189" s="20">
        <f>+B189+C189+D189+G189+E189+F189</f>
        <v>30000000</v>
      </c>
      <c r="I189" s="27"/>
      <c r="J189" s="21">
        <f>+H189+I189</f>
        <v>30000000</v>
      </c>
      <c r="K189" s="21">
        <v>75100</v>
      </c>
      <c r="L189" s="21">
        <f t="shared" si="38"/>
        <v>-29924900</v>
      </c>
      <c r="M189" s="22">
        <f t="shared" si="39"/>
        <v>2.5033333333333335E-3</v>
      </c>
    </row>
    <row r="190" spans="1:13" s="42" customFormat="1" ht="15" hidden="1" outlineLevel="1" x14ac:dyDescent="0.25">
      <c r="A190" s="43" t="s">
        <v>193</v>
      </c>
      <c r="B190" s="27"/>
      <c r="C190" s="27"/>
      <c r="D190" s="27"/>
      <c r="E190" s="21">
        <f>+'[5]III TRIMESTRE SANIDAD'!$B$21</f>
        <v>147000000</v>
      </c>
      <c r="F190" s="27"/>
      <c r="G190" s="27"/>
      <c r="H190" s="20">
        <f>+B190+C190+D190+G190+E190+F190</f>
        <v>147000000</v>
      </c>
      <c r="I190" s="27"/>
      <c r="J190" s="21">
        <f>+H190+I190</f>
        <v>147000000</v>
      </c>
      <c r="K190" s="21"/>
      <c r="L190" s="21">
        <f t="shared" si="38"/>
        <v>-147000000</v>
      </c>
      <c r="M190" s="22">
        <f t="shared" si="39"/>
        <v>0</v>
      </c>
    </row>
    <row r="191" spans="1:13" s="42" customFormat="1" ht="15" collapsed="1" x14ac:dyDescent="0.25">
      <c r="A191" s="43"/>
      <c r="B191" s="20"/>
      <c r="C191" s="27"/>
      <c r="D191" s="27"/>
      <c r="E191" s="27"/>
      <c r="F191" s="27"/>
      <c r="G191" s="27"/>
      <c r="H191" s="20"/>
      <c r="I191" s="27"/>
      <c r="J191" s="21"/>
      <c r="K191" s="21"/>
      <c r="L191" s="21"/>
      <c r="M191" s="22"/>
    </row>
    <row r="192" spans="1:13" ht="15" x14ac:dyDescent="0.25">
      <c r="A192" s="41" t="s">
        <v>194</v>
      </c>
      <c r="B192" s="20"/>
      <c r="C192" s="20"/>
      <c r="D192" s="20"/>
      <c r="E192" s="20"/>
      <c r="F192" s="20"/>
      <c r="G192" s="20"/>
      <c r="H192" s="20"/>
      <c r="I192" s="27">
        <f>+I193+I194</f>
        <v>841538124.79999995</v>
      </c>
      <c r="J192" s="27">
        <f>+I192+H192</f>
        <v>841538124.79999995</v>
      </c>
      <c r="K192" s="27">
        <f>+K193+K194</f>
        <v>842662793</v>
      </c>
      <c r="L192" s="27">
        <f>+K192-J192</f>
        <v>1124668.2000000477</v>
      </c>
      <c r="M192" s="18">
        <f>IFERROR(K192/J192,0)</f>
        <v>1.0013364435512264</v>
      </c>
    </row>
    <row r="193" spans="1:18" ht="14.25" hidden="1" outlineLevel="1" x14ac:dyDescent="0.2">
      <c r="A193" s="48" t="s">
        <v>195</v>
      </c>
      <c r="B193" s="20"/>
      <c r="C193" s="20"/>
      <c r="D193" s="20"/>
      <c r="E193" s="20"/>
      <c r="F193" s="20"/>
      <c r="G193" s="20"/>
      <c r="H193" s="20"/>
      <c r="I193" s="21">
        <v>525961327.98750001</v>
      </c>
      <c r="J193" s="21">
        <f>+I193+H193</f>
        <v>525961327.98750001</v>
      </c>
      <c r="K193" s="21">
        <v>526664245</v>
      </c>
      <c r="L193" s="21">
        <f>+K193-J193</f>
        <v>702917.01249998808</v>
      </c>
      <c r="M193" s="22">
        <f>IFERROR(K193/J193,0)</f>
        <v>1.0013364423867237</v>
      </c>
    </row>
    <row r="194" spans="1:18" ht="14.25" hidden="1" outlineLevel="1" x14ac:dyDescent="0.2">
      <c r="A194" s="48" t="s">
        <v>196</v>
      </c>
      <c r="B194" s="20"/>
      <c r="C194" s="20"/>
      <c r="D194" s="20"/>
      <c r="E194" s="20"/>
      <c r="F194" s="20"/>
      <c r="G194" s="20"/>
      <c r="H194" s="20"/>
      <c r="I194" s="21">
        <v>315576796.8125</v>
      </c>
      <c r="J194" s="21">
        <f>+I194+H194</f>
        <v>315576796.8125</v>
      </c>
      <c r="K194" s="21">
        <v>315998548</v>
      </c>
      <c r="L194" s="21">
        <f>+K194-J194</f>
        <v>421751.1875</v>
      </c>
      <c r="M194" s="22">
        <f>IFERROR(K194/J194,0)</f>
        <v>1.0013364454920639</v>
      </c>
    </row>
    <row r="195" spans="1:18" ht="15" collapsed="1" x14ac:dyDescent="0.25">
      <c r="A195" s="26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18"/>
    </row>
    <row r="196" spans="1:18" ht="15" x14ac:dyDescent="0.25">
      <c r="A196" s="49" t="s">
        <v>197</v>
      </c>
      <c r="B196" s="17"/>
      <c r="C196" s="17"/>
      <c r="D196" s="17"/>
      <c r="E196" s="17"/>
      <c r="F196" s="17"/>
      <c r="G196" s="17">
        <v>0</v>
      </c>
      <c r="H196" s="17">
        <f>+B196+C196+D196+G196+F196</f>
        <v>0</v>
      </c>
      <c r="I196" s="17"/>
      <c r="J196" s="50">
        <f>+I196+H196</f>
        <v>0</v>
      </c>
      <c r="K196" s="50">
        <f>+J196+I196</f>
        <v>0</v>
      </c>
      <c r="L196" s="50">
        <f>+K196-J196</f>
        <v>0</v>
      </c>
      <c r="M196" s="18">
        <f>IFERROR(K196/J196,0)</f>
        <v>0</v>
      </c>
    </row>
    <row r="197" spans="1:18" ht="15" x14ac:dyDescent="0.25">
      <c r="A197" s="26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18"/>
    </row>
    <row r="198" spans="1:18" ht="15" x14ac:dyDescent="0.25">
      <c r="A198" s="41" t="s">
        <v>198</v>
      </c>
      <c r="B198" s="20"/>
      <c r="C198" s="20"/>
      <c r="D198" s="20"/>
      <c r="E198" s="20"/>
      <c r="F198" s="20"/>
      <c r="G198" s="20"/>
      <c r="H198" s="27">
        <f>+B198+C198+G198+F198</f>
        <v>0</v>
      </c>
      <c r="I198" s="27">
        <f>+I199+I200</f>
        <v>0</v>
      </c>
      <c r="J198" s="27">
        <f t="shared" ref="J198:K200" si="40">+I198+H198</f>
        <v>0</v>
      </c>
      <c r="K198" s="27">
        <f t="shared" si="40"/>
        <v>0</v>
      </c>
      <c r="L198" s="27">
        <f>+K198-J198</f>
        <v>0</v>
      </c>
      <c r="M198" s="18">
        <f>IFERROR(K198/J198,0)</f>
        <v>0</v>
      </c>
    </row>
    <row r="199" spans="1:18" s="52" customFormat="1" ht="14.25" hidden="1" outlineLevel="1" x14ac:dyDescent="0.2">
      <c r="A199" s="28" t="s">
        <v>199</v>
      </c>
      <c r="B199" s="20"/>
      <c r="C199" s="20"/>
      <c r="D199" s="20"/>
      <c r="E199" s="20"/>
      <c r="F199" s="20"/>
      <c r="G199" s="20"/>
      <c r="H199" s="20">
        <f>+B199+C199+G199+F199</f>
        <v>0</v>
      </c>
      <c r="I199" s="20">
        <v>0</v>
      </c>
      <c r="J199" s="20">
        <f t="shared" si="40"/>
        <v>0</v>
      </c>
      <c r="K199" s="20">
        <f t="shared" si="40"/>
        <v>0</v>
      </c>
      <c r="L199" s="20">
        <f>+K199-J199</f>
        <v>0</v>
      </c>
      <c r="M199" s="22">
        <f>IFERROR(K199/J199,0)</f>
        <v>0</v>
      </c>
      <c r="N199" s="51"/>
    </row>
    <row r="200" spans="1:18" s="52" customFormat="1" ht="14.25" hidden="1" outlineLevel="1" x14ac:dyDescent="0.2">
      <c r="A200" s="28" t="s">
        <v>200</v>
      </c>
      <c r="B200" s="20"/>
      <c r="C200" s="20"/>
      <c r="D200" s="20"/>
      <c r="E200" s="20"/>
      <c r="F200" s="20"/>
      <c r="G200" s="20"/>
      <c r="H200" s="20">
        <f>+B200+C200+G200+F200</f>
        <v>0</v>
      </c>
      <c r="I200" s="20">
        <v>0</v>
      </c>
      <c r="J200" s="20">
        <f t="shared" si="40"/>
        <v>0</v>
      </c>
      <c r="K200" s="20">
        <f t="shared" si="40"/>
        <v>0</v>
      </c>
      <c r="L200" s="20">
        <f>+K200-J200</f>
        <v>0</v>
      </c>
      <c r="M200" s="22">
        <f>IFERROR(K200/J200,0)</f>
        <v>0</v>
      </c>
      <c r="N200" s="53"/>
    </row>
    <row r="201" spans="1:18" ht="15" collapsed="1" x14ac:dyDescent="0.25">
      <c r="A201" s="26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18"/>
    </row>
    <row r="202" spans="1:18" ht="15" x14ac:dyDescent="0.25">
      <c r="A202" s="26" t="s">
        <v>201</v>
      </c>
      <c r="B202" s="27">
        <f>+B39+B37</f>
        <v>1614390333.4719505</v>
      </c>
      <c r="C202" s="27">
        <f>+C37+C39</f>
        <v>577121496.3084228</v>
      </c>
      <c r="D202" s="27">
        <f>+D39+D37</f>
        <v>690526479.89610195</v>
      </c>
      <c r="E202" s="27">
        <f>+E39+E37</f>
        <v>267244663.18918985</v>
      </c>
      <c r="F202" s="27">
        <f>+F39+F37</f>
        <v>2975550346.4720335</v>
      </c>
      <c r="G202" s="27">
        <f>+G37+G39+G196</f>
        <v>4169325013.9518247</v>
      </c>
      <c r="H202" s="27">
        <f>+B202+C202+D202+G202+E202+F202</f>
        <v>10294158333.289524</v>
      </c>
      <c r="I202" s="27">
        <f>+I198+I192+I39+I37</f>
        <v>1136909778.5949757</v>
      </c>
      <c r="J202" s="27">
        <f>+I202+H202</f>
        <v>11431068111.884501</v>
      </c>
      <c r="K202" s="27">
        <f>+K198+K196+K192+K39+K37</f>
        <v>9416070093.2099991</v>
      </c>
      <c r="L202" s="27">
        <f>+K202-J202</f>
        <v>-2014998018.6745014</v>
      </c>
      <c r="M202" s="18">
        <f>IFERROR(K202/J202,0)</f>
        <v>0.82372618210720172</v>
      </c>
    </row>
    <row r="203" spans="1:18" ht="15.75" thickBot="1" x14ac:dyDescent="0.3">
      <c r="A203" s="54"/>
      <c r="B203" s="55"/>
      <c r="C203" s="56"/>
      <c r="D203" s="56"/>
      <c r="E203" s="57"/>
      <c r="F203" s="56"/>
      <c r="G203" s="57"/>
      <c r="H203" s="56"/>
      <c r="I203" s="56"/>
      <c r="J203" s="57"/>
      <c r="K203" s="57"/>
      <c r="L203" s="57"/>
      <c r="M203" s="58"/>
      <c r="N203" s="59"/>
      <c r="O203" s="59"/>
      <c r="P203" s="59"/>
      <c r="Q203" s="59"/>
      <c r="R203" s="59"/>
    </row>
    <row r="204" spans="1:18" ht="13.5" thickTop="1" x14ac:dyDescent="0.2">
      <c r="A204" s="60"/>
      <c r="B204" s="61"/>
      <c r="C204" s="61"/>
      <c r="D204" s="61"/>
      <c r="E204" s="61"/>
      <c r="F204" s="61"/>
      <c r="G204" s="62"/>
      <c r="H204" s="63"/>
      <c r="I204" s="61"/>
      <c r="J204" s="61"/>
      <c r="K204" s="61"/>
      <c r="L204" s="61"/>
      <c r="M204" s="64"/>
    </row>
    <row r="205" spans="1:18" x14ac:dyDescent="0.2">
      <c r="A205" s="60"/>
      <c r="B205" s="61"/>
      <c r="C205" s="61"/>
      <c r="D205" s="61"/>
      <c r="E205" s="61"/>
      <c r="F205" s="61"/>
      <c r="G205" s="65"/>
      <c r="H205" s="61"/>
      <c r="I205" s="61"/>
      <c r="J205" s="66"/>
      <c r="K205" s="66"/>
      <c r="L205" s="66"/>
      <c r="M205" s="67"/>
    </row>
    <row r="206" spans="1:18" ht="15.75" hidden="1" outlineLevel="1" x14ac:dyDescent="0.25">
      <c r="A206" s="60"/>
      <c r="C206" s="63"/>
      <c r="D206" s="63"/>
      <c r="E206" s="63"/>
      <c r="F206" s="63"/>
      <c r="G206" s="68"/>
      <c r="H206" s="69" t="s">
        <v>202</v>
      </c>
      <c r="I206" s="69" t="s">
        <v>203</v>
      </c>
      <c r="J206" s="70" t="s">
        <v>204</v>
      </c>
      <c r="K206" s="70" t="s">
        <v>204</v>
      </c>
      <c r="L206" s="70" t="s">
        <v>204</v>
      </c>
      <c r="M206" s="63"/>
    </row>
    <row r="207" spans="1:18" ht="15.75" hidden="1" outlineLevel="1" x14ac:dyDescent="0.25">
      <c r="A207" s="71"/>
      <c r="B207" s="63"/>
      <c r="C207" s="63"/>
      <c r="D207" s="63"/>
      <c r="E207" s="63"/>
      <c r="F207" s="63"/>
      <c r="G207" s="68" t="s">
        <v>205</v>
      </c>
      <c r="H207" s="72">
        <f>+B202+C202+D202+F202+I37+I193+E202</f>
        <v>6946166301.1201744</v>
      </c>
      <c r="I207" s="73">
        <f>+'[1]Anexo 1'!B41</f>
        <v>6946166301.375</v>
      </c>
      <c r="J207" s="73">
        <f t="shared" ref="J207:L208" si="41">+I207-H207</f>
        <v>0.25482559204101563</v>
      </c>
      <c r="K207" s="73">
        <f t="shared" si="41"/>
        <v>-6946166301.1201744</v>
      </c>
      <c r="L207" s="73">
        <f t="shared" si="41"/>
        <v>-6946166301.375</v>
      </c>
      <c r="M207" s="63"/>
    </row>
    <row r="208" spans="1:18" ht="16.5" hidden="1" outlineLevel="1" thickBot="1" x14ac:dyDescent="0.3">
      <c r="A208" s="60"/>
      <c r="B208" s="63"/>
      <c r="C208" s="61"/>
      <c r="D208" s="74"/>
      <c r="E208" s="63"/>
      <c r="F208" s="63"/>
      <c r="G208" s="68" t="s">
        <v>206</v>
      </c>
      <c r="H208" s="75">
        <f>+G202+I194</f>
        <v>4484901810.7643242</v>
      </c>
      <c r="I208" s="76">
        <f>+'[1]Anexo 1'!B45</f>
        <v>4484901810.7643242</v>
      </c>
      <c r="J208" s="76">
        <f t="shared" si="41"/>
        <v>0</v>
      </c>
      <c r="K208" s="76">
        <f t="shared" si="41"/>
        <v>-4484901810.7643242</v>
      </c>
      <c r="L208" s="76">
        <f t="shared" si="41"/>
        <v>-4484901810.7643242</v>
      </c>
      <c r="M208" s="63"/>
    </row>
    <row r="209" spans="1:13" ht="15.75" hidden="1" outlineLevel="1" x14ac:dyDescent="0.25">
      <c r="A209" s="60"/>
      <c r="B209" s="61"/>
      <c r="C209" s="61"/>
      <c r="D209" s="74"/>
      <c r="E209" s="63"/>
      <c r="F209" s="63"/>
      <c r="G209" s="68"/>
      <c r="H209" s="77">
        <f>+H207+H208</f>
        <v>11431068111.884499</v>
      </c>
      <c r="I209" s="78">
        <f>+I208+I207</f>
        <v>11431068112.139324</v>
      </c>
      <c r="J209" s="78">
        <f>+J208+J207</f>
        <v>0.25482559204101563</v>
      </c>
      <c r="K209" s="78">
        <f>+K208+K207</f>
        <v>-11431068111.884499</v>
      </c>
      <c r="L209" s="78">
        <f>+L208+L207</f>
        <v>-11431068112.139324</v>
      </c>
      <c r="M209" s="63"/>
    </row>
    <row r="210" spans="1:13" ht="15.75" collapsed="1" x14ac:dyDescent="0.25">
      <c r="A210" s="60"/>
      <c r="B210" s="63"/>
      <c r="C210" s="63"/>
      <c r="D210" s="63"/>
      <c r="E210" s="63"/>
      <c r="F210" s="63"/>
      <c r="G210" s="68"/>
      <c r="H210" s="72"/>
      <c r="I210" s="68"/>
      <c r="J210" s="79"/>
      <c r="K210" s="79"/>
      <c r="L210" s="79"/>
      <c r="M210" s="63"/>
    </row>
    <row r="211" spans="1:13" x14ac:dyDescent="0.2">
      <c r="A211" s="63"/>
      <c r="B211" s="63"/>
      <c r="C211" s="63"/>
      <c r="D211" s="63"/>
      <c r="E211" s="63"/>
      <c r="F211" s="63"/>
      <c r="G211" s="63"/>
      <c r="H211" s="63"/>
      <c r="I211" s="63"/>
      <c r="J211" s="66"/>
      <c r="K211" s="66"/>
      <c r="L211" s="66"/>
      <c r="M211" s="63"/>
    </row>
    <row r="212" spans="1:13" x14ac:dyDescent="0.2">
      <c r="A212" s="63"/>
      <c r="B212" s="63"/>
      <c r="C212" s="63"/>
      <c r="D212" s="63"/>
      <c r="E212" s="63"/>
      <c r="F212" s="63"/>
      <c r="G212" s="63"/>
      <c r="H212" s="61"/>
      <c r="I212" s="61"/>
      <c r="J212" s="63"/>
      <c r="K212" s="80"/>
      <c r="L212" s="63"/>
      <c r="M212" s="63"/>
    </row>
    <row r="213" spans="1:13" x14ac:dyDescent="0.2">
      <c r="A213" s="63"/>
      <c r="B213" s="63"/>
      <c r="C213" s="63"/>
      <c r="D213" s="63"/>
      <c r="E213" s="63"/>
      <c r="F213" s="63"/>
      <c r="G213" s="63"/>
      <c r="H213" s="63"/>
      <c r="I213" s="63"/>
      <c r="J213" s="81"/>
      <c r="K213" s="63"/>
      <c r="L213" s="80"/>
      <c r="M213" s="63"/>
    </row>
    <row r="214" spans="1:13" x14ac:dyDescent="0.2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</row>
    <row r="215" spans="1:13" x14ac:dyDescent="0.2">
      <c r="A215" s="63"/>
      <c r="B215" s="63"/>
      <c r="C215" s="63"/>
      <c r="D215" s="63"/>
      <c r="E215" s="63"/>
      <c r="F215" s="63"/>
      <c r="G215" s="63"/>
      <c r="H215" s="63"/>
      <c r="I215" s="74"/>
      <c r="J215" s="63"/>
      <c r="K215" s="63"/>
      <c r="L215" s="63"/>
      <c r="M215" s="63"/>
    </row>
    <row r="216" spans="1:13" x14ac:dyDescent="0.2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</row>
    <row r="217" spans="1:13" x14ac:dyDescent="0.2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</row>
    <row r="218" spans="1:13" x14ac:dyDescent="0.2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</row>
    <row r="219" spans="1:13" x14ac:dyDescent="0.2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</row>
    <row r="220" spans="1:13" x14ac:dyDescent="0.2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</row>
    <row r="221" spans="1:13" x14ac:dyDescent="0.2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</row>
    <row r="222" spans="1:13" x14ac:dyDescent="0.2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</row>
    <row r="223" spans="1:13" x14ac:dyDescent="0.2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</row>
    <row r="224" spans="1:13" x14ac:dyDescent="0.2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</row>
    <row r="225" spans="1:13" x14ac:dyDescent="0.2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</row>
    <row r="226" spans="1:13" x14ac:dyDescent="0.2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</row>
    <row r="227" spans="1:13" x14ac:dyDescent="0.2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</row>
    <row r="228" spans="1:13" x14ac:dyDescent="0.2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</row>
    <row r="229" spans="1:13" x14ac:dyDescent="0.2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</row>
    <row r="230" spans="1:13" x14ac:dyDescent="0.2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</row>
    <row r="231" spans="1:13" x14ac:dyDescent="0.2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</row>
    <row r="232" spans="1:13" x14ac:dyDescent="0.2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</row>
    <row r="233" spans="1:13" x14ac:dyDescent="0.2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</row>
    <row r="234" spans="1:13" x14ac:dyDescent="0.2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</row>
    <row r="235" spans="1:13" x14ac:dyDescent="0.2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</row>
    <row r="236" spans="1:13" x14ac:dyDescent="0.2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</row>
    <row r="237" spans="1:13" x14ac:dyDescent="0.2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</row>
    <row r="238" spans="1:13" x14ac:dyDescent="0.2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</row>
    <row r="239" spans="1:13" x14ac:dyDescent="0.2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</row>
    <row r="240" spans="1:13" x14ac:dyDescent="0.2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</row>
    <row r="241" spans="1:13" x14ac:dyDescent="0.2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</row>
    <row r="242" spans="1:13" x14ac:dyDescent="0.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</row>
    <row r="243" spans="1:13" x14ac:dyDescent="0.2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</row>
    <row r="244" spans="1:13" x14ac:dyDescent="0.2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</row>
    <row r="245" spans="1:13" x14ac:dyDescent="0.2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</row>
    <row r="246" spans="1:13" x14ac:dyDescent="0.2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</row>
    <row r="247" spans="1:13" x14ac:dyDescent="0.2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</row>
    <row r="248" spans="1:13" x14ac:dyDescent="0.2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</row>
    <row r="249" spans="1:13" x14ac:dyDescent="0.2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</row>
    <row r="250" spans="1:13" x14ac:dyDescent="0.2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</row>
    <row r="251" spans="1:13" x14ac:dyDescent="0.2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</row>
    <row r="252" spans="1:13" x14ac:dyDescent="0.2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</row>
    <row r="253" spans="1:13" x14ac:dyDescent="0.2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</row>
    <row r="254" spans="1:13" x14ac:dyDescent="0.2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</row>
    <row r="255" spans="1:13" x14ac:dyDescent="0.2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</row>
    <row r="256" spans="1:13" x14ac:dyDescent="0.2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</row>
    <row r="257" spans="1:13" x14ac:dyDescent="0.2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</row>
    <row r="258" spans="1:13" x14ac:dyDescent="0.2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</row>
    <row r="259" spans="1:13" x14ac:dyDescent="0.2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</row>
    <row r="260" spans="1:13" x14ac:dyDescent="0.2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</row>
    <row r="261" spans="1:13" x14ac:dyDescent="0.2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</row>
    <row r="262" spans="1:13" x14ac:dyDescent="0.2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</row>
    <row r="263" spans="1:13" x14ac:dyDescent="0.2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</row>
    <row r="264" spans="1:13" x14ac:dyDescent="0.2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</row>
    <row r="265" spans="1:13" x14ac:dyDescent="0.2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</row>
    <row r="266" spans="1:13" x14ac:dyDescent="0.2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</row>
    <row r="267" spans="1:13" x14ac:dyDescent="0.2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</row>
    <row r="268" spans="1:13" x14ac:dyDescent="0.2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</row>
    <row r="269" spans="1:13" x14ac:dyDescent="0.2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</row>
    <row r="270" spans="1:13" x14ac:dyDescent="0.2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</row>
    <row r="271" spans="1:13" x14ac:dyDescent="0.2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</row>
    <row r="272" spans="1:13" x14ac:dyDescent="0.2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</row>
    <row r="273" spans="1:13" x14ac:dyDescent="0.2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</row>
    <row r="274" spans="1:13" x14ac:dyDescent="0.2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</row>
    <row r="275" spans="1:13" x14ac:dyDescent="0.2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</row>
    <row r="276" spans="1:13" x14ac:dyDescent="0.2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</row>
    <row r="277" spans="1:13" x14ac:dyDescent="0.2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</row>
    <row r="278" spans="1:13" x14ac:dyDescent="0.2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</row>
    <row r="279" spans="1:13" x14ac:dyDescent="0.2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</row>
    <row r="280" spans="1:13" x14ac:dyDescent="0.2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</row>
    <row r="281" spans="1:13" x14ac:dyDescent="0.2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</row>
  </sheetData>
  <mergeCells count="4">
    <mergeCell ref="A1:M1"/>
    <mergeCell ref="A2:M2"/>
    <mergeCell ref="A3:M3"/>
    <mergeCell ref="A4:M4"/>
  </mergeCells>
  <printOptions horizontalCentered="1"/>
  <pageMargins left="0.39370078740157483" right="0.39370078740157483" top="0.39370078740157483" bottom="0.39370078740157483" header="0" footer="0"/>
  <pageSetup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2019-10-16T17:32:29Z</dcterms:created>
  <dcterms:modified xsi:type="dcterms:W3CDTF">2019-10-16T17:32:51Z</dcterms:modified>
</cp:coreProperties>
</file>