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4\Gasto\"/>
    </mc:Choice>
  </mc:AlternateContent>
  <bookViews>
    <workbookView xWindow="0" yWindow="0" windowWidth="24000" windowHeight="9435"/>
  </bookViews>
  <sheets>
    <sheet name="Anexo 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hidden="1">#REF!</definedName>
    <definedName name="ANEXO" hidden="1">'[7]Inversión total en programas'!$A$50:$IV$50,'[7]Inversión total en programas'!$A$60:$IV$63</definedName>
    <definedName name="_xlnm.Print_Area" localSheetId="0">'Anexo 2 '!$A$1:$L$208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'[9]Anexo 1 Minagricultura'!#REF!</definedName>
    <definedName name="CABEZAS_PROYEC">'[1]Anexo 1 Minagricultura'!#REF!</definedName>
    <definedName name="CUOTAPPC2005">'[1]Anexo 1 Minagricultura'!#REF!</definedName>
    <definedName name="CUOTAPPC2013">'[1]Anexo 1 Minagricultura'!#REF!</definedName>
    <definedName name="CUOTAPPC203">'[1]Anexo 1 Minagricultura'!#REF!</definedName>
    <definedName name="DIAG_PPC">#REF!</definedName>
    <definedName name="DISTRIBUIDOR">#REF!</definedName>
    <definedName name="eeeee">#REF!</definedName>
    <definedName name="EPPC">'[1]Anexo 1 Minagricultura'!#REF!</definedName>
    <definedName name="FDGFDG">#REF!</definedName>
    <definedName name="FECHA_DE_RECIBIDO">[10]BASE!$E$3:$E$177</definedName>
    <definedName name="FOMENTO">'[1]Anexo 1 Minagricultura'!#REF!</definedName>
    <definedName name="FOMENTOS">'[12]Anexo 1 Minagricultura'!$C$51</definedName>
    <definedName name="fondo">#REF!</definedName>
    <definedName name="GTOSEPPC">#REF!</definedName>
    <definedName name="HONORAUDI_JURIDIC">#REF!</definedName>
    <definedName name="HONTOTAL">#REF!</definedName>
    <definedName name="LABORATORIOS">#REF!</definedName>
    <definedName name="NOMBDISTRI">#REF!</definedName>
    <definedName name="ojo">#REF!</definedName>
    <definedName name="ppc">'[13]Inversión total en programas'!$B$86</definedName>
    <definedName name="RESERV_FUTU">#REF!</definedName>
    <definedName name="saldo">#REF!</definedName>
    <definedName name="saldos">#REF!</definedName>
    <definedName name="SUPERA2004">'[1]Anexo 1 Minagricultura'!#REF!</definedName>
    <definedName name="SUPERA2005">'[1]Anexo 1 Minagricultura'!#REF!</definedName>
    <definedName name="SUPERA2010">'[13]Anexo 1 Minagricultura'!$C$21</definedName>
    <definedName name="SUPERA2012">'[1]Anexo 1 Minagricultura'!#REF!</definedName>
    <definedName name="SUPERAVIT">#REF!</definedName>
    <definedName name="SUPERAVIT2005_FNP">#REF!</definedName>
    <definedName name="SUPERAVITPPC_2005">#REF!</definedName>
    <definedName name="_xlnm.Print_Titles" localSheetId="0">'Anexo 2 '!$1:$7</definedName>
    <definedName name="_xlnm.Print_Titles">#REF!</definedName>
    <definedName name="VTAS2005">'[1]Anexo 1 Minagricultura'!#REF!</definedName>
    <definedName name="xx">[14]Ingresos!$C$19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5" i="1" l="1"/>
  <c r="I205" i="1" s="1"/>
  <c r="J205" i="1" s="1"/>
  <c r="G204" i="1"/>
  <c r="I204" i="1" s="1"/>
  <c r="J204" i="1" s="1"/>
  <c r="H203" i="1"/>
  <c r="G203" i="1"/>
  <c r="E201" i="1"/>
  <c r="G201" i="1" s="1"/>
  <c r="I201" i="1" s="1"/>
  <c r="H199" i="1"/>
  <c r="H197" i="1" s="1"/>
  <c r="H198" i="1"/>
  <c r="I198" i="1" s="1"/>
  <c r="K198" i="1" s="1"/>
  <c r="J197" i="1"/>
  <c r="D195" i="1"/>
  <c r="G195" i="1" s="1"/>
  <c r="I195" i="1" s="1"/>
  <c r="K195" i="1" s="1"/>
  <c r="G194" i="1"/>
  <c r="I194" i="1" s="1"/>
  <c r="D193" i="1"/>
  <c r="G193" i="1" s="1"/>
  <c r="I193" i="1" s="1"/>
  <c r="D192" i="1"/>
  <c r="G192" i="1" s="1"/>
  <c r="I192" i="1" s="1"/>
  <c r="D191" i="1"/>
  <c r="G191" i="1" s="1"/>
  <c r="I191" i="1" s="1"/>
  <c r="I190" i="1"/>
  <c r="K190" i="1" s="1"/>
  <c r="D190" i="1"/>
  <c r="G190" i="1" s="1"/>
  <c r="D189" i="1"/>
  <c r="D186" i="1" s="1"/>
  <c r="G188" i="1"/>
  <c r="I188" i="1" s="1"/>
  <c r="D188" i="1"/>
  <c r="G187" i="1"/>
  <c r="I187" i="1" s="1"/>
  <c r="D187" i="1"/>
  <c r="J186" i="1"/>
  <c r="G186" i="1"/>
  <c r="I186" i="1" s="1"/>
  <c r="L186" i="1" s="1"/>
  <c r="D185" i="1"/>
  <c r="G185" i="1" s="1"/>
  <c r="I185" i="1" s="1"/>
  <c r="I184" i="1"/>
  <c r="G184" i="1"/>
  <c r="D184" i="1"/>
  <c r="D183" i="1"/>
  <c r="G183" i="1" s="1"/>
  <c r="I183" i="1" s="1"/>
  <c r="G182" i="1"/>
  <c r="I182" i="1" s="1"/>
  <c r="L182" i="1" s="1"/>
  <c r="L181" i="1"/>
  <c r="I181" i="1"/>
  <c r="K181" i="1" s="1"/>
  <c r="G181" i="1"/>
  <c r="J180" i="1"/>
  <c r="D180" i="1"/>
  <c r="J179" i="1"/>
  <c r="G178" i="1"/>
  <c r="I178" i="1" s="1"/>
  <c r="D177" i="1"/>
  <c r="G177" i="1" s="1"/>
  <c r="I177" i="1" s="1"/>
  <c r="G176" i="1"/>
  <c r="I176" i="1" s="1"/>
  <c r="D176" i="1"/>
  <c r="D175" i="1"/>
  <c r="D174" i="1" s="1"/>
  <c r="J174" i="1"/>
  <c r="J173" i="1"/>
  <c r="J172" i="1" s="1"/>
  <c r="I171" i="1"/>
  <c r="K171" i="1" s="1"/>
  <c r="G171" i="1"/>
  <c r="B171" i="1"/>
  <c r="G170" i="1"/>
  <c r="I170" i="1" s="1"/>
  <c r="B170" i="1"/>
  <c r="J169" i="1"/>
  <c r="B169" i="1"/>
  <c r="G169" i="1" s="1"/>
  <c r="I169" i="1" s="1"/>
  <c r="L169" i="1" s="1"/>
  <c r="G168" i="1"/>
  <c r="I168" i="1" s="1"/>
  <c r="G167" i="1"/>
  <c r="I167" i="1" s="1"/>
  <c r="B167" i="1"/>
  <c r="B166" i="1"/>
  <c r="G166" i="1" s="1"/>
  <c r="I166" i="1" s="1"/>
  <c r="B165" i="1"/>
  <c r="G165" i="1" s="1"/>
  <c r="I165" i="1" s="1"/>
  <c r="G164" i="1"/>
  <c r="I164" i="1" s="1"/>
  <c r="K164" i="1" s="1"/>
  <c r="B164" i="1"/>
  <c r="J163" i="1"/>
  <c r="G161" i="1"/>
  <c r="I161" i="1" s="1"/>
  <c r="L160" i="1"/>
  <c r="B160" i="1"/>
  <c r="G160" i="1" s="1"/>
  <c r="I160" i="1" s="1"/>
  <c r="K160" i="1" s="1"/>
  <c r="J159" i="1"/>
  <c r="B159" i="1"/>
  <c r="I158" i="1"/>
  <c r="G158" i="1"/>
  <c r="B158" i="1"/>
  <c r="G157" i="1"/>
  <c r="I157" i="1" s="1"/>
  <c r="B157" i="1"/>
  <c r="J156" i="1"/>
  <c r="I156" i="1"/>
  <c r="B156" i="1"/>
  <c r="G156" i="1" s="1"/>
  <c r="G154" i="1"/>
  <c r="I154" i="1" s="1"/>
  <c r="F154" i="1"/>
  <c r="F153" i="1"/>
  <c r="G153" i="1" s="1"/>
  <c r="I153" i="1" s="1"/>
  <c r="G152" i="1"/>
  <c r="I152" i="1" s="1"/>
  <c r="J151" i="1"/>
  <c r="F151" i="1"/>
  <c r="G151" i="1" s="1"/>
  <c r="I151" i="1" s="1"/>
  <c r="G150" i="1"/>
  <c r="I150" i="1" s="1"/>
  <c r="F149" i="1"/>
  <c r="G149" i="1" s="1"/>
  <c r="I149" i="1" s="1"/>
  <c r="F148" i="1"/>
  <c r="G148" i="1" s="1"/>
  <c r="I148" i="1" s="1"/>
  <c r="L148" i="1" s="1"/>
  <c r="L147" i="1"/>
  <c r="I147" i="1"/>
  <c r="K147" i="1" s="1"/>
  <c r="G147" i="1"/>
  <c r="F146" i="1"/>
  <c r="J145" i="1"/>
  <c r="J141" i="1" s="1"/>
  <c r="C144" i="1"/>
  <c r="G144" i="1" s="1"/>
  <c r="I144" i="1" s="1"/>
  <c r="C143" i="1"/>
  <c r="C142" i="1" s="1"/>
  <c r="G142" i="1" s="1"/>
  <c r="I142" i="1" s="1"/>
  <c r="J142" i="1"/>
  <c r="C141" i="1"/>
  <c r="B140" i="1"/>
  <c r="G140" i="1" s="1"/>
  <c r="I140" i="1" s="1"/>
  <c r="B139" i="1"/>
  <c r="G139" i="1" s="1"/>
  <c r="I139" i="1" s="1"/>
  <c r="G138" i="1"/>
  <c r="I138" i="1" s="1"/>
  <c r="L138" i="1" s="1"/>
  <c r="G137" i="1"/>
  <c r="I137" i="1" s="1"/>
  <c r="B136" i="1"/>
  <c r="B135" i="1" s="1"/>
  <c r="J135" i="1"/>
  <c r="I134" i="1"/>
  <c r="L134" i="1" s="1"/>
  <c r="B134" i="1"/>
  <c r="G134" i="1" s="1"/>
  <c r="G133" i="1"/>
  <c r="I133" i="1" s="1"/>
  <c r="G132" i="1"/>
  <c r="I132" i="1" s="1"/>
  <c r="G131" i="1"/>
  <c r="I131" i="1" s="1"/>
  <c r="B131" i="1"/>
  <c r="B130" i="1" s="1"/>
  <c r="G130" i="1" s="1"/>
  <c r="J130" i="1"/>
  <c r="I130" i="1"/>
  <c r="J129" i="1"/>
  <c r="B128" i="1"/>
  <c r="G128" i="1" s="1"/>
  <c r="I128" i="1" s="1"/>
  <c r="B127" i="1"/>
  <c r="B124" i="1" s="1"/>
  <c r="G124" i="1" s="1"/>
  <c r="I124" i="1" s="1"/>
  <c r="B126" i="1"/>
  <c r="G126" i="1" s="1"/>
  <c r="I126" i="1" s="1"/>
  <c r="G125" i="1"/>
  <c r="I125" i="1" s="1"/>
  <c r="B125" i="1"/>
  <c r="J124" i="1"/>
  <c r="L123" i="1"/>
  <c r="K123" i="1"/>
  <c r="I123" i="1"/>
  <c r="G123" i="1"/>
  <c r="G122" i="1"/>
  <c r="I122" i="1" s="1"/>
  <c r="K122" i="1" s="1"/>
  <c r="J121" i="1"/>
  <c r="B121" i="1"/>
  <c r="C118" i="1"/>
  <c r="G118" i="1" s="1"/>
  <c r="I118" i="1" s="1"/>
  <c r="G117" i="1"/>
  <c r="I117" i="1" s="1"/>
  <c r="C117" i="1"/>
  <c r="C116" i="1"/>
  <c r="G116" i="1" s="1"/>
  <c r="I116" i="1" s="1"/>
  <c r="G115" i="1"/>
  <c r="C115" i="1"/>
  <c r="C114" i="1" s="1"/>
  <c r="C86" i="1" s="1"/>
  <c r="J114" i="1"/>
  <c r="E113" i="1"/>
  <c r="G113" i="1" s="1"/>
  <c r="I113" i="1" s="1"/>
  <c r="E112" i="1"/>
  <c r="G112" i="1" s="1"/>
  <c r="I112" i="1" s="1"/>
  <c r="I110" i="1" s="1"/>
  <c r="E111" i="1"/>
  <c r="G111" i="1" s="1"/>
  <c r="I111" i="1" s="1"/>
  <c r="L111" i="1" s="1"/>
  <c r="K110" i="1"/>
  <c r="J110" i="1"/>
  <c r="E109" i="1"/>
  <c r="G109" i="1" s="1"/>
  <c r="I109" i="1" s="1"/>
  <c r="G108" i="1"/>
  <c r="G107" i="1" s="1"/>
  <c r="E108" i="1"/>
  <c r="J107" i="1"/>
  <c r="E107" i="1"/>
  <c r="E106" i="1"/>
  <c r="G106" i="1" s="1"/>
  <c r="I106" i="1" s="1"/>
  <c r="L106" i="1" s="1"/>
  <c r="E105" i="1"/>
  <c r="G105" i="1" s="1"/>
  <c r="I105" i="1" s="1"/>
  <c r="E104" i="1"/>
  <c r="G104" i="1" s="1"/>
  <c r="I104" i="1" s="1"/>
  <c r="L103" i="1"/>
  <c r="E103" i="1"/>
  <c r="G103" i="1" s="1"/>
  <c r="I103" i="1" s="1"/>
  <c r="K103" i="1" s="1"/>
  <c r="E102" i="1"/>
  <c r="E101" i="1"/>
  <c r="G101" i="1" s="1"/>
  <c r="J100" i="1"/>
  <c r="L99" i="1"/>
  <c r="K99" i="1"/>
  <c r="I99" i="1"/>
  <c r="I98" i="1" s="1"/>
  <c r="E99" i="1"/>
  <c r="G99" i="1" s="1"/>
  <c r="J98" i="1"/>
  <c r="G98" i="1"/>
  <c r="E98" i="1"/>
  <c r="E97" i="1"/>
  <c r="G97" i="1" s="1"/>
  <c r="I97" i="1" s="1"/>
  <c r="E96" i="1"/>
  <c r="G96" i="1" s="1"/>
  <c r="I96" i="1" s="1"/>
  <c r="E95" i="1"/>
  <c r="J94" i="1"/>
  <c r="J93" i="1"/>
  <c r="E92" i="1"/>
  <c r="G92" i="1" s="1"/>
  <c r="I92" i="1" s="1"/>
  <c r="L92" i="1" s="1"/>
  <c r="E91" i="1"/>
  <c r="G91" i="1" s="1"/>
  <c r="I91" i="1" s="1"/>
  <c r="G90" i="1"/>
  <c r="I90" i="1" s="1"/>
  <c r="K90" i="1" s="1"/>
  <c r="E90" i="1"/>
  <c r="E89" i="1"/>
  <c r="G89" i="1" s="1"/>
  <c r="J88" i="1"/>
  <c r="F84" i="1"/>
  <c r="G84" i="1" s="1"/>
  <c r="I84" i="1" s="1"/>
  <c r="I83" i="1"/>
  <c r="G83" i="1"/>
  <c r="F83" i="1"/>
  <c r="F82" i="1"/>
  <c r="G82" i="1" s="1"/>
  <c r="I82" i="1" s="1"/>
  <c r="F81" i="1"/>
  <c r="J80" i="1"/>
  <c r="F79" i="1"/>
  <c r="F72" i="1" s="1"/>
  <c r="G78" i="1"/>
  <c r="I78" i="1" s="1"/>
  <c r="L78" i="1" s="1"/>
  <c r="G77" i="1"/>
  <c r="I77" i="1" s="1"/>
  <c r="G76" i="1"/>
  <c r="I76" i="1" s="1"/>
  <c r="L76" i="1" s="1"/>
  <c r="F76" i="1"/>
  <c r="F75" i="1"/>
  <c r="G75" i="1" s="1"/>
  <c r="I75" i="1" s="1"/>
  <c r="I74" i="1"/>
  <c r="G74" i="1"/>
  <c r="I73" i="1"/>
  <c r="G73" i="1"/>
  <c r="F73" i="1"/>
  <c r="J72" i="1"/>
  <c r="I71" i="1"/>
  <c r="L71" i="1" s="1"/>
  <c r="G71" i="1"/>
  <c r="F70" i="1"/>
  <c r="G70" i="1" s="1"/>
  <c r="I70" i="1" s="1"/>
  <c r="L70" i="1" s="1"/>
  <c r="J69" i="1"/>
  <c r="G69" i="1"/>
  <c r="F68" i="1"/>
  <c r="G68" i="1" s="1"/>
  <c r="I68" i="1" s="1"/>
  <c r="G67" i="1"/>
  <c r="G66" i="1" s="1"/>
  <c r="F67" i="1"/>
  <c r="J66" i="1"/>
  <c r="F66" i="1"/>
  <c r="F65" i="1"/>
  <c r="G65" i="1" s="1"/>
  <c r="I65" i="1" s="1"/>
  <c r="L65" i="1" s="1"/>
  <c r="F64" i="1"/>
  <c r="G64" i="1" s="1"/>
  <c r="I64" i="1" s="1"/>
  <c r="G63" i="1"/>
  <c r="I63" i="1" s="1"/>
  <c r="G62" i="1"/>
  <c r="I62" i="1" s="1"/>
  <c r="L62" i="1" s="1"/>
  <c r="F62" i="1"/>
  <c r="J61" i="1"/>
  <c r="F61" i="1"/>
  <c r="G60" i="1"/>
  <c r="I60" i="1" s="1"/>
  <c r="F60" i="1"/>
  <c r="G59" i="1"/>
  <c r="I59" i="1" s="1"/>
  <c r="G58" i="1"/>
  <c r="I58" i="1" s="1"/>
  <c r="L58" i="1" s="1"/>
  <c r="F58" i="1"/>
  <c r="F57" i="1"/>
  <c r="G57" i="1" s="1"/>
  <c r="F56" i="1"/>
  <c r="G56" i="1" s="1"/>
  <c r="I56" i="1" s="1"/>
  <c r="L56" i="1" s="1"/>
  <c r="J55" i="1"/>
  <c r="F55" i="1"/>
  <c r="F54" i="1"/>
  <c r="G54" i="1" s="1"/>
  <c r="I54" i="1" s="1"/>
  <c r="F53" i="1"/>
  <c r="G53" i="1" s="1"/>
  <c r="I53" i="1" s="1"/>
  <c r="F52" i="1"/>
  <c r="F48" i="1" s="1"/>
  <c r="G51" i="1"/>
  <c r="I51" i="1" s="1"/>
  <c r="G50" i="1"/>
  <c r="I50" i="1" s="1"/>
  <c r="G49" i="1"/>
  <c r="I49" i="1" s="1"/>
  <c r="K49" i="1" s="1"/>
  <c r="J48" i="1"/>
  <c r="G46" i="1"/>
  <c r="I46" i="1" s="1"/>
  <c r="B46" i="1"/>
  <c r="G45" i="1"/>
  <c r="I45" i="1" s="1"/>
  <c r="B45" i="1"/>
  <c r="B44" i="1"/>
  <c r="G44" i="1" s="1"/>
  <c r="I44" i="1" s="1"/>
  <c r="J43" i="1"/>
  <c r="B43" i="1"/>
  <c r="B42" i="1" s="1"/>
  <c r="J42" i="1"/>
  <c r="J38" i="1"/>
  <c r="J37" i="1"/>
  <c r="H36" i="1"/>
  <c r="G36" i="1"/>
  <c r="I36" i="1" s="1"/>
  <c r="H35" i="1"/>
  <c r="I35" i="1" s="1"/>
  <c r="G35" i="1"/>
  <c r="H34" i="1"/>
  <c r="F34" i="1"/>
  <c r="E34" i="1"/>
  <c r="E37" i="1" s="1"/>
  <c r="B34" i="1"/>
  <c r="H33" i="1"/>
  <c r="F33" i="1"/>
  <c r="E33" i="1"/>
  <c r="D33" i="1"/>
  <c r="C33" i="1"/>
  <c r="B33" i="1"/>
  <c r="H32" i="1"/>
  <c r="G32" i="1"/>
  <c r="I32" i="1" s="1"/>
  <c r="L32" i="1" s="1"/>
  <c r="I31" i="1"/>
  <c r="K31" i="1" s="1"/>
  <c r="H31" i="1"/>
  <c r="F31" i="1"/>
  <c r="E31" i="1"/>
  <c r="D31" i="1"/>
  <c r="C31" i="1"/>
  <c r="B31" i="1"/>
  <c r="G31" i="1" s="1"/>
  <c r="H30" i="1"/>
  <c r="E30" i="1"/>
  <c r="G30" i="1" s="1"/>
  <c r="I30" i="1" s="1"/>
  <c r="K30" i="1" s="1"/>
  <c r="I29" i="1"/>
  <c r="L29" i="1" s="1"/>
  <c r="H29" i="1"/>
  <c r="E29" i="1"/>
  <c r="D29" i="1"/>
  <c r="C29" i="1"/>
  <c r="B29" i="1"/>
  <c r="G29" i="1" s="1"/>
  <c r="L28" i="1"/>
  <c r="K28" i="1"/>
  <c r="H28" i="1"/>
  <c r="F28" i="1"/>
  <c r="E28" i="1"/>
  <c r="D28" i="1"/>
  <c r="C28" i="1"/>
  <c r="B28" i="1"/>
  <c r="G28" i="1" s="1"/>
  <c r="I28" i="1" s="1"/>
  <c r="L27" i="1"/>
  <c r="H27" i="1"/>
  <c r="G27" i="1"/>
  <c r="I27" i="1" s="1"/>
  <c r="K27" i="1" s="1"/>
  <c r="H26" i="1"/>
  <c r="F26" i="1"/>
  <c r="E26" i="1"/>
  <c r="D26" i="1"/>
  <c r="C26" i="1"/>
  <c r="B26" i="1"/>
  <c r="G26" i="1" s="1"/>
  <c r="I26" i="1" s="1"/>
  <c r="H25" i="1"/>
  <c r="F25" i="1"/>
  <c r="E25" i="1"/>
  <c r="D25" i="1"/>
  <c r="D37" i="1" s="1"/>
  <c r="C25" i="1"/>
  <c r="B25" i="1"/>
  <c r="H24" i="1"/>
  <c r="E24" i="1"/>
  <c r="G24" i="1" s="1"/>
  <c r="I24" i="1" s="1"/>
  <c r="K24" i="1" s="1"/>
  <c r="I23" i="1"/>
  <c r="H23" i="1"/>
  <c r="E23" i="1"/>
  <c r="D23" i="1"/>
  <c r="C23" i="1"/>
  <c r="B23" i="1"/>
  <c r="G23" i="1" s="1"/>
  <c r="H22" i="1"/>
  <c r="F22" i="1"/>
  <c r="E22" i="1"/>
  <c r="D22" i="1"/>
  <c r="C22" i="1"/>
  <c r="B22" i="1"/>
  <c r="G22" i="1" s="1"/>
  <c r="J20" i="1"/>
  <c r="E20" i="1"/>
  <c r="H19" i="1"/>
  <c r="F19" i="1"/>
  <c r="E19" i="1"/>
  <c r="D19" i="1"/>
  <c r="C19" i="1"/>
  <c r="G19" i="1" s="1"/>
  <c r="I19" i="1" s="1"/>
  <c r="B19" i="1"/>
  <c r="H18" i="1"/>
  <c r="F18" i="1"/>
  <c r="E18" i="1"/>
  <c r="G18" i="1" s="1"/>
  <c r="I18" i="1" s="1"/>
  <c r="D18" i="1"/>
  <c r="C18" i="1"/>
  <c r="B18" i="1"/>
  <c r="H17" i="1"/>
  <c r="F17" i="1"/>
  <c r="G17" i="1" s="1"/>
  <c r="I17" i="1" s="1"/>
  <c r="E17" i="1"/>
  <c r="D17" i="1"/>
  <c r="C17" i="1"/>
  <c r="B17" i="1"/>
  <c r="L16" i="1"/>
  <c r="H16" i="1"/>
  <c r="F16" i="1"/>
  <c r="E16" i="1"/>
  <c r="D16" i="1"/>
  <c r="C16" i="1"/>
  <c r="C20" i="1" s="1"/>
  <c r="B16" i="1"/>
  <c r="G16" i="1" s="1"/>
  <c r="I16" i="1" s="1"/>
  <c r="K16" i="1" s="1"/>
  <c r="H15" i="1"/>
  <c r="F15" i="1"/>
  <c r="E15" i="1"/>
  <c r="D15" i="1"/>
  <c r="C15" i="1"/>
  <c r="B15" i="1"/>
  <c r="H14" i="1"/>
  <c r="F14" i="1"/>
  <c r="E14" i="1"/>
  <c r="G14" i="1" s="1"/>
  <c r="I14" i="1" s="1"/>
  <c r="D14" i="1"/>
  <c r="C14" i="1"/>
  <c r="B14" i="1"/>
  <c r="H13" i="1"/>
  <c r="B13" i="1"/>
  <c r="H12" i="1"/>
  <c r="F12" i="1"/>
  <c r="E12" i="1"/>
  <c r="D12" i="1"/>
  <c r="C12" i="1"/>
  <c r="B12" i="1"/>
  <c r="H11" i="1"/>
  <c r="F11" i="1"/>
  <c r="E11" i="1"/>
  <c r="G11" i="1" s="1"/>
  <c r="I11" i="1" s="1"/>
  <c r="D11" i="1"/>
  <c r="C11" i="1"/>
  <c r="B11" i="1"/>
  <c r="H10" i="1"/>
  <c r="F10" i="1"/>
  <c r="E10" i="1"/>
  <c r="D10" i="1"/>
  <c r="C10" i="1"/>
  <c r="B10" i="1"/>
  <c r="J9" i="1"/>
  <c r="K17" i="1" l="1"/>
  <c r="L17" i="1"/>
  <c r="L178" i="1"/>
  <c r="K178" i="1"/>
  <c r="L131" i="1"/>
  <c r="K131" i="1"/>
  <c r="L152" i="1"/>
  <c r="K152" i="1"/>
  <c r="K188" i="1"/>
  <c r="L188" i="1"/>
  <c r="K46" i="1"/>
  <c r="L46" i="1"/>
  <c r="K64" i="1"/>
  <c r="L64" i="1"/>
  <c r="K35" i="1"/>
  <c r="L35" i="1"/>
  <c r="L161" i="1"/>
  <c r="K161" i="1"/>
  <c r="K167" i="1"/>
  <c r="L167" i="1"/>
  <c r="I197" i="1"/>
  <c r="K197" i="1" s="1"/>
  <c r="G43" i="1"/>
  <c r="G42" i="1" s="1"/>
  <c r="K11" i="1"/>
  <c r="L11" i="1"/>
  <c r="L26" i="1"/>
  <c r="K26" i="1"/>
  <c r="L74" i="1"/>
  <c r="K74" i="1"/>
  <c r="J87" i="1"/>
  <c r="I115" i="1"/>
  <c r="G114" i="1"/>
  <c r="K192" i="1"/>
  <c r="L192" i="1"/>
  <c r="B20" i="1"/>
  <c r="G20" i="1" s="1"/>
  <c r="B37" i="1"/>
  <c r="B38" i="1" s="1"/>
  <c r="G38" i="1" s="1"/>
  <c r="I57" i="1"/>
  <c r="G55" i="1"/>
  <c r="L75" i="1"/>
  <c r="K75" i="1"/>
  <c r="K116" i="1"/>
  <c r="L116" i="1"/>
  <c r="K144" i="1"/>
  <c r="L144" i="1"/>
  <c r="L149" i="1"/>
  <c r="K149" i="1"/>
  <c r="L154" i="1"/>
  <c r="K154" i="1"/>
  <c r="E38" i="1"/>
  <c r="G159" i="1"/>
  <c r="I159" i="1" s="1"/>
  <c r="L159" i="1" s="1"/>
  <c r="B155" i="1"/>
  <c r="G155" i="1" s="1"/>
  <c r="I155" i="1" s="1"/>
  <c r="I67" i="1"/>
  <c r="L96" i="1"/>
  <c r="K96" i="1"/>
  <c r="L117" i="1"/>
  <c r="K117" i="1"/>
  <c r="L165" i="1"/>
  <c r="K165" i="1"/>
  <c r="L170" i="1"/>
  <c r="K170" i="1"/>
  <c r="L184" i="1"/>
  <c r="K184" i="1"/>
  <c r="L54" i="1"/>
  <c r="K54" i="1"/>
  <c r="L83" i="1"/>
  <c r="K83" i="1"/>
  <c r="L140" i="1"/>
  <c r="K140" i="1"/>
  <c r="L14" i="1"/>
  <c r="K14" i="1"/>
  <c r="K23" i="1"/>
  <c r="L23" i="1"/>
  <c r="K29" i="1"/>
  <c r="G79" i="1"/>
  <c r="I79" i="1" s="1"/>
  <c r="L18" i="1"/>
  <c r="K18" i="1"/>
  <c r="L50" i="1"/>
  <c r="G61" i="1"/>
  <c r="B129" i="1"/>
  <c r="G129" i="1" s="1"/>
  <c r="I129" i="1" s="1"/>
  <c r="G135" i="1"/>
  <c r="I135" i="1" s="1"/>
  <c r="K135" i="1" s="1"/>
  <c r="G15" i="1"/>
  <c r="I15" i="1" s="1"/>
  <c r="B9" i="1"/>
  <c r="I22" i="1"/>
  <c r="H37" i="1"/>
  <c r="L44" i="1"/>
  <c r="I43" i="1"/>
  <c r="K44" i="1"/>
  <c r="K50" i="1"/>
  <c r="K71" i="1"/>
  <c r="I69" i="1"/>
  <c r="L69" i="1" s="1"/>
  <c r="L104" i="1"/>
  <c r="K104" i="1"/>
  <c r="G136" i="1"/>
  <c r="I136" i="1" s="1"/>
  <c r="G12" i="1"/>
  <c r="I12" i="1" s="1"/>
  <c r="C9" i="1"/>
  <c r="K19" i="1"/>
  <c r="L19" i="1"/>
  <c r="D38" i="1"/>
  <c r="L53" i="1"/>
  <c r="K53" i="1"/>
  <c r="L59" i="1"/>
  <c r="K59" i="1"/>
  <c r="L63" i="1"/>
  <c r="K63" i="1"/>
  <c r="I61" i="1"/>
  <c r="L61" i="1" s="1"/>
  <c r="K97" i="1"/>
  <c r="L97" i="1"/>
  <c r="K128" i="1"/>
  <c r="L128" i="1"/>
  <c r="J155" i="1"/>
  <c r="L156" i="1"/>
  <c r="K156" i="1"/>
  <c r="K185" i="1"/>
  <c r="L185" i="1"/>
  <c r="L205" i="1"/>
  <c r="K205" i="1"/>
  <c r="D9" i="1"/>
  <c r="L68" i="1"/>
  <c r="K68" i="1"/>
  <c r="G88" i="1"/>
  <c r="I89" i="1"/>
  <c r="B120" i="1"/>
  <c r="G121" i="1"/>
  <c r="I121" i="1" s="1"/>
  <c r="K124" i="1"/>
  <c r="L124" i="1"/>
  <c r="J120" i="1"/>
  <c r="G100" i="1"/>
  <c r="K112" i="1"/>
  <c r="L129" i="1"/>
  <c r="I199" i="1"/>
  <c r="F9" i="1"/>
  <c r="F20" i="1"/>
  <c r="K76" i="1"/>
  <c r="L112" i="1"/>
  <c r="K129" i="1"/>
  <c r="F37" i="1"/>
  <c r="F38" i="1" s="1"/>
  <c r="K106" i="1"/>
  <c r="L113" i="1"/>
  <c r="K113" i="1"/>
  <c r="L126" i="1"/>
  <c r="K126" i="1"/>
  <c r="K138" i="1"/>
  <c r="L150" i="1"/>
  <c r="K150" i="1"/>
  <c r="K201" i="1"/>
  <c r="L201" i="1"/>
  <c r="L24" i="1"/>
  <c r="L31" i="1"/>
  <c r="K56" i="1"/>
  <c r="K62" i="1"/>
  <c r="L73" i="1"/>
  <c r="K73" i="1"/>
  <c r="L77" i="1"/>
  <c r="K77" i="1"/>
  <c r="L82" i="1"/>
  <c r="K82" i="1"/>
  <c r="L91" i="1"/>
  <c r="K91" i="1"/>
  <c r="E94" i="1"/>
  <c r="E93" i="1" s="1"/>
  <c r="G102" i="1"/>
  <c r="I102" i="1" s="1"/>
  <c r="E100" i="1"/>
  <c r="K134" i="1"/>
  <c r="G143" i="1"/>
  <c r="I143" i="1" s="1"/>
  <c r="L151" i="1"/>
  <c r="K151" i="1"/>
  <c r="B163" i="1"/>
  <c r="K169" i="1"/>
  <c r="L176" i="1"/>
  <c r="K176" i="1"/>
  <c r="L187" i="1"/>
  <c r="K187" i="1"/>
  <c r="L190" i="1"/>
  <c r="L195" i="1"/>
  <c r="L132" i="1"/>
  <c r="K132" i="1"/>
  <c r="L153" i="1"/>
  <c r="K153" i="1"/>
  <c r="L174" i="1"/>
  <c r="E9" i="1"/>
  <c r="K51" i="1"/>
  <c r="L51" i="1"/>
  <c r="K58" i="1"/>
  <c r="K84" i="1"/>
  <c r="L84" i="1"/>
  <c r="L105" i="1"/>
  <c r="K105" i="1"/>
  <c r="I108" i="1"/>
  <c r="L133" i="1"/>
  <c r="K133" i="1"/>
  <c r="K168" i="1"/>
  <c r="L168" i="1"/>
  <c r="K193" i="1"/>
  <c r="L193" i="1"/>
  <c r="L204" i="1"/>
  <c r="K204" i="1"/>
  <c r="K65" i="1"/>
  <c r="F80" i="1"/>
  <c r="F47" i="1" s="1"/>
  <c r="G81" i="1"/>
  <c r="I101" i="1"/>
  <c r="L125" i="1"/>
  <c r="K125" i="1"/>
  <c r="K157" i="1"/>
  <c r="L157" i="1"/>
  <c r="L164" i="1"/>
  <c r="D179" i="1"/>
  <c r="G179" i="1" s="1"/>
  <c r="I179" i="1" s="1"/>
  <c r="L179" i="1" s="1"/>
  <c r="K182" i="1"/>
  <c r="K186" i="1"/>
  <c r="L194" i="1"/>
  <c r="K194" i="1"/>
  <c r="G10" i="1"/>
  <c r="C37" i="1"/>
  <c r="C38" i="1" s="1"/>
  <c r="C207" i="1" s="1"/>
  <c r="L30" i="1"/>
  <c r="J47" i="1"/>
  <c r="L90" i="1"/>
  <c r="L109" i="1"/>
  <c r="K109" i="1"/>
  <c r="K118" i="1"/>
  <c r="L118" i="1"/>
  <c r="L122" i="1"/>
  <c r="L171" i="1"/>
  <c r="G180" i="1"/>
  <c r="I180" i="1" s="1"/>
  <c r="L183" i="1"/>
  <c r="K183" i="1"/>
  <c r="H9" i="1"/>
  <c r="H20" i="1"/>
  <c r="G13" i="1"/>
  <c r="I13" i="1" s="1"/>
  <c r="G25" i="1"/>
  <c r="I25" i="1" s="1"/>
  <c r="G34" i="1"/>
  <c r="I34" i="1" s="1"/>
  <c r="L36" i="1"/>
  <c r="K36" i="1"/>
  <c r="L45" i="1"/>
  <c r="K45" i="1"/>
  <c r="K60" i="1"/>
  <c r="L60" i="1"/>
  <c r="E88" i="1"/>
  <c r="G95" i="1"/>
  <c r="L110" i="1"/>
  <c r="C40" i="1"/>
  <c r="G127" i="1"/>
  <c r="I127" i="1" s="1"/>
  <c r="L139" i="1"/>
  <c r="K139" i="1"/>
  <c r="L158" i="1"/>
  <c r="K158" i="1"/>
  <c r="L166" i="1"/>
  <c r="K166" i="1"/>
  <c r="L177" i="1"/>
  <c r="K177" i="1"/>
  <c r="L191" i="1"/>
  <c r="K191" i="1"/>
  <c r="J162" i="1"/>
  <c r="K111" i="1"/>
  <c r="K148" i="1"/>
  <c r="K32" i="1"/>
  <c r="L49" i="1"/>
  <c r="G52" i="1"/>
  <c r="I52" i="1" s="1"/>
  <c r="K70" i="1"/>
  <c r="K98" i="1"/>
  <c r="K130" i="1"/>
  <c r="L137" i="1"/>
  <c r="K137" i="1"/>
  <c r="K159" i="1"/>
  <c r="G189" i="1"/>
  <c r="I189" i="1" s="1"/>
  <c r="D20" i="1"/>
  <c r="K78" i="1"/>
  <c r="L98" i="1"/>
  <c r="E110" i="1"/>
  <c r="L130" i="1"/>
  <c r="D173" i="1"/>
  <c r="G174" i="1"/>
  <c r="I174" i="1" s="1"/>
  <c r="K174" i="1" s="1"/>
  <c r="G33" i="1"/>
  <c r="I33" i="1" s="1"/>
  <c r="G48" i="1"/>
  <c r="F69" i="1"/>
  <c r="K92" i="1"/>
  <c r="G110" i="1"/>
  <c r="L142" i="1"/>
  <c r="K142" i="1"/>
  <c r="G175" i="1"/>
  <c r="I175" i="1" s="1"/>
  <c r="L198" i="1"/>
  <c r="I203" i="1"/>
  <c r="J203" i="1" s="1"/>
  <c r="F145" i="1"/>
  <c r="L135" i="1"/>
  <c r="G146" i="1"/>
  <c r="I146" i="1" s="1"/>
  <c r="L189" i="1" l="1"/>
  <c r="K189" i="1"/>
  <c r="E87" i="1"/>
  <c r="L199" i="1"/>
  <c r="K199" i="1"/>
  <c r="L79" i="1"/>
  <c r="K79" i="1"/>
  <c r="L127" i="1"/>
  <c r="K127" i="1"/>
  <c r="G9" i="1"/>
  <c r="I10" i="1"/>
  <c r="G72" i="1"/>
  <c r="G37" i="1"/>
  <c r="L155" i="1"/>
  <c r="K155" i="1"/>
  <c r="L43" i="1"/>
  <c r="I42" i="1"/>
  <c r="K43" i="1"/>
  <c r="J207" i="1"/>
  <c r="K203" i="1"/>
  <c r="L203" i="1"/>
  <c r="G173" i="1"/>
  <c r="I173" i="1" s="1"/>
  <c r="D172" i="1"/>
  <c r="L180" i="1"/>
  <c r="K180" i="1"/>
  <c r="K69" i="1"/>
  <c r="I107" i="1"/>
  <c r="L108" i="1"/>
  <c r="K108" i="1"/>
  <c r="B162" i="1"/>
  <c r="G162" i="1" s="1"/>
  <c r="I162" i="1" s="1"/>
  <c r="K162" i="1" s="1"/>
  <c r="G163" i="1"/>
  <c r="I163" i="1" s="1"/>
  <c r="K102" i="1"/>
  <c r="L102" i="1"/>
  <c r="L136" i="1"/>
  <c r="K136" i="1"/>
  <c r="I66" i="1"/>
  <c r="L67" i="1"/>
  <c r="K67" i="1"/>
  <c r="J86" i="1"/>
  <c r="L175" i="1"/>
  <c r="K175" i="1"/>
  <c r="L25" i="1"/>
  <c r="K25" i="1"/>
  <c r="L121" i="1"/>
  <c r="K121" i="1"/>
  <c r="I37" i="1"/>
  <c r="L22" i="1"/>
  <c r="K22" i="1"/>
  <c r="K52" i="1"/>
  <c r="L52" i="1"/>
  <c r="K13" i="1"/>
  <c r="L13" i="1"/>
  <c r="J40" i="1"/>
  <c r="I81" i="1"/>
  <c r="G80" i="1"/>
  <c r="G47" i="1" s="1"/>
  <c r="L143" i="1"/>
  <c r="K143" i="1"/>
  <c r="G120" i="1"/>
  <c r="B119" i="1"/>
  <c r="L146" i="1"/>
  <c r="K146" i="1"/>
  <c r="K89" i="1"/>
  <c r="L89" i="1"/>
  <c r="I88" i="1"/>
  <c r="L15" i="1"/>
  <c r="K15" i="1"/>
  <c r="L33" i="1"/>
  <c r="K33" i="1"/>
  <c r="G145" i="1"/>
  <c r="I145" i="1" s="1"/>
  <c r="F141" i="1"/>
  <c r="G141" i="1" s="1"/>
  <c r="I141" i="1" s="1"/>
  <c r="K179" i="1"/>
  <c r="L197" i="1"/>
  <c r="L162" i="1"/>
  <c r="J119" i="1"/>
  <c r="K12" i="1"/>
  <c r="L12" i="1"/>
  <c r="I114" i="1"/>
  <c r="L115" i="1"/>
  <c r="K115" i="1"/>
  <c r="K61" i="1"/>
  <c r="G94" i="1"/>
  <c r="G93" i="1" s="1"/>
  <c r="I95" i="1"/>
  <c r="L34" i="1"/>
  <c r="K34" i="1"/>
  <c r="K101" i="1"/>
  <c r="I100" i="1"/>
  <c r="L101" i="1"/>
  <c r="I72" i="1"/>
  <c r="H38" i="1"/>
  <c r="H207" i="1" s="1"/>
  <c r="I48" i="1"/>
  <c r="L57" i="1"/>
  <c r="K57" i="1"/>
  <c r="I55" i="1"/>
  <c r="L100" i="1" l="1"/>
  <c r="K100" i="1"/>
  <c r="K173" i="1"/>
  <c r="L173" i="1"/>
  <c r="K55" i="1"/>
  <c r="L55" i="1"/>
  <c r="L114" i="1"/>
  <c r="K114" i="1"/>
  <c r="K88" i="1"/>
  <c r="L88" i="1"/>
  <c r="K66" i="1"/>
  <c r="L66" i="1"/>
  <c r="L107" i="1"/>
  <c r="K107" i="1"/>
  <c r="K48" i="1"/>
  <c r="L48" i="1"/>
  <c r="K95" i="1"/>
  <c r="L95" i="1"/>
  <c r="I94" i="1"/>
  <c r="K145" i="1"/>
  <c r="L145" i="1"/>
  <c r="G87" i="1"/>
  <c r="I87" i="1" s="1"/>
  <c r="E86" i="1"/>
  <c r="L42" i="1"/>
  <c r="K42" i="1"/>
  <c r="K72" i="1"/>
  <c r="L72" i="1"/>
  <c r="B40" i="1"/>
  <c r="L37" i="1"/>
  <c r="K37" i="1"/>
  <c r="L141" i="1"/>
  <c r="K141" i="1"/>
  <c r="K81" i="1"/>
  <c r="I80" i="1"/>
  <c r="L81" i="1"/>
  <c r="I20" i="1"/>
  <c r="I38" i="1" s="1"/>
  <c r="L10" i="1"/>
  <c r="K10" i="1"/>
  <c r="I9" i="1"/>
  <c r="I120" i="1"/>
  <c r="G119" i="1"/>
  <c r="K163" i="1"/>
  <c r="L163" i="1"/>
  <c r="D40" i="1"/>
  <c r="D207" i="1" s="1"/>
  <c r="G172" i="1"/>
  <c r="I172" i="1" s="1"/>
  <c r="F40" i="1"/>
  <c r="F207" i="1" s="1"/>
  <c r="K38" i="1" l="1"/>
  <c r="L38" i="1"/>
  <c r="I93" i="1"/>
  <c r="L94" i="1"/>
  <c r="K94" i="1"/>
  <c r="L80" i="1"/>
  <c r="K80" i="1"/>
  <c r="E40" i="1"/>
  <c r="E207" i="1" s="1"/>
  <c r="G86" i="1"/>
  <c r="I86" i="1" s="1"/>
  <c r="I119" i="1"/>
  <c r="K120" i="1"/>
  <c r="L120" i="1"/>
  <c r="L87" i="1"/>
  <c r="K87" i="1"/>
  <c r="K9" i="1"/>
  <c r="L9" i="1"/>
  <c r="K172" i="1"/>
  <c r="L172" i="1"/>
  <c r="L20" i="1"/>
  <c r="K20" i="1"/>
  <c r="B207" i="1"/>
  <c r="I47" i="1"/>
  <c r="L47" i="1" l="1"/>
  <c r="K47" i="1"/>
  <c r="G207" i="1"/>
  <c r="I207" i="1" s="1"/>
  <c r="L93" i="1"/>
  <c r="K93" i="1"/>
  <c r="K119" i="1"/>
  <c r="L119" i="1"/>
  <c r="G40" i="1"/>
  <c r="I40" i="1" s="1"/>
  <c r="K86" i="1"/>
  <c r="L86" i="1"/>
  <c r="L40" i="1" l="1"/>
  <c r="K40" i="1"/>
  <c r="L207" i="1"/>
  <c r="K207" i="1"/>
</calcChain>
</file>

<file path=xl/sharedStrings.xml><?xml version="1.0" encoding="utf-8"?>
<sst xmlns="http://schemas.openxmlformats.org/spreadsheetml/2006/main" count="210" uniqueCount="205">
  <si>
    <t>MINISTERIO DE AGRICULTURA  Y DESARROLLO RURAL</t>
  </si>
  <si>
    <t>DIRECCIÓN DE PLANEACIÓN Y SEGUIMIENTO PRESUPUESTAL</t>
  </si>
  <si>
    <t>PRESUPUESTO DE GASTOS DE FUNCIONAMIENTO E INVERSIÓN 2.014</t>
  </si>
  <si>
    <t>EJECUCIÓN TRIMESTRE JULIO-SEPTIEMBRE 2014</t>
  </si>
  <si>
    <t>ANEXO 2</t>
  </si>
  <si>
    <t>CUENTAS</t>
  </si>
  <si>
    <t>PROGRAMAS ECONÓMICA</t>
  </si>
  <si>
    <t>PROGRAMAS TÉCNICA</t>
  </si>
  <si>
    <t>PROGRAMAS INVESTIGACIÓN Y TRANSFERENCIA DE TÉCNOLOGÍA</t>
  </si>
  <si>
    <t>PROGRAMA PPC</t>
  </si>
  <si>
    <t>PROGRAMAS MERCADEO</t>
  </si>
  <si>
    <t>TOTAL INVERSIÓN</t>
  </si>
  <si>
    <t>GASTOS DE FUNCIONAMIENTO</t>
  </si>
  <si>
    <t>TOTAL PRESUPUESTO</t>
  </si>
  <si>
    <t>TOTAL EJECUTADO</t>
  </si>
  <si>
    <t>ACUERDO 12/14</t>
  </si>
  <si>
    <t>% EJECUCIÓN</t>
  </si>
  <si>
    <t>GASTOS DE PERSONAL</t>
  </si>
  <si>
    <t>Servicios de personal</t>
  </si>
  <si>
    <t>Sueldos</t>
  </si>
  <si>
    <t>Vacaciones</t>
  </si>
  <si>
    <t>Prima legal</t>
  </si>
  <si>
    <t>Honorarios</t>
  </si>
  <si>
    <t xml:space="preserve">Dotación y suministro </t>
  </si>
  <si>
    <t>Cesantías</t>
  </si>
  <si>
    <t>Intereses de cesantías</t>
  </si>
  <si>
    <t>Seguros y/o fondos privados</t>
  </si>
  <si>
    <t>Caja de compensación</t>
  </si>
  <si>
    <t>Aportes ICBF y SENA</t>
  </si>
  <si>
    <t>SUBTOTAL GASTOS PERSONAL</t>
  </si>
  <si>
    <t>GASTOS GENERALES</t>
  </si>
  <si>
    <t>Muebles, equipos de oficina y software</t>
  </si>
  <si>
    <t>Impresos y publicaciones</t>
  </si>
  <si>
    <t>Materiales y suministros</t>
  </si>
  <si>
    <t>Correo</t>
  </si>
  <si>
    <t>Transportes, fletes y acarreos</t>
  </si>
  <si>
    <t xml:space="preserve">Capacitación </t>
  </si>
  <si>
    <t xml:space="preserve">Mantenimiento </t>
  </si>
  <si>
    <t>Seguros, impuestos y gastos legales</t>
  </si>
  <si>
    <t>Comisiones y gastos bancarios</t>
  </si>
  <si>
    <t>Gastos de viaje</t>
  </si>
  <si>
    <t>Aseo, vigilancia y cafetería</t>
  </si>
  <si>
    <t>Servicios públicos</t>
  </si>
  <si>
    <t>Arriendos</t>
  </si>
  <si>
    <t>Cuota auditaje CGR</t>
  </si>
  <si>
    <t>Gastos comisión de fomento</t>
  </si>
  <si>
    <t>SUBTOTAL GASTOS GENERALES</t>
  </si>
  <si>
    <t>TOTAL FUNCIONAMIENTO</t>
  </si>
  <si>
    <t>TOTAL PROGRAMAS Y PROYECTOS</t>
  </si>
  <si>
    <t>FORTALECER LA INSTITUCIONALIDAD SECTORIAL</t>
  </si>
  <si>
    <t>Fortalecimiento institucional</t>
  </si>
  <si>
    <t>Comsac</t>
  </si>
  <si>
    <t>Participación en Negociaciones Internacionales</t>
  </si>
  <si>
    <t xml:space="preserve">Cadena porcícola </t>
  </si>
  <si>
    <t>PROMOVER EL CONSUMO DE CARNE DE CERDO COLOMBIANA</t>
  </si>
  <si>
    <t>Investigación de mercados</t>
  </si>
  <si>
    <t>Home Panel Nielsen</t>
  </si>
  <si>
    <t>Brand Equity and Tracking</t>
  </si>
  <si>
    <t>Eye Tracking</t>
  </si>
  <si>
    <t>Ingesta de Carne de cerdo (Pacientes diabeticos y obesos) Fase III</t>
  </si>
  <si>
    <t>Monitoreo de Medios</t>
  </si>
  <si>
    <t>Tracking publicitario</t>
  </si>
  <si>
    <t>Sensibilización de las bondades gastronómicas y nutricionales de la carne de cerdo</t>
  </si>
  <si>
    <t>Nutricionistas</t>
  </si>
  <si>
    <t>Asesores Gastronómicos</t>
  </si>
  <si>
    <t>Día de la Carne de Cerdo</t>
  </si>
  <si>
    <t>Capacitación anual contratistas</t>
  </si>
  <si>
    <t>Viajes regionales equipo día de la Carne de Cerdo</t>
  </si>
  <si>
    <t>Campaña de fomento al consumo</t>
  </si>
  <si>
    <t>Campaña de publicidad</t>
  </si>
  <si>
    <t>Desarrollo nuevas recetas</t>
  </si>
  <si>
    <t>Agencia Free Press</t>
  </si>
  <si>
    <t>Consultoría MESA</t>
  </si>
  <si>
    <t>Estrategia Digital</t>
  </si>
  <si>
    <t>Me encanta la canta de cerdo.com</t>
  </si>
  <si>
    <t>Club Gourmet de la Carne de Cerdo</t>
  </si>
  <si>
    <t>Divulgación sectorial</t>
  </si>
  <si>
    <t>Pauta institucional</t>
  </si>
  <si>
    <t>Kit publicitario</t>
  </si>
  <si>
    <t>Eventos de incentivo al consumo</t>
  </si>
  <si>
    <t>Gestión y seguimiento a eventos de mercadeo</t>
  </si>
  <si>
    <t>Eventos Feriales</t>
  </si>
  <si>
    <t>Festival de la Carne de cerdo</t>
  </si>
  <si>
    <t>Concurso Sabor innovador</t>
  </si>
  <si>
    <t>Eventos al Sector</t>
  </si>
  <si>
    <t>Porciamericas</t>
  </si>
  <si>
    <t>Activaciones y eventos meencantalacarnedecerdo.com,club     gourmet, Facebook , Twitter</t>
  </si>
  <si>
    <t>Incentivo al consumo de la carne de cerdo en el canal institucional (horeca)</t>
  </si>
  <si>
    <t xml:space="preserve">Seguimiento gestión HORECA </t>
  </si>
  <si>
    <t>Seguimiento e implementación otras ciudades</t>
  </si>
  <si>
    <t>Material Publicitario, Promoción y Divulgación</t>
  </si>
  <si>
    <t>Eventos Canal Institucional de capacitación y divulgación  (Horeca)</t>
  </si>
  <si>
    <t>FORTALECER EL ESTATUS SANITARIO Y LA PRODUCCIÓN SOSTENIBLE DEL SECTOR PORCICOLA</t>
  </si>
  <si>
    <t>ERRADICACIÓN DE PPC</t>
  </si>
  <si>
    <t>Regionalización</t>
  </si>
  <si>
    <t>Compra de biológico, chapetas y tenazas</t>
  </si>
  <si>
    <t>Compra de materiales y dotaciones</t>
  </si>
  <si>
    <t>Pago de auxilios de frío, flete y movilizaciones</t>
  </si>
  <si>
    <t>Brigadas</t>
  </si>
  <si>
    <t>Capacitación y divulgación</t>
  </si>
  <si>
    <t>Capacitación</t>
  </si>
  <si>
    <t>Reunión anual</t>
  </si>
  <si>
    <t>Talleres de formación PPC</t>
  </si>
  <si>
    <t>Asesoría internacional</t>
  </si>
  <si>
    <t>Divulgación</t>
  </si>
  <si>
    <t>Publicidad</t>
  </si>
  <si>
    <t>Vigilancia epidemiológica</t>
  </si>
  <si>
    <t>Diagnóstico Rutinario</t>
  </si>
  <si>
    <t>Vigilancia de campo</t>
  </si>
  <si>
    <t>Determinación de factores de riesgo</t>
  </si>
  <si>
    <t>Equipos comunicación puestos control</t>
  </si>
  <si>
    <t>Admisibilidad y normatividad sanitaria</t>
  </si>
  <si>
    <t>Control al Contrabando</t>
  </si>
  <si>
    <t>Administración del programa</t>
  </si>
  <si>
    <t>Administración de la base de datos</t>
  </si>
  <si>
    <t>Depuración, codificación y verificación de predios</t>
  </si>
  <si>
    <t>Ciclos de vacunación</t>
  </si>
  <si>
    <t>Contratación de personal</t>
  </si>
  <si>
    <t xml:space="preserve">Auxilios de comités de ganaderos </t>
  </si>
  <si>
    <t>Recolección de desechos biológicos</t>
  </si>
  <si>
    <t>MEJORAMIENTO DEL ESTATUS SANITARIO</t>
  </si>
  <si>
    <t>Evaluación condición TGEV -PRCV en Colombia</t>
  </si>
  <si>
    <t>Control y monitoreo para la enfermedad de PRRS en granjas de Colombia</t>
  </si>
  <si>
    <t>Diagnóstico sanitario</t>
  </si>
  <si>
    <t>Programa Nacional de Mejoramiento del Estatus Sanitario</t>
  </si>
  <si>
    <t>FORTALECER LA GESTIÓN EMPRESARIAL E INTEGRACIÓN DE LA CADENA CARNICA PORCICOLA</t>
  </si>
  <si>
    <t>Centro de servicios técnicos y financieros</t>
  </si>
  <si>
    <t xml:space="preserve"> Programa IAT </t>
  </si>
  <si>
    <t xml:space="preserve">Contrapartida FNP </t>
  </si>
  <si>
    <t>Administración Fiducia</t>
  </si>
  <si>
    <t xml:space="preserve">  Asistencia a productores</t>
  </si>
  <si>
    <t>Asesorías a medianos y grandes productores y grupos</t>
  </si>
  <si>
    <t>Asesorías a pequeños productores</t>
  </si>
  <si>
    <t>Herramientas del Centro de servicios</t>
  </si>
  <si>
    <t>Programa Resolución 2640 (Divulgación e Implementación de BPP en granja)</t>
  </si>
  <si>
    <t xml:space="preserve">  Convenios con las Gobernaciones</t>
  </si>
  <si>
    <t>Contrapartidas Gobernaciones</t>
  </si>
  <si>
    <t>Contrapartida Gobernación Cundinamarca</t>
  </si>
  <si>
    <t>Contrapartida Gobernación Antioquia</t>
  </si>
  <si>
    <t>Contrapartida Gobernación Valle</t>
  </si>
  <si>
    <t>Convenio Pereira</t>
  </si>
  <si>
    <t>Contrapartidas FNP</t>
  </si>
  <si>
    <t>Seguimiento a Convenios</t>
  </si>
  <si>
    <t>PROMOVER EL ASEGURAMIENTO DE LA CALIDAD DE LA CADENA CÁRNICA PORCINA</t>
  </si>
  <si>
    <t>Aseguramiento de la calidad en gestión primaria</t>
  </si>
  <si>
    <t xml:space="preserve">  Gestión ambiental en producción primaria</t>
  </si>
  <si>
    <t xml:space="preserve">  Diseño Sistema de Certificación BPP</t>
  </si>
  <si>
    <t xml:space="preserve">Aseguramiento de la calidad en la cadena de transformación(HACCP-BPM) </t>
  </si>
  <si>
    <t>Asesorías BPM y HACCP</t>
  </si>
  <si>
    <t>Afiliación ICONTEC</t>
  </si>
  <si>
    <t>Seguimiento magro</t>
  </si>
  <si>
    <t>Asesoría internacional en calidad</t>
  </si>
  <si>
    <t>Estrategias en diferenciación</t>
  </si>
  <si>
    <t>Consultoría nacional</t>
  </si>
  <si>
    <t>Asesores Transición sello de respaldo</t>
  </si>
  <si>
    <t>Gastos de viaje consultoría</t>
  </si>
  <si>
    <t>FORTALECER LOS SISTEMAS DE INFORMACIÓN Y GESTIONAR INTELIGENCIA DE MERCADOS</t>
  </si>
  <si>
    <t>Sistemas de información de mercados</t>
  </si>
  <si>
    <t xml:space="preserve">Monitoreo Precios de la Carne al Consumidor </t>
  </si>
  <si>
    <t>Actualización de información</t>
  </si>
  <si>
    <t>Promoción de exportaciones</t>
  </si>
  <si>
    <t>Informes de los mercados internacionales de Carne</t>
  </si>
  <si>
    <t>Gira Proexport Africa</t>
  </si>
  <si>
    <t>FORTALECER EL BENEFICIO FORMAL</t>
  </si>
  <si>
    <t>Fortalecimiento al recaudo</t>
  </si>
  <si>
    <t>Auxilios de movilización de los coordinadores de recaudo</t>
  </si>
  <si>
    <t>Jornadas de trabajo coordinadores</t>
  </si>
  <si>
    <t>Seguimiento recaudo regional</t>
  </si>
  <si>
    <t>Trabajo con autoridades</t>
  </si>
  <si>
    <t>Gastos legalizables coordinadores</t>
  </si>
  <si>
    <t>Fortalecimiento de la infraestructura de beneficio</t>
  </si>
  <si>
    <t xml:space="preserve">Evaluación de Infraestructura existente </t>
  </si>
  <si>
    <t>Estudios de infraestructura regional</t>
  </si>
  <si>
    <t>GESTIONAR LA INVESTIGACIÓN Y DESARROLLO DE LA CADENA</t>
  </si>
  <si>
    <t>INVESTIGACIÓN Y DESARROLLO</t>
  </si>
  <si>
    <t>Investigación</t>
  </si>
  <si>
    <t>Proyectos</t>
  </si>
  <si>
    <t>Capacitación anual</t>
  </si>
  <si>
    <t>Jornadas de divulgación resultados de investigación</t>
  </si>
  <si>
    <t>PEDv</t>
  </si>
  <si>
    <t>TRANSFERENCIA DE TECNOLOGÍA</t>
  </si>
  <si>
    <t>Vinculación Tecnológica</t>
  </si>
  <si>
    <t>Capacitación en desposte de carne de cerdo</t>
  </si>
  <si>
    <t>Valor agregado a los cortes secundarios</t>
  </si>
  <si>
    <t>Diplomado en gerencia integral porcícola</t>
  </si>
  <si>
    <t>Gira técnica</t>
  </si>
  <si>
    <t>Fortalecimiento centros de formación SENA</t>
  </si>
  <si>
    <t>Talleres y seminarios</t>
  </si>
  <si>
    <t>Seminario Internacional</t>
  </si>
  <si>
    <t>Capacitación para expendios</t>
  </si>
  <si>
    <t>Capacitación a operarios de granja</t>
  </si>
  <si>
    <t>Mejore las finanzas</t>
  </si>
  <si>
    <t>Talleres para chef</t>
  </si>
  <si>
    <t>Capacitación HACCP avanzado</t>
  </si>
  <si>
    <t>Capacitación plantas de alimento balanceado</t>
  </si>
  <si>
    <t>Curso Premezcla y aditivos</t>
  </si>
  <si>
    <t>Material de apoyo</t>
  </si>
  <si>
    <t>CUOTA DE ADMINISTRACIÓN</t>
  </si>
  <si>
    <t>Cuota de administración FNP</t>
  </si>
  <si>
    <t>Cuota de administración PPC</t>
  </si>
  <si>
    <t>FONDO DE EMERGENCIA</t>
  </si>
  <si>
    <t xml:space="preserve">RESERVA FUTURAS INVERSIONES Y GASTOS </t>
  </si>
  <si>
    <t>Cuota de fomento porcícola</t>
  </si>
  <si>
    <t>Cuota de erradicación Peste Porcina Clásica</t>
  </si>
  <si>
    <t xml:space="preserve">TOTAL 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</si>
</sst>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4" x14ac:knownFonts="1">
    <font>
      <sz val="10"/>
      <name val="Arial"/>
    </font>
    <font>
      <sz val="10"/>
      <name val="Arial"/>
    </font>
    <font>
      <b/>
      <sz val="11"/>
      <name val="Arial"/>
      <family val="2"/>
      <charset val="186"/>
    </font>
    <font>
      <b/>
      <sz val="11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6"/>
      <color indexed="8"/>
      <name val="Calibri"/>
      <family val="2"/>
    </font>
    <font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3" fontId="3" fillId="0" borderId="1" xfId="0" applyNumberFormat="1" applyFont="1" applyFill="1" applyBorder="1" applyAlignment="1">
      <alignment horizontal="centerContinuous"/>
    </xf>
    <xf numFmtId="3" fontId="2" fillId="0" borderId="1" xfId="0" applyNumberFormat="1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2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/>
    <xf numFmtId="0" fontId="5" fillId="0" borderId="6" xfId="0" applyFont="1" applyFill="1" applyBorder="1"/>
    <xf numFmtId="0" fontId="5" fillId="0" borderId="7" xfId="0" applyFont="1" applyFill="1" applyBorder="1"/>
    <xf numFmtId="3" fontId="6" fillId="0" borderId="5" xfId="0" applyNumberFormat="1" applyFont="1" applyFill="1" applyBorder="1" applyAlignment="1"/>
    <xf numFmtId="3" fontId="6" fillId="0" borderId="6" xfId="0" applyNumberFormat="1" applyFont="1" applyFill="1" applyBorder="1"/>
    <xf numFmtId="10" fontId="6" fillId="0" borderId="7" xfId="2" applyNumberFormat="1" applyFont="1" applyFill="1" applyBorder="1"/>
    <xf numFmtId="3" fontId="5" fillId="0" borderId="5" xfId="0" applyNumberFormat="1" applyFont="1" applyFill="1" applyBorder="1" applyAlignment="1"/>
    <xf numFmtId="3" fontId="5" fillId="0" borderId="6" xfId="0" applyNumberFormat="1" applyFont="1" applyFill="1" applyBorder="1"/>
    <xf numFmtId="3" fontId="7" fillId="0" borderId="6" xfId="0" applyNumberFormat="1" applyFont="1" applyFill="1" applyBorder="1"/>
    <xf numFmtId="10" fontId="7" fillId="0" borderId="7" xfId="2" applyNumberFormat="1" applyFont="1" applyFill="1" applyBorder="1"/>
    <xf numFmtId="0" fontId="0" fillId="0" borderId="0" xfId="0" applyFill="1" applyAlignment="1">
      <alignment horizontal="center"/>
    </xf>
    <xf numFmtId="3" fontId="8" fillId="0" borderId="6" xfId="0" applyNumberFormat="1" applyFont="1" applyFill="1" applyBorder="1"/>
    <xf numFmtId="3" fontId="0" fillId="0" borderId="0" xfId="0" applyNumberFormat="1" applyFill="1"/>
    <xf numFmtId="0" fontId="2" fillId="0" borderId="5" xfId="0" applyFont="1" applyFill="1" applyBorder="1" applyAlignment="1"/>
    <xf numFmtId="3" fontId="2" fillId="2" borderId="6" xfId="0" applyNumberFormat="1" applyFont="1" applyFill="1" applyBorder="1"/>
    <xf numFmtId="3" fontId="5" fillId="2" borderId="6" xfId="0" applyNumberFormat="1" applyFont="1" applyFill="1" applyBorder="1"/>
    <xf numFmtId="3" fontId="5" fillId="3" borderId="6" xfId="0" applyNumberFormat="1" applyFont="1" applyFill="1" applyBorder="1"/>
    <xf numFmtId="0" fontId="5" fillId="0" borderId="5" xfId="0" applyFont="1" applyFill="1" applyBorder="1" applyAlignment="1"/>
    <xf numFmtId="3" fontId="5" fillId="0" borderId="6" xfId="1" applyNumberFormat="1" applyFont="1" applyFill="1" applyBorder="1"/>
    <xf numFmtId="3" fontId="5" fillId="2" borderId="6" xfId="1" applyNumberFormat="1" applyFont="1" applyFill="1" applyBorder="1"/>
    <xf numFmtId="0" fontId="5" fillId="3" borderId="5" xfId="0" applyFont="1" applyFill="1" applyBorder="1" applyAlignment="1"/>
    <xf numFmtId="3" fontId="2" fillId="0" borderId="6" xfId="0" applyNumberFormat="1" applyFont="1" applyFill="1" applyBorder="1"/>
    <xf numFmtId="3" fontId="6" fillId="0" borderId="6" xfId="1" applyNumberFormat="1" applyFont="1" applyFill="1" applyBorder="1"/>
    <xf numFmtId="0" fontId="2" fillId="0" borderId="8" xfId="0" applyFont="1" applyFill="1" applyBorder="1" applyAlignment="1"/>
    <xf numFmtId="3" fontId="2" fillId="0" borderId="9" xfId="0" applyNumberFormat="1" applyFont="1" applyFill="1" applyBorder="1"/>
    <xf numFmtId="3" fontId="6" fillId="0" borderId="9" xfId="1" applyNumberFormat="1" applyFont="1" applyFill="1" applyBorder="1"/>
    <xf numFmtId="10" fontId="6" fillId="0" borderId="10" xfId="2" applyNumberFormat="1" applyFont="1" applyFill="1" applyBorder="1"/>
    <xf numFmtId="0" fontId="5" fillId="0" borderId="11" xfId="0" applyFont="1" applyFill="1" applyBorder="1" applyAlignment="1"/>
    <xf numFmtId="3" fontId="5" fillId="0" borderId="12" xfId="0" applyNumberFormat="1" applyFont="1" applyFill="1" applyBorder="1"/>
    <xf numFmtId="10" fontId="6" fillId="0" borderId="13" xfId="2" applyNumberFormat="1" applyFont="1" applyFill="1" applyBorder="1"/>
    <xf numFmtId="0" fontId="2" fillId="0" borderId="14" xfId="0" applyFont="1" applyFill="1" applyBorder="1" applyAlignment="1"/>
    <xf numFmtId="3" fontId="2" fillId="0" borderId="15" xfId="0" applyNumberFormat="1" applyFont="1" applyFill="1" applyBorder="1"/>
    <xf numFmtId="10" fontId="6" fillId="0" borderId="16" xfId="2" applyNumberFormat="1" applyFont="1" applyFill="1" applyBorder="1"/>
    <xf numFmtId="0" fontId="2" fillId="4" borderId="5" xfId="0" applyFont="1" applyFill="1" applyBorder="1" applyAlignment="1">
      <alignment wrapText="1"/>
    </xf>
    <xf numFmtId="3" fontId="2" fillId="4" borderId="6" xfId="0" applyNumberFormat="1" applyFont="1" applyFill="1" applyBorder="1"/>
    <xf numFmtId="10" fontId="6" fillId="4" borderId="7" xfId="2" applyNumberFormat="1" applyFont="1" applyFill="1" applyBorder="1"/>
    <xf numFmtId="0" fontId="0" fillId="3" borderId="0" xfId="0" applyFill="1"/>
    <xf numFmtId="37" fontId="2" fillId="3" borderId="5" xfId="0" applyNumberFormat="1" applyFont="1" applyFill="1" applyBorder="1" applyAlignment="1"/>
    <xf numFmtId="3" fontId="2" fillId="3" borderId="6" xfId="0" applyNumberFormat="1" applyFont="1" applyFill="1" applyBorder="1"/>
    <xf numFmtId="10" fontId="6" fillId="3" borderId="7" xfId="2" applyNumberFormat="1" applyFont="1" applyFill="1" applyBorder="1"/>
    <xf numFmtId="0" fontId="9" fillId="0" borderId="0" xfId="0" applyFont="1" applyFill="1"/>
    <xf numFmtId="37" fontId="7" fillId="3" borderId="5" xfId="0" applyNumberFormat="1" applyFont="1" applyFill="1" applyBorder="1" applyAlignment="1">
      <alignment horizontal="left"/>
    </xf>
    <xf numFmtId="3" fontId="7" fillId="3" borderId="6" xfId="0" applyNumberFormat="1" applyFont="1" applyFill="1" applyBorder="1"/>
    <xf numFmtId="10" fontId="7" fillId="3" borderId="7" xfId="2" applyNumberFormat="1" applyFont="1" applyFill="1" applyBorder="1"/>
    <xf numFmtId="3" fontId="2" fillId="3" borderId="6" xfId="1" applyNumberFormat="1" applyFont="1" applyFill="1" applyBorder="1"/>
    <xf numFmtId="37" fontId="2" fillId="3" borderId="5" xfId="0" applyNumberFormat="1" applyFont="1" applyFill="1" applyBorder="1" applyAlignment="1">
      <alignment horizontal="left" vertical="center" wrapText="1"/>
    </xf>
    <xf numFmtId="37" fontId="5" fillId="3" borderId="5" xfId="0" applyNumberFormat="1" applyFont="1" applyFill="1" applyBorder="1" applyAlignment="1">
      <alignment horizontal="left"/>
    </xf>
    <xf numFmtId="37" fontId="2" fillId="3" borderId="5" xfId="0" applyNumberFormat="1" applyFont="1" applyFill="1" applyBorder="1" applyAlignment="1">
      <alignment horizontal="left"/>
    </xf>
    <xf numFmtId="37" fontId="7" fillId="0" borderId="5" xfId="0" applyNumberFormat="1" applyFont="1" applyFill="1" applyBorder="1" applyAlignment="1">
      <alignment horizontal="left"/>
    </xf>
    <xf numFmtId="37" fontId="6" fillId="3" borderId="5" xfId="0" applyNumberFormat="1" applyFont="1" applyFill="1" applyBorder="1" applyAlignment="1">
      <alignment horizontal="left"/>
    </xf>
    <xf numFmtId="3" fontId="6" fillId="3" borderId="6" xfId="1" applyNumberFormat="1" applyFont="1" applyFill="1" applyBorder="1"/>
    <xf numFmtId="3" fontId="6" fillId="3" borderId="6" xfId="0" applyNumberFormat="1" applyFont="1" applyFill="1" applyBorder="1"/>
    <xf numFmtId="37" fontId="7" fillId="3" borderId="5" xfId="0" applyNumberFormat="1" applyFont="1" applyFill="1" applyBorder="1" applyAlignment="1">
      <alignment horizontal="left" wrapText="1"/>
    </xf>
    <xf numFmtId="0" fontId="10" fillId="0" borderId="0" xfId="0" applyFont="1" applyAlignment="1">
      <alignment vertical="center" wrapText="1"/>
    </xf>
    <xf numFmtId="3" fontId="2" fillId="3" borderId="5" xfId="0" applyNumberFormat="1" applyFont="1" applyFill="1" applyBorder="1" applyAlignment="1"/>
    <xf numFmtId="0" fontId="2" fillId="3" borderId="5" xfId="0" applyFont="1" applyFill="1" applyBorder="1" applyAlignment="1"/>
    <xf numFmtId="0" fontId="6" fillId="3" borderId="5" xfId="0" applyFont="1" applyFill="1" applyBorder="1" applyAlignment="1"/>
    <xf numFmtId="0" fontId="7" fillId="3" borderId="5" xfId="0" applyFont="1" applyFill="1" applyBorder="1" applyAlignment="1"/>
    <xf numFmtId="0" fontId="6" fillId="0" borderId="5" xfId="0" applyFont="1" applyFill="1" applyBorder="1"/>
    <xf numFmtId="0" fontId="6" fillId="0" borderId="5" xfId="0" applyFont="1" applyFill="1" applyBorder="1" applyAlignment="1"/>
    <xf numFmtId="37" fontId="6" fillId="0" borderId="5" xfId="0" applyNumberFormat="1" applyFont="1" applyFill="1" applyBorder="1" applyAlignment="1"/>
    <xf numFmtId="37" fontId="7" fillId="0" borderId="5" xfId="0" applyNumberFormat="1" applyFont="1" applyFill="1" applyBorder="1" applyAlignment="1"/>
    <xf numFmtId="37" fontId="7" fillId="3" borderId="5" xfId="0" applyNumberFormat="1" applyFont="1" applyFill="1" applyBorder="1" applyAlignment="1"/>
    <xf numFmtId="37" fontId="2" fillId="0" borderId="5" xfId="0" applyNumberFormat="1" applyFont="1" applyFill="1" applyBorder="1" applyAlignment="1"/>
    <xf numFmtId="3" fontId="5" fillId="3" borderId="6" xfId="1" applyNumberFormat="1" applyFont="1" applyFill="1" applyBorder="1"/>
    <xf numFmtId="0" fontId="11" fillId="0" borderId="0" xfId="0" applyFont="1" applyFill="1"/>
    <xf numFmtId="37" fontId="5" fillId="0" borderId="5" xfId="0" applyNumberFormat="1" applyFont="1" applyFill="1" applyBorder="1" applyAlignment="1">
      <alignment horizontal="left"/>
    </xf>
    <xf numFmtId="3" fontId="2" fillId="3" borderId="6" xfId="3" applyNumberFormat="1" applyFont="1" applyFill="1" applyBorder="1"/>
    <xf numFmtId="3" fontId="5" fillId="3" borderId="6" xfId="3" applyNumberFormat="1" applyFont="1" applyFill="1" applyBorder="1"/>
    <xf numFmtId="3" fontId="6" fillId="3" borderId="6" xfId="3" applyNumberFormat="1" applyFont="1" applyFill="1" applyBorder="1"/>
    <xf numFmtId="3" fontId="5" fillId="0" borderId="6" xfId="3" applyNumberFormat="1" applyFont="1" applyFill="1" applyBorder="1"/>
    <xf numFmtId="3" fontId="2" fillId="3" borderId="5" xfId="0" applyNumberFormat="1" applyFont="1" applyFill="1" applyBorder="1"/>
    <xf numFmtId="3" fontId="6" fillId="0" borderId="6" xfId="3" applyNumberFormat="1" applyFont="1" applyFill="1" applyBorder="1"/>
    <xf numFmtId="37" fontId="6" fillId="3" borderId="5" xfId="0" applyNumberFormat="1" applyFont="1" applyFill="1" applyBorder="1" applyAlignment="1"/>
    <xf numFmtId="0" fontId="5" fillId="0" borderId="17" xfId="0" applyFont="1" applyFill="1" applyBorder="1" applyAlignment="1"/>
    <xf numFmtId="3" fontId="2" fillId="0" borderId="18" xfId="0" applyNumberFormat="1" applyFont="1" applyFill="1" applyBorder="1"/>
    <xf numFmtId="0" fontId="5" fillId="0" borderId="18" xfId="0" applyFont="1" applyFill="1" applyBorder="1"/>
    <xf numFmtId="3" fontId="5" fillId="0" borderId="18" xfId="0" applyNumberFormat="1" applyFont="1" applyFill="1" applyBorder="1"/>
    <xf numFmtId="0" fontId="5" fillId="0" borderId="19" xfId="0" applyFont="1" applyFill="1" applyBorder="1"/>
    <xf numFmtId="10" fontId="0" fillId="0" borderId="0" xfId="2" applyNumberFormat="1" applyFont="1" applyFill="1"/>
    <xf numFmtId="0" fontId="12" fillId="0" borderId="0" xfId="0" applyFont="1" applyFill="1" applyAlignment="1"/>
    <xf numFmtId="3" fontId="12" fillId="0" borderId="0" xfId="0" applyNumberFormat="1" applyFont="1" applyFill="1"/>
    <xf numFmtId="37" fontId="12" fillId="0" borderId="0" xfId="0" applyNumberFormat="1" applyFont="1" applyFill="1"/>
    <xf numFmtId="0" fontId="12" fillId="0" borderId="0" xfId="0" applyFont="1" applyFill="1"/>
    <xf numFmtId="10" fontId="12" fillId="0" borderId="0" xfId="0" applyNumberFormat="1" applyFont="1" applyFill="1"/>
    <xf numFmtId="37" fontId="0" fillId="0" borderId="0" xfId="0" applyNumberFormat="1" applyFill="1"/>
    <xf numFmtId="164" fontId="12" fillId="0" borderId="0" xfId="1" applyFont="1" applyFill="1"/>
    <xf numFmtId="9" fontId="12" fillId="0" borderId="0" xfId="2" applyFont="1" applyFill="1"/>
    <xf numFmtId="0" fontId="13" fillId="0" borderId="0" xfId="0" applyFont="1" applyFill="1"/>
    <xf numFmtId="3" fontId="13" fillId="0" borderId="0" xfId="0" applyNumberFormat="1" applyFont="1" applyFill="1"/>
    <xf numFmtId="164" fontId="13" fillId="0" borderId="0" xfId="1" applyFont="1" applyFill="1"/>
    <xf numFmtId="10" fontId="12" fillId="0" borderId="0" xfId="2" applyNumberFormat="1" applyFont="1" applyFill="1"/>
  </cellXfs>
  <cellStyles count="4">
    <cellStyle name="Millares" xfId="1" builtinId="3"/>
    <cellStyle name="Millares 2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4/CIERRE%20JUL-SEPT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4\SOLICITUD%20&#193;REAS\III%20TRIMESTRE%202014\Economica%20Ejec%20II%20y%20Solicitud%20III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4\SOLICITUD%20&#193;REAS\III%20TRIMESTRE%202014\Solicitud%203er%20trimestre%20mercadeo%20y%20calidad%202014%20ok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4\SOLICITUD%20&#193;REAS\III%20TRIMESTRE%202014\PRESUPUESTO%203er%20Tr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4\SOLICITUD%20&#193;REAS\III%20TRIMESTRE%202014\Solicitud%20T&#233;cnica%20%20III%20Tri%20y%20estimado%20ejecuci&#243;n%20II%20Tr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&#241;o%202014\SOLICITUD%20&#193;REAS\III%20TRIMESTRE%202014\Presupuesto%20I%20y%20T%20Tercer%20Trimestre%202014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Anexo 2 "/>
      <sheetName val="Funcionamiento"/>
      <sheetName val="Nómina y honorarios 2014"/>
    </sheetNames>
    <sheetDataSet>
      <sheetData sheetId="0">
        <row r="14">
          <cell r="B14">
            <v>3095745947.5</v>
          </cell>
        </row>
        <row r="15">
          <cell r="B15">
            <v>1857447568.5</v>
          </cell>
        </row>
      </sheetData>
      <sheetData sheetId="1"/>
      <sheetData sheetId="2"/>
      <sheetData sheetId="3">
        <row r="7">
          <cell r="F7">
            <v>6755300</v>
          </cell>
        </row>
        <row r="9">
          <cell r="F9">
            <v>18977376.238150001</v>
          </cell>
          <cell r="G9">
            <v>1600000</v>
          </cell>
          <cell r="H9">
            <v>139059074</v>
          </cell>
        </row>
        <row r="11">
          <cell r="F11">
            <v>1458474.6937500001</v>
          </cell>
        </row>
        <row r="13">
          <cell r="F13">
            <v>4613183.0756999999</v>
          </cell>
          <cell r="G13">
            <v>2700000</v>
          </cell>
        </row>
        <row r="15">
          <cell r="F15">
            <v>5289652.3284000009</v>
          </cell>
          <cell r="G15">
            <v>1492817.5152000003</v>
          </cell>
          <cell r="H15">
            <v>1492817.5152000003</v>
          </cell>
          <cell r="I15">
            <v>1492817.5152000003</v>
          </cell>
          <cell r="J15">
            <v>1492817.5152000003</v>
          </cell>
          <cell r="K15">
            <v>1492817.5152000003</v>
          </cell>
        </row>
        <row r="17">
          <cell r="F17">
            <v>6657242.6700000009</v>
          </cell>
          <cell r="G17">
            <v>1860000</v>
          </cell>
          <cell r="H17">
            <v>2349615.06</v>
          </cell>
          <cell r="I17">
            <v>913739.19000000006</v>
          </cell>
          <cell r="J17">
            <v>391602.51</v>
          </cell>
          <cell r="K17">
            <v>2349615.06</v>
          </cell>
        </row>
        <row r="19">
          <cell r="F19">
            <v>11756508.541350001</v>
          </cell>
          <cell r="G19">
            <v>2500000</v>
          </cell>
          <cell r="H19">
            <v>750000</v>
          </cell>
          <cell r="K19">
            <v>9000000</v>
          </cell>
        </row>
        <row r="21">
          <cell r="F21">
            <v>9000000</v>
          </cell>
          <cell r="G21">
            <v>73500000</v>
          </cell>
          <cell r="H21">
            <v>4000000</v>
          </cell>
          <cell r="I21">
            <v>5000000</v>
          </cell>
          <cell r="J21">
            <v>2000000</v>
          </cell>
          <cell r="K21">
            <v>6000000</v>
          </cell>
        </row>
        <row r="23">
          <cell r="F23">
            <v>4834432.1226000004</v>
          </cell>
          <cell r="G23">
            <v>3000000</v>
          </cell>
          <cell r="H23">
            <v>0</v>
          </cell>
          <cell r="I23">
            <v>1000000</v>
          </cell>
        </row>
        <row r="25">
          <cell r="F25">
            <v>6371250.0000000009</v>
          </cell>
          <cell r="G25">
            <v>45000000</v>
          </cell>
          <cell r="H25">
            <v>8793391</v>
          </cell>
          <cell r="I25">
            <v>3000000</v>
          </cell>
          <cell r="J25">
            <v>1540000</v>
          </cell>
          <cell r="K25">
            <v>1752774</v>
          </cell>
        </row>
        <row r="27">
          <cell r="F27">
            <v>1094044.2907500002</v>
          </cell>
          <cell r="G27">
            <v>583700</v>
          </cell>
          <cell r="H27">
            <v>400000</v>
          </cell>
          <cell r="I27">
            <v>500000</v>
          </cell>
          <cell r="J27">
            <v>500000</v>
          </cell>
          <cell r="K27">
            <v>580000</v>
          </cell>
        </row>
        <row r="29">
          <cell r="F29">
            <v>5500000</v>
          </cell>
          <cell r="G29">
            <v>9000000</v>
          </cell>
          <cell r="H29">
            <v>2000000</v>
          </cell>
          <cell r="I29">
            <v>300000</v>
          </cell>
          <cell r="J29">
            <v>2000000</v>
          </cell>
        </row>
        <row r="31">
          <cell r="F31">
            <v>7050534.9834500002</v>
          </cell>
        </row>
        <row r="33">
          <cell r="F33">
            <v>21887665.75</v>
          </cell>
          <cell r="G33">
            <v>14400000</v>
          </cell>
        </row>
        <row r="35">
          <cell r="F35">
            <v>44009060.740200005</v>
          </cell>
        </row>
      </sheetData>
      <sheetData sheetId="4">
        <row r="12">
          <cell r="K12">
            <v>59211841.812600002</v>
          </cell>
          <cell r="L12">
            <v>4318292.6510499995</v>
          </cell>
          <cell r="M12">
            <v>518195.11812599999</v>
          </cell>
          <cell r="N12">
            <v>4318292.6510499995</v>
          </cell>
          <cell r="O12">
            <v>2159146.3255249998</v>
          </cell>
          <cell r="S12">
            <v>11674496.905844772</v>
          </cell>
          <cell r="U12">
            <v>2038220.4725039999</v>
          </cell>
          <cell r="X12">
            <v>2547775.59063</v>
          </cell>
        </row>
        <row r="27">
          <cell r="K27">
            <v>148125115.45020002</v>
          </cell>
          <cell r="L27">
            <v>10341670.245850001</v>
          </cell>
          <cell r="M27">
            <v>1241000.4295020001</v>
          </cell>
          <cell r="N27">
            <v>10341670.245850001</v>
          </cell>
          <cell r="O27">
            <v>6171879.8104250012</v>
          </cell>
          <cell r="S27">
            <v>29917596.201566778</v>
          </cell>
          <cell r="U27">
            <v>5628063.7480079997</v>
          </cell>
          <cell r="X27">
            <v>7035079.6850100001</v>
          </cell>
        </row>
        <row r="41">
          <cell r="K41">
            <v>55837898.716800004</v>
          </cell>
          <cell r="L41">
            <v>2651068.8514</v>
          </cell>
          <cell r="M41">
            <v>318128.26216799999</v>
          </cell>
          <cell r="N41">
            <v>2651068.8514</v>
          </cell>
          <cell r="O41">
            <v>2326579.1132</v>
          </cell>
          <cell r="S41">
            <v>10177670.325960696</v>
          </cell>
          <cell r="U41">
            <v>1936575.078672</v>
          </cell>
          <cell r="X41">
            <v>2420718.84834</v>
          </cell>
        </row>
        <row r="50">
          <cell r="K50">
            <v>60826914.921000004</v>
          </cell>
          <cell r="L50">
            <v>3066820.20175</v>
          </cell>
          <cell r="M50">
            <v>368018.42421000003</v>
          </cell>
          <cell r="N50">
            <v>3066820.20175</v>
          </cell>
          <cell r="O50">
            <v>2534454.788375</v>
          </cell>
          <cell r="S50">
            <v>11226461.31240762</v>
          </cell>
          <cell r="U50">
            <v>2136135.7268400001</v>
          </cell>
          <cell r="X50">
            <v>2670169.6585499998</v>
          </cell>
        </row>
        <row r="60">
          <cell r="K60">
            <v>39841072.5</v>
          </cell>
          <cell r="L60">
            <v>1318000</v>
          </cell>
          <cell r="M60">
            <v>158160</v>
          </cell>
          <cell r="N60">
            <v>1318000</v>
          </cell>
          <cell r="O60">
            <v>1660044.6875</v>
          </cell>
          <cell r="S60">
            <v>6814817.5186649999</v>
          </cell>
          <cell r="U60">
            <v>1296702.03</v>
          </cell>
          <cell r="X60">
            <v>1620877.5375000001</v>
          </cell>
        </row>
        <row r="68">
          <cell r="K68">
            <v>164250385.96980003</v>
          </cell>
          <cell r="L68">
            <v>11685442.789150001</v>
          </cell>
          <cell r="M68">
            <v>1402253.134698</v>
          </cell>
          <cell r="N68">
            <v>11685442.789150001</v>
          </cell>
          <cell r="O68">
            <v>6843766.0820749998</v>
          </cell>
          <cell r="S68">
            <v>33503049.151586939</v>
          </cell>
          <cell r="U68">
            <v>6255794.5687920004</v>
          </cell>
          <cell r="X68">
            <v>7819743.2109900014</v>
          </cell>
        </row>
        <row r="94">
          <cell r="I94">
            <v>800000</v>
          </cell>
          <cell r="K94">
            <v>200000</v>
          </cell>
          <cell r="M94">
            <v>200000</v>
          </cell>
          <cell r="O94">
            <v>200000</v>
          </cell>
          <cell r="Q94">
            <v>200000</v>
          </cell>
          <cell r="S94">
            <v>600000</v>
          </cell>
        </row>
        <row r="105">
          <cell r="I105">
            <v>28362140.489799999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car"/>
    </sheetNames>
    <sheetDataSet>
      <sheetData sheetId="0">
        <row r="6">
          <cell r="D6">
            <v>21012105</v>
          </cell>
        </row>
        <row r="24">
          <cell r="D24">
            <v>9572889</v>
          </cell>
        </row>
        <row r="25">
          <cell r="D25">
            <v>3500000</v>
          </cell>
        </row>
        <row r="26">
          <cell r="D26">
            <v>18416705</v>
          </cell>
        </row>
        <row r="36">
          <cell r="D36">
            <v>7000000</v>
          </cell>
        </row>
        <row r="37">
          <cell r="D37">
            <v>45304884</v>
          </cell>
        </row>
        <row r="38">
          <cell r="D38">
            <v>16667062</v>
          </cell>
        </row>
        <row r="39">
          <cell r="D39">
            <v>118000000</v>
          </cell>
        </row>
        <row r="42">
          <cell r="D42">
            <v>80000000</v>
          </cell>
        </row>
        <row r="45">
          <cell r="D45">
            <v>100000000</v>
          </cell>
        </row>
        <row r="47">
          <cell r="D47">
            <v>21000000</v>
          </cell>
        </row>
        <row r="50">
          <cell r="D50">
            <v>47000000</v>
          </cell>
        </row>
        <row r="51">
          <cell r="D51">
            <v>9039246</v>
          </cell>
        </row>
        <row r="56">
          <cell r="D56">
            <v>25690987</v>
          </cell>
        </row>
        <row r="57">
          <cell r="D57">
            <v>7904216</v>
          </cell>
        </row>
        <row r="59">
          <cell r="D59">
            <v>17013786</v>
          </cell>
        </row>
        <row r="65">
          <cell r="D65">
            <v>39310448</v>
          </cell>
        </row>
        <row r="66">
          <cell r="D66">
            <v>3652693</v>
          </cell>
        </row>
        <row r="67">
          <cell r="D67">
            <v>43497619</v>
          </cell>
        </row>
        <row r="68">
          <cell r="D68">
            <v>19700000</v>
          </cell>
        </row>
        <row r="70">
          <cell r="D70">
            <v>25950000</v>
          </cell>
        </row>
        <row r="71">
          <cell r="D71">
            <v>28000000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 "/>
      <sheetName val="Hoja1"/>
    </sheetNames>
    <sheetDataSet>
      <sheetData sheetId="0">
        <row r="30">
          <cell r="N30">
            <v>6000000</v>
          </cell>
        </row>
        <row r="51">
          <cell r="N51">
            <v>40000000</v>
          </cell>
        </row>
        <row r="52">
          <cell r="N52">
            <v>6287736</v>
          </cell>
        </row>
        <row r="53">
          <cell r="N53">
            <v>40000000</v>
          </cell>
        </row>
        <row r="55">
          <cell r="N55">
            <v>73800000</v>
          </cell>
        </row>
        <row r="56">
          <cell r="N56">
            <v>36000000</v>
          </cell>
        </row>
        <row r="57">
          <cell r="N57">
            <v>29800000</v>
          </cell>
        </row>
        <row r="59">
          <cell r="N59">
            <v>9518455</v>
          </cell>
        </row>
        <row r="61">
          <cell r="N61">
            <v>747000000</v>
          </cell>
        </row>
        <row r="63">
          <cell r="N63">
            <v>15100000</v>
          </cell>
        </row>
        <row r="64">
          <cell r="N64">
            <v>13633363</v>
          </cell>
        </row>
        <row r="66">
          <cell r="N66">
            <v>20000000</v>
          </cell>
        </row>
        <row r="67">
          <cell r="N67">
            <v>30000000</v>
          </cell>
        </row>
        <row r="69">
          <cell r="N69">
            <v>42863603</v>
          </cell>
        </row>
        <row r="72">
          <cell r="N72">
            <v>18760000</v>
          </cell>
        </row>
        <row r="74">
          <cell r="N74">
            <v>90000000</v>
          </cell>
        </row>
        <row r="75">
          <cell r="N75">
            <v>45000000</v>
          </cell>
        </row>
        <row r="78">
          <cell r="N78">
            <v>50000000</v>
          </cell>
        </row>
        <row r="80">
          <cell r="N80">
            <v>9000000</v>
          </cell>
        </row>
        <row r="81">
          <cell r="N81">
            <v>6266783</v>
          </cell>
        </row>
        <row r="82">
          <cell r="N82">
            <v>5000000</v>
          </cell>
        </row>
        <row r="83">
          <cell r="N83">
            <v>25000000</v>
          </cell>
        </row>
        <row r="144">
          <cell r="N144">
            <v>45500000</v>
          </cell>
        </row>
        <row r="146">
          <cell r="N146">
            <v>8000000</v>
          </cell>
        </row>
        <row r="147">
          <cell r="N147">
            <v>12000000</v>
          </cell>
        </row>
        <row r="151">
          <cell r="N151">
            <v>16200000</v>
          </cell>
        </row>
        <row r="152">
          <cell r="N152">
            <v>8000000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 (2)"/>
      <sheetName val="III TRIMESTRE  2014"/>
      <sheetName val="Ingresos CFP"/>
      <sheetName val="Escenario PPC"/>
      <sheetName val="Anexo 2 "/>
    </sheetNames>
    <sheetDataSet>
      <sheetData sheetId="0"/>
      <sheetData sheetId="1">
        <row r="24">
          <cell r="AJ24">
            <v>1600000</v>
          </cell>
        </row>
        <row r="42">
          <cell r="AJ42">
            <v>417250000</v>
          </cell>
        </row>
        <row r="43">
          <cell r="AJ43">
            <v>32628516</v>
          </cell>
        </row>
        <row r="44">
          <cell r="AJ44">
            <v>13000000</v>
          </cell>
        </row>
        <row r="45">
          <cell r="AJ45">
            <v>185752350</v>
          </cell>
        </row>
        <row r="48">
          <cell r="AJ48">
            <v>30000000</v>
          </cell>
        </row>
        <row r="49">
          <cell r="AJ49">
            <v>22200000</v>
          </cell>
        </row>
        <row r="50">
          <cell r="AJ50">
            <v>20000000</v>
          </cell>
        </row>
        <row r="52">
          <cell r="AJ52">
            <v>30000000</v>
          </cell>
        </row>
        <row r="54">
          <cell r="AJ54">
            <v>50000000</v>
          </cell>
        </row>
        <row r="55">
          <cell r="AJ55">
            <v>50000000</v>
          </cell>
        </row>
        <row r="56">
          <cell r="AJ56">
            <v>17500000</v>
          </cell>
        </row>
        <row r="57">
          <cell r="AJ57">
            <v>22000000</v>
          </cell>
        </row>
        <row r="58">
          <cell r="AJ58">
            <v>12000000</v>
          </cell>
        </row>
        <row r="59">
          <cell r="AJ59">
            <v>217324134</v>
          </cell>
        </row>
        <row r="60">
          <cell r="AJ60">
            <v>1395816</v>
          </cell>
        </row>
        <row r="62">
          <cell r="AJ62">
            <v>43000000</v>
          </cell>
        </row>
        <row r="63">
          <cell r="AJ63">
            <v>94500000</v>
          </cell>
        </row>
        <row r="65">
          <cell r="AJ65">
            <v>1295000000</v>
          </cell>
        </row>
        <row r="66">
          <cell r="AJ66">
            <v>20253000</v>
          </cell>
        </row>
        <row r="67">
          <cell r="AJ67">
            <v>11300000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-II y III"/>
    </sheetNames>
    <sheetDataSet>
      <sheetData sheetId="0">
        <row r="6">
          <cell r="H6">
            <v>1000000</v>
          </cell>
        </row>
        <row r="13">
          <cell r="H13">
            <v>30000000</v>
          </cell>
        </row>
        <row r="17">
          <cell r="H17">
            <v>164807738.08500001</v>
          </cell>
        </row>
        <row r="43">
          <cell r="H43">
            <v>51675750</v>
          </cell>
        </row>
        <row r="60">
          <cell r="H60">
            <v>84500000</v>
          </cell>
        </row>
        <row r="72">
          <cell r="H72">
            <v>98811750</v>
          </cell>
        </row>
        <row r="95">
          <cell r="H95">
            <v>49910927.612000003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AÑO 1ER TRIMESTRE"/>
      <sheetName val="SOLICITUD III TRIMESTRE"/>
      <sheetName val="Proyectado ejecucion"/>
    </sheetNames>
    <sheetDataSet>
      <sheetData sheetId="0"/>
      <sheetData sheetId="1">
        <row r="24">
          <cell r="E24">
            <v>2000000</v>
          </cell>
        </row>
        <row r="38">
          <cell r="E38">
            <v>32000000</v>
          </cell>
        </row>
        <row r="39">
          <cell r="E39">
            <v>3350000</v>
          </cell>
        </row>
        <row r="40">
          <cell r="E40">
            <v>15000000</v>
          </cell>
        </row>
        <row r="46">
          <cell r="E46">
            <v>25500000</v>
          </cell>
        </row>
        <row r="47">
          <cell r="E47">
            <v>3000000</v>
          </cell>
        </row>
        <row r="48">
          <cell r="E48">
            <v>1000000000</v>
          </cell>
        </row>
        <row r="50">
          <cell r="E50">
            <v>10000000</v>
          </cell>
        </row>
        <row r="51">
          <cell r="E51">
            <v>32000000</v>
          </cell>
        </row>
        <row r="52">
          <cell r="E52">
            <v>5000000</v>
          </cell>
        </row>
        <row r="53">
          <cell r="E53">
            <v>6000000</v>
          </cell>
        </row>
        <row r="54">
          <cell r="E54">
            <v>20000000</v>
          </cell>
        </row>
        <row r="55">
          <cell r="E55">
            <v>37000000</v>
          </cell>
        </row>
        <row r="56">
          <cell r="E56">
            <v>16920000</v>
          </cell>
        </row>
        <row r="58">
          <cell r="E58">
            <v>17500000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282"/>
  <sheetViews>
    <sheetView tabSelected="1" view="pageBreakPreview" zoomScale="90" zoomScaleNormal="80" zoomScaleSheetLayoutView="90"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C30" sqref="C30"/>
    </sheetView>
  </sheetViews>
  <sheetFormatPr baseColWidth="10" defaultRowHeight="12.75" outlineLevelRow="4" outlineLevelCol="1" x14ac:dyDescent="0.2"/>
  <cols>
    <col min="1" max="1" width="93.85546875" style="2" customWidth="1"/>
    <col min="2" max="2" width="14.7109375" style="2" customWidth="1" outlineLevel="1"/>
    <col min="3" max="3" width="18" style="2" customWidth="1" outlineLevel="1"/>
    <col min="4" max="4" width="18.7109375" style="2" customWidth="1" outlineLevel="1"/>
    <col min="5" max="5" width="16.7109375" style="2" customWidth="1" outlineLevel="1"/>
    <col min="6" max="6" width="15.28515625" style="2" customWidth="1" outlineLevel="1"/>
    <col min="7" max="7" width="16.5703125" style="2" customWidth="1" outlineLevel="1"/>
    <col min="8" max="8" width="19.85546875" style="2" customWidth="1" outlineLevel="1"/>
    <col min="9" max="9" width="20.7109375" style="2" customWidth="1"/>
    <col min="10" max="10" width="19.7109375" style="2" customWidth="1"/>
    <col min="11" max="11" width="19.42578125" style="2" customWidth="1"/>
    <col min="12" max="12" width="13.140625" style="2" customWidth="1"/>
    <col min="13" max="13" width="41.7109375" style="2" customWidth="1"/>
    <col min="14" max="14" width="14.5703125" style="2" customWidth="1"/>
    <col min="15" max="16384" width="11.42578125" style="2"/>
  </cols>
  <sheetData>
    <row r="1" spans="1:13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5.75" thickBot="1" x14ac:dyDescent="0.3">
      <c r="A6" s="3"/>
      <c r="B6" s="4"/>
      <c r="C6" s="5"/>
      <c r="D6" s="5"/>
      <c r="E6" s="6"/>
      <c r="F6" s="6"/>
      <c r="G6" s="7"/>
      <c r="H6" s="6"/>
    </row>
    <row r="7" spans="1:13" ht="90.75" thickTop="1" x14ac:dyDescent="0.2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15</v>
      </c>
      <c r="L7" s="10" t="s">
        <v>16</v>
      </c>
    </row>
    <row r="8" spans="1:13" ht="15" x14ac:dyDescent="0.25">
      <c r="A8" s="11" t="s">
        <v>17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3"/>
    </row>
    <row r="9" spans="1:13" ht="15" x14ac:dyDescent="0.25">
      <c r="A9" s="14" t="s">
        <v>18</v>
      </c>
      <c r="B9" s="15">
        <f t="shared" ref="B9:I9" si="0">SUM(B10:B19)</f>
        <v>241014180.81641182</v>
      </c>
      <c r="C9" s="15">
        <f t="shared" si="0"/>
        <v>87095795.234882608</v>
      </c>
      <c r="D9" s="15">
        <f>SUM(D10:D19)</f>
        <v>55227674.273665003</v>
      </c>
      <c r="E9" s="15">
        <f t="shared" si="0"/>
        <v>245045877.69624197</v>
      </c>
      <c r="F9" s="15">
        <f t="shared" si="0"/>
        <v>79519708.047940716</v>
      </c>
      <c r="G9" s="15">
        <f t="shared" si="0"/>
        <v>707903236.06914222</v>
      </c>
      <c r="H9" s="15">
        <f t="shared" si="0"/>
        <v>120932402.01712979</v>
      </c>
      <c r="I9" s="15">
        <f t="shared" si="0"/>
        <v>828835638.086272</v>
      </c>
      <c r="J9" s="15">
        <f>SUM(J10:J19)</f>
        <v>719046465.40313351</v>
      </c>
      <c r="K9" s="15">
        <f>+J9-I9</f>
        <v>-109789172.68313849</v>
      </c>
      <c r="L9" s="16">
        <f>IFERROR(J9/I9,0)</f>
        <v>0.86753806467994721</v>
      </c>
    </row>
    <row r="10" spans="1:13" ht="14.25" x14ac:dyDescent="0.2">
      <c r="A10" s="17" t="s">
        <v>19</v>
      </c>
      <c r="B10" s="18">
        <f>+'[1]Nómina y honorarios 2014'!K27</f>
        <v>148125115.45020002</v>
      </c>
      <c r="C10" s="18">
        <f>+'[1]Nómina y honorarios 2014'!K50</f>
        <v>60826914.921000004</v>
      </c>
      <c r="D10" s="18">
        <f>+'[1]Nómina y honorarios 2014'!K60</f>
        <v>39841072.5</v>
      </c>
      <c r="E10" s="18">
        <f>+'[1]Nómina y honorarios 2014'!K68-789935</f>
        <v>163460450.96980003</v>
      </c>
      <c r="F10" s="18">
        <f>+'[1]Nómina y honorarios 2014'!K41</f>
        <v>55837898.716800004</v>
      </c>
      <c r="G10" s="19">
        <f t="shared" ref="G10:G19" si="1">+B10+C10+E10+F10+D10</f>
        <v>468091452.55780005</v>
      </c>
      <c r="H10" s="18">
        <f>+'[1]Nómina y honorarios 2014'!K12+2136000+1848000</f>
        <v>63195841.812600002</v>
      </c>
      <c r="I10" s="18">
        <f>+G10+H10</f>
        <v>531287294.37040007</v>
      </c>
      <c r="J10" s="18">
        <v>521118979</v>
      </c>
      <c r="K10" s="18">
        <f t="shared" ref="K10:K73" si="2">+J10-I10</f>
        <v>-10168315.370400071</v>
      </c>
      <c r="L10" s="20">
        <f t="shared" ref="L10:L73" si="3">IFERROR(J10/I10,0)</f>
        <v>0.98086098523690468</v>
      </c>
      <c r="M10" s="21"/>
    </row>
    <row r="11" spans="1:13" ht="14.25" x14ac:dyDescent="0.2">
      <c r="A11" s="17" t="s">
        <v>20</v>
      </c>
      <c r="B11" s="18">
        <f>+'[1]Nómina y honorarios 2014'!O27</f>
        <v>6171879.8104250012</v>
      </c>
      <c r="C11" s="18">
        <f>+'[1]Nómina y honorarios 2014'!O50</f>
        <v>2534454.788375</v>
      </c>
      <c r="D11" s="18">
        <f>+'[1]Nómina y honorarios 2014'!O60</f>
        <v>1660044.6875</v>
      </c>
      <c r="E11" s="18">
        <f>+'[1]Nómina y honorarios 2014'!O68</f>
        <v>6843766.0820749998</v>
      </c>
      <c r="F11" s="18">
        <f>+'[1]Nómina y honorarios 2014'!O41</f>
        <v>2326579.1132</v>
      </c>
      <c r="G11" s="19">
        <f>+B11+C11+E11+F11+D11</f>
        <v>19536724.481575001</v>
      </c>
      <c r="H11" s="18">
        <f>+'[1]Nómina y honorarios 2014'!O12</f>
        <v>2159146.3255249998</v>
      </c>
      <c r="I11" s="18">
        <f t="shared" ref="I11:I19" si="4">+G11+H11</f>
        <v>21695870.807100002</v>
      </c>
      <c r="J11" s="18">
        <v>336491.99999999977</v>
      </c>
      <c r="K11" s="18">
        <f t="shared" si="2"/>
        <v>-21359378.807100002</v>
      </c>
      <c r="L11" s="20">
        <f t="shared" si="3"/>
        <v>1.5509495009063307E-2</v>
      </c>
    </row>
    <row r="12" spans="1:13" ht="14.25" x14ac:dyDescent="0.2">
      <c r="A12" s="17" t="s">
        <v>21</v>
      </c>
      <c r="B12" s="18">
        <f>+'[1]Nómina y honorarios 2014'!N27</f>
        <v>10341670.245850001</v>
      </c>
      <c r="C12" s="18">
        <f>+'[1]Nómina y honorarios 2014'!N50</f>
        <v>3066820.20175</v>
      </c>
      <c r="D12" s="18">
        <f>+'[1]Nómina y honorarios 2014'!N60</f>
        <v>1318000</v>
      </c>
      <c r="E12" s="18">
        <f>+'[1]Nómina y honorarios 2014'!N68</f>
        <v>11685442.789150001</v>
      </c>
      <c r="F12" s="18">
        <f>+'[1]Nómina y honorarios 2014'!N41</f>
        <v>2651068.8514</v>
      </c>
      <c r="G12" s="19">
        <f>+B12+C12+E12+F12+D12</f>
        <v>29063002.088149998</v>
      </c>
      <c r="H12" s="18">
        <f>+'[1]Nómina y honorarios 2014'!N12</f>
        <v>4318292.6510499995</v>
      </c>
      <c r="I12" s="18">
        <f t="shared" si="4"/>
        <v>33381294.739199996</v>
      </c>
      <c r="J12" s="18">
        <v>0</v>
      </c>
      <c r="K12" s="18">
        <f t="shared" si="2"/>
        <v>-33381294.739199996</v>
      </c>
      <c r="L12" s="20">
        <f t="shared" si="3"/>
        <v>0</v>
      </c>
    </row>
    <row r="13" spans="1:13" ht="14.25" x14ac:dyDescent="0.2">
      <c r="A13" s="17" t="s">
        <v>22</v>
      </c>
      <c r="B13" s="19">
        <f>+[2]Oscar!$D$6</f>
        <v>21012105</v>
      </c>
      <c r="C13" s="22"/>
      <c r="D13" s="22"/>
      <c r="E13" s="19"/>
      <c r="F13" s="19"/>
      <c r="G13" s="19">
        <f>+B13+C13+E13+F13+D13</f>
        <v>21012105</v>
      </c>
      <c r="H13" s="18">
        <f>+'[1]Nómina y honorarios 2014'!I105</f>
        <v>28362140.489799999</v>
      </c>
      <c r="I13" s="18">
        <f>+G13+H13</f>
        <v>49374245.489799999</v>
      </c>
      <c r="J13" s="18">
        <v>48374244</v>
      </c>
      <c r="K13" s="18">
        <f t="shared" si="2"/>
        <v>-1000001.4897999987</v>
      </c>
      <c r="L13" s="20">
        <f t="shared" si="3"/>
        <v>0.97974649577163497</v>
      </c>
    </row>
    <row r="14" spans="1:13" ht="14.25" x14ac:dyDescent="0.2">
      <c r="A14" s="17" t="s">
        <v>23</v>
      </c>
      <c r="B14" s="18">
        <f>+'[1]Nómina y honorarios 2014'!K94</f>
        <v>200000</v>
      </c>
      <c r="C14" s="18">
        <f>+'[1]Nómina y honorarios 2014'!O94</f>
        <v>200000</v>
      </c>
      <c r="D14" s="18">
        <f>+'[1]Nómina y honorarios 2014'!Q94</f>
        <v>200000</v>
      </c>
      <c r="E14" s="18">
        <f>+'[1]Nómina y honorarios 2014'!S94</f>
        <v>600000</v>
      </c>
      <c r="F14" s="18">
        <f>+'[1]Nómina y honorarios 2014'!M94</f>
        <v>200000</v>
      </c>
      <c r="G14" s="19">
        <f>+B14+C14+E14+F14+D14</f>
        <v>1400000</v>
      </c>
      <c r="H14" s="18">
        <f>+'[1]Nómina y honorarios 2014'!I94</f>
        <v>800000</v>
      </c>
      <c r="I14" s="18">
        <f t="shared" si="4"/>
        <v>2200000</v>
      </c>
      <c r="J14" s="18">
        <v>2200000</v>
      </c>
      <c r="K14" s="18">
        <f t="shared" si="2"/>
        <v>0</v>
      </c>
      <c r="L14" s="20">
        <f t="shared" si="3"/>
        <v>1</v>
      </c>
    </row>
    <row r="15" spans="1:13" ht="14.25" x14ac:dyDescent="0.2">
      <c r="A15" s="17" t="s">
        <v>24</v>
      </c>
      <c r="B15" s="18">
        <f>+'[1]Nómina y honorarios 2014'!L27</f>
        <v>10341670.245850001</v>
      </c>
      <c r="C15" s="18">
        <f>+'[1]Nómina y honorarios 2014'!L50</f>
        <v>3066820.20175</v>
      </c>
      <c r="D15" s="18">
        <f>+'[1]Nómina y honorarios 2014'!L60</f>
        <v>1318000</v>
      </c>
      <c r="E15" s="18">
        <f>+'[1]Nómina y honorarios 2014'!L68</f>
        <v>11685442.789150001</v>
      </c>
      <c r="F15" s="18">
        <f>+'[1]Nómina y honorarios 2014'!L41</f>
        <v>2651068.8514</v>
      </c>
      <c r="G15" s="19">
        <f>+B15+C15+E15+F15+D15</f>
        <v>29063002.088149998</v>
      </c>
      <c r="H15" s="18">
        <f>+'[1]Nómina y honorarios 2014'!L12</f>
        <v>4318292.6510499995</v>
      </c>
      <c r="I15" s="18">
        <f t="shared" si="4"/>
        <v>33381294.739199996</v>
      </c>
      <c r="J15" s="18">
        <v>0</v>
      </c>
      <c r="K15" s="18">
        <f t="shared" si="2"/>
        <v>-33381294.739199996</v>
      </c>
      <c r="L15" s="20">
        <f t="shared" si="3"/>
        <v>0</v>
      </c>
      <c r="M15" s="23"/>
    </row>
    <row r="16" spans="1:13" ht="14.25" x14ac:dyDescent="0.2">
      <c r="A16" s="17" t="s">
        <v>25</v>
      </c>
      <c r="B16" s="18">
        <f>+'[1]Nómina y honorarios 2014'!M27</f>
        <v>1241000.4295020001</v>
      </c>
      <c r="C16" s="18">
        <f>+'[1]Nómina y honorarios 2014'!M50</f>
        <v>368018.42421000003</v>
      </c>
      <c r="D16" s="18">
        <f>+'[1]Nómina y honorarios 2014'!M60</f>
        <v>158160</v>
      </c>
      <c r="E16" s="18">
        <f>+'[1]Nómina y honorarios 2014'!M68</f>
        <v>1402253.134698</v>
      </c>
      <c r="F16" s="18">
        <f>+'[1]Nómina y honorarios 2014'!M41</f>
        <v>318128.26216799999</v>
      </c>
      <c r="G16" s="19">
        <f t="shared" si="1"/>
        <v>3487560.2505780002</v>
      </c>
      <c r="H16" s="18">
        <f>+'[1]Nómina y honorarios 2014'!M12</f>
        <v>518195.11812599999</v>
      </c>
      <c r="I16" s="18">
        <f t="shared" si="4"/>
        <v>4005755.368704</v>
      </c>
      <c r="J16" s="18">
        <v>0</v>
      </c>
      <c r="K16" s="18">
        <f t="shared" si="2"/>
        <v>-4005755.368704</v>
      </c>
      <c r="L16" s="20">
        <f t="shared" si="3"/>
        <v>0</v>
      </c>
      <c r="M16" s="23"/>
    </row>
    <row r="17" spans="1:12" ht="14.25" x14ac:dyDescent="0.2">
      <c r="A17" s="17" t="s">
        <v>26</v>
      </c>
      <c r="B17" s="18">
        <f>+'[1]Nómina y honorarios 2014'!S27</f>
        <v>29917596.201566778</v>
      </c>
      <c r="C17" s="18">
        <f>+'[1]Nómina y honorarios 2014'!S50</f>
        <v>11226461.31240762</v>
      </c>
      <c r="D17" s="18">
        <f>+'[1]Nómina y honorarios 2014'!S60</f>
        <v>6814817.5186649999</v>
      </c>
      <c r="E17" s="18">
        <f>+'[1]Nómina y honorarios 2014'!S68+1262393</f>
        <v>34765442.151586935</v>
      </c>
      <c r="F17" s="18">
        <f>+'[1]Nómina y honorarios 2014'!S41</f>
        <v>10177670.325960696</v>
      </c>
      <c r="G17" s="19">
        <f t="shared" si="1"/>
        <v>92901987.51018703</v>
      </c>
      <c r="H17" s="18">
        <f>+'[1]Nómina y honorarios 2014'!S12</f>
        <v>11674496.905844772</v>
      </c>
      <c r="I17" s="18">
        <f t="shared" si="4"/>
        <v>104576484.41603181</v>
      </c>
      <c r="J17" s="18">
        <v>103401120.40313356</v>
      </c>
      <c r="K17" s="18">
        <f t="shared" si="2"/>
        <v>-1175364.0128982514</v>
      </c>
      <c r="L17" s="20">
        <f t="shared" si="3"/>
        <v>0.98876072360376588</v>
      </c>
    </row>
    <row r="18" spans="1:12" ht="14.25" x14ac:dyDescent="0.2">
      <c r="A18" s="17" t="s">
        <v>27</v>
      </c>
      <c r="B18" s="18">
        <f>+'[1]Nómina y honorarios 2014'!U27+500000</f>
        <v>6128063.7480079997</v>
      </c>
      <c r="C18" s="18">
        <f>+'[1]Nómina y honorarios 2014'!U50+500000</f>
        <v>2636135.7268400001</v>
      </c>
      <c r="D18" s="18">
        <f>+'[1]Nómina y honorarios 2014'!U60+500000</f>
        <v>1796702.03</v>
      </c>
      <c r="E18" s="18">
        <f>+'[1]Nómina y honorarios 2014'!U68+500000-264795</f>
        <v>6490999.5687920004</v>
      </c>
      <c r="F18" s="18">
        <f>+'[1]Nómina y honorarios 2014'!U41+500000</f>
        <v>2436575.0786720002</v>
      </c>
      <c r="G18" s="19">
        <f t="shared" si="1"/>
        <v>19488476.152312003</v>
      </c>
      <c r="H18" s="18">
        <f>+'[1]Nómina y honorarios 2014'!U12+500000</f>
        <v>2538220.4725040002</v>
      </c>
      <c r="I18" s="18">
        <f t="shared" si="4"/>
        <v>22026696.624816004</v>
      </c>
      <c r="J18" s="18">
        <v>19385490</v>
      </c>
      <c r="K18" s="18">
        <f t="shared" si="2"/>
        <v>-2641206.6248160042</v>
      </c>
      <c r="L18" s="20">
        <f t="shared" si="3"/>
        <v>0.88009066135498804</v>
      </c>
    </row>
    <row r="19" spans="1:12" ht="14.25" x14ac:dyDescent="0.2">
      <c r="A19" s="17" t="s">
        <v>28</v>
      </c>
      <c r="B19" s="18">
        <f>+'[1]Nómina y honorarios 2014'!X27+500000</f>
        <v>7535079.6850100001</v>
      </c>
      <c r="C19" s="18">
        <f>+'[1]Nómina y honorarios 2014'!X50+500000</f>
        <v>3170169.6585499998</v>
      </c>
      <c r="D19" s="18">
        <f>+'[1]Nómina y honorarios 2014'!X60+500000</f>
        <v>2120877.5375000001</v>
      </c>
      <c r="E19" s="18">
        <f>+'[1]Nómina y honorarios 2014'!X68+500000-207663</f>
        <v>8112080.2109900014</v>
      </c>
      <c r="F19" s="18">
        <f>+'[1]Nómina y honorarios 2014'!X41+500000</f>
        <v>2920718.84834</v>
      </c>
      <c r="G19" s="19">
        <f t="shared" si="1"/>
        <v>23858925.940390002</v>
      </c>
      <c r="H19" s="18">
        <f>+'[1]Nómina y honorarios 2014'!X12+500000</f>
        <v>3047775.59063</v>
      </c>
      <c r="I19" s="18">
        <f t="shared" si="4"/>
        <v>26906701.531020001</v>
      </c>
      <c r="J19" s="18">
        <v>24230140</v>
      </c>
      <c r="K19" s="18">
        <f t="shared" si="2"/>
        <v>-2676561.5310200006</v>
      </c>
      <c r="L19" s="20">
        <f t="shared" si="3"/>
        <v>0.90052435346137594</v>
      </c>
    </row>
    <row r="20" spans="1:12" ht="15" x14ac:dyDescent="0.25">
      <c r="A20" s="24" t="s">
        <v>29</v>
      </c>
      <c r="B20" s="25">
        <f>SUM(B10:B19)</f>
        <v>241014180.81641182</v>
      </c>
      <c r="C20" s="25">
        <f>SUM(C10:C19)</f>
        <v>87095795.234882608</v>
      </c>
      <c r="D20" s="25">
        <f>SUM(D10:D19)</f>
        <v>55227674.273665003</v>
      </c>
      <c r="E20" s="25">
        <f>SUM(E10:E19)</f>
        <v>245045877.69624197</v>
      </c>
      <c r="F20" s="25">
        <f>SUM(F10:F19)</f>
        <v>79519708.047940716</v>
      </c>
      <c r="G20" s="25">
        <f>+B20+C20+E20+F20+D20</f>
        <v>707903236.0691421</v>
      </c>
      <c r="H20" s="25">
        <f>SUM(H10:H19)</f>
        <v>120932402.01712979</v>
      </c>
      <c r="I20" s="25">
        <f>SUM(I10:I19)</f>
        <v>828835638.086272</v>
      </c>
      <c r="J20" s="25">
        <f>SUM(J10:J19)</f>
        <v>719046465.40313351</v>
      </c>
      <c r="K20" s="25">
        <f t="shared" si="2"/>
        <v>-109789172.68313849</v>
      </c>
      <c r="L20" s="16">
        <f t="shared" si="3"/>
        <v>0.86753806467994721</v>
      </c>
    </row>
    <row r="21" spans="1:12" ht="15" x14ac:dyDescent="0.25">
      <c r="A21" s="11" t="s">
        <v>30</v>
      </c>
      <c r="B21" s="26"/>
      <c r="C21" s="26"/>
      <c r="D21" s="26"/>
      <c r="E21" s="27"/>
      <c r="F21" s="26"/>
      <c r="G21" s="26"/>
      <c r="H21" s="25"/>
      <c r="I21" s="26"/>
      <c r="J21" s="26"/>
      <c r="K21" s="26"/>
      <c r="L21" s="16"/>
    </row>
    <row r="22" spans="1:12" ht="14.25" x14ac:dyDescent="0.2">
      <c r="A22" s="28" t="s">
        <v>31</v>
      </c>
      <c r="B22" s="29">
        <f>+[1]Funcionamiento!H9</f>
        <v>139059074</v>
      </c>
      <c r="C22" s="29">
        <f>+[1]Funcionamiento!I9</f>
        <v>0</v>
      </c>
      <c r="D22" s="30">
        <f>+[1]Funcionamiento!J9</f>
        <v>0</v>
      </c>
      <c r="E22" s="29">
        <f>+[1]Funcionamiento!G9</f>
        <v>1600000</v>
      </c>
      <c r="F22" s="30">
        <f>+[1]Funcionamiento!K9</f>
        <v>0</v>
      </c>
      <c r="G22" s="30">
        <f t="shared" ref="G22:G36" si="5">+B22+C22+E22+F22+D22</f>
        <v>140659074</v>
      </c>
      <c r="H22" s="26">
        <f>+[1]Funcionamiento!F9</f>
        <v>18977376.238150001</v>
      </c>
      <c r="I22" s="18">
        <f>+H22+G22</f>
        <v>159636450.23815</v>
      </c>
      <c r="J22" s="18">
        <v>146288880</v>
      </c>
      <c r="K22" s="18">
        <f t="shared" si="2"/>
        <v>-13347570.238150001</v>
      </c>
      <c r="L22" s="20">
        <f t="shared" si="3"/>
        <v>0.91638770332065311</v>
      </c>
    </row>
    <row r="23" spans="1:12" ht="14.25" x14ac:dyDescent="0.2">
      <c r="A23" s="28" t="s">
        <v>32</v>
      </c>
      <c r="B23" s="18">
        <f>+[1]Funcionamiento!H23</f>
        <v>0</v>
      </c>
      <c r="C23" s="29">
        <f>+[1]Funcionamiento!I23</f>
        <v>1000000</v>
      </c>
      <c r="D23" s="30">
        <f>+[1]Funcionamiento!J23</f>
        <v>0</v>
      </c>
      <c r="E23" s="18">
        <f>+[1]Funcionamiento!G23</f>
        <v>3000000</v>
      </c>
      <c r="F23" s="30">
        <v>0</v>
      </c>
      <c r="G23" s="30">
        <f t="shared" si="5"/>
        <v>4000000</v>
      </c>
      <c r="H23" s="26">
        <f>+[1]Funcionamiento!F23</f>
        <v>4834432.1226000004</v>
      </c>
      <c r="I23" s="18">
        <f>+G23+H23</f>
        <v>8834432.1226000004</v>
      </c>
      <c r="J23" s="18">
        <v>8163821</v>
      </c>
      <c r="K23" s="18">
        <f t="shared" si="2"/>
        <v>-670611.12260000035</v>
      </c>
      <c r="L23" s="20">
        <f t="shared" si="3"/>
        <v>0.92409120209498674</v>
      </c>
    </row>
    <row r="24" spans="1:12" ht="14.25" x14ac:dyDescent="0.2">
      <c r="A24" s="28" t="s">
        <v>33</v>
      </c>
      <c r="B24" s="29">
        <v>0</v>
      </c>
      <c r="C24" s="29">
        <v>0</v>
      </c>
      <c r="D24" s="30"/>
      <c r="E24" s="29">
        <f>+[1]Funcionamiento!G13</f>
        <v>2700000</v>
      </c>
      <c r="F24" s="30">
        <v>0</v>
      </c>
      <c r="G24" s="30">
        <f t="shared" si="5"/>
        <v>2700000</v>
      </c>
      <c r="H24" s="26">
        <f>+[1]Funcionamiento!F13</f>
        <v>4613183.0756999999</v>
      </c>
      <c r="I24" s="18">
        <f t="shared" ref="I24:I35" si="6">+G24+H24</f>
        <v>7313183.0756999999</v>
      </c>
      <c r="J24" s="18">
        <v>6654304</v>
      </c>
      <c r="K24" s="18">
        <f t="shared" si="2"/>
        <v>-658879.07569999993</v>
      </c>
      <c r="L24" s="20">
        <f t="shared" si="3"/>
        <v>0.90990529446892954</v>
      </c>
    </row>
    <row r="25" spans="1:12" ht="14.25" x14ac:dyDescent="0.2">
      <c r="A25" s="28" t="s">
        <v>34</v>
      </c>
      <c r="B25" s="18">
        <f>+[1]Funcionamiento!H25</f>
        <v>8793391</v>
      </c>
      <c r="C25" s="29">
        <f>+[1]Funcionamiento!I25</f>
        <v>3000000</v>
      </c>
      <c r="D25" s="29">
        <f>+[1]Funcionamiento!J25</f>
        <v>1540000</v>
      </c>
      <c r="E25" s="29">
        <f>+[1]Funcionamiento!G25</f>
        <v>45000000</v>
      </c>
      <c r="F25" s="29">
        <f>+[1]Funcionamiento!K25</f>
        <v>1752774</v>
      </c>
      <c r="G25" s="29">
        <f t="shared" si="5"/>
        <v>60086165</v>
      </c>
      <c r="H25" s="18">
        <f>+[1]Funcionamiento!F25</f>
        <v>6371250.0000000009</v>
      </c>
      <c r="I25" s="18">
        <f t="shared" si="6"/>
        <v>66457415</v>
      </c>
      <c r="J25" s="18">
        <v>53184577</v>
      </c>
      <c r="K25" s="18">
        <f t="shared" si="2"/>
        <v>-13272838</v>
      </c>
      <c r="L25" s="20">
        <f t="shared" si="3"/>
        <v>0.80028055560090627</v>
      </c>
    </row>
    <row r="26" spans="1:12" ht="14.25" x14ac:dyDescent="0.2">
      <c r="A26" s="28" t="s">
        <v>35</v>
      </c>
      <c r="B26" s="29">
        <f>+[1]Funcionamiento!H27</f>
        <v>400000</v>
      </c>
      <c r="C26" s="29">
        <f>+[1]Funcionamiento!I27</f>
        <v>500000</v>
      </c>
      <c r="D26" s="29">
        <f>+[1]Funcionamiento!J27</f>
        <v>500000</v>
      </c>
      <c r="E26" s="29">
        <f>+[1]Funcionamiento!G27</f>
        <v>583700</v>
      </c>
      <c r="F26" s="29">
        <f>+[1]Funcionamiento!K27</f>
        <v>580000</v>
      </c>
      <c r="G26" s="29">
        <f t="shared" si="5"/>
        <v>2563700</v>
      </c>
      <c r="H26" s="18">
        <f>+[1]Funcionamiento!F27</f>
        <v>1094044.2907500002</v>
      </c>
      <c r="I26" s="18">
        <f t="shared" si="6"/>
        <v>3657744.2907500002</v>
      </c>
      <c r="J26" s="18">
        <v>1992200.0000000002</v>
      </c>
      <c r="K26" s="18">
        <f t="shared" si="2"/>
        <v>-1665544.2907499999</v>
      </c>
      <c r="L26" s="20">
        <f t="shared" si="3"/>
        <v>0.5446526169251461</v>
      </c>
    </row>
    <row r="27" spans="1:12" ht="14.25" x14ac:dyDescent="0.2">
      <c r="A27" s="17" t="s">
        <v>36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f t="shared" si="5"/>
        <v>0</v>
      </c>
      <c r="H27" s="18">
        <f>+[1]Funcionamiento!F7</f>
        <v>6755300</v>
      </c>
      <c r="I27" s="18">
        <f t="shared" si="6"/>
        <v>6755300</v>
      </c>
      <c r="J27" s="18">
        <v>0</v>
      </c>
      <c r="K27" s="18">
        <f t="shared" si="2"/>
        <v>-6755300</v>
      </c>
      <c r="L27" s="20">
        <f t="shared" si="3"/>
        <v>0</v>
      </c>
    </row>
    <row r="28" spans="1:12" ht="14.25" x14ac:dyDescent="0.2">
      <c r="A28" s="28" t="s">
        <v>37</v>
      </c>
      <c r="B28" s="29">
        <f>+[1]Funcionamiento!H15</f>
        <v>1492817.5152000003</v>
      </c>
      <c r="C28" s="29">
        <f>+[1]Funcionamiento!I15</f>
        <v>1492817.5152000003</v>
      </c>
      <c r="D28" s="29">
        <f>+[1]Funcionamiento!J15</f>
        <v>1492817.5152000003</v>
      </c>
      <c r="E28" s="29">
        <f>+[1]Funcionamiento!G15</f>
        <v>1492817.5152000003</v>
      </c>
      <c r="F28" s="29">
        <f>+[1]Funcionamiento!K15</f>
        <v>1492817.5152000003</v>
      </c>
      <c r="G28" s="29">
        <f t="shared" si="5"/>
        <v>7464087.5760000013</v>
      </c>
      <c r="H28" s="18">
        <f>+[1]Funcionamiento!F15</f>
        <v>5289652.3284000009</v>
      </c>
      <c r="I28" s="18">
        <f t="shared" si="6"/>
        <v>12753739.904400002</v>
      </c>
      <c r="J28" s="18">
        <v>8956906.5152000003</v>
      </c>
      <c r="K28" s="18">
        <f t="shared" si="2"/>
        <v>-3796833.389200002</v>
      </c>
      <c r="L28" s="20">
        <f t="shared" si="3"/>
        <v>0.70229647008168128</v>
      </c>
    </row>
    <row r="29" spans="1:12" ht="14.25" x14ac:dyDescent="0.2">
      <c r="A29" s="31" t="s">
        <v>38</v>
      </c>
      <c r="B29" s="29">
        <f>+[1]Funcionamiento!H29</f>
        <v>2000000</v>
      </c>
      <c r="C29" s="29">
        <f>[1]Funcionamiento!I29</f>
        <v>300000</v>
      </c>
      <c r="D29" s="29">
        <f>+[1]Funcionamiento!J29</f>
        <v>2000000</v>
      </c>
      <c r="E29" s="29">
        <f>+[1]Funcionamiento!G29</f>
        <v>9000000</v>
      </c>
      <c r="F29" s="29">
        <v>0</v>
      </c>
      <c r="G29" s="29">
        <f t="shared" si="5"/>
        <v>13300000</v>
      </c>
      <c r="H29" s="18">
        <f>+[1]Funcionamiento!F29-3324833</f>
        <v>2175167</v>
      </c>
      <c r="I29" s="18">
        <f t="shared" si="6"/>
        <v>15475167</v>
      </c>
      <c r="J29" s="18">
        <v>10519169</v>
      </c>
      <c r="K29" s="18">
        <f t="shared" si="2"/>
        <v>-4955998</v>
      </c>
      <c r="L29" s="20">
        <f t="shared" si="3"/>
        <v>0.67974510388159304</v>
      </c>
    </row>
    <row r="30" spans="1:12" ht="14.25" x14ac:dyDescent="0.2">
      <c r="A30" s="28" t="s">
        <v>39</v>
      </c>
      <c r="B30" s="29">
        <v>0</v>
      </c>
      <c r="C30" s="29">
        <v>0</v>
      </c>
      <c r="D30" s="29"/>
      <c r="E30" s="29">
        <f>+[1]Funcionamiento!G33</f>
        <v>14400000</v>
      </c>
      <c r="F30" s="29">
        <v>0</v>
      </c>
      <c r="G30" s="29">
        <f t="shared" si="5"/>
        <v>14400000</v>
      </c>
      <c r="H30" s="18">
        <f>+[1]Funcionamiento!F33+3324833</f>
        <v>25212498.75</v>
      </c>
      <c r="I30" s="18">
        <f t="shared" si="6"/>
        <v>39612498.75</v>
      </c>
      <c r="J30" s="18">
        <v>35616448.75</v>
      </c>
      <c r="K30" s="18">
        <f t="shared" si="2"/>
        <v>-3996050</v>
      </c>
      <c r="L30" s="20">
        <f t="shared" si="3"/>
        <v>0.89912148624555022</v>
      </c>
    </row>
    <row r="31" spans="1:12" ht="14.25" x14ac:dyDescent="0.2">
      <c r="A31" s="28" t="s">
        <v>40</v>
      </c>
      <c r="B31" s="18">
        <f>[1]Funcionamiento!H21</f>
        <v>4000000</v>
      </c>
      <c r="C31" s="18">
        <f>[1]Funcionamiento!I21</f>
        <v>5000000</v>
      </c>
      <c r="D31" s="18">
        <f>+[1]Funcionamiento!J21</f>
        <v>2000000</v>
      </c>
      <c r="E31" s="18">
        <f>+[1]Funcionamiento!G21</f>
        <v>73500000</v>
      </c>
      <c r="F31" s="29">
        <f>+[1]Funcionamiento!K21</f>
        <v>6000000</v>
      </c>
      <c r="G31" s="29">
        <f t="shared" si="5"/>
        <v>90500000</v>
      </c>
      <c r="H31" s="18">
        <f>+[1]Funcionamiento!F21</f>
        <v>9000000</v>
      </c>
      <c r="I31" s="18">
        <f t="shared" si="6"/>
        <v>99500000</v>
      </c>
      <c r="J31" s="18">
        <v>94267737</v>
      </c>
      <c r="K31" s="18">
        <f t="shared" si="2"/>
        <v>-5232263</v>
      </c>
      <c r="L31" s="20">
        <f t="shared" si="3"/>
        <v>0.94741444221105531</v>
      </c>
    </row>
    <row r="32" spans="1:12" ht="14.25" x14ac:dyDescent="0.2">
      <c r="A32" s="28" t="s">
        <v>41</v>
      </c>
      <c r="B32" s="29">
        <v>0</v>
      </c>
      <c r="C32" s="29">
        <v>0</v>
      </c>
      <c r="D32" s="29"/>
      <c r="E32" s="29">
        <v>0</v>
      </c>
      <c r="F32" s="29">
        <v>0</v>
      </c>
      <c r="G32" s="29">
        <f t="shared" si="5"/>
        <v>0</v>
      </c>
      <c r="H32" s="18">
        <f>+[1]Funcionamiento!F11</f>
        <v>1458474.6937500001</v>
      </c>
      <c r="I32" s="18">
        <f t="shared" si="6"/>
        <v>1458474.6937500001</v>
      </c>
      <c r="J32" s="18">
        <v>1382688</v>
      </c>
      <c r="K32" s="18">
        <f t="shared" si="2"/>
        <v>-75786.693750000093</v>
      </c>
      <c r="L32" s="20">
        <f t="shared" si="3"/>
        <v>0.94803701834884846</v>
      </c>
    </row>
    <row r="33" spans="1:12" ht="14.25" x14ac:dyDescent="0.2">
      <c r="A33" s="28" t="s">
        <v>42</v>
      </c>
      <c r="B33" s="18">
        <f>[1]Funcionamiento!H17</f>
        <v>2349615.06</v>
      </c>
      <c r="C33" s="18">
        <f>[1]Funcionamiento!I17</f>
        <v>913739.19000000006</v>
      </c>
      <c r="D33" s="18">
        <f>+[1]Funcionamiento!J17</f>
        <v>391602.51</v>
      </c>
      <c r="E33" s="18">
        <f>+[1]Funcionamiento!G17</f>
        <v>1860000</v>
      </c>
      <c r="F33" s="18">
        <f>+[1]Funcionamiento!K17</f>
        <v>2349615.06</v>
      </c>
      <c r="G33" s="29">
        <f t="shared" si="5"/>
        <v>7864571.8200000003</v>
      </c>
      <c r="H33" s="18">
        <f>+[1]Funcionamiento!F17</f>
        <v>6657242.6700000009</v>
      </c>
      <c r="I33" s="18">
        <f t="shared" si="6"/>
        <v>14521814.490000002</v>
      </c>
      <c r="J33" s="18">
        <v>13441056.5</v>
      </c>
      <c r="K33" s="18">
        <f t="shared" si="2"/>
        <v>-1080757.9900000021</v>
      </c>
      <c r="L33" s="20">
        <f t="shared" si="3"/>
        <v>0.9255769318121897</v>
      </c>
    </row>
    <row r="34" spans="1:12" ht="14.25" x14ac:dyDescent="0.2">
      <c r="A34" s="28" t="s">
        <v>43</v>
      </c>
      <c r="B34" s="29">
        <f>+[1]Funcionamiento!H19</f>
        <v>750000</v>
      </c>
      <c r="C34" s="29">
        <v>0</v>
      </c>
      <c r="D34" s="29"/>
      <c r="E34" s="29">
        <f>+[1]Funcionamiento!G19</f>
        <v>2500000</v>
      </c>
      <c r="F34" s="29">
        <f>+[1]Funcionamiento!K19</f>
        <v>9000000</v>
      </c>
      <c r="G34" s="29">
        <f t="shared" si="5"/>
        <v>12250000</v>
      </c>
      <c r="H34" s="18">
        <f>+[1]Funcionamiento!F19</f>
        <v>11756508.541350001</v>
      </c>
      <c r="I34" s="18">
        <f>+G34+H34</f>
        <v>24006508.54135</v>
      </c>
      <c r="J34" s="18">
        <v>18724223</v>
      </c>
      <c r="K34" s="18">
        <f t="shared" si="2"/>
        <v>-5282285.5413499996</v>
      </c>
      <c r="L34" s="20">
        <f t="shared" si="3"/>
        <v>0.77996444038284329</v>
      </c>
    </row>
    <row r="35" spans="1:12" ht="14.25" x14ac:dyDescent="0.2">
      <c r="A35" s="28" t="s">
        <v>44</v>
      </c>
      <c r="B35" s="29">
        <v>0</v>
      </c>
      <c r="C35" s="29">
        <v>0</v>
      </c>
      <c r="D35" s="29"/>
      <c r="E35" s="29">
        <v>0</v>
      </c>
      <c r="F35" s="29">
        <v>0</v>
      </c>
      <c r="G35" s="29">
        <f t="shared" si="5"/>
        <v>0</v>
      </c>
      <c r="H35" s="18">
        <f>+[1]Funcionamiento!F35</f>
        <v>44009060.740200005</v>
      </c>
      <c r="I35" s="18">
        <f t="shared" si="6"/>
        <v>44009060.740200005</v>
      </c>
      <c r="J35" s="18">
        <v>42517332.999999993</v>
      </c>
      <c r="K35" s="18">
        <f t="shared" si="2"/>
        <v>-1491727.7402000129</v>
      </c>
      <c r="L35" s="20">
        <f t="shared" si="3"/>
        <v>0.96610407686257671</v>
      </c>
    </row>
    <row r="36" spans="1:12" ht="14.25" x14ac:dyDescent="0.2">
      <c r="A36" s="28" t="s">
        <v>45</v>
      </c>
      <c r="B36" s="29">
        <v>0</v>
      </c>
      <c r="C36" s="29">
        <v>0</v>
      </c>
      <c r="D36" s="29"/>
      <c r="E36" s="29">
        <v>0</v>
      </c>
      <c r="F36" s="29">
        <v>0</v>
      </c>
      <c r="G36" s="29">
        <f t="shared" si="5"/>
        <v>0</v>
      </c>
      <c r="H36" s="18">
        <f>+[1]Funcionamiento!F31</f>
        <v>7050534.9834500002</v>
      </c>
      <c r="I36" s="18">
        <f>+G36+H36</f>
        <v>7050534.9834500002</v>
      </c>
      <c r="J36" s="18">
        <v>4189164</v>
      </c>
      <c r="K36" s="18">
        <f t="shared" si="2"/>
        <v>-2861370.9834500002</v>
      </c>
      <c r="L36" s="20">
        <f t="shared" si="3"/>
        <v>0.59416257203650369</v>
      </c>
    </row>
    <row r="37" spans="1:12" ht="15" x14ac:dyDescent="0.25">
      <c r="A37" s="24" t="s">
        <v>46</v>
      </c>
      <c r="B37" s="32">
        <f t="shared" ref="B37:H37" si="7">SUM(B22:B36)</f>
        <v>158844897.57519999</v>
      </c>
      <c r="C37" s="32">
        <f t="shared" si="7"/>
        <v>12206556.7052</v>
      </c>
      <c r="D37" s="32">
        <f t="shared" si="7"/>
        <v>7924420.0252</v>
      </c>
      <c r="E37" s="32">
        <f t="shared" si="7"/>
        <v>155636517.51520002</v>
      </c>
      <c r="F37" s="32">
        <f t="shared" si="7"/>
        <v>21175206.575199999</v>
      </c>
      <c r="G37" s="33">
        <f t="shared" si="7"/>
        <v>355787598.39599997</v>
      </c>
      <c r="H37" s="32">
        <f t="shared" si="7"/>
        <v>155254725.43435001</v>
      </c>
      <c r="I37" s="32">
        <f>SUM(I22:I36)</f>
        <v>511042323.83035004</v>
      </c>
      <c r="J37" s="32">
        <f>SUM(J22:J36)</f>
        <v>445898507.76520002</v>
      </c>
      <c r="K37" s="32">
        <f t="shared" si="2"/>
        <v>-65143816.065150023</v>
      </c>
      <c r="L37" s="16">
        <f t="shared" si="3"/>
        <v>0.87252755197087017</v>
      </c>
    </row>
    <row r="38" spans="1:12" ht="15" x14ac:dyDescent="0.25">
      <c r="A38" s="34" t="s">
        <v>47</v>
      </c>
      <c r="B38" s="35">
        <f>+B37+B20</f>
        <v>399859078.39161181</v>
      </c>
      <c r="C38" s="35">
        <f>+C37+C20</f>
        <v>99302351.94008261</v>
      </c>
      <c r="D38" s="35">
        <f>+D37+D20</f>
        <v>63152094.298865005</v>
      </c>
      <c r="E38" s="35">
        <f>+E37+E20</f>
        <v>400682395.21144199</v>
      </c>
      <c r="F38" s="35">
        <f>+F37+F20</f>
        <v>100694914.62314072</v>
      </c>
      <c r="G38" s="36">
        <f>+B38+C38+E38+F38+D38</f>
        <v>1063690834.465142</v>
      </c>
      <c r="H38" s="35">
        <f>+H37+H20</f>
        <v>276187127.45147979</v>
      </c>
      <c r="I38" s="35">
        <f>+I37+I20</f>
        <v>1339877961.9166222</v>
      </c>
      <c r="J38" s="35">
        <f>+J37+J20</f>
        <v>1164944973.1683335</v>
      </c>
      <c r="K38" s="35">
        <f t="shared" si="2"/>
        <v>-174932988.74828863</v>
      </c>
      <c r="L38" s="37">
        <f t="shared" si="3"/>
        <v>0.8694411030553435</v>
      </c>
    </row>
    <row r="39" spans="1:12" ht="15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40"/>
    </row>
    <row r="40" spans="1:12" ht="15" x14ac:dyDescent="0.25">
      <c r="A40" s="41" t="s">
        <v>48</v>
      </c>
      <c r="B40" s="42">
        <f>+B42+B47+B86+B119+B141+B155+B162+B172</f>
        <v>716220535</v>
      </c>
      <c r="C40" s="42">
        <f>+C42+C47+C86+C119+C141+C155+C162+C172</f>
        <v>479706165.69700003</v>
      </c>
      <c r="D40" s="42">
        <f>+D42+D47+D86+D119+D141+D155+D162+D172</f>
        <v>1329677827</v>
      </c>
      <c r="E40" s="42">
        <f>+E42+E47+E86+E119+E141+E155+E162+E172</f>
        <v>2417779682</v>
      </c>
      <c r="F40" s="42">
        <f>+F42+F47+F86+F119+F141+F155+F162+F172</f>
        <v>1802969897</v>
      </c>
      <c r="G40" s="42">
        <f>+B40+C40+E40+F40+D40</f>
        <v>6746354106.6970005</v>
      </c>
      <c r="H40" s="42">
        <v>0</v>
      </c>
      <c r="I40" s="42">
        <f>+H40+G40</f>
        <v>6746354106.6970005</v>
      </c>
      <c r="J40" s="42">
        <f>+J42+J47+J86++J119+J141+J155+J162+J172</f>
        <v>4906089639.5</v>
      </c>
      <c r="K40" s="42">
        <f t="shared" si="2"/>
        <v>-1840264467.1970005</v>
      </c>
      <c r="L40" s="43">
        <f t="shared" si="3"/>
        <v>0.72722089026275705</v>
      </c>
    </row>
    <row r="41" spans="1:12" ht="15" x14ac:dyDescent="0.25">
      <c r="A41" s="24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16"/>
    </row>
    <row r="42" spans="1:12" s="47" customFormat="1" ht="15" x14ac:dyDescent="0.25">
      <c r="A42" s="44" t="s">
        <v>49</v>
      </c>
      <c r="B42" s="45">
        <f>+B43</f>
        <v>31489594</v>
      </c>
      <c r="C42" s="45"/>
      <c r="D42" s="45"/>
      <c r="E42" s="45"/>
      <c r="F42" s="45"/>
      <c r="G42" s="45">
        <f>+G43</f>
        <v>31489594</v>
      </c>
      <c r="H42" s="45"/>
      <c r="I42" s="45">
        <f>+I43</f>
        <v>31489594</v>
      </c>
      <c r="J42" s="45">
        <f>+J43</f>
        <v>27815534</v>
      </c>
      <c r="K42" s="45">
        <f t="shared" si="2"/>
        <v>-3674060</v>
      </c>
      <c r="L42" s="46">
        <f t="shared" si="3"/>
        <v>0.88332463098762082</v>
      </c>
    </row>
    <row r="43" spans="1:12" s="51" customFormat="1" ht="15" x14ac:dyDescent="0.25">
      <c r="A43" s="48" t="s">
        <v>50</v>
      </c>
      <c r="B43" s="49">
        <f>+SUM(B44:B46)</f>
        <v>31489594</v>
      </c>
      <c r="C43" s="49"/>
      <c r="D43" s="49"/>
      <c r="E43" s="49"/>
      <c r="F43" s="49"/>
      <c r="G43" s="49">
        <f>+SUM(G44:G46)</f>
        <v>31489594</v>
      </c>
      <c r="H43" s="49"/>
      <c r="I43" s="49">
        <f>+SUM(I44:I46)</f>
        <v>31489594</v>
      </c>
      <c r="J43" s="49">
        <f>+SUM(J44:J46)</f>
        <v>27815534</v>
      </c>
      <c r="K43" s="49">
        <f t="shared" si="2"/>
        <v>-3674060</v>
      </c>
      <c r="L43" s="50">
        <f t="shared" si="3"/>
        <v>0.88332463098762082</v>
      </c>
    </row>
    <row r="44" spans="1:12" s="51" customFormat="1" ht="15" hidden="1" outlineLevel="1" x14ac:dyDescent="0.25">
      <c r="A44" s="52" t="s">
        <v>51</v>
      </c>
      <c r="B44" s="18">
        <f>+[2]Oscar!$D$24</f>
        <v>9572889</v>
      </c>
      <c r="C44" s="49"/>
      <c r="D44" s="49"/>
      <c r="E44" s="49"/>
      <c r="F44" s="49"/>
      <c r="G44" s="27">
        <f>+B44+C44+D44+E44+F44</f>
        <v>9572889</v>
      </c>
      <c r="H44" s="49"/>
      <c r="I44" s="53">
        <f>+G44+H44</f>
        <v>9572889</v>
      </c>
      <c r="J44" s="53">
        <v>9572889</v>
      </c>
      <c r="K44" s="53">
        <f t="shared" si="2"/>
        <v>0</v>
      </c>
      <c r="L44" s="54">
        <f t="shared" si="3"/>
        <v>1</v>
      </c>
    </row>
    <row r="45" spans="1:12" s="51" customFormat="1" ht="15" hidden="1" outlineLevel="1" x14ac:dyDescent="0.25">
      <c r="A45" s="52" t="s">
        <v>52</v>
      </c>
      <c r="B45" s="18">
        <f>+[2]Oscar!$D$25</f>
        <v>3500000</v>
      </c>
      <c r="C45" s="49"/>
      <c r="D45" s="49"/>
      <c r="E45" s="49"/>
      <c r="F45" s="49"/>
      <c r="G45" s="27">
        <f>+B45+C45+D45+E45+F45</f>
        <v>3500000</v>
      </c>
      <c r="H45" s="49"/>
      <c r="I45" s="53">
        <f>+G45+H45</f>
        <v>3500000</v>
      </c>
      <c r="J45" s="53">
        <v>0</v>
      </c>
      <c r="K45" s="53">
        <f t="shared" si="2"/>
        <v>-3500000</v>
      </c>
      <c r="L45" s="54">
        <f t="shared" si="3"/>
        <v>0</v>
      </c>
    </row>
    <row r="46" spans="1:12" s="51" customFormat="1" ht="15" hidden="1" outlineLevel="1" x14ac:dyDescent="0.25">
      <c r="A46" s="52" t="s">
        <v>53</v>
      </c>
      <c r="B46" s="18">
        <f>+[2]Oscar!$D$26</f>
        <v>18416705</v>
      </c>
      <c r="C46" s="49"/>
      <c r="D46" s="49"/>
      <c r="E46" s="49"/>
      <c r="F46" s="49"/>
      <c r="G46" s="27">
        <f>+B46+C46+D46+E46+F46</f>
        <v>18416705</v>
      </c>
      <c r="H46" s="49"/>
      <c r="I46" s="53">
        <f>+G46+H46</f>
        <v>18416705</v>
      </c>
      <c r="J46" s="53">
        <v>18242645</v>
      </c>
      <c r="K46" s="53">
        <f t="shared" si="2"/>
        <v>-174060</v>
      </c>
      <c r="L46" s="54">
        <f t="shared" si="3"/>
        <v>0.99054879795272821</v>
      </c>
    </row>
    <row r="47" spans="1:12" s="47" customFormat="1" ht="15" collapsed="1" x14ac:dyDescent="0.25">
      <c r="A47" s="44" t="s">
        <v>54</v>
      </c>
      <c r="B47" s="45"/>
      <c r="C47" s="45"/>
      <c r="D47" s="45"/>
      <c r="E47" s="45"/>
      <c r="F47" s="45">
        <f>+F48+F55+F80+F61+F66+F69+F72</f>
        <v>1713269897</v>
      </c>
      <c r="G47" s="45">
        <f>+G48+G55+G80+G61+G66+G69+G72</f>
        <v>1713269897</v>
      </c>
      <c r="H47" s="45"/>
      <c r="I47" s="45">
        <f>+I48+I55+I80+I61+I66+I69+I72</f>
        <v>1713269897</v>
      </c>
      <c r="J47" s="45">
        <f>+J48+J55+J80+J61+J66+J69+J72</f>
        <v>1692385541</v>
      </c>
      <c r="K47" s="45">
        <f t="shared" si="2"/>
        <v>-20884356</v>
      </c>
      <c r="L47" s="46">
        <f t="shared" si="3"/>
        <v>0.98781023583232896</v>
      </c>
    </row>
    <row r="48" spans="1:12" ht="15" x14ac:dyDescent="0.25">
      <c r="A48" s="48" t="s">
        <v>55</v>
      </c>
      <c r="B48" s="55"/>
      <c r="C48" s="27"/>
      <c r="D48" s="27"/>
      <c r="E48" s="27"/>
      <c r="F48" s="15">
        <f>SUM(F49:F54)</f>
        <v>127666594</v>
      </c>
      <c r="G48" s="15">
        <f>SUM(G49:G54)</f>
        <v>127666594</v>
      </c>
      <c r="H48" s="27"/>
      <c r="I48" s="15">
        <f>SUM(I49:I54)</f>
        <v>127666594</v>
      </c>
      <c r="J48" s="15">
        <f>SUM(J49:J54)</f>
        <v>126686594</v>
      </c>
      <c r="K48" s="15">
        <f t="shared" si="2"/>
        <v>-980000</v>
      </c>
      <c r="L48" s="50">
        <f t="shared" si="3"/>
        <v>0.99232375542187645</v>
      </c>
    </row>
    <row r="49" spans="1:12" ht="15" hidden="1" outlineLevel="1" x14ac:dyDescent="0.25">
      <c r="A49" s="52" t="s">
        <v>56</v>
      </c>
      <c r="B49" s="55"/>
      <c r="C49" s="27"/>
      <c r="D49" s="27"/>
      <c r="E49" s="27"/>
      <c r="F49" s="19">
        <v>41378858</v>
      </c>
      <c r="G49" s="53">
        <f>+B49+C49+D49+E49+F49</f>
        <v>41378858</v>
      </c>
      <c r="H49" s="27"/>
      <c r="I49" s="53">
        <f t="shared" ref="I49:I54" si="8">+H49+G49</f>
        <v>41378858</v>
      </c>
      <c r="J49" s="53">
        <v>41378858</v>
      </c>
      <c r="K49" s="53">
        <f t="shared" si="2"/>
        <v>0</v>
      </c>
      <c r="L49" s="54">
        <f t="shared" si="3"/>
        <v>1</v>
      </c>
    </row>
    <row r="50" spans="1:12" ht="15" hidden="1" outlineLevel="1" x14ac:dyDescent="0.25">
      <c r="A50" s="52" t="s">
        <v>57</v>
      </c>
      <c r="B50" s="55"/>
      <c r="C50" s="27"/>
      <c r="D50" s="27"/>
      <c r="E50" s="27"/>
      <c r="F50" s="19">
        <v>0</v>
      </c>
      <c r="G50" s="53">
        <f>+B50+C50+D50+E50+F50</f>
        <v>0</v>
      </c>
      <c r="H50" s="27"/>
      <c r="I50" s="53">
        <f t="shared" si="8"/>
        <v>0</v>
      </c>
      <c r="J50" s="53">
        <v>0</v>
      </c>
      <c r="K50" s="53">
        <f t="shared" si="2"/>
        <v>0</v>
      </c>
      <c r="L50" s="54">
        <f t="shared" si="3"/>
        <v>0</v>
      </c>
    </row>
    <row r="51" spans="1:12" ht="15" hidden="1" outlineLevel="1" x14ac:dyDescent="0.25">
      <c r="A51" s="52" t="s">
        <v>58</v>
      </c>
      <c r="B51" s="55"/>
      <c r="C51" s="27"/>
      <c r="D51" s="27"/>
      <c r="E51" s="27"/>
      <c r="F51" s="19">
        <v>0</v>
      </c>
      <c r="G51" s="53">
        <f>+B51+C51+D51+E51+F51</f>
        <v>0</v>
      </c>
      <c r="H51" s="27"/>
      <c r="I51" s="53">
        <f t="shared" si="8"/>
        <v>0</v>
      </c>
      <c r="J51" s="53">
        <v>0</v>
      </c>
      <c r="K51" s="53">
        <f t="shared" si="2"/>
        <v>0</v>
      </c>
      <c r="L51" s="54">
        <f t="shared" si="3"/>
        <v>0</v>
      </c>
    </row>
    <row r="52" spans="1:12" ht="15" hidden="1" outlineLevel="1" x14ac:dyDescent="0.25">
      <c r="A52" s="52" t="s">
        <v>59</v>
      </c>
      <c r="B52" s="55"/>
      <c r="C52" s="27"/>
      <c r="D52" s="27"/>
      <c r="E52" s="27"/>
      <c r="F52" s="19">
        <f>+'[3]Anexo 2 '!$N$51</f>
        <v>40000000</v>
      </c>
      <c r="G52" s="53">
        <f>+B52+C52+D52+E52+F52-30000000</f>
        <v>10000000</v>
      </c>
      <c r="H52" s="27"/>
      <c r="I52" s="53">
        <f>+H52+G52</f>
        <v>10000000</v>
      </c>
      <c r="J52" s="53">
        <v>10000000</v>
      </c>
      <c r="K52" s="53">
        <f t="shared" si="2"/>
        <v>0</v>
      </c>
      <c r="L52" s="54">
        <f t="shared" si="3"/>
        <v>1</v>
      </c>
    </row>
    <row r="53" spans="1:12" ht="15" hidden="1" outlineLevel="1" x14ac:dyDescent="0.25">
      <c r="A53" s="52" t="s">
        <v>60</v>
      </c>
      <c r="B53" s="55"/>
      <c r="C53" s="27"/>
      <c r="D53" s="27"/>
      <c r="E53" s="27"/>
      <c r="F53" s="19">
        <f>+'[3]Anexo 2 '!$N$52</f>
        <v>6287736</v>
      </c>
      <c r="G53" s="53">
        <f>+B53+C53+D53+E53+F53</f>
        <v>6287736</v>
      </c>
      <c r="H53" s="27"/>
      <c r="I53" s="53">
        <f t="shared" si="8"/>
        <v>6287736</v>
      </c>
      <c r="J53" s="53">
        <v>6287736</v>
      </c>
      <c r="K53" s="53">
        <f t="shared" si="2"/>
        <v>0</v>
      </c>
      <c r="L53" s="54">
        <f t="shared" si="3"/>
        <v>1</v>
      </c>
    </row>
    <row r="54" spans="1:12" ht="15" hidden="1" outlineLevel="1" x14ac:dyDescent="0.25">
      <c r="A54" s="52" t="s">
        <v>61</v>
      </c>
      <c r="B54" s="55"/>
      <c r="C54" s="27"/>
      <c r="D54" s="27"/>
      <c r="E54" s="27"/>
      <c r="F54" s="19">
        <f>+'[3]Anexo 2 '!$N$53</f>
        <v>40000000</v>
      </c>
      <c r="G54" s="53">
        <f>+B54+C54+D54+E54+F54+30000000</f>
        <v>70000000</v>
      </c>
      <c r="H54" s="27"/>
      <c r="I54" s="53">
        <f t="shared" si="8"/>
        <v>70000000</v>
      </c>
      <c r="J54" s="53">
        <v>69020000</v>
      </c>
      <c r="K54" s="53">
        <f t="shared" si="2"/>
        <v>-980000</v>
      </c>
      <c r="L54" s="54">
        <f t="shared" si="3"/>
        <v>0.98599999999999999</v>
      </c>
    </row>
    <row r="55" spans="1:12" ht="15" collapsed="1" x14ac:dyDescent="0.25">
      <c r="A55" s="56" t="s">
        <v>62</v>
      </c>
      <c r="B55" s="55"/>
      <c r="C55" s="27"/>
      <c r="D55" s="27"/>
      <c r="E55" s="27"/>
      <c r="F55" s="15">
        <f>SUM(F56:F60)</f>
        <v>161718455</v>
      </c>
      <c r="G55" s="15">
        <f>SUM(G56:G60)</f>
        <v>161718455</v>
      </c>
      <c r="H55" s="27"/>
      <c r="I55" s="15">
        <f>SUM(I56:I60)</f>
        <v>161718455</v>
      </c>
      <c r="J55" s="15">
        <f>SUM(J56:J60)</f>
        <v>159801011</v>
      </c>
      <c r="K55" s="15">
        <f t="shared" si="2"/>
        <v>-1917444</v>
      </c>
      <c r="L55" s="50">
        <f t="shared" si="3"/>
        <v>0.98814331982085779</v>
      </c>
    </row>
    <row r="56" spans="1:12" ht="15" hidden="1" outlineLevel="1" x14ac:dyDescent="0.25">
      <c r="A56" s="57" t="s">
        <v>63</v>
      </c>
      <c r="B56" s="55"/>
      <c r="C56" s="27"/>
      <c r="D56" s="27"/>
      <c r="E56" s="27"/>
      <c r="F56" s="19">
        <f>+'[3]Anexo 2 '!$N$55</f>
        <v>73800000</v>
      </c>
      <c r="G56" s="53">
        <f>+B56+C56+D56+E56+F56</f>
        <v>73800000</v>
      </c>
      <c r="H56" s="27"/>
      <c r="I56" s="53">
        <f t="shared" ref="I56:I71" si="9">+H56+G56</f>
        <v>73800000</v>
      </c>
      <c r="J56" s="53">
        <v>73800000</v>
      </c>
      <c r="K56" s="53">
        <f t="shared" si="2"/>
        <v>0</v>
      </c>
      <c r="L56" s="54">
        <f t="shared" si="3"/>
        <v>1</v>
      </c>
    </row>
    <row r="57" spans="1:12" ht="15" hidden="1" outlineLevel="1" x14ac:dyDescent="0.25">
      <c r="A57" s="57" t="s">
        <v>64</v>
      </c>
      <c r="B57" s="55"/>
      <c r="C57" s="27"/>
      <c r="D57" s="27"/>
      <c r="E57" s="27"/>
      <c r="F57" s="19">
        <f>+'[3]Anexo 2 '!$N$56</f>
        <v>36000000</v>
      </c>
      <c r="G57" s="53">
        <f>+B57+C57+D57+E57+F57</f>
        <v>36000000</v>
      </c>
      <c r="H57" s="27"/>
      <c r="I57" s="53">
        <f t="shared" si="9"/>
        <v>36000000</v>
      </c>
      <c r="J57" s="53">
        <v>36000000</v>
      </c>
      <c r="K57" s="53">
        <f t="shared" si="2"/>
        <v>0</v>
      </c>
      <c r="L57" s="54">
        <f t="shared" si="3"/>
        <v>1</v>
      </c>
    </row>
    <row r="58" spans="1:12" ht="15" hidden="1" outlineLevel="1" x14ac:dyDescent="0.25">
      <c r="A58" s="57" t="s">
        <v>65</v>
      </c>
      <c r="B58" s="55"/>
      <c r="C58" s="27"/>
      <c r="D58" s="27"/>
      <c r="E58" s="27"/>
      <c r="F58" s="19">
        <f>+'[3]Anexo 2 '!$N$57+12600000</f>
        <v>42400000</v>
      </c>
      <c r="G58" s="53">
        <f>+B58+C58+D58+E58+F58</f>
        <v>42400000</v>
      </c>
      <c r="H58" s="27"/>
      <c r="I58" s="53">
        <f t="shared" si="9"/>
        <v>42400000</v>
      </c>
      <c r="J58" s="53">
        <v>41717737</v>
      </c>
      <c r="K58" s="53">
        <f t="shared" si="2"/>
        <v>-682263</v>
      </c>
      <c r="L58" s="54">
        <f t="shared" si="3"/>
        <v>0.98390889150943395</v>
      </c>
    </row>
    <row r="59" spans="1:12" ht="15" hidden="1" outlineLevel="1" x14ac:dyDescent="0.25">
      <c r="A59" s="57" t="s">
        <v>66</v>
      </c>
      <c r="B59" s="55"/>
      <c r="C59" s="27"/>
      <c r="D59" s="27"/>
      <c r="E59" s="27"/>
      <c r="F59" s="19"/>
      <c r="G59" s="53">
        <f>+B59+C59+D59+E59+F59</f>
        <v>0</v>
      </c>
      <c r="H59" s="27"/>
      <c r="I59" s="53">
        <f t="shared" si="9"/>
        <v>0</v>
      </c>
      <c r="J59" s="53">
        <v>0</v>
      </c>
      <c r="K59" s="53">
        <f t="shared" si="2"/>
        <v>0</v>
      </c>
      <c r="L59" s="54">
        <f t="shared" si="3"/>
        <v>0</v>
      </c>
    </row>
    <row r="60" spans="1:12" ht="15" hidden="1" outlineLevel="1" x14ac:dyDescent="0.25">
      <c r="A60" s="57" t="s">
        <v>67</v>
      </c>
      <c r="B60" s="55"/>
      <c r="C60" s="27"/>
      <c r="D60" s="27"/>
      <c r="E60" s="27"/>
      <c r="F60" s="19">
        <f>+'[3]Anexo 2 '!$N$59</f>
        <v>9518455</v>
      </c>
      <c r="G60" s="53">
        <f t="shared" ref="G60:G71" si="10">+B60+C60+D60+E60+F60</f>
        <v>9518455</v>
      </c>
      <c r="H60" s="27"/>
      <c r="I60" s="53">
        <f t="shared" si="9"/>
        <v>9518455</v>
      </c>
      <c r="J60" s="53">
        <v>8283274</v>
      </c>
      <c r="K60" s="53">
        <f t="shared" si="2"/>
        <v>-1235181</v>
      </c>
      <c r="L60" s="54">
        <f t="shared" si="3"/>
        <v>0.87023303676909747</v>
      </c>
    </row>
    <row r="61" spans="1:12" ht="15" collapsed="1" x14ac:dyDescent="0.25">
      <c r="A61" s="58" t="s">
        <v>68</v>
      </c>
      <c r="B61" s="55"/>
      <c r="C61" s="27"/>
      <c r="D61" s="27"/>
      <c r="E61" s="27"/>
      <c r="F61" s="15">
        <f>SUM(F62:F65)</f>
        <v>975933816</v>
      </c>
      <c r="G61" s="15">
        <f>SUM(G62:G65)</f>
        <v>975933816</v>
      </c>
      <c r="H61" s="27"/>
      <c r="I61" s="15">
        <f>SUM(I62:I65)</f>
        <v>975933816</v>
      </c>
      <c r="J61" s="15">
        <f>SUM(J62:J65)</f>
        <v>974354177</v>
      </c>
      <c r="K61" s="15">
        <f t="shared" si="2"/>
        <v>-1579639</v>
      </c>
      <c r="L61" s="50">
        <f t="shared" si="3"/>
        <v>0.99838140765889805</v>
      </c>
    </row>
    <row r="62" spans="1:12" ht="15" hidden="1" outlineLevel="1" x14ac:dyDescent="0.25">
      <c r="A62" s="52" t="s">
        <v>69</v>
      </c>
      <c r="B62" s="55"/>
      <c r="C62" s="27"/>
      <c r="D62" s="27"/>
      <c r="E62" s="27"/>
      <c r="F62" s="19">
        <f>+'[3]Anexo 2 '!$N$61+174624453</f>
        <v>921624453</v>
      </c>
      <c r="G62" s="53">
        <f>+B62+C62+D62+E62+F62</f>
        <v>921624453</v>
      </c>
      <c r="H62" s="27"/>
      <c r="I62" s="53">
        <f t="shared" si="9"/>
        <v>921624453</v>
      </c>
      <c r="J62" s="53">
        <v>920064814</v>
      </c>
      <c r="K62" s="53">
        <f t="shared" si="2"/>
        <v>-1559639</v>
      </c>
      <c r="L62" s="54">
        <f t="shared" si="3"/>
        <v>0.99830772827812542</v>
      </c>
    </row>
    <row r="63" spans="1:12" ht="15" hidden="1" outlineLevel="1" x14ac:dyDescent="0.25">
      <c r="A63" s="52" t="s">
        <v>70</v>
      </c>
      <c r="B63" s="55"/>
      <c r="C63" s="27"/>
      <c r="D63" s="27"/>
      <c r="E63" s="27"/>
      <c r="F63" s="19">
        <v>25576000</v>
      </c>
      <c r="G63" s="53">
        <f t="shared" si="10"/>
        <v>25576000</v>
      </c>
      <c r="H63" s="27"/>
      <c r="I63" s="53">
        <f t="shared" si="9"/>
        <v>25576000</v>
      </c>
      <c r="J63" s="53">
        <v>25576000</v>
      </c>
      <c r="K63" s="53">
        <f t="shared" si="2"/>
        <v>0</v>
      </c>
      <c r="L63" s="54">
        <f t="shared" si="3"/>
        <v>1</v>
      </c>
    </row>
    <row r="64" spans="1:12" ht="15" hidden="1" outlineLevel="1" x14ac:dyDescent="0.25">
      <c r="A64" s="52" t="s">
        <v>71</v>
      </c>
      <c r="B64" s="55"/>
      <c r="C64" s="27"/>
      <c r="D64" s="27"/>
      <c r="E64" s="27"/>
      <c r="F64" s="19">
        <f>+'[3]Anexo 2 '!$N$63</f>
        <v>15100000</v>
      </c>
      <c r="G64" s="53">
        <f t="shared" si="10"/>
        <v>15100000</v>
      </c>
      <c r="H64" s="27"/>
      <c r="I64" s="53">
        <f t="shared" si="9"/>
        <v>15100000</v>
      </c>
      <c r="J64" s="53">
        <v>15080000</v>
      </c>
      <c r="K64" s="53">
        <f t="shared" si="2"/>
        <v>-20000</v>
      </c>
      <c r="L64" s="54">
        <f t="shared" si="3"/>
        <v>0.99867549668874167</v>
      </c>
    </row>
    <row r="65" spans="1:12" ht="15" hidden="1" outlineLevel="1" x14ac:dyDescent="0.25">
      <c r="A65" s="59" t="s">
        <v>72</v>
      </c>
      <c r="B65" s="55"/>
      <c r="C65" s="27"/>
      <c r="D65" s="27"/>
      <c r="E65" s="27"/>
      <c r="F65" s="19">
        <f>+'[3]Anexo 2 '!$N$64</f>
        <v>13633363</v>
      </c>
      <c r="G65" s="53">
        <f t="shared" si="10"/>
        <v>13633363</v>
      </c>
      <c r="H65" s="27"/>
      <c r="I65" s="53">
        <f t="shared" si="9"/>
        <v>13633363</v>
      </c>
      <c r="J65" s="53">
        <v>13633363</v>
      </c>
      <c r="K65" s="53">
        <f t="shared" si="2"/>
        <v>0</v>
      </c>
      <c r="L65" s="54">
        <f t="shared" si="3"/>
        <v>1</v>
      </c>
    </row>
    <row r="66" spans="1:12" ht="15" collapsed="1" x14ac:dyDescent="0.25">
      <c r="A66" s="60" t="s">
        <v>73</v>
      </c>
      <c r="B66" s="55"/>
      <c r="C66" s="27"/>
      <c r="D66" s="27"/>
      <c r="E66" s="27"/>
      <c r="F66" s="15">
        <f>+SUM(F67:F68)</f>
        <v>50000000</v>
      </c>
      <c r="G66" s="15">
        <f>+SUM(G67:G68)</f>
        <v>50000000</v>
      </c>
      <c r="H66" s="27"/>
      <c r="I66" s="15">
        <f>+SUM(I67:I68)</f>
        <v>50000000</v>
      </c>
      <c r="J66" s="15">
        <f>+SUM(J67:J68)</f>
        <v>49985760</v>
      </c>
      <c r="K66" s="15">
        <f t="shared" si="2"/>
        <v>-14240</v>
      </c>
      <c r="L66" s="50">
        <f t="shared" si="3"/>
        <v>0.99971520000000003</v>
      </c>
    </row>
    <row r="67" spans="1:12" ht="15" hidden="1" outlineLevel="1" x14ac:dyDescent="0.25">
      <c r="A67" s="52" t="s">
        <v>74</v>
      </c>
      <c r="B67" s="55"/>
      <c r="C67" s="27"/>
      <c r="D67" s="27"/>
      <c r="E67" s="27"/>
      <c r="F67" s="19">
        <f>+'[3]Anexo 2 '!$N$66</f>
        <v>20000000</v>
      </c>
      <c r="G67" s="53">
        <f t="shared" si="10"/>
        <v>20000000</v>
      </c>
      <c r="H67" s="27"/>
      <c r="I67" s="53">
        <f t="shared" si="9"/>
        <v>20000000</v>
      </c>
      <c r="J67" s="53">
        <v>20000000</v>
      </c>
      <c r="K67" s="53">
        <f t="shared" si="2"/>
        <v>0</v>
      </c>
      <c r="L67" s="54">
        <f t="shared" si="3"/>
        <v>1</v>
      </c>
    </row>
    <row r="68" spans="1:12" ht="15" hidden="1" outlineLevel="1" x14ac:dyDescent="0.25">
      <c r="A68" s="52" t="s">
        <v>75</v>
      </c>
      <c r="B68" s="55"/>
      <c r="C68" s="27"/>
      <c r="D68" s="27"/>
      <c r="E68" s="27"/>
      <c r="F68" s="19">
        <f>+'[3]Anexo 2 '!$N$67</f>
        <v>30000000</v>
      </c>
      <c r="G68" s="53">
        <f t="shared" si="10"/>
        <v>30000000</v>
      </c>
      <c r="H68" s="27"/>
      <c r="I68" s="53">
        <f t="shared" si="9"/>
        <v>30000000</v>
      </c>
      <c r="J68" s="53">
        <v>29985760</v>
      </c>
      <c r="K68" s="53">
        <f t="shared" si="2"/>
        <v>-14240</v>
      </c>
      <c r="L68" s="54">
        <f t="shared" si="3"/>
        <v>0.99952533333333338</v>
      </c>
    </row>
    <row r="69" spans="1:12" ht="15" collapsed="1" x14ac:dyDescent="0.25">
      <c r="A69" s="58" t="s">
        <v>76</v>
      </c>
      <c r="B69" s="55"/>
      <c r="C69" s="27"/>
      <c r="D69" s="27"/>
      <c r="E69" s="27"/>
      <c r="F69" s="15">
        <f>+SUM(F70:F71)</f>
        <v>60863603</v>
      </c>
      <c r="G69" s="15">
        <f>+SUM(G70:G71)</f>
        <v>60863603</v>
      </c>
      <c r="H69" s="27"/>
      <c r="I69" s="15">
        <f>+SUM(I70:I71)</f>
        <v>60863603</v>
      </c>
      <c r="J69" s="15">
        <f>+SUM(J70:J71)</f>
        <v>52299958</v>
      </c>
      <c r="K69" s="15">
        <f t="shared" si="2"/>
        <v>-8563645</v>
      </c>
      <c r="L69" s="50">
        <f t="shared" si="3"/>
        <v>0.85929776454410689</v>
      </c>
    </row>
    <row r="70" spans="1:12" ht="15" hidden="1" outlineLevel="1" x14ac:dyDescent="0.25">
      <c r="A70" s="52" t="s">
        <v>77</v>
      </c>
      <c r="B70" s="55"/>
      <c r="C70" s="27"/>
      <c r="D70" s="27"/>
      <c r="E70" s="27"/>
      <c r="F70" s="53">
        <f>+'[3]Anexo 2 '!$N$69</f>
        <v>42863603</v>
      </c>
      <c r="G70" s="53">
        <f t="shared" si="10"/>
        <v>42863603</v>
      </c>
      <c r="H70" s="27"/>
      <c r="I70" s="53">
        <f t="shared" si="9"/>
        <v>42863603</v>
      </c>
      <c r="J70" s="53">
        <v>34299958</v>
      </c>
      <c r="K70" s="53">
        <f t="shared" si="2"/>
        <v>-8563645</v>
      </c>
      <c r="L70" s="54">
        <f t="shared" si="3"/>
        <v>0.80021173208421137</v>
      </c>
    </row>
    <row r="71" spans="1:12" ht="15" hidden="1" outlineLevel="1" x14ac:dyDescent="0.25">
      <c r="A71" s="52" t="s">
        <v>78</v>
      </c>
      <c r="B71" s="55"/>
      <c r="C71" s="27"/>
      <c r="D71" s="27"/>
      <c r="E71" s="27"/>
      <c r="F71" s="53">
        <v>18000000</v>
      </c>
      <c r="G71" s="53">
        <f t="shared" si="10"/>
        <v>18000000</v>
      </c>
      <c r="H71" s="27"/>
      <c r="I71" s="53">
        <f t="shared" si="9"/>
        <v>18000000</v>
      </c>
      <c r="J71" s="53">
        <v>18000000</v>
      </c>
      <c r="K71" s="53">
        <f t="shared" si="2"/>
        <v>0</v>
      </c>
      <c r="L71" s="54">
        <f t="shared" si="3"/>
        <v>1</v>
      </c>
    </row>
    <row r="72" spans="1:12" ht="15" collapsed="1" x14ac:dyDescent="0.25">
      <c r="A72" s="60" t="s">
        <v>79</v>
      </c>
      <c r="B72" s="61"/>
      <c r="C72" s="62"/>
      <c r="D72" s="62"/>
      <c r="E72" s="62"/>
      <c r="F72" s="15">
        <f>SUM(F73:F79)</f>
        <v>291820646</v>
      </c>
      <c r="G72" s="15">
        <f>SUM(G73:G79)</f>
        <v>291820646</v>
      </c>
      <c r="H72" s="62"/>
      <c r="I72" s="15">
        <f>SUM(I73:I79)</f>
        <v>291820646</v>
      </c>
      <c r="J72" s="15">
        <f>SUM(J73:J79)</f>
        <v>290092621</v>
      </c>
      <c r="K72" s="15">
        <f t="shared" si="2"/>
        <v>-1728025</v>
      </c>
      <c r="L72" s="50">
        <f t="shared" si="3"/>
        <v>0.994078469005925</v>
      </c>
    </row>
    <row r="73" spans="1:12" ht="15" hidden="1" outlineLevel="1" x14ac:dyDescent="0.25">
      <c r="A73" s="52" t="s">
        <v>80</v>
      </c>
      <c r="B73" s="55"/>
      <c r="C73" s="27"/>
      <c r="D73" s="27"/>
      <c r="E73" s="27"/>
      <c r="F73" s="19">
        <f>+'[3]Anexo 2 '!$N$72</f>
        <v>18760000</v>
      </c>
      <c r="G73" s="53">
        <f t="shared" ref="G73:G79" si="11">+B73+C73+D73+E73+F73</f>
        <v>18760000</v>
      </c>
      <c r="H73" s="27"/>
      <c r="I73" s="53">
        <f t="shared" ref="I73:I79" si="12">+H73+G73</f>
        <v>18760000</v>
      </c>
      <c r="J73" s="53">
        <v>18061999</v>
      </c>
      <c r="K73" s="53">
        <f t="shared" si="2"/>
        <v>-698001</v>
      </c>
      <c r="L73" s="50">
        <f t="shared" si="3"/>
        <v>0.96279312366737735</v>
      </c>
    </row>
    <row r="74" spans="1:12" ht="15" hidden="1" outlineLevel="1" x14ac:dyDescent="0.25">
      <c r="A74" s="52" t="s">
        <v>81</v>
      </c>
      <c r="B74" s="55"/>
      <c r="C74" s="27"/>
      <c r="D74" s="27"/>
      <c r="E74" s="27"/>
      <c r="F74" s="19">
        <v>88060646</v>
      </c>
      <c r="G74" s="53">
        <f t="shared" si="11"/>
        <v>88060646</v>
      </c>
      <c r="H74" s="27"/>
      <c r="I74" s="53">
        <f t="shared" si="12"/>
        <v>88060646</v>
      </c>
      <c r="J74" s="53">
        <v>87573122</v>
      </c>
      <c r="K74" s="53">
        <f t="shared" ref="K74:K137" si="13">+J74-I74</f>
        <v>-487524</v>
      </c>
      <c r="L74" s="50">
        <f t="shared" ref="L74:L137" si="14">IFERROR(J74/I74,0)</f>
        <v>0.99446376988876506</v>
      </c>
    </row>
    <row r="75" spans="1:12" ht="15" hidden="1" outlineLevel="1" x14ac:dyDescent="0.25">
      <c r="A75" s="52" t="s">
        <v>82</v>
      </c>
      <c r="B75" s="55"/>
      <c r="C75" s="27"/>
      <c r="D75" s="27"/>
      <c r="E75" s="27"/>
      <c r="F75" s="19">
        <f>+'[3]Anexo 2 '!$N$74</f>
        <v>90000000</v>
      </c>
      <c r="G75" s="53">
        <f t="shared" si="11"/>
        <v>90000000</v>
      </c>
      <c r="H75" s="27"/>
      <c r="I75" s="53">
        <f t="shared" si="12"/>
        <v>90000000</v>
      </c>
      <c r="J75" s="53">
        <v>90000000</v>
      </c>
      <c r="K75" s="53">
        <f t="shared" si="13"/>
        <v>0</v>
      </c>
      <c r="L75" s="50">
        <f t="shared" si="14"/>
        <v>1</v>
      </c>
    </row>
    <row r="76" spans="1:12" ht="15" hidden="1" outlineLevel="1" x14ac:dyDescent="0.25">
      <c r="A76" s="52" t="s">
        <v>83</v>
      </c>
      <c r="B76" s="55"/>
      <c r="C76" s="27"/>
      <c r="D76" s="27"/>
      <c r="E76" s="27"/>
      <c r="F76" s="19">
        <f>+'[3]Anexo 2 '!$N$75</f>
        <v>45000000</v>
      </c>
      <c r="G76" s="53">
        <f t="shared" si="11"/>
        <v>45000000</v>
      </c>
      <c r="H76" s="27"/>
      <c r="I76" s="53">
        <f t="shared" si="12"/>
        <v>45000000</v>
      </c>
      <c r="J76" s="53">
        <v>45000000</v>
      </c>
      <c r="K76" s="53">
        <f t="shared" si="13"/>
        <v>0</v>
      </c>
      <c r="L76" s="50">
        <f t="shared" si="14"/>
        <v>1</v>
      </c>
    </row>
    <row r="77" spans="1:12" ht="15" hidden="1" outlineLevel="1" x14ac:dyDescent="0.25">
      <c r="A77" s="52" t="s">
        <v>84</v>
      </c>
      <c r="B77" s="55"/>
      <c r="C77" s="27"/>
      <c r="D77" s="27"/>
      <c r="E77" s="27"/>
      <c r="F77" s="19"/>
      <c r="G77" s="53">
        <f t="shared" si="11"/>
        <v>0</v>
      </c>
      <c r="H77" s="27"/>
      <c r="I77" s="53">
        <f t="shared" si="12"/>
        <v>0</v>
      </c>
      <c r="J77" s="53">
        <v>0</v>
      </c>
      <c r="K77" s="53">
        <f t="shared" si="13"/>
        <v>0</v>
      </c>
      <c r="L77" s="50">
        <f t="shared" si="14"/>
        <v>0</v>
      </c>
    </row>
    <row r="78" spans="1:12" ht="15" hidden="1" outlineLevel="1" x14ac:dyDescent="0.25">
      <c r="A78" s="52" t="s">
        <v>85</v>
      </c>
      <c r="B78" s="55"/>
      <c r="C78" s="27"/>
      <c r="D78" s="27"/>
      <c r="E78" s="27"/>
      <c r="F78" s="19"/>
      <c r="G78" s="53">
        <f t="shared" si="11"/>
        <v>0</v>
      </c>
      <c r="H78" s="27"/>
      <c r="I78" s="53">
        <f t="shared" si="12"/>
        <v>0</v>
      </c>
      <c r="J78" s="53">
        <v>0</v>
      </c>
      <c r="K78" s="53">
        <f t="shared" si="13"/>
        <v>0</v>
      </c>
      <c r="L78" s="50">
        <f t="shared" si="14"/>
        <v>0</v>
      </c>
    </row>
    <row r="79" spans="1:12" ht="15" hidden="1" outlineLevel="1" x14ac:dyDescent="0.25">
      <c r="A79" s="63" t="s">
        <v>86</v>
      </c>
      <c r="B79" s="55"/>
      <c r="C79" s="27"/>
      <c r="D79" s="27"/>
      <c r="E79" s="27"/>
      <c r="F79" s="19">
        <f>+'[3]Anexo 2 '!$N$78</f>
        <v>50000000</v>
      </c>
      <c r="G79" s="53">
        <f t="shared" si="11"/>
        <v>50000000</v>
      </c>
      <c r="H79" s="27"/>
      <c r="I79" s="53">
        <f t="shared" si="12"/>
        <v>50000000</v>
      </c>
      <c r="J79" s="53">
        <v>49457500</v>
      </c>
      <c r="K79" s="53">
        <f t="shared" si="13"/>
        <v>-542500</v>
      </c>
      <c r="L79" s="50">
        <f t="shared" si="14"/>
        <v>0.98914999999999997</v>
      </c>
    </row>
    <row r="80" spans="1:12" ht="17.25" customHeight="1" collapsed="1" x14ac:dyDescent="0.25">
      <c r="A80" s="58" t="s">
        <v>87</v>
      </c>
      <c r="B80" s="55"/>
      <c r="C80" s="27"/>
      <c r="D80" s="27"/>
      <c r="E80" s="27"/>
      <c r="F80" s="15">
        <f>SUM(F81:F84)</f>
        <v>45266783</v>
      </c>
      <c r="G80" s="15">
        <f>SUM(G81:G84)</f>
        <v>45266783</v>
      </c>
      <c r="H80" s="27"/>
      <c r="I80" s="15">
        <f>SUM(I81:I84)</f>
        <v>45266783</v>
      </c>
      <c r="J80" s="15">
        <f>SUM(J81:J84)</f>
        <v>39165420</v>
      </c>
      <c r="K80" s="15">
        <f t="shared" si="13"/>
        <v>-6101363</v>
      </c>
      <c r="L80" s="50">
        <f t="shared" si="14"/>
        <v>0.8652132403577254</v>
      </c>
    </row>
    <row r="81" spans="1:13" ht="15" hidden="1" outlineLevel="1" x14ac:dyDescent="0.25">
      <c r="A81" s="52" t="s">
        <v>88</v>
      </c>
      <c r="B81" s="55"/>
      <c r="C81" s="27"/>
      <c r="D81" s="27"/>
      <c r="E81" s="27"/>
      <c r="F81" s="19">
        <f>+'[3]Anexo 2 '!$N$80</f>
        <v>9000000</v>
      </c>
      <c r="G81" s="53">
        <f>+B81+C81+D81+E81+F81</f>
        <v>9000000</v>
      </c>
      <c r="H81" s="27"/>
      <c r="I81" s="53">
        <f>+H81+G81</f>
        <v>9000000</v>
      </c>
      <c r="J81" s="53">
        <v>9000000</v>
      </c>
      <c r="K81" s="53">
        <f t="shared" si="13"/>
        <v>0</v>
      </c>
      <c r="L81" s="54">
        <f t="shared" si="14"/>
        <v>1</v>
      </c>
    </row>
    <row r="82" spans="1:13" ht="15" hidden="1" outlineLevel="1" x14ac:dyDescent="0.25">
      <c r="A82" s="52" t="s">
        <v>89</v>
      </c>
      <c r="B82" s="55"/>
      <c r="C82" s="27"/>
      <c r="D82" s="27"/>
      <c r="E82" s="27"/>
      <c r="F82" s="19">
        <f>+'[3]Anexo 2 '!$N$81</f>
        <v>6266783</v>
      </c>
      <c r="G82" s="53">
        <f>+B82+C82+D82+E82+F82</f>
        <v>6266783</v>
      </c>
      <c r="H82" s="27"/>
      <c r="I82" s="53">
        <f>+H82+G82</f>
        <v>6266783</v>
      </c>
      <c r="J82" s="53">
        <v>5209594</v>
      </c>
      <c r="K82" s="53">
        <f t="shared" si="13"/>
        <v>-1057189</v>
      </c>
      <c r="L82" s="54">
        <f t="shared" si="14"/>
        <v>0.83130275932643594</v>
      </c>
    </row>
    <row r="83" spans="1:13" ht="15" hidden="1" outlineLevel="1" x14ac:dyDescent="0.25">
      <c r="A83" s="52" t="s">
        <v>90</v>
      </c>
      <c r="B83" s="55"/>
      <c r="C83" s="27"/>
      <c r="D83" s="27"/>
      <c r="E83" s="27"/>
      <c r="F83" s="19">
        <f>+'[3]Anexo 2 '!$N$82</f>
        <v>5000000</v>
      </c>
      <c r="G83" s="53">
        <f>+B83+C83+D83+E83+F83</f>
        <v>5000000</v>
      </c>
      <c r="H83" s="27"/>
      <c r="I83" s="53">
        <f>+H83+G83</f>
        <v>5000000</v>
      </c>
      <c r="J83" s="53">
        <v>5000000</v>
      </c>
      <c r="K83" s="53">
        <f t="shared" si="13"/>
        <v>0</v>
      </c>
      <c r="L83" s="54">
        <f t="shared" si="14"/>
        <v>1</v>
      </c>
    </row>
    <row r="84" spans="1:13" ht="15" hidden="1" outlineLevel="1" x14ac:dyDescent="0.25">
      <c r="A84" s="52" t="s">
        <v>91</v>
      </c>
      <c r="B84" s="55"/>
      <c r="C84" s="27"/>
      <c r="D84" s="27"/>
      <c r="E84" s="27"/>
      <c r="F84" s="19">
        <f>+'[3]Anexo 2 '!$N$83</f>
        <v>25000000</v>
      </c>
      <c r="G84" s="53">
        <f>+B84+C84+D84+E84+F84</f>
        <v>25000000</v>
      </c>
      <c r="H84" s="27"/>
      <c r="I84" s="53">
        <f>+H84+G84</f>
        <v>25000000</v>
      </c>
      <c r="J84" s="53">
        <v>19955826</v>
      </c>
      <c r="K84" s="53">
        <f t="shared" si="13"/>
        <v>-5044174</v>
      </c>
      <c r="L84" s="54">
        <f t="shared" si="14"/>
        <v>0.79823303999999995</v>
      </c>
    </row>
    <row r="85" spans="1:13" ht="15" hidden="1" outlineLevel="1" x14ac:dyDescent="0.25">
      <c r="A85" s="52"/>
      <c r="B85" s="55"/>
      <c r="C85" s="27"/>
      <c r="D85" s="27"/>
      <c r="E85" s="27"/>
      <c r="F85" s="53"/>
      <c r="G85" s="53"/>
      <c r="H85" s="27"/>
      <c r="I85" s="53"/>
      <c r="J85" s="53"/>
      <c r="K85" s="53"/>
      <c r="L85" s="54"/>
    </row>
    <row r="86" spans="1:13" s="47" customFormat="1" ht="30" collapsed="1" x14ac:dyDescent="0.25">
      <c r="A86" s="44" t="s">
        <v>92</v>
      </c>
      <c r="B86" s="45"/>
      <c r="C86" s="45">
        <f>+C114</f>
        <v>330983488.08500004</v>
      </c>
      <c r="D86" s="45"/>
      <c r="E86" s="45">
        <f>+E87</f>
        <v>2417779682</v>
      </c>
      <c r="F86" s="45"/>
      <c r="G86" s="45">
        <f>SUM(B86:F86)</f>
        <v>2748763170.085</v>
      </c>
      <c r="H86" s="45"/>
      <c r="I86" s="45">
        <f>+H86+G86</f>
        <v>2748763170.085</v>
      </c>
      <c r="J86" s="45">
        <f>+J87+J114</f>
        <v>2190630816</v>
      </c>
      <c r="K86" s="45">
        <f>+J86-I86</f>
        <v>-558132354.08500004</v>
      </c>
      <c r="L86" s="46">
        <f t="shared" si="14"/>
        <v>0.79695145796509603</v>
      </c>
      <c r="M86" s="64"/>
    </row>
    <row r="87" spans="1:13" ht="15" x14ac:dyDescent="0.25">
      <c r="A87" s="65" t="s">
        <v>93</v>
      </c>
      <c r="B87" s="27"/>
      <c r="C87" s="49"/>
      <c r="D87" s="49"/>
      <c r="E87" s="62">
        <f>+E88+E93+E100+E107+E110</f>
        <v>2417779682</v>
      </c>
      <c r="F87" s="49"/>
      <c r="G87" s="62">
        <f t="shared" ref="G87:G99" si="15">+B87+C87+D87+E87+F87</f>
        <v>2417779682</v>
      </c>
      <c r="H87" s="49"/>
      <c r="I87" s="62">
        <f>+H87+G87</f>
        <v>2417779682</v>
      </c>
      <c r="J87" s="62">
        <f>+J88+J93+J100+J107+J110</f>
        <v>1928367341</v>
      </c>
      <c r="K87" s="62">
        <f>+J87-I87</f>
        <v>-489412341</v>
      </c>
      <c r="L87" s="50">
        <f t="shared" si="14"/>
        <v>0.79757777574044486</v>
      </c>
    </row>
    <row r="88" spans="1:13" ht="15" x14ac:dyDescent="0.25">
      <c r="A88" s="66" t="s">
        <v>94</v>
      </c>
      <c r="B88" s="49"/>
      <c r="C88" s="27"/>
      <c r="D88" s="27"/>
      <c r="E88" s="62">
        <f>+SUM(E89:E92)</f>
        <v>648630866</v>
      </c>
      <c r="F88" s="27"/>
      <c r="G88" s="62">
        <f>+SUM(G89:G92)</f>
        <v>648630866</v>
      </c>
      <c r="H88" s="27"/>
      <c r="I88" s="62">
        <f>+SUM(I89:I92)</f>
        <v>648630866</v>
      </c>
      <c r="J88" s="62">
        <f>+SUM(J89:J92)</f>
        <v>614714934</v>
      </c>
      <c r="K88" s="62">
        <f>+J88-I88</f>
        <v>-33915932</v>
      </c>
      <c r="L88" s="50">
        <f t="shared" si="14"/>
        <v>0.94771150468192489</v>
      </c>
    </row>
    <row r="89" spans="1:13" ht="15" hidden="1" outlineLevel="1" x14ac:dyDescent="0.25">
      <c r="A89" s="52" t="s">
        <v>95</v>
      </c>
      <c r="B89" s="49"/>
      <c r="C89" s="27"/>
      <c r="D89" s="27"/>
      <c r="E89" s="19">
        <f>+'[4]III TRIMESTRE  2014'!$AJ$42</f>
        <v>417250000</v>
      </c>
      <c r="F89" s="27"/>
      <c r="G89" s="53">
        <f t="shared" si="15"/>
        <v>417250000</v>
      </c>
      <c r="H89" s="27"/>
      <c r="I89" s="53">
        <f>+H89+G89+26250000</f>
        <v>443500000</v>
      </c>
      <c r="J89" s="53">
        <v>436745413</v>
      </c>
      <c r="K89" s="53">
        <f t="shared" si="13"/>
        <v>-6754587</v>
      </c>
      <c r="L89" s="54">
        <f t="shared" si="14"/>
        <v>0.9847698151071026</v>
      </c>
    </row>
    <row r="90" spans="1:13" ht="15" hidden="1" outlineLevel="1" x14ac:dyDescent="0.25">
      <c r="A90" s="52" t="s">
        <v>96</v>
      </c>
      <c r="B90" s="49"/>
      <c r="C90" s="27"/>
      <c r="D90" s="27"/>
      <c r="E90" s="19">
        <f>+'[4]III TRIMESTRE  2014'!$AJ$43</f>
        <v>32628516</v>
      </c>
      <c r="F90" s="27"/>
      <c r="G90" s="53">
        <f t="shared" si="15"/>
        <v>32628516</v>
      </c>
      <c r="H90" s="27"/>
      <c r="I90" s="53">
        <f>+H90+G90</f>
        <v>32628516</v>
      </c>
      <c r="J90" s="53">
        <v>31822440</v>
      </c>
      <c r="K90" s="53">
        <f t="shared" si="13"/>
        <v>-806076</v>
      </c>
      <c r="L90" s="54">
        <f t="shared" si="14"/>
        <v>0.97529535207791862</v>
      </c>
    </row>
    <row r="91" spans="1:13" ht="15" hidden="1" outlineLevel="1" x14ac:dyDescent="0.25">
      <c r="A91" s="52" t="s">
        <v>97</v>
      </c>
      <c r="B91" s="49"/>
      <c r="C91" s="27"/>
      <c r="D91" s="27"/>
      <c r="E91" s="19">
        <f>+'[4]III TRIMESTRE  2014'!$AJ$44</f>
        <v>13000000</v>
      </c>
      <c r="F91" s="27"/>
      <c r="G91" s="53">
        <f t="shared" si="15"/>
        <v>13000000</v>
      </c>
      <c r="H91" s="27"/>
      <c r="I91" s="53">
        <f>+H91+G91</f>
        <v>13000000</v>
      </c>
      <c r="J91" s="53">
        <v>11382360</v>
      </c>
      <c r="K91" s="53">
        <f t="shared" si="13"/>
        <v>-1617640</v>
      </c>
      <c r="L91" s="54">
        <f t="shared" si="14"/>
        <v>0.87556615384615388</v>
      </c>
    </row>
    <row r="92" spans="1:13" ht="15" hidden="1" outlineLevel="1" x14ac:dyDescent="0.25">
      <c r="A92" s="52" t="s">
        <v>98</v>
      </c>
      <c r="B92" s="49"/>
      <c r="C92" s="27"/>
      <c r="D92" s="27"/>
      <c r="E92" s="19">
        <f>+'[4]III TRIMESTRE  2014'!$AJ$45</f>
        <v>185752350</v>
      </c>
      <c r="F92" s="27"/>
      <c r="G92" s="53">
        <f t="shared" si="15"/>
        <v>185752350</v>
      </c>
      <c r="H92" s="27"/>
      <c r="I92" s="53">
        <f>+H92+G92-26250000</f>
        <v>159502350</v>
      </c>
      <c r="J92" s="53">
        <v>134764721</v>
      </c>
      <c r="K92" s="53">
        <f t="shared" si="13"/>
        <v>-24737629</v>
      </c>
      <c r="L92" s="54">
        <f t="shared" si="14"/>
        <v>0.84490743239833144</v>
      </c>
    </row>
    <row r="93" spans="1:13" ht="15" collapsed="1" x14ac:dyDescent="0.25">
      <c r="A93" s="66" t="s">
        <v>99</v>
      </c>
      <c r="B93" s="49"/>
      <c r="C93" s="27"/>
      <c r="D93" s="27"/>
      <c r="E93" s="62">
        <f>+E94+E98</f>
        <v>102200000</v>
      </c>
      <c r="F93" s="27"/>
      <c r="G93" s="62">
        <f>+G94+G98</f>
        <v>102200000</v>
      </c>
      <c r="H93" s="27"/>
      <c r="I93" s="62">
        <f>+I94+I98</f>
        <v>102200000</v>
      </c>
      <c r="J93" s="62">
        <f>+J94+J98</f>
        <v>83428045</v>
      </c>
      <c r="K93" s="62">
        <f t="shared" si="13"/>
        <v>-18771955</v>
      </c>
      <c r="L93" s="50">
        <f t="shared" si="14"/>
        <v>0.81632137964774953</v>
      </c>
    </row>
    <row r="94" spans="1:13" ht="15" hidden="1" outlineLevel="1" x14ac:dyDescent="0.25">
      <c r="A94" s="67" t="s">
        <v>100</v>
      </c>
      <c r="B94" s="49"/>
      <c r="C94" s="27"/>
      <c r="D94" s="27"/>
      <c r="E94" s="62">
        <f>+SUM(E95:E97)</f>
        <v>72200000</v>
      </c>
      <c r="F94" s="27"/>
      <c r="G94" s="62">
        <f>+SUM(G95:G97)</f>
        <v>72200000</v>
      </c>
      <c r="H94" s="27"/>
      <c r="I94" s="62">
        <f>+SUM(I95:I97)</f>
        <v>72200000</v>
      </c>
      <c r="J94" s="62">
        <f>+SUM(J95:J97)</f>
        <v>65720645</v>
      </c>
      <c r="K94" s="62">
        <f t="shared" si="13"/>
        <v>-6479355</v>
      </c>
      <c r="L94" s="50">
        <f t="shared" si="14"/>
        <v>0.91025824099722996</v>
      </c>
    </row>
    <row r="95" spans="1:13" ht="15" hidden="1" outlineLevel="2" x14ac:dyDescent="0.25">
      <c r="A95" s="52" t="s">
        <v>101</v>
      </c>
      <c r="B95" s="49"/>
      <c r="C95" s="18"/>
      <c r="D95" s="18"/>
      <c r="E95" s="19">
        <f>+'[4]III TRIMESTRE  2014'!$AJ$49</f>
        <v>22200000</v>
      </c>
      <c r="F95" s="27"/>
      <c r="G95" s="53">
        <f t="shared" si="15"/>
        <v>22200000</v>
      </c>
      <c r="H95" s="53"/>
      <c r="I95" s="53">
        <f>+H95+G95</f>
        <v>22200000</v>
      </c>
      <c r="J95" s="53">
        <v>18562616</v>
      </c>
      <c r="K95" s="53">
        <f t="shared" si="13"/>
        <v>-3637384</v>
      </c>
      <c r="L95" s="54">
        <f t="shared" si="14"/>
        <v>0.83615387387387385</v>
      </c>
    </row>
    <row r="96" spans="1:13" ht="15" hidden="1" outlineLevel="2" x14ac:dyDescent="0.25">
      <c r="A96" s="52" t="s">
        <v>102</v>
      </c>
      <c r="B96" s="49"/>
      <c r="C96" s="18"/>
      <c r="D96" s="18"/>
      <c r="E96" s="19">
        <f>+'[4]III TRIMESTRE  2014'!$AJ$48</f>
        <v>30000000</v>
      </c>
      <c r="F96" s="27"/>
      <c r="G96" s="53">
        <f t="shared" si="15"/>
        <v>30000000</v>
      </c>
      <c r="H96" s="27"/>
      <c r="I96" s="53">
        <f>+H96+G96</f>
        <v>30000000</v>
      </c>
      <c r="J96" s="53">
        <v>29913703</v>
      </c>
      <c r="K96" s="53">
        <f t="shared" si="13"/>
        <v>-86297</v>
      </c>
      <c r="L96" s="54">
        <f t="shared" si="14"/>
        <v>0.99712343333333331</v>
      </c>
    </row>
    <row r="97" spans="1:12" ht="15" hidden="1" outlineLevel="2" x14ac:dyDescent="0.25">
      <c r="A97" s="52" t="s">
        <v>103</v>
      </c>
      <c r="B97" s="49"/>
      <c r="C97" s="18"/>
      <c r="D97" s="18"/>
      <c r="E97" s="19">
        <f>+'[4]III TRIMESTRE  2014'!$AJ$50</f>
        <v>20000000</v>
      </c>
      <c r="F97" s="27"/>
      <c r="G97" s="53">
        <f t="shared" si="15"/>
        <v>20000000</v>
      </c>
      <c r="H97" s="27"/>
      <c r="I97" s="53">
        <f>+H97+G97</f>
        <v>20000000</v>
      </c>
      <c r="J97" s="53">
        <v>17244326</v>
      </c>
      <c r="K97" s="53">
        <f t="shared" si="13"/>
        <v>-2755674</v>
      </c>
      <c r="L97" s="54">
        <f t="shared" si="14"/>
        <v>0.86221630000000005</v>
      </c>
    </row>
    <row r="98" spans="1:12" s="51" customFormat="1" ht="15" hidden="1" outlineLevel="1" x14ac:dyDescent="0.25">
      <c r="A98" s="67" t="s">
        <v>104</v>
      </c>
      <c r="B98" s="49"/>
      <c r="C98" s="32"/>
      <c r="D98" s="32"/>
      <c r="E98" s="15">
        <f>+E99</f>
        <v>30000000</v>
      </c>
      <c r="F98" s="49"/>
      <c r="G98" s="15">
        <f>+G99</f>
        <v>30000000</v>
      </c>
      <c r="H98" s="49"/>
      <c r="I98" s="15">
        <f>+I99</f>
        <v>30000000</v>
      </c>
      <c r="J98" s="15">
        <f>+J99</f>
        <v>17707400</v>
      </c>
      <c r="K98" s="15">
        <f t="shared" si="13"/>
        <v>-12292600</v>
      </c>
      <c r="L98" s="50">
        <f t="shared" si="14"/>
        <v>0.5902466666666667</v>
      </c>
    </row>
    <row r="99" spans="1:12" ht="15" hidden="1" outlineLevel="2" x14ac:dyDescent="0.25">
      <c r="A99" s="52" t="s">
        <v>105</v>
      </c>
      <c r="B99" s="49"/>
      <c r="C99" s="18"/>
      <c r="D99" s="18"/>
      <c r="E99" s="19">
        <f>+'[4]III TRIMESTRE  2014'!$AJ$52</f>
        <v>30000000</v>
      </c>
      <c r="F99" s="27"/>
      <c r="G99" s="53">
        <f t="shared" si="15"/>
        <v>30000000</v>
      </c>
      <c r="H99" s="27"/>
      <c r="I99" s="53">
        <f>+H99+G99</f>
        <v>30000000</v>
      </c>
      <c r="J99" s="53">
        <v>17707400</v>
      </c>
      <c r="K99" s="53">
        <f t="shared" si="13"/>
        <v>-12292600</v>
      </c>
      <c r="L99" s="54">
        <f t="shared" si="14"/>
        <v>0.5902466666666667</v>
      </c>
    </row>
    <row r="100" spans="1:12" ht="15" collapsed="1" x14ac:dyDescent="0.25">
      <c r="A100" s="66" t="s">
        <v>106</v>
      </c>
      <c r="B100" s="49"/>
      <c r="C100" s="18"/>
      <c r="D100" s="18"/>
      <c r="E100" s="15">
        <f>+SUM(E101:E106)</f>
        <v>152895816</v>
      </c>
      <c r="F100" s="27"/>
      <c r="G100" s="15">
        <f>+SUM(G101:G106)</f>
        <v>152895816</v>
      </c>
      <c r="H100" s="27"/>
      <c r="I100" s="15">
        <f>+SUM(I101:I106)</f>
        <v>152895816</v>
      </c>
      <c r="J100" s="15">
        <f>+SUM(J101:J106)</f>
        <v>117802766</v>
      </c>
      <c r="K100" s="15">
        <f t="shared" si="13"/>
        <v>-35093050</v>
      </c>
      <c r="L100" s="50">
        <f t="shared" si="14"/>
        <v>0.7704773687201486</v>
      </c>
    </row>
    <row r="101" spans="1:12" ht="15" hidden="1" outlineLevel="1" x14ac:dyDescent="0.25">
      <c r="A101" s="68" t="s">
        <v>107</v>
      </c>
      <c r="B101" s="49"/>
      <c r="C101" s="18"/>
      <c r="D101" s="18"/>
      <c r="E101" s="18">
        <f>+'[4]III TRIMESTRE  2014'!$AJ$54</f>
        <v>50000000</v>
      </c>
      <c r="F101" s="27"/>
      <c r="G101" s="53">
        <f t="shared" ref="G101:G106" si="16">+B101+C101+D101+E101+F101</f>
        <v>50000000</v>
      </c>
      <c r="H101" s="27"/>
      <c r="I101" s="53">
        <f t="shared" ref="I101:I106" si="17">+G101</f>
        <v>50000000</v>
      </c>
      <c r="J101" s="53">
        <v>50000000</v>
      </c>
      <c r="K101" s="53">
        <f t="shared" si="13"/>
        <v>0</v>
      </c>
      <c r="L101" s="54">
        <f t="shared" si="14"/>
        <v>1</v>
      </c>
    </row>
    <row r="102" spans="1:12" ht="15" hidden="1" outlineLevel="1" x14ac:dyDescent="0.25">
      <c r="A102" s="68" t="s">
        <v>108</v>
      </c>
      <c r="B102" s="49"/>
      <c r="C102" s="18"/>
      <c r="D102" s="18"/>
      <c r="E102" s="18">
        <f>+'[4]III TRIMESTRE  2014'!$AJ$55</f>
        <v>50000000</v>
      </c>
      <c r="F102" s="27"/>
      <c r="G102" s="53">
        <f t="shared" si="16"/>
        <v>50000000</v>
      </c>
      <c r="H102" s="27"/>
      <c r="I102" s="53">
        <f t="shared" si="17"/>
        <v>50000000</v>
      </c>
      <c r="J102" s="53">
        <v>30348571</v>
      </c>
      <c r="K102" s="53">
        <f t="shared" si="13"/>
        <v>-19651429</v>
      </c>
      <c r="L102" s="54">
        <f t="shared" si="14"/>
        <v>0.60697142000000004</v>
      </c>
    </row>
    <row r="103" spans="1:12" ht="15" hidden="1" outlineLevel="1" x14ac:dyDescent="0.25">
      <c r="A103" s="68" t="s">
        <v>109</v>
      </c>
      <c r="B103" s="49"/>
      <c r="C103" s="18"/>
      <c r="D103" s="18"/>
      <c r="E103" s="18">
        <f>+'[4]III TRIMESTRE  2014'!$AJ$56</f>
        <v>17500000</v>
      </c>
      <c r="F103" s="27"/>
      <c r="G103" s="53">
        <f t="shared" si="16"/>
        <v>17500000</v>
      </c>
      <c r="H103" s="53"/>
      <c r="I103" s="53">
        <f t="shared" si="17"/>
        <v>17500000</v>
      </c>
      <c r="J103" s="53">
        <v>7816241</v>
      </c>
      <c r="K103" s="53">
        <f t="shared" si="13"/>
        <v>-9683759</v>
      </c>
      <c r="L103" s="54">
        <f t="shared" si="14"/>
        <v>0.44664234285714288</v>
      </c>
    </row>
    <row r="104" spans="1:12" ht="15" hidden="1" outlineLevel="1" x14ac:dyDescent="0.25">
      <c r="A104" s="68" t="s">
        <v>110</v>
      </c>
      <c r="B104" s="49"/>
      <c r="C104" s="18"/>
      <c r="D104" s="18"/>
      <c r="E104" s="19">
        <f>+'[4]III TRIMESTRE  2014'!$AJ$60</f>
        <v>1395816</v>
      </c>
      <c r="F104" s="27"/>
      <c r="G104" s="53">
        <f t="shared" si="16"/>
        <v>1395816</v>
      </c>
      <c r="H104" s="53"/>
      <c r="I104" s="53">
        <f t="shared" si="17"/>
        <v>1395816</v>
      </c>
      <c r="J104" s="53">
        <v>1395816</v>
      </c>
      <c r="K104" s="53">
        <f t="shared" si="13"/>
        <v>0</v>
      </c>
      <c r="L104" s="54">
        <f t="shared" si="14"/>
        <v>1</v>
      </c>
    </row>
    <row r="105" spans="1:12" ht="15" hidden="1" outlineLevel="1" x14ac:dyDescent="0.25">
      <c r="A105" s="68" t="s">
        <v>111</v>
      </c>
      <c r="B105" s="49"/>
      <c r="C105" s="18"/>
      <c r="D105" s="18"/>
      <c r="E105" s="19">
        <f>+'[4]III TRIMESTRE  2014'!$AJ$57</f>
        <v>22000000</v>
      </c>
      <c r="F105" s="27"/>
      <c r="G105" s="53">
        <f t="shared" si="16"/>
        <v>22000000</v>
      </c>
      <c r="H105" s="53"/>
      <c r="I105" s="53">
        <f t="shared" si="17"/>
        <v>22000000</v>
      </c>
      <c r="J105" s="53">
        <v>18924483</v>
      </c>
      <c r="K105" s="53">
        <f t="shared" si="13"/>
        <v>-3075517</v>
      </c>
      <c r="L105" s="54">
        <f t="shared" si="14"/>
        <v>0.86020377272727278</v>
      </c>
    </row>
    <row r="106" spans="1:12" ht="15" hidden="1" outlineLevel="1" x14ac:dyDescent="0.25">
      <c r="A106" s="68" t="s">
        <v>112</v>
      </c>
      <c r="B106" s="49"/>
      <c r="C106" s="18"/>
      <c r="D106" s="18"/>
      <c r="E106" s="19">
        <f>+'[4]III TRIMESTRE  2014'!$AJ$58</f>
        <v>12000000</v>
      </c>
      <c r="F106" s="27"/>
      <c r="G106" s="53">
        <f t="shared" si="16"/>
        <v>12000000</v>
      </c>
      <c r="H106" s="53"/>
      <c r="I106" s="53">
        <f t="shared" si="17"/>
        <v>12000000</v>
      </c>
      <c r="J106" s="53">
        <v>9317655</v>
      </c>
      <c r="K106" s="53">
        <f t="shared" si="13"/>
        <v>-2682345</v>
      </c>
      <c r="L106" s="54">
        <f t="shared" si="14"/>
        <v>0.77647124999999995</v>
      </c>
    </row>
    <row r="107" spans="1:12" ht="15" collapsed="1" x14ac:dyDescent="0.25">
      <c r="A107" s="66" t="s">
        <v>113</v>
      </c>
      <c r="B107" s="27"/>
      <c r="C107" s="18"/>
      <c r="D107" s="18"/>
      <c r="E107" s="15">
        <f>+SUM(E108:E109)</f>
        <v>187500000</v>
      </c>
      <c r="F107" s="27"/>
      <c r="G107" s="15">
        <f>+SUM(G108:G109)</f>
        <v>187500000</v>
      </c>
      <c r="H107" s="49"/>
      <c r="I107" s="15">
        <f>+SUM(I108:I109)</f>
        <v>187500000</v>
      </c>
      <c r="J107" s="15">
        <f>+SUM(J108:J109)</f>
        <v>135643136</v>
      </c>
      <c r="K107" s="15">
        <f t="shared" si="13"/>
        <v>-51856864</v>
      </c>
      <c r="L107" s="50">
        <f t="shared" si="14"/>
        <v>0.72343005866666665</v>
      </c>
    </row>
    <row r="108" spans="1:12" ht="15" hidden="1" outlineLevel="1" x14ac:dyDescent="0.25">
      <c r="A108" s="68" t="s">
        <v>114</v>
      </c>
      <c r="B108" s="27"/>
      <c r="C108" s="18"/>
      <c r="D108" s="18"/>
      <c r="E108" s="19">
        <f>+'[4]III TRIMESTRE  2014'!$AJ$62</f>
        <v>43000000</v>
      </c>
      <c r="F108" s="27"/>
      <c r="G108" s="53">
        <f>+B108+C108+D108+E108+F108</f>
        <v>43000000</v>
      </c>
      <c r="H108" s="49"/>
      <c r="I108" s="53">
        <f>+H108+G108</f>
        <v>43000000</v>
      </c>
      <c r="J108" s="53">
        <v>41352924</v>
      </c>
      <c r="K108" s="53">
        <f t="shared" si="13"/>
        <v>-1647076</v>
      </c>
      <c r="L108" s="54">
        <f t="shared" si="14"/>
        <v>0.96169590697674423</v>
      </c>
    </row>
    <row r="109" spans="1:12" ht="15" hidden="1" outlineLevel="1" x14ac:dyDescent="0.25">
      <c r="A109" s="68" t="s">
        <v>115</v>
      </c>
      <c r="B109" s="27"/>
      <c r="C109" s="18"/>
      <c r="D109" s="18"/>
      <c r="E109" s="19">
        <f>+'[4]III TRIMESTRE  2014'!$AJ$63+50000000</f>
        <v>144500000</v>
      </c>
      <c r="F109" s="27"/>
      <c r="G109" s="53">
        <f>+B109+C109+D109+E109+F109</f>
        <v>144500000</v>
      </c>
      <c r="H109" s="49"/>
      <c r="I109" s="53">
        <f>+H109+G109</f>
        <v>144500000</v>
      </c>
      <c r="J109" s="53">
        <v>94290212</v>
      </c>
      <c r="K109" s="53">
        <f t="shared" si="13"/>
        <v>-50209788</v>
      </c>
      <c r="L109" s="54">
        <f t="shared" si="14"/>
        <v>0.6525274186851211</v>
      </c>
    </row>
    <row r="110" spans="1:12" ht="15" collapsed="1" x14ac:dyDescent="0.25">
      <c r="A110" s="66" t="s">
        <v>116</v>
      </c>
      <c r="B110" s="27"/>
      <c r="C110" s="18"/>
      <c r="D110" s="18"/>
      <c r="E110" s="15">
        <f>+SUM(E111:E113)</f>
        <v>1326553000</v>
      </c>
      <c r="F110" s="27"/>
      <c r="G110" s="15">
        <f>+SUM(G111:G113)</f>
        <v>1326553000</v>
      </c>
      <c r="H110" s="62"/>
      <c r="I110" s="15">
        <f>+SUM(I111:I113)</f>
        <v>1326553000</v>
      </c>
      <c r="J110" s="15">
        <f>+SUM(J111:J113)</f>
        <v>976778460</v>
      </c>
      <c r="K110" s="15">
        <f t="shared" si="13"/>
        <v>-349774540</v>
      </c>
      <c r="L110" s="50">
        <f t="shared" si="14"/>
        <v>0.73632825827539494</v>
      </c>
    </row>
    <row r="111" spans="1:12" ht="15" hidden="1" outlineLevel="1" x14ac:dyDescent="0.25">
      <c r="A111" s="68" t="s">
        <v>117</v>
      </c>
      <c r="B111" s="27"/>
      <c r="C111" s="18"/>
      <c r="D111" s="18"/>
      <c r="E111" s="19">
        <f>+'[4]III TRIMESTRE  2014'!$AJ$65</f>
        <v>1295000000</v>
      </c>
      <c r="F111" s="27"/>
      <c r="G111" s="53">
        <f t="shared" ref="G111:G118" si="18">+B111+C111+D111+E111+F111</f>
        <v>1295000000</v>
      </c>
      <c r="H111" s="49"/>
      <c r="I111" s="53">
        <f>+G111+H111</f>
        <v>1295000000</v>
      </c>
      <c r="J111" s="53">
        <v>951862153</v>
      </c>
      <c r="K111" s="53">
        <f t="shared" si="13"/>
        <v>-343137847</v>
      </c>
      <c r="L111" s="54">
        <f t="shared" si="14"/>
        <v>0.73502868957528955</v>
      </c>
    </row>
    <row r="112" spans="1:12" ht="14.25" hidden="1" outlineLevel="1" x14ac:dyDescent="0.2">
      <c r="A112" s="68" t="s">
        <v>118</v>
      </c>
      <c r="B112" s="27"/>
      <c r="C112" s="18"/>
      <c r="D112" s="18"/>
      <c r="E112" s="19">
        <f>+'[4]III TRIMESTRE  2014'!$AJ$66</f>
        <v>20253000</v>
      </c>
      <c r="F112" s="27"/>
      <c r="G112" s="53">
        <f t="shared" si="18"/>
        <v>20253000</v>
      </c>
      <c r="H112" s="27"/>
      <c r="I112" s="53">
        <f>+G112+H112</f>
        <v>20253000</v>
      </c>
      <c r="J112" s="53">
        <v>13943633</v>
      </c>
      <c r="K112" s="53">
        <f t="shared" si="13"/>
        <v>-6309367</v>
      </c>
      <c r="L112" s="54">
        <f t="shared" si="14"/>
        <v>0.68847247321384486</v>
      </c>
    </row>
    <row r="113" spans="1:12" ht="14.25" hidden="1" outlineLevel="1" x14ac:dyDescent="0.2">
      <c r="A113" s="68" t="s">
        <v>119</v>
      </c>
      <c r="B113" s="27"/>
      <c r="C113" s="18"/>
      <c r="D113" s="18"/>
      <c r="E113" s="19">
        <f>+'[4]III TRIMESTRE  2014'!$AJ$67</f>
        <v>11300000</v>
      </c>
      <c r="F113" s="27"/>
      <c r="G113" s="53">
        <f t="shared" si="18"/>
        <v>11300000</v>
      </c>
      <c r="H113" s="27"/>
      <c r="I113" s="53">
        <f>+G113+H113</f>
        <v>11300000</v>
      </c>
      <c r="J113" s="53">
        <v>10972674</v>
      </c>
      <c r="K113" s="53">
        <f t="shared" si="13"/>
        <v>-327326</v>
      </c>
      <c r="L113" s="54">
        <f t="shared" si="14"/>
        <v>0.97103309734513277</v>
      </c>
    </row>
    <row r="114" spans="1:12" s="51" customFormat="1" ht="15" collapsed="1" x14ac:dyDescent="0.25">
      <c r="A114" s="11" t="s">
        <v>120</v>
      </c>
      <c r="B114" s="27"/>
      <c r="C114" s="15">
        <f>+SUM(C115:C118)</f>
        <v>330983488.08500004</v>
      </c>
      <c r="D114" s="15"/>
      <c r="E114" s="19"/>
      <c r="F114" s="27"/>
      <c r="G114" s="15">
        <f>+SUM(G115:G118)</f>
        <v>330983488.08500004</v>
      </c>
      <c r="H114" s="27"/>
      <c r="I114" s="15">
        <f>+SUM(I115:I118)</f>
        <v>330983488.08500004</v>
      </c>
      <c r="J114" s="15">
        <f>+SUM(J115:J118)</f>
        <v>262263475</v>
      </c>
      <c r="K114" s="15">
        <f t="shared" si="13"/>
        <v>-68720013.085000038</v>
      </c>
      <c r="L114" s="50">
        <f t="shared" si="14"/>
        <v>0.79237631012169396</v>
      </c>
    </row>
    <row r="115" spans="1:12" s="51" customFormat="1" ht="15" x14ac:dyDescent="0.25">
      <c r="A115" s="69" t="s">
        <v>121</v>
      </c>
      <c r="B115" s="27"/>
      <c r="C115" s="15">
        <f>+'[5]2014-II y III'!$H$13</f>
        <v>30000000</v>
      </c>
      <c r="D115" s="18"/>
      <c r="E115" s="18"/>
      <c r="F115" s="27"/>
      <c r="G115" s="62">
        <f t="shared" si="18"/>
        <v>30000000</v>
      </c>
      <c r="H115" s="62"/>
      <c r="I115" s="62">
        <f>+H115+G115</f>
        <v>30000000</v>
      </c>
      <c r="J115" s="62">
        <v>0</v>
      </c>
      <c r="K115" s="62">
        <f t="shared" si="13"/>
        <v>-30000000</v>
      </c>
      <c r="L115" s="50">
        <f t="shared" si="14"/>
        <v>0</v>
      </c>
    </row>
    <row r="116" spans="1:12" s="51" customFormat="1" ht="15" x14ac:dyDescent="0.25">
      <c r="A116" s="69" t="s">
        <v>122</v>
      </c>
      <c r="B116" s="27"/>
      <c r="C116" s="15">
        <f>+'[5]2014-II y III'!$H$17</f>
        <v>164807738.08500001</v>
      </c>
      <c r="D116" s="18"/>
      <c r="E116" s="18"/>
      <c r="F116" s="27"/>
      <c r="G116" s="62">
        <f t="shared" si="18"/>
        <v>164807738.08500001</v>
      </c>
      <c r="H116" s="62"/>
      <c r="I116" s="62">
        <f>+H116+G116</f>
        <v>164807738.08500001</v>
      </c>
      <c r="J116" s="62">
        <v>159487098</v>
      </c>
      <c r="K116" s="62">
        <f t="shared" si="13"/>
        <v>-5320640.0850000083</v>
      </c>
      <c r="L116" s="50">
        <f t="shared" si="14"/>
        <v>0.96771607846316132</v>
      </c>
    </row>
    <row r="117" spans="1:12" s="51" customFormat="1" ht="15" x14ac:dyDescent="0.25">
      <c r="A117" s="70" t="s">
        <v>123</v>
      </c>
      <c r="B117" s="18"/>
      <c r="C117" s="15">
        <f>+'[5]2014-II y III'!$H$43</f>
        <v>51675750</v>
      </c>
      <c r="D117" s="18"/>
      <c r="E117" s="18"/>
      <c r="F117" s="18"/>
      <c r="G117" s="15">
        <f t="shared" si="18"/>
        <v>51675750</v>
      </c>
      <c r="H117" s="15"/>
      <c r="I117" s="62">
        <f>+H117+G117</f>
        <v>51675750</v>
      </c>
      <c r="J117" s="62">
        <v>37365416</v>
      </c>
      <c r="K117" s="62">
        <f t="shared" si="13"/>
        <v>-14310334</v>
      </c>
      <c r="L117" s="50">
        <f t="shared" si="14"/>
        <v>0.72307447884162301</v>
      </c>
    </row>
    <row r="118" spans="1:12" s="51" customFormat="1" ht="15" x14ac:dyDescent="0.25">
      <c r="A118" s="70" t="s">
        <v>124</v>
      </c>
      <c r="B118" s="27"/>
      <c r="C118" s="15">
        <f>+'[5]2014-II y III'!$H$60</f>
        <v>84500000</v>
      </c>
      <c r="D118" s="18"/>
      <c r="E118" s="18"/>
      <c r="F118" s="27"/>
      <c r="G118" s="62">
        <f t="shared" si="18"/>
        <v>84500000</v>
      </c>
      <c r="H118" s="62"/>
      <c r="I118" s="62">
        <f>+H118+G118</f>
        <v>84500000</v>
      </c>
      <c r="J118" s="62">
        <v>65410961</v>
      </c>
      <c r="K118" s="62">
        <f t="shared" si="13"/>
        <v>-19089039</v>
      </c>
      <c r="L118" s="50">
        <f t="shared" si="14"/>
        <v>0.7740942130177515</v>
      </c>
    </row>
    <row r="119" spans="1:12" s="47" customFormat="1" ht="30" x14ac:dyDescent="0.25">
      <c r="A119" s="44" t="s">
        <v>125</v>
      </c>
      <c r="B119" s="45">
        <f>+B120</f>
        <v>474011192</v>
      </c>
      <c r="C119" s="45"/>
      <c r="D119" s="45"/>
      <c r="E119" s="45"/>
      <c r="F119" s="45"/>
      <c r="G119" s="45">
        <f>+G120</f>
        <v>474011192</v>
      </c>
      <c r="H119" s="45"/>
      <c r="I119" s="45">
        <f>+I120</f>
        <v>474011192</v>
      </c>
      <c r="J119" s="45">
        <f>+J120</f>
        <v>342865067</v>
      </c>
      <c r="K119" s="45">
        <f t="shared" si="13"/>
        <v>-131146125</v>
      </c>
      <c r="L119" s="46">
        <f t="shared" si="14"/>
        <v>0.72332694414523446</v>
      </c>
    </row>
    <row r="120" spans="1:12" s="51" customFormat="1" ht="15" x14ac:dyDescent="0.25">
      <c r="A120" s="48" t="s">
        <v>126</v>
      </c>
      <c r="B120" s="32">
        <f>+B121+B124+B129</f>
        <v>474011192</v>
      </c>
      <c r="C120" s="49"/>
      <c r="D120" s="49"/>
      <c r="E120" s="49"/>
      <c r="F120" s="49"/>
      <c r="G120" s="49">
        <f>+B120+C120+D120+E120+F120</f>
        <v>474011192</v>
      </c>
      <c r="H120" s="49"/>
      <c r="I120" s="49">
        <f t="shared" ref="I120:I139" si="19">+G120+H120</f>
        <v>474011192</v>
      </c>
      <c r="J120" s="49">
        <f>+J121+J124+J129</f>
        <v>342865067</v>
      </c>
      <c r="K120" s="49">
        <f t="shared" si="13"/>
        <v>-131146125</v>
      </c>
      <c r="L120" s="50">
        <f t="shared" si="14"/>
        <v>0.72332694414523446</v>
      </c>
    </row>
    <row r="121" spans="1:12" s="51" customFormat="1" ht="15" hidden="1" x14ac:dyDescent="0.25">
      <c r="A121" s="71" t="s">
        <v>127</v>
      </c>
      <c r="B121" s="15">
        <f>SUM(B122:B123)</f>
        <v>0</v>
      </c>
      <c r="C121" s="49"/>
      <c r="D121" s="49"/>
      <c r="E121" s="49"/>
      <c r="F121" s="49"/>
      <c r="G121" s="62">
        <f>+B121+C121+D121+E121+F121</f>
        <v>0</v>
      </c>
      <c r="H121" s="49"/>
      <c r="I121" s="62">
        <f>+G121+H121</f>
        <v>0</v>
      </c>
      <c r="J121" s="62">
        <f>SUM(J122:J123)</f>
        <v>0</v>
      </c>
      <c r="K121" s="62">
        <f t="shared" si="13"/>
        <v>0</v>
      </c>
      <c r="L121" s="50">
        <f t="shared" si="14"/>
        <v>0</v>
      </c>
    </row>
    <row r="122" spans="1:12" s="51" customFormat="1" ht="15" hidden="1" outlineLevel="1" x14ac:dyDescent="0.25">
      <c r="A122" s="72" t="s">
        <v>128</v>
      </c>
      <c r="B122" s="19"/>
      <c r="C122" s="49"/>
      <c r="D122" s="49"/>
      <c r="E122" s="49"/>
      <c r="F122" s="49"/>
      <c r="G122" s="53">
        <f>+B122+C122+D122+E122+F122</f>
        <v>0</v>
      </c>
      <c r="H122" s="49"/>
      <c r="I122" s="53">
        <f>+G122+H122</f>
        <v>0</v>
      </c>
      <c r="J122" s="53"/>
      <c r="K122" s="53">
        <f t="shared" si="13"/>
        <v>0</v>
      </c>
      <c r="L122" s="54">
        <f t="shared" si="14"/>
        <v>0</v>
      </c>
    </row>
    <row r="123" spans="1:12" s="51" customFormat="1" ht="15" hidden="1" outlineLevel="1" x14ac:dyDescent="0.25">
      <c r="A123" s="72" t="s">
        <v>129</v>
      </c>
      <c r="B123" s="19"/>
      <c r="C123" s="49"/>
      <c r="D123" s="49"/>
      <c r="E123" s="49"/>
      <c r="F123" s="49"/>
      <c r="G123" s="53">
        <f t="shared" ref="G123:G139" si="20">+B123+C123+D123+E123+F123</f>
        <v>0</v>
      </c>
      <c r="H123" s="49"/>
      <c r="I123" s="53">
        <f>+G123+H123</f>
        <v>0</v>
      </c>
      <c r="J123" s="53">
        <v>0</v>
      </c>
      <c r="K123" s="53">
        <f t="shared" si="13"/>
        <v>0</v>
      </c>
      <c r="L123" s="54">
        <f t="shared" si="14"/>
        <v>0</v>
      </c>
    </row>
    <row r="124" spans="1:12" s="51" customFormat="1" ht="15" collapsed="1" x14ac:dyDescent="0.25">
      <c r="A124" s="48" t="s">
        <v>130</v>
      </c>
      <c r="B124" s="32">
        <f>SUM(B125:B128)</f>
        <v>186971946</v>
      </c>
      <c r="C124" s="49"/>
      <c r="D124" s="49"/>
      <c r="E124" s="49"/>
      <c r="F124" s="49"/>
      <c r="G124" s="62">
        <f t="shared" si="20"/>
        <v>186971946</v>
      </c>
      <c r="H124" s="49"/>
      <c r="I124" s="62">
        <f t="shared" si="19"/>
        <v>186971946</v>
      </c>
      <c r="J124" s="62">
        <f>SUM(J125:J128)</f>
        <v>177193660</v>
      </c>
      <c r="K124" s="62">
        <f t="shared" si="13"/>
        <v>-9778286</v>
      </c>
      <c r="L124" s="50">
        <f t="shared" si="14"/>
        <v>0.94770185469428658</v>
      </c>
    </row>
    <row r="125" spans="1:12" s="51" customFormat="1" ht="15" hidden="1" outlineLevel="1" x14ac:dyDescent="0.25">
      <c r="A125" s="68" t="s">
        <v>131</v>
      </c>
      <c r="B125" s="19">
        <f>+[2]Oscar!$D$36-1200000-2100000</f>
        <v>3700000</v>
      </c>
      <c r="C125" s="49"/>
      <c r="D125" s="49"/>
      <c r="E125" s="49"/>
      <c r="F125" s="49"/>
      <c r="G125" s="53">
        <f t="shared" si="20"/>
        <v>3700000</v>
      </c>
      <c r="H125" s="49"/>
      <c r="I125" s="53">
        <f t="shared" si="19"/>
        <v>3700000</v>
      </c>
      <c r="J125" s="53">
        <v>2219956</v>
      </c>
      <c r="K125" s="53">
        <f t="shared" si="13"/>
        <v>-1480044</v>
      </c>
      <c r="L125" s="54">
        <f t="shared" si="14"/>
        <v>0.5999881081081081</v>
      </c>
    </row>
    <row r="126" spans="1:12" s="51" customFormat="1" ht="15" hidden="1" outlineLevel="1" x14ac:dyDescent="0.25">
      <c r="A126" s="68" t="s">
        <v>132</v>
      </c>
      <c r="B126" s="19">
        <f>+[2]Oscar!$D$37+1200000</f>
        <v>46504884</v>
      </c>
      <c r="C126" s="49"/>
      <c r="D126" s="49"/>
      <c r="E126" s="49"/>
      <c r="F126" s="49"/>
      <c r="G126" s="53">
        <f t="shared" si="20"/>
        <v>46504884</v>
      </c>
      <c r="H126" s="49"/>
      <c r="I126" s="53">
        <f t="shared" si="19"/>
        <v>46504884</v>
      </c>
      <c r="J126" s="53">
        <v>44621233</v>
      </c>
      <c r="K126" s="53">
        <f t="shared" si="13"/>
        <v>-1883651</v>
      </c>
      <c r="L126" s="54">
        <f t="shared" si="14"/>
        <v>0.95949563060946463</v>
      </c>
    </row>
    <row r="127" spans="1:12" s="51" customFormat="1" ht="15" hidden="1" outlineLevel="1" x14ac:dyDescent="0.25">
      <c r="A127" s="68" t="s">
        <v>133</v>
      </c>
      <c r="B127" s="19">
        <f>+[2]Oscar!$D$38+7000000+2100000</f>
        <v>25767062</v>
      </c>
      <c r="C127" s="49"/>
      <c r="D127" s="49"/>
      <c r="E127" s="49"/>
      <c r="F127" s="49"/>
      <c r="G127" s="53">
        <f t="shared" si="20"/>
        <v>25767062</v>
      </c>
      <c r="H127" s="49"/>
      <c r="I127" s="53">
        <f>+G127+H127</f>
        <v>25767062</v>
      </c>
      <c r="J127" s="53">
        <v>24513863</v>
      </c>
      <c r="K127" s="53">
        <f t="shared" si="13"/>
        <v>-1253199</v>
      </c>
      <c r="L127" s="54">
        <f t="shared" si="14"/>
        <v>0.9513643037766587</v>
      </c>
    </row>
    <row r="128" spans="1:12" s="51" customFormat="1" ht="14.25" hidden="1" outlineLevel="1" x14ac:dyDescent="0.2">
      <c r="A128" s="73" t="s">
        <v>134</v>
      </c>
      <c r="B128" s="19">
        <f>+[2]Oscar!$D$39-7000000</f>
        <v>111000000</v>
      </c>
      <c r="C128" s="19"/>
      <c r="D128" s="19"/>
      <c r="E128" s="19"/>
      <c r="F128" s="19"/>
      <c r="G128" s="53">
        <f>+B128+C128+D128+E128+F128</f>
        <v>111000000</v>
      </c>
      <c r="H128" s="19"/>
      <c r="I128" s="53">
        <f>+G128+H128</f>
        <v>111000000</v>
      </c>
      <c r="J128" s="53">
        <v>105838608</v>
      </c>
      <c r="K128" s="53">
        <f t="shared" si="13"/>
        <v>-5161392</v>
      </c>
      <c r="L128" s="54">
        <f t="shared" si="14"/>
        <v>0.95350097297297298</v>
      </c>
    </row>
    <row r="129" spans="1:12" s="51" customFormat="1" ht="15" collapsed="1" x14ac:dyDescent="0.25">
      <c r="A129" s="48" t="s">
        <v>135</v>
      </c>
      <c r="B129" s="32">
        <f>+B130+B135+B140</f>
        <v>287039246</v>
      </c>
      <c r="C129" s="49"/>
      <c r="D129" s="49"/>
      <c r="E129" s="49"/>
      <c r="F129" s="49"/>
      <c r="G129" s="49">
        <f t="shared" si="20"/>
        <v>287039246</v>
      </c>
      <c r="H129" s="49"/>
      <c r="I129" s="49">
        <f t="shared" si="19"/>
        <v>287039246</v>
      </c>
      <c r="J129" s="49">
        <f>+J130+J135+J140</f>
        <v>165671407</v>
      </c>
      <c r="K129" s="49">
        <f t="shared" si="13"/>
        <v>-121367839</v>
      </c>
      <c r="L129" s="50">
        <f t="shared" si="14"/>
        <v>0.57717336325500246</v>
      </c>
    </row>
    <row r="130" spans="1:12" s="51" customFormat="1" ht="15" hidden="1" outlineLevel="1" x14ac:dyDescent="0.25">
      <c r="A130" s="48" t="s">
        <v>136</v>
      </c>
      <c r="B130" s="15">
        <f>SUM(B131:B134)</f>
        <v>195000000</v>
      </c>
      <c r="C130" s="49"/>
      <c r="D130" s="49"/>
      <c r="E130" s="49"/>
      <c r="F130" s="49"/>
      <c r="G130" s="62">
        <f t="shared" si="20"/>
        <v>195000000</v>
      </c>
      <c r="H130" s="49"/>
      <c r="I130" s="62">
        <f t="shared" si="19"/>
        <v>195000000</v>
      </c>
      <c r="J130" s="62">
        <f>SUM(J131:J134)</f>
        <v>90923093</v>
      </c>
      <c r="K130" s="62">
        <f t="shared" si="13"/>
        <v>-104076907</v>
      </c>
      <c r="L130" s="50">
        <f t="shared" si="14"/>
        <v>0.4662722717948718</v>
      </c>
    </row>
    <row r="131" spans="1:12" s="51" customFormat="1" ht="15" hidden="1" outlineLevel="4" x14ac:dyDescent="0.25">
      <c r="A131" s="68" t="s">
        <v>137</v>
      </c>
      <c r="B131" s="19">
        <f>+[2]Oscar!$D$42</f>
        <v>80000000</v>
      </c>
      <c r="C131" s="49"/>
      <c r="D131" s="49"/>
      <c r="E131" s="49"/>
      <c r="F131" s="49"/>
      <c r="G131" s="53">
        <f t="shared" si="20"/>
        <v>80000000</v>
      </c>
      <c r="H131" s="49"/>
      <c r="I131" s="53">
        <f t="shared" si="19"/>
        <v>80000000</v>
      </c>
      <c r="J131" s="53">
        <v>45000000</v>
      </c>
      <c r="K131" s="53">
        <f t="shared" si="13"/>
        <v>-35000000</v>
      </c>
      <c r="L131" s="54">
        <f t="shared" si="14"/>
        <v>0.5625</v>
      </c>
    </row>
    <row r="132" spans="1:12" s="51" customFormat="1" ht="15" hidden="1" outlineLevel="4" x14ac:dyDescent="0.25">
      <c r="A132" s="68" t="s">
        <v>138</v>
      </c>
      <c r="B132" s="19"/>
      <c r="C132" s="49"/>
      <c r="D132" s="49"/>
      <c r="E132" s="49"/>
      <c r="F132" s="49"/>
      <c r="G132" s="53">
        <f t="shared" si="20"/>
        <v>0</v>
      </c>
      <c r="H132" s="49"/>
      <c r="I132" s="53">
        <f t="shared" si="19"/>
        <v>0</v>
      </c>
      <c r="J132" s="53">
        <v>0</v>
      </c>
      <c r="K132" s="53">
        <f t="shared" si="13"/>
        <v>0</v>
      </c>
      <c r="L132" s="54">
        <f t="shared" si="14"/>
        <v>0</v>
      </c>
    </row>
    <row r="133" spans="1:12" s="51" customFormat="1" ht="15" hidden="1" outlineLevel="4" x14ac:dyDescent="0.25">
      <c r="A133" s="68" t="s">
        <v>139</v>
      </c>
      <c r="B133" s="19">
        <v>15000000</v>
      </c>
      <c r="C133" s="49"/>
      <c r="D133" s="49"/>
      <c r="E133" s="49"/>
      <c r="F133" s="49"/>
      <c r="G133" s="53">
        <f t="shared" si="20"/>
        <v>15000000</v>
      </c>
      <c r="H133" s="49"/>
      <c r="I133" s="53">
        <f t="shared" si="19"/>
        <v>15000000</v>
      </c>
      <c r="J133" s="53">
        <v>0</v>
      </c>
      <c r="K133" s="53">
        <f t="shared" si="13"/>
        <v>-15000000</v>
      </c>
      <c r="L133" s="54">
        <f t="shared" si="14"/>
        <v>0</v>
      </c>
    </row>
    <row r="134" spans="1:12" s="51" customFormat="1" ht="15" hidden="1" outlineLevel="4" x14ac:dyDescent="0.25">
      <c r="A134" s="68" t="s">
        <v>140</v>
      </c>
      <c r="B134" s="19">
        <f>+[2]Oscar!$D$45</f>
        <v>100000000</v>
      </c>
      <c r="C134" s="49"/>
      <c r="D134" s="49"/>
      <c r="E134" s="49"/>
      <c r="F134" s="49"/>
      <c r="G134" s="53">
        <f t="shared" si="20"/>
        <v>100000000</v>
      </c>
      <c r="H134" s="49"/>
      <c r="I134" s="53">
        <f t="shared" si="19"/>
        <v>100000000</v>
      </c>
      <c r="J134" s="53">
        <v>45923093</v>
      </c>
      <c r="K134" s="53">
        <f t="shared" si="13"/>
        <v>-54076907</v>
      </c>
      <c r="L134" s="54">
        <f t="shared" si="14"/>
        <v>0.45923092999999998</v>
      </c>
    </row>
    <row r="135" spans="1:12" s="51" customFormat="1" ht="15" hidden="1" outlineLevel="1" x14ac:dyDescent="0.25">
      <c r="A135" s="48" t="s">
        <v>141</v>
      </c>
      <c r="B135" s="15">
        <f>SUM(B136:B139)</f>
        <v>83000000</v>
      </c>
      <c r="C135" s="49"/>
      <c r="D135" s="49"/>
      <c r="E135" s="49"/>
      <c r="F135" s="49"/>
      <c r="G135" s="62">
        <f>+B135+C135+D135+E135+F135</f>
        <v>83000000</v>
      </c>
      <c r="H135" s="49"/>
      <c r="I135" s="62">
        <f>+G135+H135</f>
        <v>83000000</v>
      </c>
      <c r="J135" s="62">
        <f>SUM(J136:J139)</f>
        <v>66186814</v>
      </c>
      <c r="K135" s="62">
        <f t="shared" si="13"/>
        <v>-16813186</v>
      </c>
      <c r="L135" s="50">
        <f t="shared" si="14"/>
        <v>0.79743149397590363</v>
      </c>
    </row>
    <row r="136" spans="1:12" s="51" customFormat="1" ht="15" hidden="1" outlineLevel="2" x14ac:dyDescent="0.25">
      <c r="A136" s="68" t="s">
        <v>137</v>
      </c>
      <c r="B136" s="19">
        <f>+[2]Oscar!$D$47</f>
        <v>21000000</v>
      </c>
      <c r="C136" s="49"/>
      <c r="D136" s="49"/>
      <c r="E136" s="49"/>
      <c r="F136" s="49"/>
      <c r="G136" s="53">
        <f t="shared" si="20"/>
        <v>21000000</v>
      </c>
      <c r="H136" s="49"/>
      <c r="I136" s="53">
        <f>+G136+H136</f>
        <v>21000000</v>
      </c>
      <c r="J136" s="53">
        <v>20113080</v>
      </c>
      <c r="K136" s="53">
        <f t="shared" si="13"/>
        <v>-886920</v>
      </c>
      <c r="L136" s="54">
        <f t="shared" si="14"/>
        <v>0.95776571428571433</v>
      </c>
    </row>
    <row r="137" spans="1:12" s="51" customFormat="1" ht="15" hidden="1" outlineLevel="2" x14ac:dyDescent="0.25">
      <c r="A137" s="68" t="s">
        <v>138</v>
      </c>
      <c r="B137" s="19"/>
      <c r="C137" s="49"/>
      <c r="D137" s="49"/>
      <c r="E137" s="49"/>
      <c r="F137" s="49"/>
      <c r="G137" s="53">
        <f t="shared" si="20"/>
        <v>0</v>
      </c>
      <c r="H137" s="49"/>
      <c r="I137" s="53">
        <f t="shared" si="19"/>
        <v>0</v>
      </c>
      <c r="J137" s="53">
        <v>0</v>
      </c>
      <c r="K137" s="53">
        <f t="shared" si="13"/>
        <v>0</v>
      </c>
      <c r="L137" s="54">
        <f t="shared" si="14"/>
        <v>0</v>
      </c>
    </row>
    <row r="138" spans="1:12" s="51" customFormat="1" ht="15" hidden="1" outlineLevel="2" x14ac:dyDescent="0.25">
      <c r="A138" s="68" t="s">
        <v>139</v>
      </c>
      <c r="B138" s="19">
        <v>15000000</v>
      </c>
      <c r="C138" s="49"/>
      <c r="D138" s="49"/>
      <c r="E138" s="49"/>
      <c r="F138" s="49"/>
      <c r="G138" s="53">
        <f t="shared" si="20"/>
        <v>15000000</v>
      </c>
      <c r="H138" s="49"/>
      <c r="I138" s="53">
        <f t="shared" si="19"/>
        <v>15000000</v>
      </c>
      <c r="J138" s="53">
        <v>0</v>
      </c>
      <c r="K138" s="53">
        <f t="shared" ref="K138:K201" si="21">+J138-I138</f>
        <v>-15000000</v>
      </c>
      <c r="L138" s="54">
        <f t="shared" ref="L138:L201" si="22">IFERROR(J138/I138,0)</f>
        <v>0</v>
      </c>
    </row>
    <row r="139" spans="1:12" s="51" customFormat="1" ht="15" hidden="1" outlineLevel="2" x14ac:dyDescent="0.25">
      <c r="A139" s="68" t="s">
        <v>140</v>
      </c>
      <c r="B139" s="19">
        <f>+[2]Oscar!$D$50</f>
        <v>47000000</v>
      </c>
      <c r="C139" s="49"/>
      <c r="D139" s="49"/>
      <c r="E139" s="49"/>
      <c r="F139" s="49"/>
      <c r="G139" s="53">
        <f t="shared" si="20"/>
        <v>47000000</v>
      </c>
      <c r="H139" s="49"/>
      <c r="I139" s="53">
        <f t="shared" si="19"/>
        <v>47000000</v>
      </c>
      <c r="J139" s="53">
        <v>46073734</v>
      </c>
      <c r="K139" s="53">
        <f t="shared" si="21"/>
        <v>-926266</v>
      </c>
      <c r="L139" s="54">
        <f t="shared" si="22"/>
        <v>0.98029221276595746</v>
      </c>
    </row>
    <row r="140" spans="1:12" s="51" customFormat="1" ht="15" hidden="1" outlineLevel="1" x14ac:dyDescent="0.25">
      <c r="A140" s="48" t="s">
        <v>142</v>
      </c>
      <c r="B140" s="15">
        <f>+[2]Oscar!$D$51</f>
        <v>9039246</v>
      </c>
      <c r="C140" s="32"/>
      <c r="D140" s="32"/>
      <c r="E140" s="32"/>
      <c r="F140" s="32"/>
      <c r="G140" s="62">
        <f>+B140+C140+D140+E140+F140</f>
        <v>9039246</v>
      </c>
      <c r="H140" s="32"/>
      <c r="I140" s="62">
        <f>+G140+H140</f>
        <v>9039246</v>
      </c>
      <c r="J140" s="62">
        <v>8561500</v>
      </c>
      <c r="K140" s="62">
        <f t="shared" si="21"/>
        <v>-477746</v>
      </c>
      <c r="L140" s="54">
        <f t="shared" si="22"/>
        <v>0.94714758288467871</v>
      </c>
    </row>
    <row r="141" spans="1:12" s="47" customFormat="1" ht="15" collapsed="1" x14ac:dyDescent="0.25">
      <c r="A141" s="44" t="s">
        <v>143</v>
      </c>
      <c r="B141" s="45"/>
      <c r="C141" s="45">
        <f>+C142</f>
        <v>148722677.61199999</v>
      </c>
      <c r="D141" s="45"/>
      <c r="E141" s="45"/>
      <c r="F141" s="45">
        <f>+F145+F151</f>
        <v>89700000</v>
      </c>
      <c r="G141" s="45">
        <f>SUM(B141:F141)</f>
        <v>238422677.61199999</v>
      </c>
      <c r="H141" s="45"/>
      <c r="I141" s="45">
        <f>+H141+G141</f>
        <v>238422677.61199999</v>
      </c>
      <c r="J141" s="45">
        <f>+J142+J145+J151</f>
        <v>213957506</v>
      </c>
      <c r="K141" s="45">
        <f t="shared" si="21"/>
        <v>-24465171.611999989</v>
      </c>
      <c r="L141" s="46">
        <f t="shared" si="22"/>
        <v>0.89738739679866497</v>
      </c>
    </row>
    <row r="142" spans="1:12" s="51" customFormat="1" ht="15" x14ac:dyDescent="0.25">
      <c r="A142" s="74" t="s">
        <v>144</v>
      </c>
      <c r="B142" s="53"/>
      <c r="C142" s="62">
        <f>+C143+C144</f>
        <v>148722677.61199999</v>
      </c>
      <c r="D142" s="62"/>
      <c r="E142" s="62"/>
      <c r="F142" s="62"/>
      <c r="G142" s="62">
        <f t="shared" ref="G142:G154" si="23">+B142+C142+E142+F142+D142</f>
        <v>148722677.61199999</v>
      </c>
      <c r="H142" s="62"/>
      <c r="I142" s="62">
        <f>+H142+G142</f>
        <v>148722677.61199999</v>
      </c>
      <c r="J142" s="62">
        <f>+J143+J144</f>
        <v>135499919</v>
      </c>
      <c r="K142" s="62">
        <f t="shared" si="21"/>
        <v>-13222758.611999989</v>
      </c>
      <c r="L142" s="50">
        <f t="shared" si="22"/>
        <v>0.91109117436349141</v>
      </c>
    </row>
    <row r="143" spans="1:12" s="51" customFormat="1" ht="15" x14ac:dyDescent="0.25">
      <c r="A143" s="74" t="s">
        <v>145</v>
      </c>
      <c r="B143" s="62"/>
      <c r="C143" s="62">
        <f>+'[5]2014-II y III'!$H$72</f>
        <v>98811750</v>
      </c>
      <c r="D143" s="62"/>
      <c r="E143" s="62"/>
      <c r="F143" s="62"/>
      <c r="G143" s="62">
        <f t="shared" si="23"/>
        <v>98811750</v>
      </c>
      <c r="H143" s="62"/>
      <c r="I143" s="62">
        <f>+H143+G143</f>
        <v>98811750</v>
      </c>
      <c r="J143" s="62">
        <v>98495133</v>
      </c>
      <c r="K143" s="62">
        <f t="shared" si="21"/>
        <v>-316617</v>
      </c>
      <c r="L143" s="50">
        <f t="shared" si="22"/>
        <v>0.99679575556550715</v>
      </c>
    </row>
    <row r="144" spans="1:12" s="51" customFormat="1" ht="15" x14ac:dyDescent="0.25">
      <c r="A144" s="74" t="s">
        <v>146</v>
      </c>
      <c r="B144" s="62"/>
      <c r="C144" s="62">
        <f>+'[5]2014-II y III'!$H$95</f>
        <v>49910927.612000003</v>
      </c>
      <c r="D144" s="62"/>
      <c r="E144" s="62"/>
      <c r="F144" s="62"/>
      <c r="G144" s="62">
        <f t="shared" si="23"/>
        <v>49910927.612000003</v>
      </c>
      <c r="H144" s="62"/>
      <c r="I144" s="62">
        <f>+H144+G144</f>
        <v>49910927.612000003</v>
      </c>
      <c r="J144" s="62">
        <v>37004786</v>
      </c>
      <c r="K144" s="62">
        <f t="shared" si="21"/>
        <v>-12906141.612000003</v>
      </c>
      <c r="L144" s="50">
        <f t="shared" si="22"/>
        <v>0.74141651478949866</v>
      </c>
    </row>
    <row r="145" spans="1:12" s="76" customFormat="1" ht="15" x14ac:dyDescent="0.25">
      <c r="A145" s="74" t="s">
        <v>147</v>
      </c>
      <c r="B145" s="75"/>
      <c r="C145" s="27"/>
      <c r="D145" s="27"/>
      <c r="E145" s="27"/>
      <c r="F145" s="15">
        <f>SUM(F146:F150)</f>
        <v>65500000</v>
      </c>
      <c r="G145" s="62">
        <f t="shared" si="23"/>
        <v>65500000</v>
      </c>
      <c r="H145" s="62"/>
      <c r="I145" s="62">
        <f>+H145+G145</f>
        <v>65500000</v>
      </c>
      <c r="J145" s="62">
        <f>SUM(J146:J150)</f>
        <v>57515774</v>
      </c>
      <c r="K145" s="62">
        <f t="shared" si="21"/>
        <v>-7984226</v>
      </c>
      <c r="L145" s="50">
        <f t="shared" si="22"/>
        <v>0.8781034198473282</v>
      </c>
    </row>
    <row r="146" spans="1:12" s="76" customFormat="1" ht="14.25" hidden="1" outlineLevel="1" x14ac:dyDescent="0.2">
      <c r="A146" s="57" t="s">
        <v>148</v>
      </c>
      <c r="B146" s="75"/>
      <c r="C146" s="27"/>
      <c r="D146" s="27"/>
      <c r="E146" s="27"/>
      <c r="F146" s="19">
        <f>+'[3]Anexo 2 '!$N$144</f>
        <v>45500000</v>
      </c>
      <c r="G146" s="53">
        <f t="shared" si="23"/>
        <v>45500000</v>
      </c>
      <c r="H146" s="27"/>
      <c r="I146" s="53">
        <f t="shared" ref="I146:I154" si="24">+H146+G146</f>
        <v>45500000</v>
      </c>
      <c r="J146" s="53">
        <v>44278935</v>
      </c>
      <c r="K146" s="53">
        <f t="shared" si="21"/>
        <v>-1221065</v>
      </c>
      <c r="L146" s="54">
        <f t="shared" si="22"/>
        <v>0.97316340659340661</v>
      </c>
    </row>
    <row r="147" spans="1:12" s="76" customFormat="1" ht="14.25" hidden="1" outlineLevel="1" x14ac:dyDescent="0.2">
      <c r="A147" s="57" t="s">
        <v>149</v>
      </c>
      <c r="B147" s="75"/>
      <c r="C147" s="27"/>
      <c r="D147" s="27"/>
      <c r="E147" s="27"/>
      <c r="F147" s="19"/>
      <c r="G147" s="53">
        <f t="shared" si="23"/>
        <v>0</v>
      </c>
      <c r="H147" s="27"/>
      <c r="I147" s="53">
        <f t="shared" si="24"/>
        <v>0</v>
      </c>
      <c r="J147" s="53">
        <v>0</v>
      </c>
      <c r="K147" s="53">
        <f t="shared" si="21"/>
        <v>0</v>
      </c>
      <c r="L147" s="54">
        <f t="shared" si="22"/>
        <v>0</v>
      </c>
    </row>
    <row r="148" spans="1:12" s="76" customFormat="1" ht="14.25" hidden="1" outlineLevel="1" x14ac:dyDescent="0.2">
      <c r="A148" s="57" t="s">
        <v>150</v>
      </c>
      <c r="B148" s="75"/>
      <c r="C148" s="27"/>
      <c r="D148" s="27"/>
      <c r="E148" s="27"/>
      <c r="F148" s="19">
        <f>+'[3]Anexo 2 '!$N$146</f>
        <v>8000000</v>
      </c>
      <c r="G148" s="53">
        <f t="shared" si="23"/>
        <v>8000000</v>
      </c>
      <c r="H148" s="27"/>
      <c r="I148" s="53">
        <f t="shared" si="24"/>
        <v>8000000</v>
      </c>
      <c r="J148" s="53">
        <v>3051817</v>
      </c>
      <c r="K148" s="53">
        <f t="shared" si="21"/>
        <v>-4948183</v>
      </c>
      <c r="L148" s="54">
        <f t="shared" si="22"/>
        <v>0.38147712499999997</v>
      </c>
    </row>
    <row r="149" spans="1:12" s="76" customFormat="1" ht="14.25" hidden="1" outlineLevel="1" x14ac:dyDescent="0.2">
      <c r="A149" s="57" t="s">
        <v>151</v>
      </c>
      <c r="B149" s="75"/>
      <c r="C149" s="27"/>
      <c r="D149" s="27"/>
      <c r="E149" s="27"/>
      <c r="F149" s="19">
        <f>+'[3]Anexo 2 '!$N$147</f>
        <v>12000000</v>
      </c>
      <c r="G149" s="53">
        <f t="shared" si="23"/>
        <v>12000000</v>
      </c>
      <c r="H149" s="27"/>
      <c r="I149" s="53">
        <f t="shared" si="24"/>
        <v>12000000</v>
      </c>
      <c r="J149" s="53">
        <v>10185022</v>
      </c>
      <c r="K149" s="53">
        <f t="shared" si="21"/>
        <v>-1814978</v>
      </c>
      <c r="L149" s="54">
        <f t="shared" si="22"/>
        <v>0.84875183333333337</v>
      </c>
    </row>
    <row r="150" spans="1:12" s="76" customFormat="1" ht="14.25" hidden="1" outlineLevel="1" x14ac:dyDescent="0.2">
      <c r="A150" s="57" t="s">
        <v>66</v>
      </c>
      <c r="B150" s="75"/>
      <c r="C150" s="27"/>
      <c r="D150" s="27"/>
      <c r="E150" s="27"/>
      <c r="F150" s="19"/>
      <c r="G150" s="53">
        <f t="shared" si="23"/>
        <v>0</v>
      </c>
      <c r="H150" s="27"/>
      <c r="I150" s="53">
        <f t="shared" si="24"/>
        <v>0</v>
      </c>
      <c r="J150" s="53">
        <v>0</v>
      </c>
      <c r="K150" s="53">
        <f t="shared" si="21"/>
        <v>0</v>
      </c>
      <c r="L150" s="54">
        <f t="shared" si="22"/>
        <v>0</v>
      </c>
    </row>
    <row r="151" spans="1:12" s="76" customFormat="1" ht="15" collapsed="1" x14ac:dyDescent="0.25">
      <c r="A151" s="60" t="s">
        <v>152</v>
      </c>
      <c r="B151" s="75"/>
      <c r="C151" s="27"/>
      <c r="D151" s="27"/>
      <c r="E151" s="27"/>
      <c r="F151" s="15">
        <f>SUM(F152:F154)</f>
        <v>24200000</v>
      </c>
      <c r="G151" s="62">
        <f t="shared" si="23"/>
        <v>24200000</v>
      </c>
      <c r="H151" s="27"/>
      <c r="I151" s="62">
        <f>+H151+G151</f>
        <v>24200000</v>
      </c>
      <c r="J151" s="62">
        <f>SUM(J152:J154)</f>
        <v>20941813</v>
      </c>
      <c r="K151" s="62">
        <f t="shared" si="21"/>
        <v>-3258187</v>
      </c>
      <c r="L151" s="50">
        <f t="shared" si="22"/>
        <v>0.86536417355371897</v>
      </c>
    </row>
    <row r="152" spans="1:12" s="76" customFormat="1" ht="14.25" hidden="1" outlineLevel="1" x14ac:dyDescent="0.2">
      <c r="A152" s="57" t="s">
        <v>153</v>
      </c>
      <c r="B152" s="75"/>
      <c r="C152" s="27"/>
      <c r="D152" s="27"/>
      <c r="E152" s="27"/>
      <c r="F152" s="19"/>
      <c r="G152" s="53">
        <f t="shared" si="23"/>
        <v>0</v>
      </c>
      <c r="H152" s="27"/>
      <c r="I152" s="53">
        <f t="shared" si="24"/>
        <v>0</v>
      </c>
      <c r="J152" s="53"/>
      <c r="K152" s="53">
        <f t="shared" si="21"/>
        <v>0</v>
      </c>
      <c r="L152" s="54">
        <f t="shared" si="22"/>
        <v>0</v>
      </c>
    </row>
    <row r="153" spans="1:12" s="76" customFormat="1" ht="14.25" hidden="1" outlineLevel="1" x14ac:dyDescent="0.2">
      <c r="A153" s="57" t="s">
        <v>154</v>
      </c>
      <c r="B153" s="75"/>
      <c r="C153" s="27"/>
      <c r="D153" s="27"/>
      <c r="E153" s="27"/>
      <c r="F153" s="19">
        <f>+'[3]Anexo 2 '!$N$151</f>
        <v>16200000</v>
      </c>
      <c r="G153" s="53">
        <f t="shared" si="23"/>
        <v>16200000</v>
      </c>
      <c r="H153" s="27"/>
      <c r="I153" s="53">
        <f t="shared" si="24"/>
        <v>16200000</v>
      </c>
      <c r="J153" s="53">
        <v>13320000</v>
      </c>
      <c r="K153" s="53">
        <f t="shared" si="21"/>
        <v>-2880000</v>
      </c>
      <c r="L153" s="54">
        <f t="shared" si="22"/>
        <v>0.82222222222222219</v>
      </c>
    </row>
    <row r="154" spans="1:12" s="76" customFormat="1" ht="14.25" hidden="1" outlineLevel="1" x14ac:dyDescent="0.2">
      <c r="A154" s="57" t="s">
        <v>155</v>
      </c>
      <c r="B154" s="75"/>
      <c r="C154" s="27"/>
      <c r="D154" s="27"/>
      <c r="E154" s="27"/>
      <c r="F154" s="19">
        <f>+'[3]Anexo 2 '!$N$152</f>
        <v>8000000</v>
      </c>
      <c r="G154" s="53">
        <f t="shared" si="23"/>
        <v>8000000</v>
      </c>
      <c r="H154" s="27"/>
      <c r="I154" s="53">
        <f t="shared" si="24"/>
        <v>8000000</v>
      </c>
      <c r="J154" s="53">
        <v>7621813</v>
      </c>
      <c r="K154" s="53">
        <f t="shared" si="21"/>
        <v>-378187</v>
      </c>
      <c r="L154" s="54">
        <f t="shared" si="22"/>
        <v>0.95272662500000005</v>
      </c>
    </row>
    <row r="155" spans="1:12" s="47" customFormat="1" ht="30" collapsed="1" x14ac:dyDescent="0.25">
      <c r="A155" s="44" t="s">
        <v>156</v>
      </c>
      <c r="B155" s="45">
        <f>+B156+B159</f>
        <v>50608989</v>
      </c>
      <c r="C155" s="45"/>
      <c r="D155" s="45"/>
      <c r="E155" s="45"/>
      <c r="F155" s="45"/>
      <c r="G155" s="45">
        <f>SUM(B155:F155)</f>
        <v>50608989</v>
      </c>
      <c r="H155" s="45"/>
      <c r="I155" s="45">
        <f>+H155+G155</f>
        <v>50608989</v>
      </c>
      <c r="J155" s="45">
        <f>+J156+J159</f>
        <v>46400057</v>
      </c>
      <c r="K155" s="45">
        <f t="shared" si="21"/>
        <v>-4208932</v>
      </c>
      <c r="L155" s="46">
        <f t="shared" si="22"/>
        <v>0.91683429993039378</v>
      </c>
    </row>
    <row r="156" spans="1:12" s="51" customFormat="1" ht="15" x14ac:dyDescent="0.25">
      <c r="A156" s="48" t="s">
        <v>157</v>
      </c>
      <c r="B156" s="32">
        <f>+B157+B158</f>
        <v>33595203</v>
      </c>
      <c r="C156" s="27"/>
      <c r="D156" s="27"/>
      <c r="E156" s="27"/>
      <c r="F156" s="49"/>
      <c r="G156" s="62">
        <f t="shared" ref="G156:G161" si="25">+B156+C156+E156+F156+D156</f>
        <v>33595203</v>
      </c>
      <c r="H156" s="62"/>
      <c r="I156" s="15">
        <f t="shared" ref="I156:I161" si="26">+G156+H156</f>
        <v>33595203</v>
      </c>
      <c r="J156" s="15">
        <f>+J157+J158</f>
        <v>29861837</v>
      </c>
      <c r="K156" s="15">
        <f t="shared" si="21"/>
        <v>-3733366</v>
      </c>
      <c r="L156" s="50">
        <f t="shared" si="22"/>
        <v>0.8888720511675432</v>
      </c>
    </row>
    <row r="157" spans="1:12" s="51" customFormat="1" ht="14.25" hidden="1" outlineLevel="1" x14ac:dyDescent="0.2">
      <c r="A157" s="57" t="s">
        <v>158</v>
      </c>
      <c r="B157" s="18">
        <f>+[2]Oscar!$D$56</f>
        <v>25690987</v>
      </c>
      <c r="C157" s="27"/>
      <c r="D157" s="27"/>
      <c r="E157" s="27"/>
      <c r="F157" s="27"/>
      <c r="G157" s="27">
        <f t="shared" si="25"/>
        <v>25690987</v>
      </c>
      <c r="H157" s="27"/>
      <c r="I157" s="18">
        <f t="shared" si="26"/>
        <v>25690987</v>
      </c>
      <c r="J157" s="18">
        <v>22014737</v>
      </c>
      <c r="K157" s="18">
        <f t="shared" si="21"/>
        <v>-3676250</v>
      </c>
      <c r="L157" s="54">
        <f t="shared" si="22"/>
        <v>0.85690506947047229</v>
      </c>
    </row>
    <row r="158" spans="1:12" s="51" customFormat="1" ht="14.25" hidden="1" outlineLevel="1" x14ac:dyDescent="0.2">
      <c r="A158" s="57" t="s">
        <v>159</v>
      </c>
      <c r="B158" s="18">
        <f>+[2]Oscar!$D$57</f>
        <v>7904216</v>
      </c>
      <c r="C158" s="27"/>
      <c r="D158" s="27"/>
      <c r="E158" s="27"/>
      <c r="F158" s="27"/>
      <c r="G158" s="27">
        <f t="shared" si="25"/>
        <v>7904216</v>
      </c>
      <c r="H158" s="27"/>
      <c r="I158" s="18">
        <f t="shared" si="26"/>
        <v>7904216</v>
      </c>
      <c r="J158" s="18">
        <v>7847100</v>
      </c>
      <c r="K158" s="18">
        <f t="shared" si="21"/>
        <v>-57116</v>
      </c>
      <c r="L158" s="54">
        <f t="shared" si="22"/>
        <v>0.99277398289722851</v>
      </c>
    </row>
    <row r="159" spans="1:12" s="51" customFormat="1" ht="15" collapsed="1" x14ac:dyDescent="0.25">
      <c r="A159" s="48" t="s">
        <v>160</v>
      </c>
      <c r="B159" s="15">
        <f>SUM(B160:B161)</f>
        <v>17013786</v>
      </c>
      <c r="C159" s="27"/>
      <c r="D159" s="27"/>
      <c r="E159" s="27"/>
      <c r="F159" s="27"/>
      <c r="G159" s="62">
        <f t="shared" si="25"/>
        <v>17013786</v>
      </c>
      <c r="H159" s="27"/>
      <c r="I159" s="15">
        <f t="shared" si="26"/>
        <v>17013786</v>
      </c>
      <c r="J159" s="15">
        <f>SUM(J160:J161)</f>
        <v>16538220</v>
      </c>
      <c r="K159" s="15">
        <f t="shared" si="21"/>
        <v>-475566</v>
      </c>
      <c r="L159" s="50">
        <f t="shared" si="22"/>
        <v>0.9720481966800335</v>
      </c>
    </row>
    <row r="160" spans="1:12" s="51" customFormat="1" ht="15.75" hidden="1" customHeight="1" outlineLevel="1" x14ac:dyDescent="0.2">
      <c r="A160" s="73" t="s">
        <v>161</v>
      </c>
      <c r="B160" s="19">
        <f>+[2]Oscar!$D$59</f>
        <v>17013786</v>
      </c>
      <c r="C160" s="53"/>
      <c r="D160" s="53"/>
      <c r="E160" s="53"/>
      <c r="F160" s="53"/>
      <c r="G160" s="27">
        <f t="shared" si="25"/>
        <v>17013786</v>
      </c>
      <c r="H160" s="53"/>
      <c r="I160" s="27">
        <f t="shared" si="26"/>
        <v>17013786</v>
      </c>
      <c r="J160" s="27">
        <v>16538220</v>
      </c>
      <c r="K160" s="27">
        <f t="shared" si="21"/>
        <v>-475566</v>
      </c>
      <c r="L160" s="54">
        <f t="shared" si="22"/>
        <v>0.9720481966800335</v>
      </c>
    </row>
    <row r="161" spans="1:12" s="51" customFormat="1" ht="14.25" hidden="1" outlineLevel="1" x14ac:dyDescent="0.2">
      <c r="A161" s="77" t="s">
        <v>162</v>
      </c>
      <c r="B161" s="18">
        <v>0</v>
      </c>
      <c r="C161" s="27"/>
      <c r="D161" s="27"/>
      <c r="E161" s="27"/>
      <c r="F161" s="27"/>
      <c r="G161" s="27">
        <f t="shared" si="25"/>
        <v>0</v>
      </c>
      <c r="H161" s="27"/>
      <c r="I161" s="27">
        <f t="shared" si="26"/>
        <v>0</v>
      </c>
      <c r="J161" s="27">
        <v>0</v>
      </c>
      <c r="K161" s="27">
        <f t="shared" si="21"/>
        <v>0</v>
      </c>
      <c r="L161" s="54">
        <f t="shared" si="22"/>
        <v>0</v>
      </c>
    </row>
    <row r="162" spans="1:12" s="47" customFormat="1" ht="15" collapsed="1" x14ac:dyDescent="0.25">
      <c r="A162" s="44" t="s">
        <v>163</v>
      </c>
      <c r="B162" s="45">
        <f>+B163+B169</f>
        <v>160110760</v>
      </c>
      <c r="C162" s="45"/>
      <c r="D162" s="45"/>
      <c r="E162" s="45"/>
      <c r="F162" s="45"/>
      <c r="G162" s="45">
        <f>SUM(B162:F162)</f>
        <v>160110760</v>
      </c>
      <c r="H162" s="45"/>
      <c r="I162" s="45">
        <f>+H162+G162</f>
        <v>160110760</v>
      </c>
      <c r="J162" s="45">
        <f>+J163+J169</f>
        <v>125122475</v>
      </c>
      <c r="K162" s="45">
        <f t="shared" si="21"/>
        <v>-34988285</v>
      </c>
      <c r="L162" s="46">
        <f t="shared" si="22"/>
        <v>0.78147449303219851</v>
      </c>
    </row>
    <row r="163" spans="1:12" s="51" customFormat="1" ht="15" x14ac:dyDescent="0.25">
      <c r="A163" s="48" t="s">
        <v>164</v>
      </c>
      <c r="B163" s="15">
        <f>+B164+B165+B166+B167+B168</f>
        <v>106160760</v>
      </c>
      <c r="C163" s="62"/>
      <c r="D163" s="62"/>
      <c r="E163" s="62"/>
      <c r="F163" s="62"/>
      <c r="G163" s="62">
        <f>+B163+C163+D163+E163+F163</f>
        <v>106160760</v>
      </c>
      <c r="H163" s="62"/>
      <c r="I163" s="62">
        <f t="shared" ref="I163:I172" si="27">+G163+H163</f>
        <v>106160760</v>
      </c>
      <c r="J163" s="62">
        <f>+J164+J165+J166+J167+J168</f>
        <v>100461708</v>
      </c>
      <c r="K163" s="62">
        <f t="shared" si="21"/>
        <v>-5699052</v>
      </c>
      <c r="L163" s="50">
        <f t="shared" si="22"/>
        <v>0.94631677467267572</v>
      </c>
    </row>
    <row r="164" spans="1:12" s="51" customFormat="1" ht="15" hidden="1" outlineLevel="1" x14ac:dyDescent="0.25">
      <c r="A164" s="57" t="s">
        <v>165</v>
      </c>
      <c r="B164" s="19">
        <f>+[2]Oscar!$D$65-6600000-1768000-1200000</f>
        <v>29742448</v>
      </c>
      <c r="C164" s="62"/>
      <c r="D164" s="62"/>
      <c r="E164" s="62"/>
      <c r="F164" s="62"/>
      <c r="G164" s="53">
        <f t="shared" ref="G164:G171" si="28">+B164+C164+D164+E164+F164</f>
        <v>29742448</v>
      </c>
      <c r="H164" s="53"/>
      <c r="I164" s="53">
        <f t="shared" si="27"/>
        <v>29742448</v>
      </c>
      <c r="J164" s="53">
        <v>29268217</v>
      </c>
      <c r="K164" s="53">
        <f t="shared" si="21"/>
        <v>-474231</v>
      </c>
      <c r="L164" s="54">
        <f t="shared" si="22"/>
        <v>0.98405541467198665</v>
      </c>
    </row>
    <row r="165" spans="1:12" s="51" customFormat="1" ht="15" hidden="1" outlineLevel="1" x14ac:dyDescent="0.25">
      <c r="A165" s="57" t="s">
        <v>166</v>
      </c>
      <c r="B165" s="19">
        <f>+[2]Oscar!$D$66+1768000</f>
        <v>5420693</v>
      </c>
      <c r="C165" s="62"/>
      <c r="D165" s="62"/>
      <c r="E165" s="62"/>
      <c r="F165" s="62"/>
      <c r="G165" s="53">
        <f t="shared" si="28"/>
        <v>5420693</v>
      </c>
      <c r="H165" s="53"/>
      <c r="I165" s="53">
        <f t="shared" si="27"/>
        <v>5420693</v>
      </c>
      <c r="J165" s="53">
        <v>5419981</v>
      </c>
      <c r="K165" s="53">
        <f t="shared" si="21"/>
        <v>-712</v>
      </c>
      <c r="L165" s="54">
        <f t="shared" si="22"/>
        <v>0.99986865148053949</v>
      </c>
    </row>
    <row r="166" spans="1:12" s="51" customFormat="1" ht="15" hidden="1" outlineLevel="1" x14ac:dyDescent="0.25">
      <c r="A166" s="57" t="s">
        <v>167</v>
      </c>
      <c r="B166" s="19">
        <f>+[2]Oscar!$D$67</f>
        <v>43497619</v>
      </c>
      <c r="C166" s="62"/>
      <c r="D166" s="62"/>
      <c r="E166" s="62"/>
      <c r="F166" s="62"/>
      <c r="G166" s="53">
        <f t="shared" si="28"/>
        <v>43497619</v>
      </c>
      <c r="H166" s="53"/>
      <c r="I166" s="53">
        <f t="shared" si="27"/>
        <v>43497619</v>
      </c>
      <c r="J166" s="53">
        <v>40990341</v>
      </c>
      <c r="K166" s="53">
        <f t="shared" si="21"/>
        <v>-2507278</v>
      </c>
      <c r="L166" s="54">
        <f t="shared" si="22"/>
        <v>0.94235827023083718</v>
      </c>
    </row>
    <row r="167" spans="1:12" s="51" customFormat="1" ht="15" hidden="1" outlineLevel="1" x14ac:dyDescent="0.25">
      <c r="A167" s="57" t="s">
        <v>168</v>
      </c>
      <c r="B167" s="19">
        <f>+[2]Oscar!$D$68</f>
        <v>19700000</v>
      </c>
      <c r="C167" s="62"/>
      <c r="D167" s="62"/>
      <c r="E167" s="62"/>
      <c r="F167" s="62"/>
      <c r="G167" s="53">
        <f t="shared" si="28"/>
        <v>19700000</v>
      </c>
      <c r="H167" s="53"/>
      <c r="I167" s="53">
        <f t="shared" si="27"/>
        <v>19700000</v>
      </c>
      <c r="J167" s="53">
        <v>16993720</v>
      </c>
      <c r="K167" s="53">
        <f t="shared" si="21"/>
        <v>-2706280</v>
      </c>
      <c r="L167" s="54">
        <f t="shared" si="22"/>
        <v>0.86262538071065986</v>
      </c>
    </row>
    <row r="168" spans="1:12" s="51" customFormat="1" ht="15" hidden="1" outlineLevel="1" x14ac:dyDescent="0.25">
      <c r="A168" s="57" t="s">
        <v>169</v>
      </c>
      <c r="B168" s="19">
        <v>7800000</v>
      </c>
      <c r="C168" s="62"/>
      <c r="D168" s="62"/>
      <c r="E168" s="62"/>
      <c r="F168" s="62"/>
      <c r="G168" s="53">
        <f t="shared" si="28"/>
        <v>7800000</v>
      </c>
      <c r="H168" s="53"/>
      <c r="I168" s="53">
        <f t="shared" si="27"/>
        <v>7800000</v>
      </c>
      <c r="J168" s="53">
        <v>7789449</v>
      </c>
      <c r="K168" s="53">
        <f t="shared" si="21"/>
        <v>-10551</v>
      </c>
      <c r="L168" s="54">
        <f t="shared" si="22"/>
        <v>0.9986473076923077</v>
      </c>
    </row>
    <row r="169" spans="1:12" s="51" customFormat="1" ht="15" collapsed="1" x14ac:dyDescent="0.25">
      <c r="A169" s="48" t="s">
        <v>170</v>
      </c>
      <c r="B169" s="15">
        <f>+B170+B171</f>
        <v>53950000</v>
      </c>
      <c r="C169" s="62"/>
      <c r="D169" s="62"/>
      <c r="E169" s="62"/>
      <c r="F169" s="62"/>
      <c r="G169" s="62">
        <f t="shared" si="28"/>
        <v>53950000</v>
      </c>
      <c r="H169" s="62"/>
      <c r="I169" s="62">
        <f t="shared" si="27"/>
        <v>53950000</v>
      </c>
      <c r="J169" s="15">
        <f>+J170+J171</f>
        <v>24660767</v>
      </c>
      <c r="K169" s="62">
        <f t="shared" si="21"/>
        <v>-29289233</v>
      </c>
      <c r="L169" s="50">
        <f t="shared" si="22"/>
        <v>0.45710411492122338</v>
      </c>
    </row>
    <row r="170" spans="1:12" s="51" customFormat="1" ht="15" hidden="1" outlineLevel="1" x14ac:dyDescent="0.25">
      <c r="A170" s="57" t="s">
        <v>171</v>
      </c>
      <c r="B170" s="19">
        <f>+[2]Oscar!$D$70</f>
        <v>25950000</v>
      </c>
      <c r="C170" s="62"/>
      <c r="D170" s="62"/>
      <c r="E170" s="62"/>
      <c r="F170" s="62"/>
      <c r="G170" s="53">
        <f t="shared" si="28"/>
        <v>25950000</v>
      </c>
      <c r="H170" s="53"/>
      <c r="I170" s="53">
        <f t="shared" si="27"/>
        <v>25950000</v>
      </c>
      <c r="J170" s="53">
        <v>23313494</v>
      </c>
      <c r="K170" s="53">
        <f t="shared" si="21"/>
        <v>-2636506</v>
      </c>
      <c r="L170" s="54">
        <f t="shared" si="22"/>
        <v>0.89840053949903664</v>
      </c>
    </row>
    <row r="171" spans="1:12" s="51" customFormat="1" ht="15" hidden="1" outlineLevel="1" x14ac:dyDescent="0.25">
      <c r="A171" s="57" t="s">
        <v>172</v>
      </c>
      <c r="B171" s="19">
        <f>+[2]Oscar!$D$71</f>
        <v>28000000</v>
      </c>
      <c r="C171" s="62"/>
      <c r="D171" s="62"/>
      <c r="E171" s="62"/>
      <c r="F171" s="62"/>
      <c r="G171" s="53">
        <f t="shared" si="28"/>
        <v>28000000</v>
      </c>
      <c r="H171" s="53"/>
      <c r="I171" s="53">
        <f t="shared" si="27"/>
        <v>28000000</v>
      </c>
      <c r="J171" s="53">
        <v>1347273</v>
      </c>
      <c r="K171" s="53">
        <f t="shared" si="21"/>
        <v>-26652727</v>
      </c>
      <c r="L171" s="54">
        <f t="shared" si="22"/>
        <v>4.8116892857142858E-2</v>
      </c>
    </row>
    <row r="172" spans="1:12" s="47" customFormat="1" ht="15" collapsed="1" x14ac:dyDescent="0.25">
      <c r="A172" s="44" t="s">
        <v>173</v>
      </c>
      <c r="B172" s="45"/>
      <c r="C172" s="45"/>
      <c r="D172" s="45">
        <f>+D173+D179</f>
        <v>1329677827</v>
      </c>
      <c r="E172" s="45"/>
      <c r="F172" s="45"/>
      <c r="G172" s="45">
        <f>SUM(B172:F172)</f>
        <v>1329677827</v>
      </c>
      <c r="H172" s="45"/>
      <c r="I172" s="45">
        <f t="shared" si="27"/>
        <v>1329677827</v>
      </c>
      <c r="J172" s="45">
        <f>+J173+J179</f>
        <v>266912643.5</v>
      </c>
      <c r="K172" s="45">
        <f t="shared" si="21"/>
        <v>-1062765183.5</v>
      </c>
      <c r="L172" s="46">
        <f t="shared" si="22"/>
        <v>0.20073482318811353</v>
      </c>
    </row>
    <row r="173" spans="1:12" ht="15" x14ac:dyDescent="0.25">
      <c r="A173" s="48" t="s">
        <v>174</v>
      </c>
      <c r="B173" s="78"/>
      <c r="C173" s="78"/>
      <c r="D173" s="78">
        <f>+D174</f>
        <v>128350000</v>
      </c>
      <c r="E173" s="27"/>
      <c r="F173" s="27"/>
      <c r="G173" s="49">
        <f t="shared" ref="G173:G187" si="29">+B173+C173+D173+E173+F173</f>
        <v>128350000</v>
      </c>
      <c r="H173" s="27"/>
      <c r="I173" s="49">
        <f t="shared" ref="I173:I179" si="30">+H173+G173</f>
        <v>128350000</v>
      </c>
      <c r="J173" s="49">
        <f>+J174</f>
        <v>121504079</v>
      </c>
      <c r="K173" s="49">
        <f t="shared" si="21"/>
        <v>-6845921</v>
      </c>
      <c r="L173" s="50">
        <f t="shared" si="22"/>
        <v>0.94666208804051422</v>
      </c>
    </row>
    <row r="174" spans="1:12" ht="15" x14ac:dyDescent="0.25">
      <c r="A174" s="48" t="s">
        <v>175</v>
      </c>
      <c r="B174" s="78"/>
      <c r="C174" s="79"/>
      <c r="D174" s="80">
        <f>SUM(D175:D178)</f>
        <v>128350000</v>
      </c>
      <c r="E174" s="27"/>
      <c r="F174" s="53"/>
      <c r="G174" s="62">
        <f t="shared" si="29"/>
        <v>128350000</v>
      </c>
      <c r="H174" s="53"/>
      <c r="I174" s="80">
        <f t="shared" si="30"/>
        <v>128350000</v>
      </c>
      <c r="J174" s="80">
        <f>SUM(J175:J178)</f>
        <v>121504079</v>
      </c>
      <c r="K174" s="80">
        <f t="shared" si="21"/>
        <v>-6845921</v>
      </c>
      <c r="L174" s="50">
        <f t="shared" si="22"/>
        <v>0.94666208804051422</v>
      </c>
    </row>
    <row r="175" spans="1:12" ht="15" hidden="1" outlineLevel="1" x14ac:dyDescent="0.25">
      <c r="A175" s="52" t="s">
        <v>176</v>
      </c>
      <c r="B175" s="78"/>
      <c r="C175" s="79"/>
      <c r="D175" s="19">
        <f>+'[6]SOLICITUD III TRIMESTRE'!$E$38</f>
        <v>32000000</v>
      </c>
      <c r="E175" s="27"/>
      <c r="F175" s="53"/>
      <c r="G175" s="53">
        <f t="shared" si="29"/>
        <v>32000000</v>
      </c>
      <c r="H175" s="53"/>
      <c r="I175" s="79">
        <f t="shared" si="30"/>
        <v>32000000</v>
      </c>
      <c r="J175" s="79">
        <v>32000000</v>
      </c>
      <c r="K175" s="79">
        <f t="shared" si="21"/>
        <v>0</v>
      </c>
      <c r="L175" s="54">
        <f t="shared" si="22"/>
        <v>1</v>
      </c>
    </row>
    <row r="176" spans="1:12" ht="15" hidden="1" outlineLevel="1" x14ac:dyDescent="0.25">
      <c r="A176" s="52" t="s">
        <v>177</v>
      </c>
      <c r="B176" s="78"/>
      <c r="C176" s="79"/>
      <c r="D176" s="81">
        <f>+'[6]SOLICITUD III TRIMESTRE'!$E$39</f>
        <v>3350000</v>
      </c>
      <c r="E176" s="27"/>
      <c r="F176" s="53"/>
      <c r="G176" s="53">
        <f t="shared" si="29"/>
        <v>3350000</v>
      </c>
      <c r="H176" s="53"/>
      <c r="I176" s="79">
        <f t="shared" si="30"/>
        <v>3350000</v>
      </c>
      <c r="J176" s="79">
        <v>2971248</v>
      </c>
      <c r="K176" s="79">
        <f t="shared" si="21"/>
        <v>-378752</v>
      </c>
      <c r="L176" s="54">
        <f t="shared" si="22"/>
        <v>0.88693970149253731</v>
      </c>
    </row>
    <row r="177" spans="1:12" ht="15" hidden="1" outlineLevel="1" x14ac:dyDescent="0.25">
      <c r="A177" s="52" t="s">
        <v>178</v>
      </c>
      <c r="B177" s="78"/>
      <c r="C177" s="79"/>
      <c r="D177" s="81">
        <f>+'[6]SOLICITUD III TRIMESTRE'!$E$40</f>
        <v>15000000</v>
      </c>
      <c r="E177" s="27"/>
      <c r="F177" s="53"/>
      <c r="G177" s="53">
        <f>+B177+C177+D177+E177+F177</f>
        <v>15000000</v>
      </c>
      <c r="H177" s="53"/>
      <c r="I177" s="79">
        <f>+H177+G177</f>
        <v>15000000</v>
      </c>
      <c r="J177" s="79">
        <v>15000000</v>
      </c>
      <c r="K177" s="79">
        <f t="shared" si="21"/>
        <v>0</v>
      </c>
      <c r="L177" s="54">
        <f t="shared" si="22"/>
        <v>1</v>
      </c>
    </row>
    <row r="178" spans="1:12" ht="15" hidden="1" outlineLevel="1" x14ac:dyDescent="0.25">
      <c r="A178" s="52" t="s">
        <v>179</v>
      </c>
      <c r="B178" s="78"/>
      <c r="C178" s="79"/>
      <c r="D178" s="81">
        <v>78000000</v>
      </c>
      <c r="E178" s="27"/>
      <c r="F178" s="53"/>
      <c r="G178" s="53">
        <f>+B178+C178+D178+E178+F178</f>
        <v>78000000</v>
      </c>
      <c r="H178" s="53"/>
      <c r="I178" s="79">
        <f>+H178+G178</f>
        <v>78000000</v>
      </c>
      <c r="J178" s="79">
        <v>71532831</v>
      </c>
      <c r="K178" s="79">
        <f t="shared" si="21"/>
        <v>-6467169</v>
      </c>
      <c r="L178" s="54">
        <f t="shared" si="22"/>
        <v>0.91708757692307696</v>
      </c>
    </row>
    <row r="179" spans="1:12" ht="15" collapsed="1" x14ac:dyDescent="0.25">
      <c r="A179" s="48" t="s">
        <v>180</v>
      </c>
      <c r="B179" s="49"/>
      <c r="C179" s="49"/>
      <c r="D179" s="32">
        <f>+D180+D186</f>
        <v>1201327827</v>
      </c>
      <c r="E179" s="27"/>
      <c r="F179" s="27"/>
      <c r="G179" s="49">
        <f t="shared" si="29"/>
        <v>1201327827</v>
      </c>
      <c r="H179" s="62"/>
      <c r="I179" s="80">
        <f t="shared" si="30"/>
        <v>1201327827</v>
      </c>
      <c r="J179" s="80">
        <f>+J180+J186</f>
        <v>145408564.5</v>
      </c>
      <c r="K179" s="80">
        <f t="shared" si="21"/>
        <v>-1055919262.5</v>
      </c>
      <c r="L179" s="50">
        <f t="shared" si="22"/>
        <v>0.12103987040999425</v>
      </c>
    </row>
    <row r="180" spans="1:12" ht="15" x14ac:dyDescent="0.25">
      <c r="A180" s="82" t="s">
        <v>181</v>
      </c>
      <c r="B180" s="49"/>
      <c r="C180" s="49"/>
      <c r="D180" s="49">
        <f>SUM(D181:D185)</f>
        <v>1033627827</v>
      </c>
      <c r="E180" s="27"/>
      <c r="F180" s="27"/>
      <c r="G180" s="49">
        <f>+B180+C180+D180+E180+F180</f>
        <v>1033627827</v>
      </c>
      <c r="H180" s="62"/>
      <c r="I180" s="83">
        <f>+H180+G180</f>
        <v>1033627827</v>
      </c>
      <c r="J180" s="83">
        <f>SUM(J181:J185)</f>
        <v>31216883</v>
      </c>
      <c r="K180" s="83">
        <f t="shared" si="21"/>
        <v>-1002410944</v>
      </c>
      <c r="L180" s="50">
        <f t="shared" si="22"/>
        <v>3.02012795946137E-2</v>
      </c>
    </row>
    <row r="181" spans="1:12" ht="15" hidden="1" outlineLevel="1" x14ac:dyDescent="0.25">
      <c r="A181" s="73" t="s">
        <v>182</v>
      </c>
      <c r="B181" s="49"/>
      <c r="C181" s="53"/>
      <c r="D181" s="19">
        <v>5127827</v>
      </c>
      <c r="E181" s="27"/>
      <c r="F181" s="27"/>
      <c r="G181" s="53">
        <f t="shared" si="29"/>
        <v>5127827</v>
      </c>
      <c r="H181" s="27"/>
      <c r="I181" s="79">
        <f>+H181+G181-1416536</f>
        <v>3711291</v>
      </c>
      <c r="J181" s="79">
        <v>3378343</v>
      </c>
      <c r="K181" s="79">
        <f t="shared" si="21"/>
        <v>-332948</v>
      </c>
      <c r="L181" s="54">
        <f t="shared" si="22"/>
        <v>0.91028782167714684</v>
      </c>
    </row>
    <row r="182" spans="1:12" ht="15" hidden="1" outlineLevel="1" x14ac:dyDescent="0.25">
      <c r="A182" s="73" t="s">
        <v>183</v>
      </c>
      <c r="B182" s="49"/>
      <c r="C182" s="53"/>
      <c r="D182" s="53"/>
      <c r="E182" s="27"/>
      <c r="F182" s="27"/>
      <c r="G182" s="53">
        <f t="shared" si="29"/>
        <v>0</v>
      </c>
      <c r="H182" s="27"/>
      <c r="I182" s="79">
        <f>+H182+G182</f>
        <v>0</v>
      </c>
      <c r="J182" s="79">
        <v>0</v>
      </c>
      <c r="K182" s="79">
        <f t="shared" si="21"/>
        <v>0</v>
      </c>
      <c r="L182" s="54">
        <f t="shared" si="22"/>
        <v>0</v>
      </c>
    </row>
    <row r="183" spans="1:12" ht="15" hidden="1" outlineLevel="1" x14ac:dyDescent="0.25">
      <c r="A183" s="73" t="s">
        <v>184</v>
      </c>
      <c r="B183" s="49"/>
      <c r="C183" s="53"/>
      <c r="D183" s="53">
        <f>+'[6]SOLICITUD III TRIMESTRE'!$E$46</f>
        <v>25500000</v>
      </c>
      <c r="E183" s="27"/>
      <c r="F183" s="27"/>
      <c r="G183" s="53">
        <f t="shared" si="29"/>
        <v>25500000</v>
      </c>
      <c r="H183" s="27"/>
      <c r="I183" s="79">
        <f>+H183+G183+2082000</f>
        <v>27582000</v>
      </c>
      <c r="J183" s="79">
        <v>26461852</v>
      </c>
      <c r="K183" s="79">
        <f t="shared" si="21"/>
        <v>-1120148</v>
      </c>
      <c r="L183" s="54">
        <f t="shared" si="22"/>
        <v>0.95938844173736493</v>
      </c>
    </row>
    <row r="184" spans="1:12" ht="15" hidden="1" outlineLevel="1" x14ac:dyDescent="0.25">
      <c r="A184" s="73" t="s">
        <v>185</v>
      </c>
      <c r="B184" s="49"/>
      <c r="C184" s="53"/>
      <c r="D184" s="53">
        <f>+'[6]SOLICITUD III TRIMESTRE'!$E$47</f>
        <v>3000000</v>
      </c>
      <c r="E184" s="27"/>
      <c r="F184" s="27"/>
      <c r="G184" s="53">
        <f t="shared" si="29"/>
        <v>3000000</v>
      </c>
      <c r="H184" s="27"/>
      <c r="I184" s="79">
        <f>+H184+G184-665464</f>
        <v>2334536</v>
      </c>
      <c r="J184" s="79">
        <v>1376688</v>
      </c>
      <c r="K184" s="79">
        <f t="shared" si="21"/>
        <v>-957848</v>
      </c>
      <c r="L184" s="54">
        <f t="shared" si="22"/>
        <v>0.58970519195249083</v>
      </c>
    </row>
    <row r="185" spans="1:12" ht="15" hidden="1" outlineLevel="1" x14ac:dyDescent="0.25">
      <c r="A185" s="73" t="s">
        <v>186</v>
      </c>
      <c r="B185" s="49"/>
      <c r="C185" s="53"/>
      <c r="D185" s="53">
        <f>+'[6]SOLICITUD III TRIMESTRE'!$E$48</f>
        <v>1000000000</v>
      </c>
      <c r="E185" s="27"/>
      <c r="F185" s="27"/>
      <c r="G185" s="53">
        <f t="shared" si="29"/>
        <v>1000000000</v>
      </c>
      <c r="H185" s="27"/>
      <c r="I185" s="79">
        <f>+H185+G185</f>
        <v>1000000000</v>
      </c>
      <c r="J185" s="79">
        <v>0</v>
      </c>
      <c r="K185" s="79">
        <f t="shared" si="21"/>
        <v>-1000000000</v>
      </c>
      <c r="L185" s="54">
        <f t="shared" si="22"/>
        <v>0</v>
      </c>
    </row>
    <row r="186" spans="1:12" ht="15" collapsed="1" x14ac:dyDescent="0.25">
      <c r="A186" s="84" t="s">
        <v>187</v>
      </c>
      <c r="B186" s="49"/>
      <c r="C186" s="49"/>
      <c r="D186" s="49">
        <f>SUM(D187:D195)</f>
        <v>167700000</v>
      </c>
      <c r="E186" s="27"/>
      <c r="F186" s="27"/>
      <c r="G186" s="49">
        <f t="shared" si="29"/>
        <v>167700000</v>
      </c>
      <c r="H186" s="62"/>
      <c r="I186" s="80">
        <f>+H186+G186</f>
        <v>167700000</v>
      </c>
      <c r="J186" s="80">
        <f>SUM(J187:J195)</f>
        <v>114191681.5</v>
      </c>
      <c r="K186" s="80">
        <f t="shared" si="21"/>
        <v>-53508318.5</v>
      </c>
      <c r="L186" s="50">
        <f t="shared" si="22"/>
        <v>0.68092833333333336</v>
      </c>
    </row>
    <row r="187" spans="1:12" ht="15" hidden="1" outlineLevel="1" x14ac:dyDescent="0.25">
      <c r="A187" s="52" t="s">
        <v>188</v>
      </c>
      <c r="B187" s="49"/>
      <c r="C187" s="53"/>
      <c r="D187" s="19">
        <f>+'[6]SOLICITUD III TRIMESTRE'!$E$50</f>
        <v>10000000</v>
      </c>
      <c r="E187" s="27"/>
      <c r="F187" s="27"/>
      <c r="G187" s="53">
        <f t="shared" si="29"/>
        <v>10000000</v>
      </c>
      <c r="H187" s="27"/>
      <c r="I187" s="79">
        <f>+H187+G187+3400000</f>
        <v>13400000</v>
      </c>
      <c r="J187" s="79">
        <v>12674758</v>
      </c>
      <c r="K187" s="79">
        <f t="shared" si="21"/>
        <v>-725242</v>
      </c>
      <c r="L187" s="54">
        <f t="shared" si="22"/>
        <v>0.94587746268656714</v>
      </c>
    </row>
    <row r="188" spans="1:12" ht="15" hidden="1" outlineLevel="1" x14ac:dyDescent="0.25">
      <c r="A188" s="52" t="s">
        <v>189</v>
      </c>
      <c r="B188" s="49"/>
      <c r="C188" s="53"/>
      <c r="D188" s="19">
        <f>+'[6]SOLICITUD III TRIMESTRE'!$E$51</f>
        <v>32000000</v>
      </c>
      <c r="E188" s="27"/>
      <c r="F188" s="27"/>
      <c r="G188" s="53">
        <f>+B188+C188+D188+E188+F188</f>
        <v>32000000</v>
      </c>
      <c r="H188" s="27"/>
      <c r="I188" s="79">
        <f>+H188+G188-12160000</f>
        <v>19840000</v>
      </c>
      <c r="J188" s="79">
        <v>19248008</v>
      </c>
      <c r="K188" s="79">
        <f t="shared" si="21"/>
        <v>-591992</v>
      </c>
      <c r="L188" s="54">
        <f t="shared" si="22"/>
        <v>0.97016169354838711</v>
      </c>
    </row>
    <row r="189" spans="1:12" ht="15" hidden="1" outlineLevel="1" x14ac:dyDescent="0.25">
      <c r="A189" s="52" t="s">
        <v>190</v>
      </c>
      <c r="B189" s="49"/>
      <c r="C189" s="53"/>
      <c r="D189" s="19">
        <f>+'[6]SOLICITUD III TRIMESTRE'!$E$52</f>
        <v>5000000</v>
      </c>
      <c r="E189" s="27"/>
      <c r="F189" s="27"/>
      <c r="G189" s="53">
        <f t="shared" ref="G189:G195" si="31">+B189+C189+D189+E189+F189</f>
        <v>5000000</v>
      </c>
      <c r="H189" s="27"/>
      <c r="I189" s="79">
        <f>+H189+G189</f>
        <v>5000000</v>
      </c>
      <c r="J189" s="79">
        <v>0</v>
      </c>
      <c r="K189" s="79">
        <f t="shared" si="21"/>
        <v>-5000000</v>
      </c>
      <c r="L189" s="54">
        <f t="shared" si="22"/>
        <v>0</v>
      </c>
    </row>
    <row r="190" spans="1:12" ht="15" hidden="1" outlineLevel="1" x14ac:dyDescent="0.25">
      <c r="A190" s="52" t="s">
        <v>191</v>
      </c>
      <c r="B190" s="49"/>
      <c r="C190" s="53"/>
      <c r="D190" s="19">
        <f>+'[6]SOLICITUD III TRIMESTRE'!$E$53</f>
        <v>6000000</v>
      </c>
      <c r="E190" s="27"/>
      <c r="F190" s="27"/>
      <c r="G190" s="53">
        <f t="shared" si="31"/>
        <v>6000000</v>
      </c>
      <c r="H190" s="27"/>
      <c r="I190" s="79">
        <f>+H190+G190</f>
        <v>6000000</v>
      </c>
      <c r="J190" s="79">
        <v>5904444</v>
      </c>
      <c r="K190" s="79">
        <f t="shared" si="21"/>
        <v>-95556</v>
      </c>
      <c r="L190" s="54">
        <f t="shared" si="22"/>
        <v>0.984074</v>
      </c>
    </row>
    <row r="191" spans="1:12" ht="15" hidden="1" outlineLevel="1" x14ac:dyDescent="0.25">
      <c r="A191" s="52" t="s">
        <v>192</v>
      </c>
      <c r="B191" s="49"/>
      <c r="C191" s="53"/>
      <c r="D191" s="19">
        <f>+'[6]SOLICITUD III TRIMESTRE'!$E$54</f>
        <v>20000000</v>
      </c>
      <c r="E191" s="27"/>
      <c r="F191" s="27"/>
      <c r="G191" s="53">
        <f t="shared" si="31"/>
        <v>20000000</v>
      </c>
      <c r="H191" s="27"/>
      <c r="I191" s="79">
        <f>+H191+G191</f>
        <v>20000000</v>
      </c>
      <c r="J191" s="79">
        <v>1944645</v>
      </c>
      <c r="K191" s="79">
        <f t="shared" si="21"/>
        <v>-18055355</v>
      </c>
      <c r="L191" s="54">
        <f t="shared" si="22"/>
        <v>9.7232250000000006E-2</v>
      </c>
    </row>
    <row r="192" spans="1:12" ht="15" hidden="1" outlineLevel="1" x14ac:dyDescent="0.25">
      <c r="A192" s="52" t="s">
        <v>193</v>
      </c>
      <c r="B192" s="49"/>
      <c r="C192" s="53"/>
      <c r="D192" s="19">
        <f>+'[6]SOLICITUD III TRIMESTRE'!$E$55</f>
        <v>37000000</v>
      </c>
      <c r="E192" s="27"/>
      <c r="F192" s="27"/>
      <c r="G192" s="53">
        <f t="shared" si="31"/>
        <v>37000000</v>
      </c>
      <c r="H192" s="27"/>
      <c r="I192" s="79">
        <f>+H192+G192+12160000</f>
        <v>49160000</v>
      </c>
      <c r="J192" s="79">
        <v>48604736</v>
      </c>
      <c r="K192" s="79">
        <f t="shared" si="21"/>
        <v>-555264</v>
      </c>
      <c r="L192" s="54">
        <f t="shared" si="22"/>
        <v>0.9887049633848658</v>
      </c>
    </row>
    <row r="193" spans="1:16" ht="15" hidden="1" outlineLevel="1" x14ac:dyDescent="0.25">
      <c r="A193" s="52" t="s">
        <v>194</v>
      </c>
      <c r="B193" s="49"/>
      <c r="C193" s="53"/>
      <c r="D193" s="19">
        <f>+'[6]SOLICITUD III TRIMESTRE'!$E$56</f>
        <v>16920000</v>
      </c>
      <c r="E193" s="27"/>
      <c r="F193" s="27"/>
      <c r="G193" s="53">
        <f t="shared" si="31"/>
        <v>16920000</v>
      </c>
      <c r="H193" s="27"/>
      <c r="I193" s="79">
        <f>+H193+G193</f>
        <v>16920000</v>
      </c>
      <c r="J193" s="79">
        <v>7263708</v>
      </c>
      <c r="K193" s="79">
        <f t="shared" si="21"/>
        <v>-9656292</v>
      </c>
      <c r="L193" s="54">
        <f t="shared" si="22"/>
        <v>0.42929716312056737</v>
      </c>
    </row>
    <row r="194" spans="1:16" ht="15" hidden="1" outlineLevel="1" x14ac:dyDescent="0.25">
      <c r="A194" s="52" t="s">
        <v>195</v>
      </c>
      <c r="B194" s="49"/>
      <c r="C194" s="53"/>
      <c r="D194" s="19">
        <v>23280000</v>
      </c>
      <c r="E194" s="27"/>
      <c r="F194" s="27"/>
      <c r="G194" s="53">
        <f t="shared" si="31"/>
        <v>23280000</v>
      </c>
      <c r="H194" s="27"/>
      <c r="I194" s="79">
        <f>+H194+G194</f>
        <v>23280000</v>
      </c>
      <c r="J194" s="79">
        <v>4475391</v>
      </c>
      <c r="K194" s="79">
        <f t="shared" si="21"/>
        <v>-18804609</v>
      </c>
      <c r="L194" s="54">
        <f t="shared" si="22"/>
        <v>0.19224188144329896</v>
      </c>
    </row>
    <row r="195" spans="1:16" ht="15" hidden="1" outlineLevel="1" x14ac:dyDescent="0.25">
      <c r="A195" s="52" t="s">
        <v>196</v>
      </c>
      <c r="B195" s="49"/>
      <c r="C195" s="53"/>
      <c r="D195" s="19">
        <f>+'[6]SOLICITUD III TRIMESTRE'!$E$58</f>
        <v>17500000</v>
      </c>
      <c r="E195" s="27"/>
      <c r="F195" s="27"/>
      <c r="G195" s="53">
        <f t="shared" si="31"/>
        <v>17500000</v>
      </c>
      <c r="H195" s="27"/>
      <c r="I195" s="79">
        <f>+H195+G195-3400000</f>
        <v>14100000</v>
      </c>
      <c r="J195" s="79">
        <v>14075991.5</v>
      </c>
      <c r="K195" s="79">
        <f t="shared" si="21"/>
        <v>-24008.5</v>
      </c>
      <c r="L195" s="54">
        <f t="shared" si="22"/>
        <v>0.99829726950354614</v>
      </c>
    </row>
    <row r="196" spans="1:16" ht="15" collapsed="1" x14ac:dyDescent="0.25">
      <c r="A196" s="52"/>
      <c r="B196" s="49"/>
      <c r="C196" s="53"/>
      <c r="D196" s="19"/>
      <c r="E196" s="27"/>
      <c r="F196" s="27"/>
      <c r="G196" s="53"/>
      <c r="H196" s="27"/>
      <c r="I196" s="79"/>
      <c r="J196" s="79"/>
      <c r="K196" s="79"/>
      <c r="L196" s="54"/>
    </row>
    <row r="197" spans="1:16" ht="15" x14ac:dyDescent="0.25">
      <c r="A197" s="74" t="s">
        <v>197</v>
      </c>
      <c r="B197" s="18"/>
      <c r="C197" s="18"/>
      <c r="D197" s="18"/>
      <c r="E197" s="18"/>
      <c r="F197" s="18"/>
      <c r="G197" s="18"/>
      <c r="H197" s="32">
        <f>+H198+H199</f>
        <v>495319351.60000002</v>
      </c>
      <c r="I197" s="32">
        <f>+H197+G197</f>
        <v>495319351.60000002</v>
      </c>
      <c r="J197" s="32">
        <f>+J198+J199</f>
        <v>560485695</v>
      </c>
      <c r="K197" s="32">
        <f t="shared" si="21"/>
        <v>65166343.399999976</v>
      </c>
      <c r="L197" s="16">
        <f t="shared" si="22"/>
        <v>1.1315642992535968</v>
      </c>
    </row>
    <row r="198" spans="1:16" ht="14.25" hidden="1" outlineLevel="1" x14ac:dyDescent="0.2">
      <c r="A198" s="72" t="s">
        <v>198</v>
      </c>
      <c r="B198" s="18"/>
      <c r="C198" s="18"/>
      <c r="D198" s="18"/>
      <c r="E198" s="18"/>
      <c r="F198" s="18"/>
      <c r="G198" s="18"/>
      <c r="H198" s="19">
        <f>+('[1]Anexo 1 Minagricultura'!B14+'[1]Anexo 1 Minagricultura'!B18)*0.1</f>
        <v>309574594.75</v>
      </c>
      <c r="I198" s="19">
        <f>+H198+G198</f>
        <v>309574594.75</v>
      </c>
      <c r="J198" s="19">
        <v>350303559</v>
      </c>
      <c r="K198" s="19">
        <f t="shared" si="21"/>
        <v>40728964.25</v>
      </c>
      <c r="L198" s="20">
        <f t="shared" si="22"/>
        <v>1.1315642980422573</v>
      </c>
    </row>
    <row r="199" spans="1:16" ht="14.25" hidden="1" outlineLevel="1" x14ac:dyDescent="0.2">
      <c r="A199" s="72" t="s">
        <v>199</v>
      </c>
      <c r="B199" s="18"/>
      <c r="C199" s="18"/>
      <c r="D199" s="18"/>
      <c r="E199" s="18"/>
      <c r="F199" s="18"/>
      <c r="G199" s="18"/>
      <c r="H199" s="19">
        <f>+('[1]Anexo 1 Minagricultura'!B15+'[1]Anexo 1 Minagricultura'!B19)*0.1</f>
        <v>185744756.85000002</v>
      </c>
      <c r="I199" s="19">
        <f>+H199+G199</f>
        <v>185744756.85000002</v>
      </c>
      <c r="J199" s="19">
        <v>210182136.00000003</v>
      </c>
      <c r="K199" s="19">
        <f t="shared" si="21"/>
        <v>24437379.150000006</v>
      </c>
      <c r="L199" s="20">
        <f t="shared" si="22"/>
        <v>1.1315643012724965</v>
      </c>
    </row>
    <row r="200" spans="1:16" ht="15" collapsed="1" x14ac:dyDescent="0.25">
      <c r="A200" s="24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6"/>
    </row>
    <row r="201" spans="1:16" ht="15" x14ac:dyDescent="0.25">
      <c r="A201" s="71" t="s">
        <v>200</v>
      </c>
      <c r="B201" s="15"/>
      <c r="C201" s="15"/>
      <c r="D201" s="15"/>
      <c r="E201" s="15">
        <f>+'[4]III TRIMESTRE  2014'!$AJ$59</f>
        <v>217324134</v>
      </c>
      <c r="F201" s="15"/>
      <c r="G201" s="62">
        <f>+B201+C201+D201+E201+F201</f>
        <v>217324134</v>
      </c>
      <c r="H201" s="15"/>
      <c r="I201" s="83">
        <f>+H201+G201</f>
        <v>217324134</v>
      </c>
      <c r="J201" s="83">
        <v>214323284</v>
      </c>
      <c r="K201" s="83">
        <f t="shared" si="21"/>
        <v>-3000850</v>
      </c>
      <c r="L201" s="50">
        <f t="shared" si="22"/>
        <v>0.98619182349991552</v>
      </c>
    </row>
    <row r="202" spans="1:16" ht="15" x14ac:dyDescent="0.25">
      <c r="A202" s="24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6"/>
    </row>
    <row r="203" spans="1:16" ht="15" x14ac:dyDescent="0.25">
      <c r="A203" s="74" t="s">
        <v>201</v>
      </c>
      <c r="B203" s="18"/>
      <c r="C203" s="18"/>
      <c r="D203" s="18"/>
      <c r="E203" s="18"/>
      <c r="F203" s="18"/>
      <c r="G203" s="32">
        <f>+B203+C203+E203+F203</f>
        <v>0</v>
      </c>
      <c r="H203" s="32">
        <f>+H204+H205</f>
        <v>0</v>
      </c>
      <c r="I203" s="32">
        <f t="shared" ref="I203:J205" si="32">+H203+G203</f>
        <v>0</v>
      </c>
      <c r="J203" s="32">
        <f t="shared" si="32"/>
        <v>0</v>
      </c>
      <c r="K203" s="32">
        <f>+J203-I203</f>
        <v>0</v>
      </c>
      <c r="L203" s="16">
        <f>IFERROR(J203/I203,0)</f>
        <v>0</v>
      </c>
    </row>
    <row r="204" spans="1:16" s="76" customFormat="1" ht="14.25" hidden="1" outlineLevel="1" x14ac:dyDescent="0.2">
      <c r="A204" s="28" t="s">
        <v>202</v>
      </c>
      <c r="B204" s="18"/>
      <c r="C204" s="18"/>
      <c r="D204" s="18"/>
      <c r="E204" s="18"/>
      <c r="F204" s="18"/>
      <c r="G204" s="18">
        <f>+B204+C204+E204+F204</f>
        <v>0</v>
      </c>
      <c r="H204" s="27">
        <v>0</v>
      </c>
      <c r="I204" s="18">
        <f t="shared" si="32"/>
        <v>0</v>
      </c>
      <c r="J204" s="18">
        <f t="shared" si="32"/>
        <v>0</v>
      </c>
      <c r="K204" s="18">
        <f>+J204-I204</f>
        <v>0</v>
      </c>
      <c r="L204" s="20">
        <f>IFERROR(J204/I204,0)</f>
        <v>0</v>
      </c>
    </row>
    <row r="205" spans="1:16" s="76" customFormat="1" ht="14.25" hidden="1" outlineLevel="1" x14ac:dyDescent="0.2">
      <c r="A205" s="28" t="s">
        <v>203</v>
      </c>
      <c r="B205" s="18"/>
      <c r="C205" s="18"/>
      <c r="D205" s="18"/>
      <c r="E205" s="18"/>
      <c r="F205" s="18"/>
      <c r="G205" s="18">
        <f>+B205+C205+E205+F205</f>
        <v>0</v>
      </c>
      <c r="H205" s="18">
        <v>0</v>
      </c>
      <c r="I205" s="18">
        <f t="shared" si="32"/>
        <v>0</v>
      </c>
      <c r="J205" s="18">
        <f t="shared" si="32"/>
        <v>0</v>
      </c>
      <c r="K205" s="18">
        <f>+J205-I205</f>
        <v>0</v>
      </c>
      <c r="L205" s="20">
        <f>IFERROR(J205/I205,0)</f>
        <v>0</v>
      </c>
    </row>
    <row r="206" spans="1:16" ht="15" collapsed="1" x14ac:dyDescent="0.25">
      <c r="A206" s="24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6"/>
    </row>
    <row r="207" spans="1:16" ht="15" x14ac:dyDescent="0.25">
      <c r="A207" s="24" t="s">
        <v>204</v>
      </c>
      <c r="B207" s="32">
        <f>+B40+B38</f>
        <v>1116079613.3916118</v>
      </c>
      <c r="C207" s="32">
        <f>+C38+C40</f>
        <v>579008517.63708258</v>
      </c>
      <c r="D207" s="32">
        <f>+D40+D38</f>
        <v>1392829921.2988651</v>
      </c>
      <c r="E207" s="32">
        <f>+E38+E40+E201</f>
        <v>3035786211.211442</v>
      </c>
      <c r="F207" s="32">
        <f>+F40+F38</f>
        <v>1903664811.6231408</v>
      </c>
      <c r="G207" s="32">
        <f>+B207+C207+E207+F207+D207</f>
        <v>8027369075.1621428</v>
      </c>
      <c r="H207" s="32">
        <f>+H203+H197+H40+H38</f>
        <v>771506479.05147982</v>
      </c>
      <c r="I207" s="32">
        <f>+H207+G207</f>
        <v>8798875554.213623</v>
      </c>
      <c r="J207" s="32">
        <f>+J203+J201+J197+J40+J38</f>
        <v>6845843591.6683331</v>
      </c>
      <c r="K207" s="32">
        <f>+J207-I207</f>
        <v>-1953031962.54529</v>
      </c>
      <c r="L207" s="16">
        <f>IFERROR(J207/I207,0)</f>
        <v>0.77803618763422355</v>
      </c>
    </row>
    <row r="208" spans="1:16" ht="15.75" thickBot="1" x14ac:dyDescent="0.3">
      <c r="A208" s="85"/>
      <c r="B208" s="86"/>
      <c r="C208" s="87"/>
      <c r="D208" s="87"/>
      <c r="E208" s="88"/>
      <c r="F208" s="87"/>
      <c r="G208" s="87"/>
      <c r="H208" s="87"/>
      <c r="I208" s="87"/>
      <c r="J208" s="87"/>
      <c r="K208" s="87"/>
      <c r="L208" s="89"/>
      <c r="M208" s="90"/>
      <c r="N208" s="90"/>
      <c r="O208" s="90"/>
      <c r="P208" s="90"/>
    </row>
    <row r="209" spans="1:12" ht="13.5" thickTop="1" x14ac:dyDescent="0.2">
      <c r="A209" s="91"/>
      <c r="B209" s="92"/>
      <c r="C209" s="92"/>
      <c r="D209" s="92"/>
      <c r="E209" s="92"/>
      <c r="F209" s="93"/>
      <c r="G209" s="94"/>
      <c r="H209" s="92"/>
      <c r="I209" s="92"/>
      <c r="J209" s="92"/>
      <c r="K209" s="92"/>
      <c r="L209" s="95"/>
    </row>
    <row r="210" spans="1:12" x14ac:dyDescent="0.2">
      <c r="A210" s="91"/>
      <c r="B210" s="92"/>
      <c r="C210" s="92"/>
      <c r="D210" s="92"/>
      <c r="E210" s="92"/>
      <c r="F210" s="96"/>
      <c r="G210" s="92"/>
      <c r="H210" s="92"/>
      <c r="I210" s="97"/>
      <c r="J210" s="97"/>
      <c r="K210" s="97"/>
      <c r="L210" s="98"/>
    </row>
    <row r="211" spans="1:12" ht="15.75" x14ac:dyDescent="0.25">
      <c r="A211" s="91"/>
      <c r="B211" s="94"/>
      <c r="C211" s="94"/>
      <c r="D211" s="94"/>
      <c r="E211" s="94"/>
      <c r="F211" s="99"/>
      <c r="G211" s="100"/>
      <c r="H211" s="99"/>
      <c r="I211" s="101"/>
      <c r="J211" s="101"/>
      <c r="K211" s="101"/>
      <c r="L211" s="94"/>
    </row>
    <row r="212" spans="1:12" x14ac:dyDescent="0.2">
      <c r="A212" s="94"/>
      <c r="B212" s="94"/>
      <c r="C212" s="94"/>
      <c r="D212" s="94"/>
      <c r="E212" s="94"/>
      <c r="F212" s="94"/>
      <c r="G212" s="94"/>
      <c r="H212" s="94"/>
      <c r="I212" s="97"/>
      <c r="J212" s="97"/>
      <c r="K212" s="97"/>
      <c r="L212" s="94"/>
    </row>
    <row r="213" spans="1:12" x14ac:dyDescent="0.2">
      <c r="A213" s="94"/>
      <c r="B213" s="94"/>
      <c r="C213" s="94"/>
      <c r="D213" s="94"/>
      <c r="E213" s="94"/>
      <c r="F213" s="94"/>
      <c r="G213" s="92"/>
      <c r="H213" s="92"/>
      <c r="I213" s="94"/>
      <c r="J213" s="94"/>
      <c r="K213" s="94"/>
      <c r="L213" s="94"/>
    </row>
    <row r="214" spans="1:12" x14ac:dyDescent="0.2">
      <c r="A214" s="94"/>
      <c r="B214" s="94"/>
      <c r="C214" s="94"/>
      <c r="D214" s="94"/>
      <c r="E214" s="94"/>
      <c r="F214" s="94"/>
      <c r="G214" s="94"/>
      <c r="H214" s="94"/>
      <c r="I214" s="94"/>
      <c r="J214" s="94"/>
      <c r="K214" s="94"/>
      <c r="L214" s="94"/>
    </row>
    <row r="215" spans="1:12" x14ac:dyDescent="0.2">
      <c r="A215" s="94"/>
      <c r="B215" s="94"/>
      <c r="C215" s="94"/>
      <c r="D215" s="94"/>
      <c r="E215" s="94"/>
      <c r="F215" s="94"/>
      <c r="G215" s="94"/>
      <c r="H215" s="94"/>
      <c r="I215" s="94"/>
      <c r="J215" s="94"/>
      <c r="K215" s="94"/>
      <c r="L215" s="94"/>
    </row>
    <row r="216" spans="1:12" x14ac:dyDescent="0.2">
      <c r="A216" s="94"/>
      <c r="B216" s="94"/>
      <c r="C216" s="94"/>
      <c r="D216" s="94"/>
      <c r="E216" s="94"/>
      <c r="F216" s="94"/>
      <c r="G216" s="94"/>
      <c r="H216" s="102"/>
      <c r="I216" s="94"/>
      <c r="J216" s="94"/>
      <c r="K216" s="94"/>
      <c r="L216" s="94"/>
    </row>
    <row r="217" spans="1:12" x14ac:dyDescent="0.2">
      <c r="A217" s="94"/>
      <c r="B217" s="94"/>
      <c r="C217" s="94"/>
      <c r="D217" s="94"/>
      <c r="E217" s="94"/>
      <c r="F217" s="94"/>
      <c r="G217" s="94"/>
      <c r="H217" s="94"/>
      <c r="I217" s="94"/>
      <c r="J217" s="94"/>
      <c r="K217" s="94"/>
      <c r="L217" s="94"/>
    </row>
    <row r="218" spans="1:12" x14ac:dyDescent="0.2">
      <c r="A218" s="94"/>
      <c r="B218" s="94"/>
      <c r="C218" s="94"/>
      <c r="D218" s="94"/>
      <c r="E218" s="94"/>
      <c r="F218" s="94"/>
      <c r="G218" s="94"/>
      <c r="H218" s="94"/>
      <c r="I218" s="94"/>
      <c r="J218" s="94"/>
      <c r="K218" s="94"/>
      <c r="L218" s="94"/>
    </row>
    <row r="219" spans="1:12" x14ac:dyDescent="0.2">
      <c r="A219" s="94"/>
      <c r="B219" s="94"/>
      <c r="C219" s="94"/>
      <c r="D219" s="94"/>
      <c r="E219" s="94"/>
      <c r="F219" s="94"/>
      <c r="G219" s="94"/>
      <c r="H219" s="94"/>
      <c r="I219" s="94"/>
      <c r="J219" s="94"/>
      <c r="K219" s="94"/>
      <c r="L219" s="94"/>
    </row>
    <row r="220" spans="1:12" x14ac:dyDescent="0.2">
      <c r="A220" s="94"/>
      <c r="B220" s="94"/>
      <c r="C220" s="94"/>
      <c r="D220" s="94"/>
      <c r="E220" s="94"/>
      <c r="F220" s="94"/>
      <c r="G220" s="94"/>
      <c r="H220" s="94"/>
      <c r="I220" s="94"/>
      <c r="J220" s="94"/>
      <c r="K220" s="94"/>
      <c r="L220" s="94"/>
    </row>
    <row r="221" spans="1:12" x14ac:dyDescent="0.2">
      <c r="A221" s="94"/>
      <c r="B221" s="94"/>
      <c r="C221" s="94"/>
      <c r="D221" s="94"/>
      <c r="E221" s="94"/>
      <c r="F221" s="94"/>
      <c r="G221" s="94"/>
      <c r="H221" s="94"/>
      <c r="I221" s="94"/>
      <c r="J221" s="94"/>
      <c r="K221" s="94"/>
      <c r="L221" s="94"/>
    </row>
    <row r="222" spans="1:12" x14ac:dyDescent="0.2">
      <c r="A222" s="94"/>
      <c r="B222" s="94"/>
      <c r="C222" s="94"/>
      <c r="D222" s="94"/>
      <c r="E222" s="94"/>
      <c r="F222" s="94"/>
      <c r="G222" s="94"/>
      <c r="H222" s="94"/>
      <c r="I222" s="94"/>
      <c r="J222" s="94"/>
      <c r="K222" s="94"/>
      <c r="L222" s="94"/>
    </row>
    <row r="223" spans="1:12" x14ac:dyDescent="0.2">
      <c r="A223" s="94"/>
      <c r="B223" s="94"/>
      <c r="C223" s="94"/>
      <c r="D223" s="94"/>
      <c r="E223" s="94"/>
      <c r="F223" s="94"/>
      <c r="G223" s="94"/>
      <c r="H223" s="94"/>
      <c r="I223" s="94"/>
      <c r="J223" s="94"/>
      <c r="K223" s="94"/>
      <c r="L223" s="94"/>
    </row>
    <row r="224" spans="1:12" x14ac:dyDescent="0.2">
      <c r="A224" s="94"/>
      <c r="B224" s="94"/>
      <c r="C224" s="94"/>
      <c r="D224" s="94"/>
      <c r="E224" s="94"/>
      <c r="F224" s="94"/>
      <c r="G224" s="94"/>
      <c r="H224" s="94"/>
      <c r="I224" s="94"/>
      <c r="J224" s="94"/>
      <c r="K224" s="94"/>
      <c r="L224" s="94"/>
    </row>
    <row r="225" spans="1:12" x14ac:dyDescent="0.2">
      <c r="A225" s="94"/>
      <c r="B225" s="94"/>
      <c r="C225" s="94"/>
      <c r="D225" s="94"/>
      <c r="E225" s="94"/>
      <c r="F225" s="94"/>
      <c r="G225" s="94"/>
      <c r="H225" s="94"/>
      <c r="I225" s="94"/>
      <c r="J225" s="94"/>
      <c r="K225" s="94"/>
      <c r="L225" s="94"/>
    </row>
    <row r="226" spans="1:12" x14ac:dyDescent="0.2">
      <c r="A226" s="94"/>
      <c r="B226" s="94"/>
      <c r="C226" s="94"/>
      <c r="D226" s="94"/>
      <c r="E226" s="94"/>
      <c r="F226" s="94"/>
      <c r="G226" s="94"/>
      <c r="H226" s="94"/>
      <c r="I226" s="94"/>
      <c r="J226" s="94"/>
      <c r="K226" s="94"/>
      <c r="L226" s="94"/>
    </row>
    <row r="227" spans="1:12" x14ac:dyDescent="0.2">
      <c r="A227" s="94"/>
      <c r="B227" s="94"/>
      <c r="C227" s="94"/>
      <c r="D227" s="94"/>
      <c r="E227" s="94"/>
      <c r="F227" s="94"/>
      <c r="G227" s="94"/>
      <c r="H227" s="94"/>
      <c r="I227" s="94"/>
      <c r="J227" s="94"/>
      <c r="K227" s="94"/>
      <c r="L227" s="94"/>
    </row>
    <row r="228" spans="1:12" x14ac:dyDescent="0.2">
      <c r="A228" s="94"/>
      <c r="B228" s="94"/>
      <c r="C228" s="94"/>
      <c r="D228" s="94"/>
      <c r="E228" s="94"/>
      <c r="F228" s="94"/>
      <c r="G228" s="94"/>
      <c r="H228" s="94"/>
      <c r="I228" s="94"/>
      <c r="J228" s="94"/>
      <c r="K228" s="94"/>
      <c r="L228" s="94"/>
    </row>
    <row r="229" spans="1:12" x14ac:dyDescent="0.2">
      <c r="A229" s="94"/>
      <c r="B229" s="94"/>
      <c r="C229" s="94"/>
      <c r="D229" s="94"/>
      <c r="E229" s="94"/>
      <c r="F229" s="94"/>
      <c r="G229" s="94"/>
      <c r="H229" s="94"/>
      <c r="I229" s="94"/>
      <c r="J229" s="94"/>
      <c r="K229" s="94"/>
      <c r="L229" s="94"/>
    </row>
    <row r="230" spans="1:12" x14ac:dyDescent="0.2">
      <c r="A230" s="94"/>
      <c r="B230" s="94"/>
      <c r="C230" s="94"/>
      <c r="D230" s="94"/>
      <c r="E230" s="94"/>
      <c r="F230" s="94"/>
      <c r="G230" s="94"/>
      <c r="H230" s="94"/>
      <c r="I230" s="94"/>
      <c r="J230" s="94"/>
      <c r="K230" s="94"/>
      <c r="L230" s="94"/>
    </row>
    <row r="231" spans="1:12" x14ac:dyDescent="0.2">
      <c r="A231" s="94"/>
      <c r="B231" s="94"/>
      <c r="C231" s="94"/>
      <c r="D231" s="94"/>
      <c r="E231" s="94"/>
      <c r="F231" s="94"/>
      <c r="G231" s="94"/>
      <c r="H231" s="94"/>
      <c r="I231" s="94"/>
      <c r="J231" s="94"/>
      <c r="K231" s="94"/>
      <c r="L231" s="94"/>
    </row>
    <row r="232" spans="1:12" x14ac:dyDescent="0.2">
      <c r="A232" s="94"/>
      <c r="B232" s="94"/>
      <c r="C232" s="94"/>
      <c r="D232" s="94"/>
      <c r="E232" s="94"/>
      <c r="F232" s="94"/>
      <c r="G232" s="94"/>
      <c r="H232" s="94"/>
      <c r="I232" s="94"/>
      <c r="J232" s="94"/>
      <c r="K232" s="94"/>
      <c r="L232" s="94"/>
    </row>
    <row r="233" spans="1:12" x14ac:dyDescent="0.2">
      <c r="A233" s="94"/>
      <c r="B233" s="94"/>
      <c r="C233" s="94"/>
      <c r="D233" s="94"/>
      <c r="E233" s="94"/>
      <c r="F233" s="94"/>
      <c r="G233" s="94"/>
      <c r="H233" s="94"/>
      <c r="I233" s="94"/>
      <c r="J233" s="94"/>
      <c r="K233" s="94"/>
      <c r="L233" s="94"/>
    </row>
    <row r="234" spans="1:12" x14ac:dyDescent="0.2">
      <c r="A234" s="94"/>
      <c r="B234" s="94"/>
      <c r="C234" s="94"/>
      <c r="D234" s="94"/>
      <c r="E234" s="94"/>
      <c r="F234" s="94"/>
      <c r="G234" s="94"/>
      <c r="H234" s="94"/>
      <c r="I234" s="94"/>
      <c r="J234" s="94"/>
      <c r="K234" s="94"/>
      <c r="L234" s="94"/>
    </row>
    <row r="235" spans="1:12" x14ac:dyDescent="0.2">
      <c r="A235" s="94"/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94"/>
    </row>
    <row r="236" spans="1:12" x14ac:dyDescent="0.2">
      <c r="A236" s="94"/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94"/>
    </row>
    <row r="237" spans="1:12" x14ac:dyDescent="0.2">
      <c r="A237" s="94"/>
      <c r="B237" s="94"/>
      <c r="C237" s="94"/>
      <c r="D237" s="94"/>
      <c r="E237" s="94"/>
      <c r="F237" s="94"/>
      <c r="G237" s="94"/>
      <c r="H237" s="94"/>
      <c r="I237" s="94"/>
      <c r="J237" s="94"/>
      <c r="K237" s="94"/>
      <c r="L237" s="94"/>
    </row>
    <row r="238" spans="1:12" x14ac:dyDescent="0.2">
      <c r="A238" s="94"/>
      <c r="B238" s="94"/>
      <c r="C238" s="94"/>
      <c r="D238" s="94"/>
      <c r="E238" s="94"/>
      <c r="F238" s="94"/>
      <c r="G238" s="94"/>
      <c r="H238" s="94"/>
      <c r="I238" s="94"/>
      <c r="J238" s="94"/>
      <c r="K238" s="94"/>
      <c r="L238" s="94"/>
    </row>
    <row r="239" spans="1:12" x14ac:dyDescent="0.2">
      <c r="A239" s="94"/>
      <c r="B239" s="94"/>
      <c r="C239" s="94"/>
      <c r="D239" s="94"/>
      <c r="E239" s="94"/>
      <c r="F239" s="94"/>
      <c r="G239" s="94"/>
      <c r="H239" s="94"/>
      <c r="I239" s="94"/>
      <c r="J239" s="94"/>
      <c r="K239" s="94"/>
      <c r="L239" s="94"/>
    </row>
    <row r="240" spans="1:12" x14ac:dyDescent="0.2">
      <c r="A240" s="94"/>
      <c r="B240" s="94"/>
      <c r="C240" s="94"/>
      <c r="D240" s="94"/>
      <c r="E240" s="94"/>
      <c r="F240" s="94"/>
      <c r="G240" s="94"/>
      <c r="H240" s="94"/>
      <c r="I240" s="94"/>
      <c r="J240" s="94"/>
      <c r="K240" s="94"/>
      <c r="L240" s="94"/>
    </row>
    <row r="241" spans="1:12" x14ac:dyDescent="0.2">
      <c r="A241" s="94"/>
      <c r="B241" s="94"/>
      <c r="C241" s="94"/>
      <c r="D241" s="94"/>
      <c r="E241" s="94"/>
      <c r="F241" s="94"/>
      <c r="G241" s="94"/>
      <c r="H241" s="94"/>
      <c r="I241" s="94"/>
      <c r="J241" s="94"/>
      <c r="K241" s="94"/>
      <c r="L241" s="94"/>
    </row>
    <row r="242" spans="1:12" x14ac:dyDescent="0.2">
      <c r="A242" s="94"/>
      <c r="B242" s="94"/>
      <c r="C242" s="94"/>
      <c r="D242" s="94"/>
      <c r="E242" s="94"/>
      <c r="F242" s="94"/>
      <c r="G242" s="94"/>
      <c r="H242" s="94"/>
      <c r="I242" s="94"/>
      <c r="J242" s="94"/>
      <c r="K242" s="94"/>
      <c r="L242" s="94"/>
    </row>
    <row r="243" spans="1:12" x14ac:dyDescent="0.2">
      <c r="A243" s="94"/>
      <c r="B243" s="94"/>
      <c r="C243" s="94"/>
      <c r="D243" s="94"/>
      <c r="E243" s="94"/>
      <c r="F243" s="94"/>
      <c r="G243" s="94"/>
      <c r="H243" s="94"/>
      <c r="I243" s="94"/>
      <c r="J243" s="94"/>
      <c r="K243" s="94"/>
      <c r="L243" s="94"/>
    </row>
    <row r="244" spans="1:12" x14ac:dyDescent="0.2">
      <c r="A244" s="94"/>
      <c r="B244" s="94"/>
      <c r="C244" s="94"/>
      <c r="D244" s="94"/>
      <c r="E244" s="94"/>
      <c r="F244" s="94"/>
      <c r="G244" s="94"/>
      <c r="H244" s="94"/>
      <c r="I244" s="94"/>
      <c r="J244" s="94"/>
      <c r="K244" s="94"/>
      <c r="L244" s="94"/>
    </row>
    <row r="245" spans="1:12" x14ac:dyDescent="0.2">
      <c r="A245" s="94"/>
      <c r="B245" s="94"/>
      <c r="C245" s="94"/>
      <c r="D245" s="94"/>
      <c r="E245" s="94"/>
      <c r="F245" s="94"/>
      <c r="G245" s="94"/>
      <c r="H245" s="94"/>
      <c r="I245" s="94"/>
      <c r="J245" s="94"/>
      <c r="K245" s="94"/>
      <c r="L245" s="94"/>
    </row>
    <row r="246" spans="1:12" x14ac:dyDescent="0.2">
      <c r="A246" s="94"/>
      <c r="B246" s="94"/>
      <c r="C246" s="94"/>
      <c r="D246" s="94"/>
      <c r="E246" s="94"/>
      <c r="F246" s="94"/>
      <c r="G246" s="94"/>
      <c r="H246" s="94"/>
      <c r="I246" s="94"/>
      <c r="J246" s="94"/>
      <c r="K246" s="94"/>
      <c r="L246" s="94"/>
    </row>
    <row r="247" spans="1:12" x14ac:dyDescent="0.2">
      <c r="A247" s="94"/>
      <c r="B247" s="94"/>
      <c r="C247" s="94"/>
      <c r="D247" s="94"/>
      <c r="E247" s="94"/>
      <c r="F247" s="94"/>
      <c r="G247" s="94"/>
      <c r="H247" s="94"/>
      <c r="I247" s="94"/>
      <c r="J247" s="94"/>
      <c r="K247" s="94"/>
      <c r="L247" s="94"/>
    </row>
    <row r="248" spans="1:12" x14ac:dyDescent="0.2">
      <c r="A248" s="94"/>
      <c r="B248" s="94"/>
      <c r="C248" s="94"/>
      <c r="D248" s="94"/>
      <c r="E248" s="94"/>
      <c r="F248" s="94"/>
      <c r="G248" s="94"/>
      <c r="H248" s="94"/>
      <c r="I248" s="94"/>
      <c r="J248" s="94"/>
      <c r="K248" s="94"/>
      <c r="L248" s="94"/>
    </row>
    <row r="249" spans="1:12" x14ac:dyDescent="0.2">
      <c r="A249" s="94"/>
      <c r="B249" s="94"/>
      <c r="C249" s="94"/>
      <c r="D249" s="94"/>
      <c r="E249" s="94"/>
      <c r="F249" s="94"/>
      <c r="G249" s="94"/>
      <c r="H249" s="94"/>
      <c r="I249" s="94"/>
      <c r="J249" s="94"/>
      <c r="K249" s="94"/>
      <c r="L249" s="94"/>
    </row>
    <row r="250" spans="1:12" x14ac:dyDescent="0.2">
      <c r="A250" s="94"/>
      <c r="B250" s="94"/>
      <c r="C250" s="94"/>
      <c r="D250" s="94"/>
      <c r="E250" s="94"/>
      <c r="F250" s="94"/>
      <c r="G250" s="94"/>
      <c r="H250" s="94"/>
      <c r="I250" s="94"/>
      <c r="J250" s="94"/>
      <c r="K250" s="94"/>
      <c r="L250" s="94"/>
    </row>
    <row r="251" spans="1:12" x14ac:dyDescent="0.2">
      <c r="A251" s="94"/>
      <c r="B251" s="94"/>
      <c r="C251" s="94"/>
      <c r="D251" s="94"/>
      <c r="E251" s="94"/>
      <c r="F251" s="94"/>
      <c r="G251" s="94"/>
      <c r="H251" s="94"/>
      <c r="I251" s="94"/>
      <c r="J251" s="94"/>
      <c r="K251" s="94"/>
      <c r="L251" s="94"/>
    </row>
    <row r="252" spans="1:12" x14ac:dyDescent="0.2">
      <c r="A252" s="94"/>
      <c r="B252" s="94"/>
      <c r="C252" s="94"/>
      <c r="D252" s="94"/>
      <c r="E252" s="94"/>
      <c r="F252" s="94"/>
      <c r="G252" s="94"/>
      <c r="H252" s="94"/>
      <c r="I252" s="94"/>
      <c r="J252" s="94"/>
      <c r="K252" s="94"/>
      <c r="L252" s="94"/>
    </row>
    <row r="253" spans="1:12" x14ac:dyDescent="0.2">
      <c r="A253" s="94"/>
      <c r="B253" s="94"/>
      <c r="C253" s="94"/>
      <c r="D253" s="94"/>
      <c r="E253" s="94"/>
      <c r="F253" s="94"/>
      <c r="G253" s="94"/>
      <c r="H253" s="94"/>
      <c r="I253" s="94"/>
      <c r="J253" s="94"/>
      <c r="K253" s="94"/>
      <c r="L253" s="94"/>
    </row>
    <row r="254" spans="1:12" x14ac:dyDescent="0.2">
      <c r="A254" s="94"/>
      <c r="B254" s="94"/>
      <c r="C254" s="94"/>
      <c r="D254" s="94"/>
      <c r="E254" s="94"/>
      <c r="F254" s="94"/>
      <c r="G254" s="94"/>
      <c r="H254" s="94"/>
      <c r="I254" s="94"/>
      <c r="J254" s="94"/>
      <c r="K254" s="94"/>
      <c r="L254" s="94"/>
    </row>
    <row r="255" spans="1:12" x14ac:dyDescent="0.2">
      <c r="A255" s="94"/>
      <c r="B255" s="94"/>
      <c r="C255" s="94"/>
      <c r="D255" s="94"/>
      <c r="E255" s="94"/>
      <c r="F255" s="94"/>
      <c r="G255" s="94"/>
      <c r="H255" s="94"/>
      <c r="I255" s="94"/>
      <c r="J255" s="94"/>
      <c r="K255" s="94"/>
      <c r="L255" s="94"/>
    </row>
    <row r="256" spans="1:12" x14ac:dyDescent="0.2">
      <c r="A256" s="94"/>
      <c r="B256" s="94"/>
      <c r="C256" s="94"/>
      <c r="D256" s="94"/>
      <c r="E256" s="94"/>
      <c r="F256" s="94"/>
      <c r="G256" s="94"/>
      <c r="H256" s="94"/>
      <c r="I256" s="94"/>
      <c r="J256" s="94"/>
      <c r="K256" s="94"/>
      <c r="L256" s="94"/>
    </row>
    <row r="257" spans="1:12" x14ac:dyDescent="0.2">
      <c r="A257" s="94"/>
      <c r="B257" s="94"/>
      <c r="C257" s="94"/>
      <c r="D257" s="94"/>
      <c r="E257" s="94"/>
      <c r="F257" s="94"/>
      <c r="G257" s="94"/>
      <c r="H257" s="94"/>
      <c r="I257" s="94"/>
      <c r="J257" s="94"/>
      <c r="K257" s="94"/>
      <c r="L257" s="94"/>
    </row>
    <row r="258" spans="1:12" x14ac:dyDescent="0.2">
      <c r="A258" s="94"/>
      <c r="B258" s="94"/>
      <c r="C258" s="94"/>
      <c r="D258" s="94"/>
      <c r="E258" s="94"/>
      <c r="F258" s="94"/>
      <c r="G258" s="94"/>
      <c r="H258" s="94"/>
      <c r="I258" s="94"/>
      <c r="J258" s="94"/>
      <c r="K258" s="94"/>
      <c r="L258" s="94"/>
    </row>
    <row r="259" spans="1:12" x14ac:dyDescent="0.2">
      <c r="A259" s="94"/>
      <c r="B259" s="94"/>
      <c r="C259" s="94"/>
      <c r="D259" s="94"/>
      <c r="E259" s="94"/>
      <c r="F259" s="94"/>
      <c r="G259" s="94"/>
      <c r="H259" s="94"/>
      <c r="I259" s="94"/>
      <c r="J259" s="94"/>
      <c r="K259" s="94"/>
      <c r="L259" s="94"/>
    </row>
    <row r="260" spans="1:12" x14ac:dyDescent="0.2">
      <c r="A260" s="94"/>
      <c r="B260" s="94"/>
      <c r="C260" s="94"/>
      <c r="D260" s="94"/>
      <c r="E260" s="94"/>
      <c r="F260" s="94"/>
      <c r="G260" s="94"/>
      <c r="H260" s="94"/>
      <c r="I260" s="94"/>
      <c r="J260" s="94"/>
      <c r="K260" s="94"/>
      <c r="L260" s="94"/>
    </row>
    <row r="261" spans="1:12" x14ac:dyDescent="0.2">
      <c r="A261" s="94"/>
      <c r="B261" s="94"/>
      <c r="C261" s="94"/>
      <c r="D261" s="94"/>
      <c r="E261" s="94"/>
      <c r="F261" s="94"/>
      <c r="G261" s="94"/>
      <c r="H261" s="94"/>
      <c r="I261" s="94"/>
      <c r="J261" s="94"/>
      <c r="K261" s="94"/>
      <c r="L261" s="94"/>
    </row>
    <row r="262" spans="1:12" x14ac:dyDescent="0.2">
      <c r="A262" s="94"/>
      <c r="B262" s="94"/>
      <c r="C262" s="94"/>
      <c r="D262" s="94"/>
      <c r="E262" s="94"/>
      <c r="F262" s="94"/>
      <c r="G262" s="94"/>
      <c r="H262" s="94"/>
      <c r="I262" s="94"/>
      <c r="J262" s="94"/>
      <c r="K262" s="94"/>
      <c r="L262" s="94"/>
    </row>
    <row r="263" spans="1:12" x14ac:dyDescent="0.2">
      <c r="A263" s="94"/>
      <c r="B263" s="94"/>
      <c r="C263" s="94"/>
      <c r="D263" s="94"/>
      <c r="E263" s="94"/>
      <c r="F263" s="94"/>
      <c r="G263" s="94"/>
      <c r="H263" s="94"/>
      <c r="I263" s="94"/>
      <c r="J263" s="94"/>
      <c r="K263" s="94"/>
      <c r="L263" s="94"/>
    </row>
    <row r="264" spans="1:12" x14ac:dyDescent="0.2">
      <c r="A264" s="94"/>
      <c r="B264" s="94"/>
      <c r="C264" s="94"/>
      <c r="D264" s="94"/>
      <c r="E264" s="94"/>
      <c r="F264" s="94"/>
      <c r="G264" s="94"/>
      <c r="H264" s="94"/>
      <c r="I264" s="94"/>
      <c r="J264" s="94"/>
      <c r="K264" s="94"/>
      <c r="L264" s="94"/>
    </row>
    <row r="265" spans="1:12" x14ac:dyDescent="0.2">
      <c r="A265" s="94"/>
      <c r="B265" s="94"/>
      <c r="C265" s="94"/>
      <c r="D265" s="94"/>
      <c r="E265" s="94"/>
      <c r="F265" s="94"/>
      <c r="G265" s="94"/>
      <c r="H265" s="94"/>
      <c r="I265" s="94"/>
      <c r="J265" s="94"/>
      <c r="K265" s="94"/>
      <c r="L265" s="94"/>
    </row>
    <row r="266" spans="1:12" x14ac:dyDescent="0.2">
      <c r="A266" s="94"/>
      <c r="B266" s="94"/>
      <c r="C266" s="94"/>
      <c r="D266" s="94"/>
      <c r="E266" s="94"/>
      <c r="F266" s="94"/>
      <c r="G266" s="94"/>
      <c r="H266" s="94"/>
      <c r="I266" s="94"/>
      <c r="J266" s="94"/>
      <c r="K266" s="94"/>
      <c r="L266" s="94"/>
    </row>
    <row r="267" spans="1:12" x14ac:dyDescent="0.2">
      <c r="A267" s="94"/>
      <c r="B267" s="94"/>
      <c r="C267" s="94"/>
      <c r="D267" s="94"/>
      <c r="E267" s="94"/>
      <c r="F267" s="94"/>
      <c r="G267" s="94"/>
      <c r="H267" s="94"/>
      <c r="I267" s="94"/>
      <c r="J267" s="94"/>
      <c r="K267" s="94"/>
      <c r="L267" s="94"/>
    </row>
    <row r="268" spans="1:12" x14ac:dyDescent="0.2">
      <c r="A268" s="94"/>
      <c r="B268" s="94"/>
      <c r="C268" s="94"/>
      <c r="D268" s="94"/>
      <c r="E268" s="94"/>
      <c r="F268" s="94"/>
      <c r="G268" s="94"/>
      <c r="H268" s="94"/>
      <c r="I268" s="94"/>
      <c r="J268" s="94"/>
      <c r="K268" s="94"/>
      <c r="L268" s="94"/>
    </row>
    <row r="269" spans="1:12" x14ac:dyDescent="0.2">
      <c r="A269" s="94"/>
      <c r="B269" s="94"/>
      <c r="C269" s="94"/>
      <c r="D269" s="94"/>
      <c r="E269" s="94"/>
      <c r="F269" s="94"/>
      <c r="G269" s="94"/>
      <c r="H269" s="94"/>
      <c r="I269" s="94"/>
      <c r="J269" s="94"/>
      <c r="K269" s="94"/>
      <c r="L269" s="94"/>
    </row>
    <row r="270" spans="1:12" x14ac:dyDescent="0.2">
      <c r="A270" s="94"/>
      <c r="B270" s="94"/>
      <c r="C270" s="94"/>
      <c r="D270" s="94"/>
      <c r="E270" s="94"/>
      <c r="F270" s="94"/>
      <c r="G270" s="94"/>
      <c r="H270" s="94"/>
      <c r="I270" s="94"/>
      <c r="J270" s="94"/>
      <c r="K270" s="94"/>
      <c r="L270" s="94"/>
    </row>
    <row r="271" spans="1:12" x14ac:dyDescent="0.2">
      <c r="A271" s="94"/>
      <c r="B271" s="94"/>
      <c r="C271" s="94"/>
      <c r="D271" s="94"/>
      <c r="E271" s="94"/>
      <c r="F271" s="94"/>
      <c r="G271" s="94"/>
      <c r="H271" s="94"/>
      <c r="I271" s="94"/>
      <c r="J271" s="94"/>
      <c r="K271" s="94"/>
      <c r="L271" s="94"/>
    </row>
    <row r="272" spans="1:12" x14ac:dyDescent="0.2">
      <c r="A272" s="94"/>
      <c r="B272" s="94"/>
      <c r="C272" s="94"/>
      <c r="D272" s="94"/>
      <c r="E272" s="94"/>
      <c r="F272" s="94"/>
      <c r="G272" s="94"/>
      <c r="H272" s="94"/>
      <c r="I272" s="94"/>
      <c r="J272" s="94"/>
      <c r="K272" s="94"/>
      <c r="L272" s="94"/>
    </row>
    <row r="273" spans="1:12" x14ac:dyDescent="0.2">
      <c r="A273" s="94"/>
      <c r="B273" s="94"/>
      <c r="C273" s="94"/>
      <c r="D273" s="94"/>
      <c r="E273" s="94"/>
      <c r="F273" s="94"/>
      <c r="G273" s="94"/>
      <c r="H273" s="94"/>
      <c r="I273" s="94"/>
      <c r="J273" s="94"/>
      <c r="K273" s="94"/>
      <c r="L273" s="94"/>
    </row>
    <row r="274" spans="1:12" x14ac:dyDescent="0.2">
      <c r="A274" s="94"/>
      <c r="B274" s="94"/>
      <c r="C274" s="94"/>
      <c r="D274" s="94"/>
      <c r="E274" s="94"/>
      <c r="F274" s="94"/>
      <c r="G274" s="94"/>
      <c r="H274" s="94"/>
      <c r="I274" s="94"/>
      <c r="J274" s="94"/>
      <c r="K274" s="94"/>
      <c r="L274" s="94"/>
    </row>
    <row r="275" spans="1:12" x14ac:dyDescent="0.2">
      <c r="A275" s="94"/>
      <c r="B275" s="94"/>
      <c r="C275" s="94"/>
      <c r="D275" s="94"/>
      <c r="E275" s="94"/>
      <c r="F275" s="94"/>
      <c r="G275" s="94"/>
      <c r="H275" s="94"/>
      <c r="I275" s="94"/>
      <c r="J275" s="94"/>
      <c r="K275" s="94"/>
      <c r="L275" s="94"/>
    </row>
    <row r="276" spans="1:12" x14ac:dyDescent="0.2">
      <c r="A276" s="94"/>
      <c r="B276" s="94"/>
      <c r="C276" s="94"/>
      <c r="D276" s="94"/>
      <c r="E276" s="94"/>
      <c r="F276" s="94"/>
      <c r="G276" s="94"/>
      <c r="H276" s="94"/>
      <c r="I276" s="94"/>
      <c r="J276" s="94"/>
      <c r="K276" s="94"/>
      <c r="L276" s="94"/>
    </row>
    <row r="277" spans="1:12" x14ac:dyDescent="0.2">
      <c r="A277" s="94"/>
      <c r="B277" s="94"/>
      <c r="C277" s="94"/>
      <c r="D277" s="94"/>
      <c r="E277" s="94"/>
      <c r="F277" s="94"/>
      <c r="G277" s="94"/>
      <c r="H277" s="94"/>
      <c r="I277" s="94"/>
      <c r="J277" s="94"/>
      <c r="K277" s="94"/>
      <c r="L277" s="94"/>
    </row>
    <row r="278" spans="1:12" x14ac:dyDescent="0.2">
      <c r="A278" s="94"/>
      <c r="B278" s="94"/>
      <c r="C278" s="94"/>
      <c r="D278" s="94"/>
      <c r="E278" s="94"/>
      <c r="F278" s="94"/>
      <c r="G278" s="94"/>
      <c r="H278" s="94"/>
      <c r="I278" s="94"/>
      <c r="J278" s="94"/>
      <c r="K278" s="94"/>
      <c r="L278" s="94"/>
    </row>
    <row r="279" spans="1:12" x14ac:dyDescent="0.2">
      <c r="A279" s="94"/>
      <c r="B279" s="94"/>
      <c r="C279" s="94"/>
      <c r="D279" s="94"/>
      <c r="E279" s="94"/>
      <c r="F279" s="94"/>
      <c r="G279" s="94"/>
      <c r="H279" s="94"/>
      <c r="I279" s="94"/>
      <c r="J279" s="94"/>
      <c r="K279" s="94"/>
      <c r="L279" s="94"/>
    </row>
    <row r="280" spans="1:12" x14ac:dyDescent="0.2">
      <c r="A280" s="94"/>
      <c r="B280" s="94"/>
      <c r="C280" s="94"/>
      <c r="D280" s="94"/>
      <c r="E280" s="94"/>
      <c r="F280" s="94"/>
      <c r="G280" s="94"/>
      <c r="H280" s="94"/>
      <c r="I280" s="94"/>
      <c r="J280" s="94"/>
      <c r="K280" s="94"/>
      <c r="L280" s="94"/>
    </row>
    <row r="281" spans="1:12" x14ac:dyDescent="0.2">
      <c r="A281" s="94"/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94"/>
    </row>
    <row r="282" spans="1:12" x14ac:dyDescent="0.2">
      <c r="A282" s="94"/>
      <c r="B282" s="94"/>
      <c r="C282" s="94"/>
      <c r="D282" s="94"/>
      <c r="E282" s="94"/>
      <c r="F282" s="94"/>
      <c r="G282" s="94"/>
      <c r="H282" s="94"/>
      <c r="I282" s="94"/>
      <c r="J282" s="94"/>
      <c r="K282" s="94"/>
      <c r="L282" s="94"/>
    </row>
  </sheetData>
  <mergeCells count="5">
    <mergeCell ref="A1:L1"/>
    <mergeCell ref="A2:L2"/>
    <mergeCell ref="A3:L3"/>
    <mergeCell ref="A4:L4"/>
    <mergeCell ref="A5:L5"/>
  </mergeCells>
  <printOptions horizontalCentered="1"/>
  <pageMargins left="0" right="0" top="0.31496062992125984" bottom="0.27559055118110237" header="0" footer="0"/>
  <pageSetup scale="37" orientation="portrait" r:id="rId1"/>
  <headerFooter alignWithMargins="0"/>
  <rowBreaks count="1" manualBreakCount="1">
    <brk id="20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2019-10-16T19:22:44Z</dcterms:created>
  <dcterms:modified xsi:type="dcterms:W3CDTF">2019-10-16T19:23:05Z</dcterms:modified>
</cp:coreProperties>
</file>