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7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hidden="1">#REF!</definedName>
    <definedName name="ANEXO" hidden="1">'[7]Inversión total en programas'!$A$50:$IV$50,'[7]Inversión total en programas'!$A$60:$IV$63</definedName>
    <definedName name="_xlnm.Print_Area" localSheetId="0">'Anexo 2 '!$A$1:$M$203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'[9]Anexo 1 Minagricultura'!#REF!</definedName>
    <definedName name="CABEZAS_PROYEC" localSheetId="0">'[10]Anexo 1 Minagricultura'!$C$46</definedName>
    <definedName name="CABEZAS_PROYEC">'[1]Anexo 1'!#REF!</definedName>
    <definedName name="CUOTAPPC2005" localSheetId="0">'[10]Anexo 1 Minagricultura'!#REF!</definedName>
    <definedName name="CUOTAPPC2005">'[1]Anexo 1'!#REF!</definedName>
    <definedName name="CUOTAPPC2013" localSheetId="0">'[10]Anexo 1 Minagricultura'!#REF!</definedName>
    <definedName name="CUOTAPPC2013">'[1]Anexo 1'!#REF!</definedName>
    <definedName name="CUOTAPPC203" localSheetId="0">'[10]Anexo 1 Minagricultura'!#REF!</definedName>
    <definedName name="CUOTAPPC203">'[1]Anexo 1'!#REF!</definedName>
    <definedName name="DIAG_PPC">#REF!</definedName>
    <definedName name="DISTRIBUIDOR">#REF!</definedName>
    <definedName name="Dólar" localSheetId="0">#REF!</definedName>
    <definedName name="Dólar">#REF!</definedName>
    <definedName name="eeeee" localSheetId="0">'[10]Ejecución ingresos 2014'!#REF!</definedName>
    <definedName name="eeeee">#REF!</definedName>
    <definedName name="EPPC" localSheetId="0">'[10]Anexo 1 Minagricultura'!$C$54</definedName>
    <definedName name="EPPC">'[1]Anexo 1'!#REF!</definedName>
    <definedName name="Euro" localSheetId="0">#REF!</definedName>
    <definedName name="Euro">#REF!</definedName>
    <definedName name="FDGFDG">#REF!</definedName>
    <definedName name="FECHA_DE_RECIBIDO">[11]BASE!$E$3:$E$177</definedName>
    <definedName name="FOMENTO" localSheetId="0">'[10]Anexo 1 Minagricultura'!$C$53</definedName>
    <definedName name="FOMENTO">'[1]Anexo 1'!#REF!</definedName>
    <definedName name="FOMENTOS">'[14]Anexo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 localSheetId="0">#REF!</definedName>
    <definedName name="Pasajes">#REF!</definedName>
    <definedName name="ppc">'[1]Anexo 1'!$B$16</definedName>
    <definedName name="RESERV_FUTU">#REF!</definedName>
    <definedName name="saldo" localSheetId="0">'[10]Ejecución ingresos 2014'!#REF!</definedName>
    <definedName name="saldo">#REF!</definedName>
    <definedName name="saldos" localSheetId="0">'[10]Ejecución ingresos 2014'!#REF!</definedName>
    <definedName name="saldos">#REF!</definedName>
    <definedName name="SUPERA2004" localSheetId="0">'[10]Anexo 1 Minagricultura'!#REF!</definedName>
    <definedName name="SUPERA2004">'[1]Anexo 1'!#REF!</definedName>
    <definedName name="SUPERA2005" localSheetId="0">'[10]Anexo 1 Minagricultura'!#REF!</definedName>
    <definedName name="SUPERA2005">'[1]Anexo 1'!#REF!</definedName>
    <definedName name="SUPERA2010">'[16]Anexo 1 Minagricultura'!$C$21</definedName>
    <definedName name="SUPERA2012" localSheetId="0">'[10]Anexo 1 Minagricultura'!#REF!</definedName>
    <definedName name="SUPERA2012">'[1]Anexo 1'!#REF!</definedName>
    <definedName name="SUPERAVIT">#REF!</definedName>
    <definedName name="SUPERAVIT2005_FNP">#REF!</definedName>
    <definedName name="SUPERAVITPPC_2005">#REF!</definedName>
    <definedName name="_xlnm.Print_Titles" localSheetId="0">'Anexo 2 '!$1:$6</definedName>
    <definedName name="_xlnm.Print_Titles">#REF!</definedName>
    <definedName name="VTAS2005">'[1]Anexo 1'!$B$33</definedName>
    <definedName name="xx">[17]Ingresos!$C$19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'[19]Ingresos 2014'!#REF!</definedName>
    <definedName name="ZFRONTERA">'[19]Ingresos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6" i="1" l="1"/>
  <c r="I205" i="1"/>
  <c r="I207" i="1" s="1"/>
  <c r="J198" i="1"/>
  <c r="H198" i="1"/>
  <c r="H197" i="1"/>
  <c r="J197" i="1" s="1"/>
  <c r="L197" i="1" s="1"/>
  <c r="M196" i="1"/>
  <c r="L196" i="1"/>
  <c r="J196" i="1"/>
  <c r="I196" i="1"/>
  <c r="H196" i="1"/>
  <c r="H194" i="1"/>
  <c r="J194" i="1" s="1"/>
  <c r="M194" i="1" s="1"/>
  <c r="M192" i="1"/>
  <c r="L192" i="1"/>
  <c r="I192" i="1"/>
  <c r="J192" i="1" s="1"/>
  <c r="I191" i="1"/>
  <c r="K190" i="1"/>
  <c r="H188" i="1"/>
  <c r="J188" i="1" s="1"/>
  <c r="M188" i="1" s="1"/>
  <c r="E187" i="1"/>
  <c r="H187" i="1" s="1"/>
  <c r="J187" i="1" s="1"/>
  <c r="J186" i="1"/>
  <c r="L186" i="1" s="1"/>
  <c r="H186" i="1"/>
  <c r="E186" i="1"/>
  <c r="H185" i="1"/>
  <c r="J185" i="1" s="1"/>
  <c r="E185" i="1"/>
  <c r="H184" i="1"/>
  <c r="E184" i="1"/>
  <c r="K183" i="1"/>
  <c r="I183" i="1"/>
  <c r="G183" i="1"/>
  <c r="F183" i="1"/>
  <c r="D180" i="1"/>
  <c r="H180" i="1" s="1"/>
  <c r="J180" i="1" s="1"/>
  <c r="M180" i="1" s="1"/>
  <c r="D179" i="1"/>
  <c r="H179" i="1" s="1"/>
  <c r="J179" i="1" s="1"/>
  <c r="L179" i="1" s="1"/>
  <c r="L178" i="1"/>
  <c r="H178" i="1"/>
  <c r="J178" i="1" s="1"/>
  <c r="M178" i="1" s="1"/>
  <c r="D177" i="1"/>
  <c r="H177" i="1" s="1"/>
  <c r="J177" i="1" s="1"/>
  <c r="M177" i="1" s="1"/>
  <c r="M176" i="1"/>
  <c r="J176" i="1"/>
  <c r="L176" i="1" s="1"/>
  <c r="D176" i="1"/>
  <c r="H176" i="1" s="1"/>
  <c r="J175" i="1"/>
  <c r="H175" i="1"/>
  <c r="D175" i="1"/>
  <c r="K174" i="1"/>
  <c r="J173" i="1"/>
  <c r="M173" i="1" s="1"/>
  <c r="H173" i="1"/>
  <c r="H172" i="1"/>
  <c r="J172" i="1" s="1"/>
  <c r="L172" i="1" s="1"/>
  <c r="D172" i="1"/>
  <c r="H171" i="1"/>
  <c r="J171" i="1" s="1"/>
  <c r="D171" i="1"/>
  <c r="D170" i="1"/>
  <c r="H170" i="1" s="1"/>
  <c r="J170" i="1" s="1"/>
  <c r="L170" i="1" s="1"/>
  <c r="D169" i="1"/>
  <c r="H169" i="1" s="1"/>
  <c r="J168" i="1"/>
  <c r="L168" i="1" s="1"/>
  <c r="D168" i="1"/>
  <c r="H168" i="1" s="1"/>
  <c r="K167" i="1"/>
  <c r="D167" i="1"/>
  <c r="M165" i="1"/>
  <c r="H165" i="1"/>
  <c r="J165" i="1" s="1"/>
  <c r="L165" i="1" s="1"/>
  <c r="D165" i="1"/>
  <c r="D164" i="1"/>
  <c r="H164" i="1" s="1"/>
  <c r="J164" i="1" s="1"/>
  <c r="H163" i="1"/>
  <c r="J163" i="1" s="1"/>
  <c r="M163" i="1" s="1"/>
  <c r="D163" i="1"/>
  <c r="D162" i="1"/>
  <c r="K161" i="1"/>
  <c r="L160" i="1"/>
  <c r="D160" i="1"/>
  <c r="H160" i="1" s="1"/>
  <c r="J160" i="1" s="1"/>
  <c r="M160" i="1" s="1"/>
  <c r="D159" i="1"/>
  <c r="H159" i="1" s="1"/>
  <c r="J159" i="1" s="1"/>
  <c r="M159" i="1" s="1"/>
  <c r="D158" i="1"/>
  <c r="H158" i="1" s="1"/>
  <c r="J158" i="1" s="1"/>
  <c r="M157" i="1"/>
  <c r="D157" i="1"/>
  <c r="H157" i="1" s="1"/>
  <c r="J157" i="1" s="1"/>
  <c r="L157" i="1" s="1"/>
  <c r="M156" i="1"/>
  <c r="J156" i="1"/>
  <c r="L156" i="1" s="1"/>
  <c r="H156" i="1"/>
  <c r="D156" i="1"/>
  <c r="D155" i="1"/>
  <c r="M154" i="1"/>
  <c r="L154" i="1"/>
  <c r="H154" i="1"/>
  <c r="J154" i="1" s="1"/>
  <c r="D154" i="1"/>
  <c r="K153" i="1"/>
  <c r="J151" i="1"/>
  <c r="L151" i="1" s="1"/>
  <c r="H151" i="1"/>
  <c r="J150" i="1"/>
  <c r="D150" i="1"/>
  <c r="H150" i="1" s="1"/>
  <c r="H149" i="1"/>
  <c r="J149" i="1" s="1"/>
  <c r="D149" i="1"/>
  <c r="K148" i="1"/>
  <c r="C145" i="1"/>
  <c r="C144" i="1" s="1"/>
  <c r="H144" i="1" s="1"/>
  <c r="K144" i="1"/>
  <c r="H143" i="1"/>
  <c r="J143" i="1" s="1"/>
  <c r="M143" i="1" s="1"/>
  <c r="C143" i="1"/>
  <c r="C142" i="1"/>
  <c r="K141" i="1"/>
  <c r="J140" i="1"/>
  <c r="H140" i="1"/>
  <c r="C140" i="1"/>
  <c r="C139" i="1"/>
  <c r="K138" i="1"/>
  <c r="J137" i="1"/>
  <c r="H137" i="1"/>
  <c r="C137" i="1"/>
  <c r="H136" i="1"/>
  <c r="J136" i="1" s="1"/>
  <c r="J135" i="1"/>
  <c r="L135" i="1" s="1"/>
  <c r="C135" i="1"/>
  <c r="H135" i="1" s="1"/>
  <c r="K134" i="1"/>
  <c r="C134" i="1"/>
  <c r="M131" i="1"/>
  <c r="L131" i="1"/>
  <c r="H131" i="1"/>
  <c r="J131" i="1" s="1"/>
  <c r="G131" i="1"/>
  <c r="H130" i="1"/>
  <c r="J130" i="1" s="1"/>
  <c r="G130" i="1"/>
  <c r="G129" i="1"/>
  <c r="G128" i="1" s="1"/>
  <c r="K128" i="1"/>
  <c r="H127" i="1"/>
  <c r="J127" i="1" s="1"/>
  <c r="L127" i="1" s="1"/>
  <c r="G127" i="1"/>
  <c r="G126" i="1"/>
  <c r="K125" i="1"/>
  <c r="G124" i="1"/>
  <c r="H124" i="1" s="1"/>
  <c r="J124" i="1" s="1"/>
  <c r="G123" i="1"/>
  <c r="H123" i="1" s="1"/>
  <c r="J123" i="1" s="1"/>
  <c r="G122" i="1"/>
  <c r="H122" i="1" s="1"/>
  <c r="J122" i="1" s="1"/>
  <c r="M122" i="1" s="1"/>
  <c r="H121" i="1"/>
  <c r="J121" i="1" s="1"/>
  <c r="G121" i="1"/>
  <c r="J120" i="1"/>
  <c r="G120" i="1"/>
  <c r="H120" i="1" s="1"/>
  <c r="K119" i="1"/>
  <c r="G118" i="1"/>
  <c r="H118" i="1" s="1"/>
  <c r="J118" i="1" s="1"/>
  <c r="G117" i="1"/>
  <c r="H117" i="1" s="1"/>
  <c r="K116" i="1"/>
  <c r="G116" i="1"/>
  <c r="H115" i="1"/>
  <c r="J115" i="1" s="1"/>
  <c r="G115" i="1"/>
  <c r="J114" i="1"/>
  <c r="G114" i="1"/>
  <c r="H114" i="1" s="1"/>
  <c r="M113" i="1"/>
  <c r="H113" i="1"/>
  <c r="J113" i="1" s="1"/>
  <c r="L113" i="1" s="1"/>
  <c r="G113" i="1"/>
  <c r="G112" i="1"/>
  <c r="K111" i="1"/>
  <c r="K110" i="1"/>
  <c r="F108" i="1"/>
  <c r="H108" i="1" s="1"/>
  <c r="J108" i="1" s="1"/>
  <c r="F107" i="1"/>
  <c r="H107" i="1" s="1"/>
  <c r="J107" i="1" s="1"/>
  <c r="J106" i="1"/>
  <c r="L106" i="1" s="1"/>
  <c r="H106" i="1"/>
  <c r="F106" i="1"/>
  <c r="F105" i="1"/>
  <c r="K104" i="1"/>
  <c r="H103" i="1"/>
  <c r="J103" i="1" s="1"/>
  <c r="M103" i="1" s="1"/>
  <c r="F103" i="1"/>
  <c r="F102" i="1"/>
  <c r="H102" i="1" s="1"/>
  <c r="J102" i="1" s="1"/>
  <c r="M101" i="1"/>
  <c r="H101" i="1"/>
  <c r="J101" i="1" s="1"/>
  <c r="L101" i="1" s="1"/>
  <c r="F101" i="1"/>
  <c r="H100" i="1"/>
  <c r="J100" i="1" s="1"/>
  <c r="M100" i="1" s="1"/>
  <c r="F99" i="1"/>
  <c r="H99" i="1" s="1"/>
  <c r="J99" i="1" s="1"/>
  <c r="M98" i="1"/>
  <c r="J98" i="1"/>
  <c r="L98" i="1" s="1"/>
  <c r="H98" i="1"/>
  <c r="F98" i="1"/>
  <c r="H97" i="1"/>
  <c r="J97" i="1" s="1"/>
  <c r="L97" i="1" s="1"/>
  <c r="F97" i="1"/>
  <c r="L96" i="1"/>
  <c r="H96" i="1"/>
  <c r="J96" i="1" s="1"/>
  <c r="M96" i="1" s="1"/>
  <c r="H95" i="1"/>
  <c r="J95" i="1" s="1"/>
  <c r="F95" i="1"/>
  <c r="F94" i="1"/>
  <c r="H94" i="1" s="1"/>
  <c r="J94" i="1" s="1"/>
  <c r="L94" i="1" s="1"/>
  <c r="J93" i="1"/>
  <c r="M93" i="1" s="1"/>
  <c r="H93" i="1"/>
  <c r="F93" i="1"/>
  <c r="K92" i="1"/>
  <c r="F92" i="1"/>
  <c r="J91" i="1"/>
  <c r="L91" i="1" s="1"/>
  <c r="F91" i="1"/>
  <c r="H91" i="1" s="1"/>
  <c r="J90" i="1"/>
  <c r="L90" i="1" s="1"/>
  <c r="H90" i="1"/>
  <c r="F90" i="1"/>
  <c r="H89" i="1"/>
  <c r="H88" i="1" s="1"/>
  <c r="F89" i="1"/>
  <c r="K88" i="1"/>
  <c r="F88" i="1"/>
  <c r="M87" i="1"/>
  <c r="L87" i="1"/>
  <c r="J87" i="1"/>
  <c r="H87" i="1"/>
  <c r="F87" i="1"/>
  <c r="J86" i="1"/>
  <c r="H86" i="1"/>
  <c r="J85" i="1"/>
  <c r="L85" i="1" s="1"/>
  <c r="H85" i="1"/>
  <c r="H84" i="1"/>
  <c r="J84" i="1" s="1"/>
  <c r="F83" i="1"/>
  <c r="H83" i="1" s="1"/>
  <c r="J83" i="1" s="1"/>
  <c r="F82" i="1"/>
  <c r="K81" i="1"/>
  <c r="K72" i="1" s="1"/>
  <c r="L80" i="1"/>
  <c r="J80" i="1"/>
  <c r="M80" i="1" s="1"/>
  <c r="H80" i="1"/>
  <c r="H79" i="1"/>
  <c r="J79" i="1" s="1"/>
  <c r="L79" i="1" s="1"/>
  <c r="M78" i="1"/>
  <c r="J78" i="1"/>
  <c r="L78" i="1" s="1"/>
  <c r="F78" i="1"/>
  <c r="H78" i="1" s="1"/>
  <c r="J77" i="1"/>
  <c r="M77" i="1" s="1"/>
  <c r="H77" i="1"/>
  <c r="F77" i="1"/>
  <c r="F76" i="1"/>
  <c r="J75" i="1"/>
  <c r="H75" i="1"/>
  <c r="H74" i="1"/>
  <c r="K73" i="1"/>
  <c r="B70" i="1"/>
  <c r="B68" i="1" s="1"/>
  <c r="H69" i="1"/>
  <c r="J69" i="1" s="1"/>
  <c r="M69" i="1" s="1"/>
  <c r="B69" i="1"/>
  <c r="K68" i="1"/>
  <c r="L67" i="1"/>
  <c r="H67" i="1"/>
  <c r="J67" i="1" s="1"/>
  <c r="M67" i="1" s="1"/>
  <c r="B66" i="1"/>
  <c r="H66" i="1" s="1"/>
  <c r="J66" i="1" s="1"/>
  <c r="B65" i="1"/>
  <c r="K64" i="1"/>
  <c r="J63" i="1"/>
  <c r="L63" i="1" s="1"/>
  <c r="H63" i="1"/>
  <c r="M62" i="1"/>
  <c r="H62" i="1"/>
  <c r="J62" i="1" s="1"/>
  <c r="L62" i="1" s="1"/>
  <c r="B62" i="1"/>
  <c r="H61" i="1"/>
  <c r="H60" i="1" s="1"/>
  <c r="B61" i="1"/>
  <c r="B60" i="1" s="1"/>
  <c r="K60" i="1"/>
  <c r="H59" i="1"/>
  <c r="J59" i="1" s="1"/>
  <c r="L59" i="1" s="1"/>
  <c r="H58" i="1"/>
  <c r="J58" i="1" s="1"/>
  <c r="L58" i="1" s="1"/>
  <c r="B58" i="1"/>
  <c r="J57" i="1"/>
  <c r="B57" i="1"/>
  <c r="H57" i="1" s="1"/>
  <c r="K56" i="1"/>
  <c r="B56" i="1"/>
  <c r="J55" i="1"/>
  <c r="M55" i="1" s="1"/>
  <c r="H55" i="1"/>
  <c r="B55" i="1"/>
  <c r="B54" i="1"/>
  <c r="H54" i="1" s="1"/>
  <c r="J54" i="1" s="1"/>
  <c r="L54" i="1" s="1"/>
  <c r="J53" i="1"/>
  <c r="M53" i="1" s="1"/>
  <c r="H53" i="1"/>
  <c r="B53" i="1"/>
  <c r="K52" i="1"/>
  <c r="J51" i="1"/>
  <c r="B51" i="1"/>
  <c r="H51" i="1" s="1"/>
  <c r="M50" i="1"/>
  <c r="H50" i="1"/>
  <c r="J50" i="1" s="1"/>
  <c r="L50" i="1" s="1"/>
  <c r="B50" i="1"/>
  <c r="K49" i="1"/>
  <c r="B49" i="1"/>
  <c r="M47" i="1"/>
  <c r="L47" i="1"/>
  <c r="B47" i="1"/>
  <c r="H47" i="1" s="1"/>
  <c r="J47" i="1" s="1"/>
  <c r="B46" i="1"/>
  <c r="M44" i="1"/>
  <c r="L44" i="1"/>
  <c r="H44" i="1"/>
  <c r="J44" i="1" s="1"/>
  <c r="B43" i="1"/>
  <c r="H43" i="1" s="1"/>
  <c r="H42" i="1" s="1"/>
  <c r="K42" i="1"/>
  <c r="K36" i="1"/>
  <c r="J35" i="1"/>
  <c r="M35" i="1" s="1"/>
  <c r="I35" i="1"/>
  <c r="H35" i="1"/>
  <c r="I34" i="1"/>
  <c r="H34" i="1"/>
  <c r="J34" i="1" s="1"/>
  <c r="I33" i="1"/>
  <c r="H33" i="1"/>
  <c r="J33" i="1" s="1"/>
  <c r="G33" i="1"/>
  <c r="F33" i="1"/>
  <c r="B33" i="1"/>
  <c r="I32" i="1"/>
  <c r="G32" i="1"/>
  <c r="F32" i="1"/>
  <c r="D32" i="1"/>
  <c r="C32" i="1"/>
  <c r="B32" i="1"/>
  <c r="H32" i="1" s="1"/>
  <c r="J32" i="1" s="1"/>
  <c r="M31" i="1"/>
  <c r="J31" i="1"/>
  <c r="L31" i="1" s="1"/>
  <c r="I31" i="1"/>
  <c r="H31" i="1"/>
  <c r="I30" i="1"/>
  <c r="G30" i="1"/>
  <c r="F30" i="1"/>
  <c r="D30" i="1"/>
  <c r="C30" i="1"/>
  <c r="B30" i="1"/>
  <c r="I29" i="1"/>
  <c r="G29" i="1"/>
  <c r="H29" i="1" s="1"/>
  <c r="J29" i="1" s="1"/>
  <c r="L29" i="1" s="1"/>
  <c r="M28" i="1"/>
  <c r="L28" i="1"/>
  <c r="I28" i="1"/>
  <c r="G28" i="1"/>
  <c r="E28" i="1"/>
  <c r="D28" i="1"/>
  <c r="C28" i="1"/>
  <c r="B28" i="1"/>
  <c r="H28" i="1" s="1"/>
  <c r="J28" i="1" s="1"/>
  <c r="I27" i="1"/>
  <c r="G27" i="1"/>
  <c r="F27" i="1"/>
  <c r="E27" i="1"/>
  <c r="D27" i="1"/>
  <c r="C27" i="1"/>
  <c r="B27" i="1"/>
  <c r="I26" i="1"/>
  <c r="J26" i="1" s="1"/>
  <c r="H26" i="1"/>
  <c r="I25" i="1"/>
  <c r="G25" i="1"/>
  <c r="F25" i="1"/>
  <c r="D25" i="1"/>
  <c r="C25" i="1"/>
  <c r="C36" i="1" s="1"/>
  <c r="B25" i="1"/>
  <c r="I24" i="1"/>
  <c r="I36" i="1" s="1"/>
  <c r="G24" i="1"/>
  <c r="H24" i="1" s="1"/>
  <c r="J24" i="1" s="1"/>
  <c r="F24" i="1"/>
  <c r="F36" i="1" s="1"/>
  <c r="E24" i="1"/>
  <c r="D24" i="1"/>
  <c r="D36" i="1" s="1"/>
  <c r="C24" i="1"/>
  <c r="B24" i="1"/>
  <c r="I23" i="1"/>
  <c r="H23" i="1"/>
  <c r="J23" i="1" s="1"/>
  <c r="G23" i="1"/>
  <c r="B23" i="1"/>
  <c r="I22" i="1"/>
  <c r="G22" i="1"/>
  <c r="F22" i="1"/>
  <c r="E22" i="1"/>
  <c r="E36" i="1" s="1"/>
  <c r="C22" i="1"/>
  <c r="B22" i="1"/>
  <c r="H22" i="1" s="1"/>
  <c r="J22" i="1" s="1"/>
  <c r="I21" i="1"/>
  <c r="G21" i="1"/>
  <c r="G36" i="1" s="1"/>
  <c r="F21" i="1"/>
  <c r="C21" i="1"/>
  <c r="B21" i="1"/>
  <c r="K19" i="1"/>
  <c r="K37" i="1" s="1"/>
  <c r="F19" i="1"/>
  <c r="D19" i="1"/>
  <c r="I18" i="1"/>
  <c r="G18" i="1"/>
  <c r="F18" i="1"/>
  <c r="E18" i="1"/>
  <c r="D18" i="1"/>
  <c r="C18" i="1"/>
  <c r="B18" i="1"/>
  <c r="H18" i="1" s="1"/>
  <c r="J18" i="1" s="1"/>
  <c r="I17" i="1"/>
  <c r="G17" i="1"/>
  <c r="F17" i="1"/>
  <c r="E17" i="1"/>
  <c r="D17" i="1"/>
  <c r="C17" i="1"/>
  <c r="B17" i="1"/>
  <c r="I16" i="1"/>
  <c r="G16" i="1"/>
  <c r="H16" i="1" s="1"/>
  <c r="J16" i="1" s="1"/>
  <c r="F16" i="1"/>
  <c r="E16" i="1"/>
  <c r="D16" i="1"/>
  <c r="C16" i="1"/>
  <c r="B16" i="1"/>
  <c r="I15" i="1"/>
  <c r="G15" i="1"/>
  <c r="F15" i="1"/>
  <c r="E15" i="1"/>
  <c r="D15" i="1"/>
  <c r="C15" i="1"/>
  <c r="B15" i="1"/>
  <c r="H15" i="1" s="1"/>
  <c r="J15" i="1" s="1"/>
  <c r="I14" i="1"/>
  <c r="G14" i="1"/>
  <c r="F14" i="1"/>
  <c r="E14" i="1"/>
  <c r="D14" i="1"/>
  <c r="C14" i="1"/>
  <c r="H14" i="1" s="1"/>
  <c r="J14" i="1" s="1"/>
  <c r="B14" i="1"/>
  <c r="G13" i="1"/>
  <c r="F13" i="1"/>
  <c r="D13" i="1"/>
  <c r="C13" i="1"/>
  <c r="H13" i="1" s="1"/>
  <c r="J13" i="1" s="1"/>
  <c r="B13" i="1"/>
  <c r="I12" i="1"/>
  <c r="B12" i="1"/>
  <c r="H12" i="1" s="1"/>
  <c r="J12" i="1" s="1"/>
  <c r="I11" i="1"/>
  <c r="I8" i="1" s="1"/>
  <c r="G11" i="1"/>
  <c r="F11" i="1"/>
  <c r="F8" i="1" s="1"/>
  <c r="E11" i="1"/>
  <c r="D11" i="1"/>
  <c r="C11" i="1"/>
  <c r="B11" i="1"/>
  <c r="I10" i="1"/>
  <c r="G10" i="1"/>
  <c r="F10" i="1"/>
  <c r="E10" i="1"/>
  <c r="D10" i="1"/>
  <c r="D8" i="1" s="1"/>
  <c r="C10" i="1"/>
  <c r="B10" i="1"/>
  <c r="H10" i="1" s="1"/>
  <c r="J10" i="1" s="1"/>
  <c r="I9" i="1"/>
  <c r="G9" i="1"/>
  <c r="G19" i="1" s="1"/>
  <c r="F9" i="1"/>
  <c r="E9" i="1"/>
  <c r="D9" i="1"/>
  <c r="C9" i="1"/>
  <c r="C19" i="1" s="1"/>
  <c r="B9" i="1"/>
  <c r="H9" i="1" s="1"/>
  <c r="K8" i="1"/>
  <c r="G8" i="1"/>
  <c r="C37" i="1" l="1"/>
  <c r="L99" i="1"/>
  <c r="M99" i="1"/>
  <c r="M121" i="1"/>
  <c r="J119" i="1"/>
  <c r="L119" i="1" s="1"/>
  <c r="L121" i="1"/>
  <c r="M15" i="1"/>
  <c r="L15" i="1"/>
  <c r="M32" i="1"/>
  <c r="L32" i="1"/>
  <c r="L185" i="1"/>
  <c r="M185" i="1"/>
  <c r="M33" i="1"/>
  <c r="L33" i="1"/>
  <c r="M12" i="1"/>
  <c r="L12" i="1"/>
  <c r="L14" i="1"/>
  <c r="M14" i="1"/>
  <c r="G37" i="1"/>
  <c r="B48" i="1"/>
  <c r="H48" i="1" s="1"/>
  <c r="J48" i="1" s="1"/>
  <c r="M66" i="1"/>
  <c r="L66" i="1"/>
  <c r="L83" i="1"/>
  <c r="M83" i="1"/>
  <c r="M124" i="1"/>
  <c r="L124" i="1"/>
  <c r="M24" i="1"/>
  <c r="L24" i="1"/>
  <c r="L10" i="1"/>
  <c r="M10" i="1"/>
  <c r="L16" i="1"/>
  <c r="M16" i="1"/>
  <c r="M22" i="1"/>
  <c r="L22" i="1"/>
  <c r="M23" i="1"/>
  <c r="L23" i="1"/>
  <c r="L26" i="1"/>
  <c r="M26" i="1"/>
  <c r="M108" i="1"/>
  <c r="L108" i="1"/>
  <c r="L187" i="1"/>
  <c r="M187" i="1"/>
  <c r="J9" i="1"/>
  <c r="M13" i="1"/>
  <c r="L13" i="1"/>
  <c r="L18" i="1"/>
  <c r="M18" i="1"/>
  <c r="M95" i="1"/>
  <c r="L95" i="1"/>
  <c r="M158" i="1"/>
  <c r="L158" i="1"/>
  <c r="E8" i="1"/>
  <c r="E19" i="1"/>
  <c r="E37" i="1" s="1"/>
  <c r="M75" i="1"/>
  <c r="L75" i="1"/>
  <c r="L150" i="1"/>
  <c r="M150" i="1"/>
  <c r="M34" i="1"/>
  <c r="L34" i="1"/>
  <c r="H82" i="1"/>
  <c r="F81" i="1"/>
  <c r="J92" i="1"/>
  <c r="M92" i="1" s="1"/>
  <c r="M97" i="1"/>
  <c r="L100" i="1"/>
  <c r="L103" i="1"/>
  <c r="L143" i="1"/>
  <c r="L159" i="1"/>
  <c r="L173" i="1"/>
  <c r="L180" i="1"/>
  <c r="I190" i="1"/>
  <c r="J191" i="1"/>
  <c r="H11" i="1"/>
  <c r="J11" i="1" s="1"/>
  <c r="F37" i="1"/>
  <c r="J43" i="1"/>
  <c r="H46" i="1"/>
  <c r="H49" i="1"/>
  <c r="J49" i="1" s="1"/>
  <c r="L51" i="1"/>
  <c r="M51" i="1"/>
  <c r="L55" i="1"/>
  <c r="M85" i="1"/>
  <c r="M118" i="1"/>
  <c r="L118" i="1"/>
  <c r="H134" i="1"/>
  <c r="H133" i="1" s="1"/>
  <c r="J133" i="1" s="1"/>
  <c r="L137" i="1"/>
  <c r="M137" i="1"/>
  <c r="L140" i="1"/>
  <c r="M140" i="1"/>
  <c r="H148" i="1"/>
  <c r="L163" i="1"/>
  <c r="J167" i="1"/>
  <c r="J166" i="1" s="1"/>
  <c r="M170" i="1"/>
  <c r="H27" i="1"/>
  <c r="J27" i="1" s="1"/>
  <c r="K48" i="1"/>
  <c r="L49" i="1"/>
  <c r="B52" i="1"/>
  <c r="H52" i="1" s="1"/>
  <c r="J52" i="1" s="1"/>
  <c r="L52" i="1" s="1"/>
  <c r="L53" i="1"/>
  <c r="M63" i="1"/>
  <c r="M79" i="1"/>
  <c r="M106" i="1"/>
  <c r="G119" i="1"/>
  <c r="H129" i="1"/>
  <c r="M134" i="1"/>
  <c r="K133" i="1"/>
  <c r="M151" i="1"/>
  <c r="M164" i="1"/>
  <c r="L164" i="1"/>
  <c r="L177" i="1"/>
  <c r="K182" i="1"/>
  <c r="I19" i="1"/>
  <c r="I37" i="1" s="1"/>
  <c r="H17" i="1"/>
  <c r="J17" i="1" s="1"/>
  <c r="M29" i="1"/>
  <c r="M49" i="1"/>
  <c r="M58" i="1"/>
  <c r="J61" i="1"/>
  <c r="L69" i="1"/>
  <c r="L86" i="1"/>
  <c r="M86" i="1"/>
  <c r="M90" i="1"/>
  <c r="L107" i="1"/>
  <c r="M107" i="1"/>
  <c r="M115" i="1"/>
  <c r="L115" i="1"/>
  <c r="M171" i="1"/>
  <c r="L171" i="1"/>
  <c r="H174" i="1"/>
  <c r="E183" i="1"/>
  <c r="E182" i="1" s="1"/>
  <c r="E39" i="1" s="1"/>
  <c r="D37" i="1"/>
  <c r="L57" i="1"/>
  <c r="J56" i="1"/>
  <c r="M56" i="1" s="1"/>
  <c r="L198" i="1"/>
  <c r="M198" i="1"/>
  <c r="M57" i="1"/>
  <c r="H76" i="1"/>
  <c r="J76" i="1" s="1"/>
  <c r="F73" i="1"/>
  <c r="M94" i="1"/>
  <c r="C8" i="1"/>
  <c r="B19" i="1"/>
  <c r="H19" i="1" s="1"/>
  <c r="B8" i="1"/>
  <c r="H30" i="1"/>
  <c r="J30" i="1" s="1"/>
  <c r="J74" i="1"/>
  <c r="M119" i="1"/>
  <c r="M123" i="1"/>
  <c r="L123" i="1"/>
  <c r="M130" i="1"/>
  <c r="L130" i="1"/>
  <c r="H139" i="1"/>
  <c r="J139" i="1" s="1"/>
  <c r="C138" i="1"/>
  <c r="H138" i="1" s="1"/>
  <c r="M149" i="1"/>
  <c r="J148" i="1"/>
  <c r="L148" i="1" s="1"/>
  <c r="M175" i="1"/>
  <c r="J174" i="1"/>
  <c r="M174" i="1" s="1"/>
  <c r="H21" i="1"/>
  <c r="B36" i="1"/>
  <c r="L35" i="1"/>
  <c r="B42" i="1"/>
  <c r="M54" i="1"/>
  <c r="M59" i="1"/>
  <c r="H70" i="1"/>
  <c r="L77" i="1"/>
  <c r="L84" i="1"/>
  <c r="M84" i="1"/>
  <c r="L102" i="1"/>
  <c r="M102" i="1"/>
  <c r="F104" i="1"/>
  <c r="H104" i="1" s="1"/>
  <c r="J104" i="1" s="1"/>
  <c r="H105" i="1"/>
  <c r="J105" i="1" s="1"/>
  <c r="L149" i="1"/>
  <c r="M168" i="1"/>
  <c r="L175" i="1"/>
  <c r="M197" i="1"/>
  <c r="H56" i="1"/>
  <c r="B64" i="1"/>
  <c r="H65" i="1"/>
  <c r="J89" i="1"/>
  <c r="M91" i="1"/>
  <c r="L93" i="1"/>
  <c r="M127" i="1"/>
  <c r="L136" i="1"/>
  <c r="M136" i="1"/>
  <c r="H162" i="1"/>
  <c r="D161" i="1"/>
  <c r="J169" i="1"/>
  <c r="H167" i="1"/>
  <c r="H166" i="1" s="1"/>
  <c r="M179" i="1"/>
  <c r="L194" i="1"/>
  <c r="G111" i="1"/>
  <c r="H112" i="1"/>
  <c r="L114" i="1"/>
  <c r="M114" i="1"/>
  <c r="H116" i="1"/>
  <c r="C141" i="1"/>
  <c r="H141" i="1" s="1"/>
  <c r="H142" i="1"/>
  <c r="J142" i="1" s="1"/>
  <c r="H25" i="1"/>
  <c r="J25" i="1" s="1"/>
  <c r="J117" i="1"/>
  <c r="L122" i="1"/>
  <c r="M135" i="1"/>
  <c r="L188" i="1"/>
  <c r="L120" i="1"/>
  <c r="M120" i="1"/>
  <c r="D153" i="1"/>
  <c r="D152" i="1" s="1"/>
  <c r="K166" i="1"/>
  <c r="H92" i="1"/>
  <c r="G125" i="1"/>
  <c r="H126" i="1"/>
  <c r="J134" i="1"/>
  <c r="L134" i="1" s="1"/>
  <c r="H145" i="1"/>
  <c r="J145" i="1" s="1"/>
  <c r="M148" i="1"/>
  <c r="K152" i="1"/>
  <c r="H155" i="1"/>
  <c r="M172" i="1"/>
  <c r="D174" i="1"/>
  <c r="D166" i="1" s="1"/>
  <c r="M186" i="1"/>
  <c r="H119" i="1"/>
  <c r="J184" i="1"/>
  <c r="H183" i="1"/>
  <c r="H182" i="1" s="1"/>
  <c r="J182" i="1" s="1"/>
  <c r="L92" i="1"/>
  <c r="D148" i="1"/>
  <c r="L104" i="1" l="1"/>
  <c r="M104" i="1"/>
  <c r="F72" i="1"/>
  <c r="F39" i="1" s="1"/>
  <c r="F200" i="1" s="1"/>
  <c r="J46" i="1"/>
  <c r="H45" i="1"/>
  <c r="J19" i="1"/>
  <c r="J8" i="1"/>
  <c r="M9" i="1"/>
  <c r="L9" i="1"/>
  <c r="K147" i="1"/>
  <c r="L142" i="1"/>
  <c r="M142" i="1"/>
  <c r="J141" i="1"/>
  <c r="M74" i="1"/>
  <c r="L74" i="1"/>
  <c r="J73" i="1"/>
  <c r="J60" i="1"/>
  <c r="L61" i="1"/>
  <c r="M61" i="1"/>
  <c r="M133" i="1"/>
  <c r="L133" i="1"/>
  <c r="B45" i="1"/>
  <c r="M184" i="1"/>
  <c r="L184" i="1"/>
  <c r="J183" i="1"/>
  <c r="M167" i="1"/>
  <c r="L139" i="1"/>
  <c r="M139" i="1"/>
  <c r="J138" i="1"/>
  <c r="H73" i="1"/>
  <c r="L43" i="1"/>
  <c r="J42" i="1"/>
  <c r="M43" i="1"/>
  <c r="H81" i="1"/>
  <c r="J82" i="1"/>
  <c r="L145" i="1"/>
  <c r="M145" i="1"/>
  <c r="J144" i="1"/>
  <c r="M169" i="1"/>
  <c r="L169" i="1"/>
  <c r="B37" i="1"/>
  <c r="H37" i="1" s="1"/>
  <c r="M30" i="1"/>
  <c r="L30" i="1"/>
  <c r="E200" i="1"/>
  <c r="J129" i="1"/>
  <c r="H128" i="1"/>
  <c r="L48" i="1"/>
  <c r="M48" i="1"/>
  <c r="K45" i="1"/>
  <c r="L117" i="1"/>
  <c r="J116" i="1"/>
  <c r="M117" i="1"/>
  <c r="L89" i="1"/>
  <c r="J88" i="1"/>
  <c r="M89" i="1"/>
  <c r="J21" i="1"/>
  <c r="H36" i="1"/>
  <c r="M182" i="1"/>
  <c r="L182" i="1"/>
  <c r="L11" i="1"/>
  <c r="M11" i="1"/>
  <c r="H153" i="1"/>
  <c r="J155" i="1"/>
  <c r="M17" i="1"/>
  <c r="L17" i="1"/>
  <c r="M166" i="1"/>
  <c r="L166" i="1"/>
  <c r="B41" i="1"/>
  <c r="B39" i="1" s="1"/>
  <c r="L76" i="1"/>
  <c r="M76" i="1"/>
  <c r="J126" i="1"/>
  <c r="H125" i="1"/>
  <c r="L56" i="1"/>
  <c r="J162" i="1"/>
  <c r="H161" i="1"/>
  <c r="L27" i="1"/>
  <c r="M27" i="1"/>
  <c r="M191" i="1"/>
  <c r="L191" i="1"/>
  <c r="L174" i="1"/>
  <c r="M52" i="1"/>
  <c r="H111" i="1"/>
  <c r="H110" i="1" s="1"/>
  <c r="J112" i="1"/>
  <c r="H64" i="1"/>
  <c r="J65" i="1"/>
  <c r="J70" i="1"/>
  <c r="H68" i="1"/>
  <c r="J190" i="1"/>
  <c r="I200" i="1"/>
  <c r="D147" i="1"/>
  <c r="D39" i="1" s="1"/>
  <c r="D200" i="1" s="1"/>
  <c r="L167" i="1"/>
  <c r="M25" i="1"/>
  <c r="L25" i="1"/>
  <c r="G110" i="1"/>
  <c r="G39" i="1" s="1"/>
  <c r="G200" i="1" s="1"/>
  <c r="H206" i="1" s="1"/>
  <c r="J206" i="1" s="1"/>
  <c r="L105" i="1"/>
  <c r="M105" i="1"/>
  <c r="C133" i="1"/>
  <c r="C39" i="1" s="1"/>
  <c r="C200" i="1" s="1"/>
  <c r="H8" i="1"/>
  <c r="L112" i="1" l="1"/>
  <c r="M112" i="1"/>
  <c r="J111" i="1"/>
  <c r="M138" i="1"/>
  <c r="L138" i="1"/>
  <c r="L116" i="1"/>
  <c r="M116" i="1"/>
  <c r="M82" i="1"/>
  <c r="J81" i="1"/>
  <c r="L82" i="1"/>
  <c r="M141" i="1"/>
  <c r="L141" i="1"/>
  <c r="M8" i="1"/>
  <c r="L8" i="1"/>
  <c r="M162" i="1"/>
  <c r="L162" i="1"/>
  <c r="J161" i="1"/>
  <c r="M19" i="1"/>
  <c r="L19" i="1"/>
  <c r="L190" i="1"/>
  <c r="M190" i="1"/>
  <c r="M45" i="1"/>
  <c r="K41" i="1"/>
  <c r="H41" i="1"/>
  <c r="J36" i="1"/>
  <c r="M21" i="1"/>
  <c r="L21" i="1"/>
  <c r="L42" i="1"/>
  <c r="M42" i="1"/>
  <c r="L183" i="1"/>
  <c r="M183" i="1"/>
  <c r="L147" i="1"/>
  <c r="M46" i="1"/>
  <c r="J45" i="1"/>
  <c r="L45" i="1" s="1"/>
  <c r="L46" i="1"/>
  <c r="B200" i="1"/>
  <c r="H39" i="1"/>
  <c r="J39" i="1" s="1"/>
  <c r="M70" i="1"/>
  <c r="L70" i="1"/>
  <c r="J68" i="1"/>
  <c r="M126" i="1"/>
  <c r="J125" i="1"/>
  <c r="L126" i="1"/>
  <c r="L155" i="1"/>
  <c r="J153" i="1"/>
  <c r="M155" i="1"/>
  <c r="M60" i="1"/>
  <c r="L60" i="1"/>
  <c r="L65" i="1"/>
  <c r="M65" i="1"/>
  <c r="J64" i="1"/>
  <c r="H152" i="1"/>
  <c r="H147" i="1" s="1"/>
  <c r="J147" i="1" s="1"/>
  <c r="M147" i="1" s="1"/>
  <c r="M88" i="1"/>
  <c r="L88" i="1"/>
  <c r="L144" i="1"/>
  <c r="M144" i="1"/>
  <c r="L73" i="1"/>
  <c r="M73" i="1"/>
  <c r="M129" i="1"/>
  <c r="J128" i="1"/>
  <c r="L129" i="1"/>
  <c r="H72" i="1"/>
  <c r="J72" i="1" s="1"/>
  <c r="M64" i="1" l="1"/>
  <c r="L64" i="1"/>
  <c r="J41" i="1"/>
  <c r="L68" i="1"/>
  <c r="M68" i="1"/>
  <c r="J37" i="1"/>
  <c r="L36" i="1"/>
  <c r="M36" i="1"/>
  <c r="J110" i="1"/>
  <c r="M111" i="1"/>
  <c r="L111" i="1"/>
  <c r="M72" i="1"/>
  <c r="L72" i="1"/>
  <c r="L161" i="1"/>
  <c r="M161" i="1"/>
  <c r="J152" i="1"/>
  <c r="L153" i="1"/>
  <c r="M153" i="1"/>
  <c r="L81" i="1"/>
  <c r="M81" i="1"/>
  <c r="M125" i="1"/>
  <c r="L125" i="1"/>
  <c r="M128" i="1"/>
  <c r="L128" i="1"/>
  <c r="H205" i="1"/>
  <c r="H200" i="1"/>
  <c r="J200" i="1" s="1"/>
  <c r="M41" i="1"/>
  <c r="K39" i="1"/>
  <c r="L41" i="1"/>
  <c r="H207" i="1" l="1"/>
  <c r="J205" i="1"/>
  <c r="J207" i="1" s="1"/>
  <c r="L110" i="1"/>
  <c r="M110" i="1"/>
  <c r="L152" i="1"/>
  <c r="M152" i="1"/>
  <c r="M37" i="1"/>
  <c r="L37" i="1"/>
  <c r="M39" i="1"/>
  <c r="L39" i="1"/>
  <c r="K200" i="1"/>
  <c r="L200" i="1" l="1"/>
  <c r="M200" i="1"/>
</calcChain>
</file>

<file path=xl/sharedStrings.xml><?xml version="1.0" encoding="utf-8"?>
<sst xmlns="http://schemas.openxmlformats.org/spreadsheetml/2006/main" count="205" uniqueCount="205">
  <si>
    <t>MINISTERIO DE AGRICULTURA  Y DESARROLLO RURAL</t>
  </si>
  <si>
    <t>DIRECCIÓN DE PLANEACIÓN Y SEGUIMIENTO PRESUPUESTAL</t>
  </si>
  <si>
    <t>EJECUCIÓN GASTOS ABRIL-JUNIO 2017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</si>
  <si>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</si>
  <si>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</si>
  <si>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</si>
  <si>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</si>
  <si>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</si>
  <si>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</si>
  <si>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</si>
  <si>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</si>
  <si>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</si>
  <si>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</si>
  <si>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</si>
  <si>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TOTAL EJECUTADO</t>
  </si>
  <si>
    <t>ACUERDO 10/17</t>
  </si>
  <si>
    <t>%EJECU-CIÓN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</si>
  <si>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</si>
  <si>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</si>
  <si>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</si>
  <si>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</si>
  <si>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</si>
  <si>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</si>
  <si>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</si>
  <si>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</si>
  <si>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</si>
  <si>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</si>
  <si>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</si>
  <si>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</si>
  <si>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</si>
  <si>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</si>
  <si>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</si>
  <si>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</si>
  <si>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</si>
  <si>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</si>
  <si>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</si>
  <si>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</si>
  <si>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</si>
  <si>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</si>
  <si>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</si>
  <si>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</si>
  <si>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</si>
  <si>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</si>
  <si>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</si>
  <si>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</si>
  <si>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</si>
  <si>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</si>
  <si>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</si>
  <si>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</si>
  <si>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</si>
  <si>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</si>
  <si>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Acceso a Mercados</t>
  </si>
  <si>
    <t xml:space="preserve">Cadena Carnica Porcína </t>
  </si>
  <si>
    <t>Centro de servicios técnicos y financieros</t>
  </si>
  <si>
    <t>Atención de Solicitudes (Asistencia a Productores)</t>
  </si>
  <si>
    <t>Herramientas del centro de servicios</t>
  </si>
  <si>
    <t>Convenios</t>
  </si>
  <si>
    <t xml:space="preserve">     Contrapartidas Gobernaciones / Alcaldias</t>
  </si>
  <si>
    <t xml:space="preserve">      Gobernación de Cundinamarca</t>
  </si>
  <si>
    <t xml:space="preserve">       Alcaldia de Pereira</t>
  </si>
  <si>
    <t xml:space="preserve">     Contrapartidas Gobernaciones / Alcaldias FNP</t>
  </si>
  <si>
    <t xml:space="preserve">      Gobernación de Cundinamarca FNP</t>
  </si>
  <si>
    <t xml:space="preserve">       Alcaldia de Pereira FNP</t>
  </si>
  <si>
    <t>Apoyo autorización sanitaria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</si>
  <si>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</si>
  <si>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</si>
  <si>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</si>
  <si>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</si>
  <si>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</si>
  <si>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</si>
  <si>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</si>
  <si>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</si>
  <si>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</si>
  <si>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</si>
  <si>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</si>
  <si>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</si>
  <si>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</si>
  <si>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</si>
  <si>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</si>
  <si>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</si>
  <si>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</si>
  <si>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>Home panel de Nilsen</t>
  </si>
  <si>
    <t>Brand equity tracking</t>
  </si>
  <si>
    <t>Eye Trancking</t>
  </si>
  <si>
    <t>Monitoreo de Medios</t>
  </si>
  <si>
    <t>Estudio Neurologico de la campaña vigente</t>
  </si>
  <si>
    <t>Estudio Consumidor Shopper</t>
  </si>
  <si>
    <t>Estudio NSOP (LSDA)</t>
  </si>
  <si>
    <t>Comunicación integral</t>
  </si>
  <si>
    <t>Seguimiento y gestion comunicación integral.</t>
  </si>
  <si>
    <t>Porkcolombia.com</t>
  </si>
  <si>
    <t>Free Press ATL Influenciadores</t>
  </si>
  <si>
    <t>Kit Publicitario</t>
  </si>
  <si>
    <t>Desarrollo Digital (Concurso Innovador)</t>
  </si>
  <si>
    <t>Pauta digital</t>
  </si>
  <si>
    <t>Campaña de fomento al consumo</t>
  </si>
  <si>
    <t>Campaña de publicidad</t>
  </si>
  <si>
    <t>Consultoría MESA</t>
  </si>
  <si>
    <t>Pauta institucional</t>
  </si>
  <si>
    <t>Activaciones de consumo</t>
  </si>
  <si>
    <t xml:space="preserve">Cocina PorkColombia </t>
  </si>
  <si>
    <t>Asesores Gastronómicos Ejecutivos</t>
  </si>
  <si>
    <t>Viajes regionales equipo incentivo y sensibilizacion de las bondades de la carne de cerdo</t>
  </si>
  <si>
    <t>Capacitación anual contratistas</t>
  </si>
  <si>
    <t>Certificado PorkColombia (Expertos de carne de cerdo)</t>
  </si>
  <si>
    <t>Material de promocion al consumo</t>
  </si>
  <si>
    <t>Chef Regionales PorkColombia</t>
  </si>
  <si>
    <t>Festival PorkColombia</t>
  </si>
  <si>
    <t>Seguimiento gestión a eventos de sensibilización de las bondades de la carne de cerdo</t>
  </si>
  <si>
    <t>Agroexpo</t>
  </si>
  <si>
    <t>Eventos especializados (Sector, gastronomicos , sector salud)</t>
  </si>
  <si>
    <t>Comercialización y Nuevos Negocios</t>
  </si>
  <si>
    <t>Gestion y seguimiento comercializacion y nuevos negocios</t>
  </si>
  <si>
    <t xml:space="preserve">Gestion de actividades nutricionales </t>
  </si>
  <si>
    <t>Material Promocional y Publicitario</t>
  </si>
  <si>
    <t>Eventos Apertura Nuevos Negocios</t>
  </si>
  <si>
    <t>TOTAL ÁREA ERRADICACIÓN PPC</t>
  </si>
  <si>
    <t>Vacunacion e identificacion de Porcinos</t>
  </si>
  <si>
    <t>Chapetas y tenazas</t>
  </si>
  <si>
    <t>Suministros clínicos y dotaciones</t>
  </si>
  <si>
    <t>Pago de Axilios de frío, flete y movilización</t>
  </si>
  <si>
    <t xml:space="preserve">Barridos </t>
  </si>
  <si>
    <t>Capacitación y divulgación</t>
  </si>
  <si>
    <t>Capacitación</t>
  </si>
  <si>
    <t>Divulgación</t>
  </si>
  <si>
    <t>Vigilancia Epidemiológica</t>
  </si>
  <si>
    <t>Diagnóstico Rutinario</t>
  </si>
  <si>
    <t>Vigilancia epidemiológica</t>
  </si>
  <si>
    <t>Determinació de factores de riesgo</t>
  </si>
  <si>
    <t>Trabajo con autoridades y puestos de control</t>
  </si>
  <si>
    <t>Equipos de comunicación puestos de control</t>
  </si>
  <si>
    <t>Administración del programa</t>
  </si>
  <si>
    <t>Administración de la base de datos</t>
  </si>
  <si>
    <t>Depuración, codificación y verificación de predios</t>
  </si>
  <si>
    <t>Ciclos de vacunación e identificación</t>
  </si>
  <si>
    <t>Contratación de personal</t>
  </si>
  <si>
    <t>Auxilios comités</t>
  </si>
  <si>
    <t>Recolección de desechos biológicos</t>
  </si>
  <si>
    <t>TOTAL ÁREA TÉCNICA</t>
  </si>
  <si>
    <t>Programa nacional de bioseguridad, sanidad y productividad-PNBSP</t>
  </si>
  <si>
    <t>Acompañamiento *(Certificación en granja y transporte)</t>
  </si>
  <si>
    <t>Taller técnico de bioseguridad, sanidad y productividad</t>
  </si>
  <si>
    <t>Pork Colombia 2017</t>
  </si>
  <si>
    <t xml:space="preserve">Sostenibilidad y responsabilidad social empresarial en producción primaria </t>
  </si>
  <si>
    <t xml:space="preserve">Acompañamiento y apoyo </t>
  </si>
  <si>
    <t>Granjas modelo y mesas de trabajo interinstitucionales e intergremiales</t>
  </si>
  <si>
    <t>Inocuidad y bienestar animal en producción primaria y transporte</t>
  </si>
  <si>
    <t>Profesionales de apoyo en implementación y certificación granja y transporte</t>
  </si>
  <si>
    <t>Fortalecimiento de competencias en bienestar animal e inocuidad</t>
  </si>
  <si>
    <t>Zonificación y ordenamiento productivo</t>
  </si>
  <si>
    <t>Proyecto UPRA-Porkcolombia</t>
  </si>
  <si>
    <t>TOTAL ÁREA INVESTIGACIÓN Y TRANSFERENCIA</t>
  </si>
  <si>
    <t>Investigación y desarrollo</t>
  </si>
  <si>
    <t>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</si>
  <si>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</si>
  <si>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</si>
  <si>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</si>
  <si>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</si>
  <si>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>Gira técnica</t>
  </si>
  <si>
    <t>Capacitación en desposte y transformación de la carne de cerdo</t>
  </si>
  <si>
    <t>Capacitación para expendedores</t>
  </si>
  <si>
    <t>Curso virtual en tecnologías ambientales para porcicultura</t>
  </si>
  <si>
    <t>Curso virtual resolución 20148</t>
  </si>
  <si>
    <t>Encuentros regionales</t>
  </si>
  <si>
    <t>Sistema de seguridad y bienestar en el trabajo</t>
  </si>
  <si>
    <t xml:space="preserve">  Talleres y seminarios</t>
  </si>
  <si>
    <t>Buenas practicas en el manejo de medicamentos veterinarios</t>
  </si>
  <si>
    <t>Capacitaciones técnico-sanitarias</t>
  </si>
  <si>
    <t>Talleres educación ambiental</t>
  </si>
  <si>
    <t>Material de apoyo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</si>
  <si>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</si>
  <si>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</si>
  <si>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</si>
  <si>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</si>
  <si>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</si>
  <si>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 xml:space="preserve">  Compras de insumos</t>
  </si>
  <si>
    <t xml:space="preserve">  Diagnóstico importados</t>
  </si>
  <si>
    <t xml:space="preserve">  Capacitación funcionarios laboratorios ICA</t>
  </si>
  <si>
    <t>Diagnostico rutinario con laboratorios privados</t>
  </si>
  <si>
    <t>Rutinario</t>
  </si>
  <si>
    <t>Combos</t>
  </si>
  <si>
    <t>PRRS</t>
  </si>
  <si>
    <t>Pruebas interlaboratorios</t>
  </si>
  <si>
    <t>Promoción del diagnóstico</t>
  </si>
  <si>
    <t>Inocuidad y Ambiente</t>
  </si>
  <si>
    <t>TOTAL ÁREA SANIDAD</t>
  </si>
  <si>
    <t>Control y monitoreo de enfermedades en granjas de Colombia</t>
  </si>
  <si>
    <t>Apoyo programa PRRS</t>
  </si>
  <si>
    <t>Epidemiología de la enfermedad (Nacional)</t>
  </si>
  <si>
    <t>Sensibilización y divulgación</t>
  </si>
  <si>
    <t>Programa de vigilancia de influenza porcina</t>
  </si>
  <si>
    <t>Caracterización cerdos Asilvestrados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</si>
  <si>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</si>
  <si>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</si>
  <si>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</si>
  <si>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</si>
  <si>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</si>
  <si>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</si>
  <si>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</si>
  <si>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</si>
  <si>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GASTOS</t>
  </si>
  <si>
    <t>INGRESOS</t>
  </si>
  <si>
    <t>RESERVA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</si>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</sst>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_-* #,##0\ _€_-;\-* #,##0\ _€_-;_-* &quot;-&quot;??\ _€_-;_-@_-"/>
  </numFmts>
  <fonts count="13" x14ac:knownFonts="1">
    <font>
      <sz val="10"/>
      <name val="Arial"/>
    </font>
    <font>
      <b/>
      <sz val="11"/>
      <name val="Arial"/>
      <family val="2"/>
      <charset val="186"/>
    </font>
    <font>
      <b/>
      <sz val="11"/>
      <name val="Arial"/>
      <family val="2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Continuous"/>
    </xf>
    <xf numFmtId="3" fontId="1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3" fontId="2" fillId="0" borderId="6" xfId="0" applyNumberFormat="1" applyFont="1" applyFill="1" applyBorder="1" applyAlignment="1"/>
    <xf numFmtId="3" fontId="2" fillId="0" borderId="7" xfId="0" applyNumberFormat="1" applyFont="1" applyFill="1" applyBorder="1"/>
    <xf numFmtId="10" fontId="2" fillId="0" borderId="9" xfId="1" applyNumberFormat="1" applyFont="1" applyFill="1" applyBorder="1"/>
    <xf numFmtId="3" fontId="5" fillId="0" borderId="6" xfId="0" applyNumberFormat="1" applyFont="1" applyFill="1" applyBorder="1" applyAlignment="1"/>
    <xf numFmtId="3" fontId="5" fillId="0" borderId="7" xfId="0" applyNumberFormat="1" applyFont="1" applyFill="1" applyBorder="1"/>
    <xf numFmtId="3" fontId="7" fillId="0" borderId="7" xfId="0" applyNumberFormat="1" applyFont="1" applyFill="1" applyBorder="1"/>
    <xf numFmtId="10" fontId="7" fillId="0" borderId="9" xfId="1" applyNumberFormat="1" applyFont="1" applyFill="1" applyBorder="1"/>
    <xf numFmtId="0" fontId="0" fillId="0" borderId="0" xfId="0" applyFill="1" applyAlignment="1">
      <alignment horizontal="center"/>
    </xf>
    <xf numFmtId="3" fontId="8" fillId="0" borderId="7" xfId="0" applyNumberFormat="1" applyFont="1" applyFill="1" applyBorder="1"/>
    <xf numFmtId="3" fontId="0" fillId="0" borderId="0" xfId="0" applyNumberFormat="1" applyFill="1"/>
    <xf numFmtId="0" fontId="1" fillId="0" borderId="6" xfId="0" applyFont="1" applyFill="1" applyBorder="1" applyAlignment="1"/>
    <xf numFmtId="3" fontId="1" fillId="0" borderId="7" xfId="0" applyNumberFormat="1" applyFont="1" applyFill="1" applyBorder="1"/>
    <xf numFmtId="0" fontId="5" fillId="0" borderId="6" xfId="0" applyFont="1" applyFill="1" applyBorder="1" applyAlignment="1"/>
    <xf numFmtId="3" fontId="5" fillId="0" borderId="7" xfId="2" applyNumberFormat="1" applyFont="1" applyFill="1" applyBorder="1"/>
    <xf numFmtId="3" fontId="2" fillId="0" borderId="7" xfId="2" applyNumberFormat="1" applyFont="1" applyFill="1" applyBorder="1"/>
    <xf numFmtId="0" fontId="1" fillId="0" borderId="10" xfId="0" applyFont="1" applyFill="1" applyBorder="1" applyAlignment="1"/>
    <xf numFmtId="3" fontId="1" fillId="0" borderId="11" xfId="0" applyNumberFormat="1" applyFont="1" applyFill="1" applyBorder="1"/>
    <xf numFmtId="3" fontId="2" fillId="0" borderId="11" xfId="2" applyNumberFormat="1" applyFont="1" applyFill="1" applyBorder="1"/>
    <xf numFmtId="10" fontId="2" fillId="0" borderId="12" xfId="1" applyNumberFormat="1" applyFont="1" applyFill="1" applyBorder="1"/>
    <xf numFmtId="0" fontId="5" fillId="0" borderId="13" xfId="0" applyFont="1" applyFill="1" applyBorder="1" applyAlignment="1"/>
    <xf numFmtId="3" fontId="5" fillId="0" borderId="14" xfId="0" applyNumberFormat="1" applyFont="1" applyFill="1" applyBorder="1"/>
    <xf numFmtId="10" fontId="2" fillId="0" borderId="15" xfId="1" applyNumberFormat="1" applyFont="1" applyFill="1" applyBorder="1"/>
    <xf numFmtId="0" fontId="1" fillId="0" borderId="16" xfId="0" applyFont="1" applyFill="1" applyBorder="1" applyAlignment="1"/>
    <xf numFmtId="3" fontId="1" fillId="0" borderId="17" xfId="0" applyNumberFormat="1" applyFont="1" applyFill="1" applyBorder="1"/>
    <xf numFmtId="10" fontId="2" fillId="0" borderId="18" xfId="1" applyNumberFormat="1" applyFont="1" applyFill="1" applyBorder="1"/>
    <xf numFmtId="37" fontId="1" fillId="0" borderId="6" xfId="0" applyNumberFormat="1" applyFont="1" applyFill="1" applyBorder="1" applyAlignment="1"/>
    <xf numFmtId="0" fontId="9" fillId="0" borderId="0" xfId="0" applyFont="1" applyFill="1"/>
    <xf numFmtId="37" fontId="7" fillId="0" borderId="6" xfId="0" applyNumberFormat="1" applyFont="1" applyFill="1" applyBorder="1" applyAlignment="1">
      <alignment horizontal="left"/>
    </xf>
    <xf numFmtId="37" fontId="2" fillId="0" borderId="6" xfId="0" applyNumberFormat="1" applyFont="1" applyFill="1" applyBorder="1" applyAlignment="1">
      <alignment horizontal="left"/>
    </xf>
    <xf numFmtId="164" fontId="1" fillId="0" borderId="7" xfId="2" applyFont="1" applyFill="1" applyBorder="1"/>
    <xf numFmtId="164" fontId="7" fillId="0" borderId="7" xfId="2" applyFont="1" applyFill="1" applyBorder="1"/>
    <xf numFmtId="164" fontId="9" fillId="0" borderId="0" xfId="2" applyFont="1" applyFill="1"/>
    <xf numFmtId="37" fontId="7" fillId="0" borderId="6" xfId="0" applyNumberFormat="1" applyFont="1" applyFill="1" applyBorder="1" applyAlignment="1"/>
    <xf numFmtId="37" fontId="2" fillId="0" borderId="6" xfId="0" applyNumberFormat="1" applyFont="1" applyFill="1" applyBorder="1" applyAlignment="1"/>
    <xf numFmtId="3" fontId="2" fillId="0" borderId="7" xfId="3" applyNumberFormat="1" applyFont="1" applyFill="1" applyBorder="1"/>
    <xf numFmtId="165" fontId="6" fillId="0" borderId="0" xfId="0" applyNumberFormat="1" applyFont="1" applyFill="1"/>
    <xf numFmtId="0" fontId="6" fillId="0" borderId="0" xfId="0" applyFont="1" applyFill="1"/>
    <xf numFmtId="3" fontId="6" fillId="0" borderId="0" xfId="0" applyNumberFormat="1" applyFont="1" applyFill="1"/>
    <xf numFmtId="0" fontId="5" fillId="0" borderId="19" xfId="0" applyFont="1" applyFill="1" applyBorder="1" applyAlignment="1"/>
    <xf numFmtId="3" fontId="1" fillId="0" borderId="20" xfId="0" applyNumberFormat="1" applyFont="1" applyFill="1" applyBorder="1"/>
    <xf numFmtId="0" fontId="5" fillId="0" borderId="20" xfId="0" applyFont="1" applyFill="1" applyBorder="1"/>
    <xf numFmtId="3" fontId="5" fillId="0" borderId="20" xfId="0" applyNumberFormat="1" applyFont="1" applyFill="1" applyBorder="1"/>
    <xf numFmtId="0" fontId="5" fillId="0" borderId="21" xfId="0" applyFont="1" applyFill="1" applyBorder="1"/>
    <xf numFmtId="0" fontId="5" fillId="0" borderId="22" xfId="0" applyFont="1" applyFill="1" applyBorder="1"/>
    <xf numFmtId="10" fontId="0" fillId="0" borderId="0" xfId="1" applyNumberFormat="1" applyFont="1" applyFill="1"/>
    <xf numFmtId="0" fontId="10" fillId="0" borderId="0" xfId="0" applyFont="1" applyFill="1" applyAlignment="1"/>
    <xf numFmtId="3" fontId="10" fillId="0" borderId="0" xfId="0" applyNumberFormat="1" applyFont="1" applyFill="1"/>
    <xf numFmtId="37" fontId="10" fillId="0" borderId="0" xfId="0" applyNumberFormat="1" applyFont="1" applyFill="1"/>
    <xf numFmtId="0" fontId="10" fillId="0" borderId="0" xfId="0" applyFont="1" applyFill="1"/>
    <xf numFmtId="10" fontId="10" fillId="0" borderId="0" xfId="0" applyNumberFormat="1" applyFont="1" applyFill="1"/>
    <xf numFmtId="37" fontId="0" fillId="0" borderId="0" xfId="0" applyNumberFormat="1" applyFill="1"/>
    <xf numFmtId="164" fontId="10" fillId="0" borderId="0" xfId="2" applyFont="1" applyFill="1"/>
    <xf numFmtId="9" fontId="10" fillId="0" borderId="0" xfId="1" applyFont="1" applyFill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/>
    <xf numFmtId="3" fontId="11" fillId="0" borderId="0" xfId="0" applyNumberFormat="1" applyFont="1" applyFill="1"/>
    <xf numFmtId="165" fontId="11" fillId="0" borderId="0" xfId="2" applyNumberFormat="1" applyFont="1" applyFill="1"/>
    <xf numFmtId="10" fontId="10" fillId="0" borderId="0" xfId="1" applyNumberFormat="1" applyFont="1" applyFill="1"/>
    <xf numFmtId="3" fontId="11" fillId="0" borderId="1" xfId="0" applyNumberFormat="1" applyFont="1" applyFill="1" applyBorder="1"/>
    <xf numFmtId="165" fontId="11" fillId="0" borderId="1" xfId="2" applyNumberFormat="1" applyFont="1" applyFill="1" applyBorder="1"/>
    <xf numFmtId="165" fontId="11" fillId="0" borderId="0" xfId="2" applyNumberFormat="1" applyFont="1" applyFill="1" applyBorder="1"/>
    <xf numFmtId="3" fontId="12" fillId="0" borderId="0" xfId="0" applyNumberFormat="1" applyFont="1" applyFill="1" applyAlignment="1"/>
    <xf numFmtId="166" fontId="12" fillId="0" borderId="0" xfId="0" applyNumberFormat="1" applyFont="1" applyFill="1" applyAlignment="1"/>
    <xf numFmtId="164" fontId="11" fillId="0" borderId="0" xfId="2" applyFont="1" applyFill="1"/>
  </cellXfs>
  <cellStyles count="4">
    <cellStyle name="Millares 2 2" xfId="3"/>
    <cellStyle name="Millares 23" xfId="2"/>
    <cellStyle name="Normal" xfId="0" builtinId="0"/>
    <cellStyle name="Porcentaje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7/CIERRE%20ABR-JU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7\Juntas%20directivas\Junio\Acuerdos\A&#241;o%202015\PRESUPUESTO%202015\PRESUPUESTO%202015%20V.6\Presupuesto%202015%20version%2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7\Juntas%20directivas\Junio\Acuerdos\Users\directorppc\AppData\Local\Microsoft\Windows\Temporary%20Internet%20Files\Content.IE5\68SX2PI0\Desagregado%20&#193;rea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7\Juntas%20directivas\Junio\Acuerdos\A&#241;o%202017\Presupuesto%202017\Presupuesto%202017%202da%20versi&#243;n\Anexos\Presupuesto%20PPC%20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7\Juntas%20directivas\Junio\Acuerdos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7\Juntas%20directivas\Junio\Acuerdos\A&#241;o%202017\Solicitud%20areas\solicitud%20II%20trimestre\Presupuesto%20economica%20%202o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7\Juntas%20directivas\Junio\Acuerdos\A&#241;o%202017\Solicitud%20areas\solicitud%20II%20trimestre\Solicitud%20II%20Trimestre%20mercadeo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7\Solicitud%20areas\solicitud%20II%20trimestre\Solicitud%20presupuesto%20II%20trimestre%20PPC%20y%20Sanida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7\Juntas%20directivas\Junio\Acuerdos\A&#241;o%202017\Solicitud%20areas\solicitud%20II%20trimestre\Presupuesto%20T&#233;cnica%202017,%20Solicitud%20II%20Trimestre%20y%20Ejecuci&#243;n%20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7\Juntas%20directivas\Junio\Acuerdos\A&#241;o%202017\Solicitud%20areas\solicitud%20II%20trimestre\Presupuesto%20I%20trimestre%20y%20solicitud%20II%20trimestre%20Investigacion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Anexo 2 "/>
      <sheetName val="Funcionamiento"/>
      <sheetName val="Nómina y honorarios 2017"/>
    </sheetNames>
    <sheetDataSet>
      <sheetData sheetId="0">
        <row r="15">
          <cell r="B15">
            <v>4972711269.375</v>
          </cell>
        </row>
        <row r="16">
          <cell r="B16">
            <v>2983626761.625</v>
          </cell>
        </row>
        <row r="19">
          <cell r="B19">
            <v>20625000</v>
          </cell>
        </row>
        <row r="20">
          <cell r="B20">
            <v>12375000</v>
          </cell>
        </row>
        <row r="33">
          <cell r="B33">
            <v>407466200</v>
          </cell>
        </row>
        <row r="41">
          <cell r="B41">
            <v>7197832509.7883902</v>
          </cell>
        </row>
        <row r="45">
          <cell r="B45">
            <v>5260476258.5106497</v>
          </cell>
        </row>
      </sheetData>
      <sheetData sheetId="1"/>
      <sheetData sheetId="2"/>
      <sheetData sheetId="3">
        <row r="8">
          <cell r="F8">
            <v>22755047</v>
          </cell>
        </row>
        <row r="10">
          <cell r="F10">
            <v>34240216.661250003</v>
          </cell>
          <cell r="G10">
            <v>500000</v>
          </cell>
          <cell r="I10">
            <v>36365734</v>
          </cell>
          <cell r="L10">
            <v>5000000</v>
          </cell>
        </row>
        <row r="12">
          <cell r="F12">
            <v>1937049</v>
          </cell>
        </row>
        <row r="14">
          <cell r="F14">
            <v>5399350.4531250009</v>
          </cell>
          <cell r="G14">
            <v>3500000</v>
          </cell>
        </row>
        <row r="16">
          <cell r="F16">
            <v>5847953.7206250001</v>
          </cell>
          <cell r="G16">
            <v>2184723.2250000001</v>
          </cell>
          <cell r="H16">
            <v>2184723.2250000001</v>
          </cell>
          <cell r="I16">
            <v>2184723.2250000001</v>
          </cell>
          <cell r="J16">
            <v>2184723.2250000001</v>
          </cell>
          <cell r="K16">
            <v>2184723.2250000001</v>
          </cell>
          <cell r="L16">
            <v>2184723.2250000001</v>
          </cell>
        </row>
        <row r="18">
          <cell r="F18">
            <v>7791753.588750001</v>
          </cell>
          <cell r="G18">
            <v>2472713.1225000001</v>
          </cell>
          <cell r="I18">
            <v>2750030.6006250004</v>
          </cell>
          <cell r="J18">
            <v>1069456.359375</v>
          </cell>
          <cell r="K18">
            <v>458338.47750000004</v>
          </cell>
          <cell r="L18">
            <v>2750030.6006250004</v>
          </cell>
        </row>
        <row r="20">
          <cell r="F20">
            <v>14115875.972500002</v>
          </cell>
          <cell r="G20">
            <v>2805523.2850000001</v>
          </cell>
          <cell r="I20">
            <v>6793125</v>
          </cell>
          <cell r="L20">
            <v>1000000</v>
          </cell>
        </row>
        <row r="22">
          <cell r="F22">
            <v>6673125</v>
          </cell>
          <cell r="G22">
            <v>98800000</v>
          </cell>
          <cell r="I22">
            <v>6000000</v>
          </cell>
          <cell r="J22">
            <v>4585921.7175000003</v>
          </cell>
          <cell r="K22">
            <v>2178711.4668750004</v>
          </cell>
          <cell r="L22">
            <v>5968920.5955562508</v>
          </cell>
        </row>
        <row r="24">
          <cell r="F24">
            <v>3197455.6781250006</v>
          </cell>
          <cell r="G24">
            <v>4000000</v>
          </cell>
          <cell r="I24">
            <v>1775013.7500000002</v>
          </cell>
          <cell r="J24">
            <v>2258185.5</v>
          </cell>
        </row>
        <row r="26">
          <cell r="F26">
            <v>12232243.570500001</v>
          </cell>
          <cell r="G26">
            <v>60000000</v>
          </cell>
          <cell r="H26">
            <v>1500000</v>
          </cell>
          <cell r="I26">
            <v>3650000</v>
          </cell>
          <cell r="J26">
            <v>2984460.3731250004</v>
          </cell>
          <cell r="K26">
            <v>1790741.1543750002</v>
          </cell>
          <cell r="L26">
            <v>2822342.9025476249</v>
          </cell>
        </row>
        <row r="28">
          <cell r="F28">
            <v>1280488.944375</v>
          </cell>
          <cell r="G28">
            <v>750000</v>
          </cell>
          <cell r="I28">
            <v>250000</v>
          </cell>
          <cell r="J28">
            <v>677324.25</v>
          </cell>
          <cell r="K28">
            <v>528750</v>
          </cell>
          <cell r="L28">
            <v>575000</v>
          </cell>
        </row>
        <row r="30">
          <cell r="F30">
            <v>6210010.125</v>
          </cell>
          <cell r="G30">
            <v>10000000</v>
          </cell>
          <cell r="I30">
            <v>1500000</v>
          </cell>
          <cell r="J30">
            <v>200000</v>
          </cell>
          <cell r="K30">
            <v>1321875.0000000002</v>
          </cell>
        </row>
        <row r="32">
          <cell r="F32">
            <v>6924146.7250000006</v>
          </cell>
        </row>
        <row r="34">
          <cell r="F34">
            <v>29838204.743125003</v>
          </cell>
          <cell r="G34">
            <v>17500000</v>
          </cell>
        </row>
        <row r="36">
          <cell r="F36">
            <v>0</v>
          </cell>
        </row>
      </sheetData>
      <sheetData sheetId="4">
        <row r="12">
          <cell r="K12">
            <v>40903362.196666673</v>
          </cell>
          <cell r="L12">
            <v>2662699.8125000005</v>
          </cell>
          <cell r="M12">
            <v>319523.97750000004</v>
          </cell>
          <cell r="N12">
            <v>2662699.8125000005</v>
          </cell>
          <cell r="O12">
            <v>1331349.9062500002</v>
          </cell>
          <cell r="S12">
            <v>7882627.645249933</v>
          </cell>
          <cell r="U12">
            <v>1363302.304</v>
          </cell>
          <cell r="X12">
            <v>1704127.88</v>
          </cell>
        </row>
        <row r="21">
          <cell r="K21">
            <v>210623026.28791669</v>
          </cell>
          <cell r="L21">
            <v>15008512.59420139</v>
          </cell>
          <cell r="M21">
            <v>1801021.5113041666</v>
          </cell>
          <cell r="N21">
            <v>15008512.59420139</v>
          </cell>
          <cell r="O21">
            <v>8775959.4286631942</v>
          </cell>
          <cell r="S21">
            <v>42645853.344082475</v>
          </cell>
          <cell r="U21">
            <v>8552874.5987128913</v>
          </cell>
          <cell r="X21">
            <v>10691093.248391112</v>
          </cell>
        </row>
        <row r="39">
          <cell r="K39">
            <v>61895192.68508333</v>
          </cell>
          <cell r="L39">
            <v>2614526.4606319447</v>
          </cell>
          <cell r="M39">
            <v>313743.17527583335</v>
          </cell>
          <cell r="N39">
            <v>2614526.4606319447</v>
          </cell>
          <cell r="O39">
            <v>2578966.3618784733</v>
          </cell>
          <cell r="S39">
            <v>11033762.231481992</v>
          </cell>
          <cell r="U39">
            <v>2239434.1889920002</v>
          </cell>
          <cell r="X39">
            <v>2799292.73624</v>
          </cell>
        </row>
        <row r="48">
          <cell r="K48">
            <v>69230534.244083345</v>
          </cell>
          <cell r="L48">
            <v>3225804.9238819447</v>
          </cell>
          <cell r="M48">
            <v>387096.59086583339</v>
          </cell>
          <cell r="N48">
            <v>3225804.9238819447</v>
          </cell>
          <cell r="O48">
            <v>2884605.5935034733</v>
          </cell>
          <cell r="S48">
            <v>12575797.734014973</v>
          </cell>
          <cell r="U48">
            <v>2552408.762176</v>
          </cell>
          <cell r="X48">
            <v>3190510.9527199999</v>
          </cell>
        </row>
        <row r="57">
          <cell r="K57">
            <v>60343741.943333328</v>
          </cell>
          <cell r="L57">
            <v>2485238.8988194447</v>
          </cell>
          <cell r="M57">
            <v>298228.66785833333</v>
          </cell>
          <cell r="N57">
            <v>2485238.8988194447</v>
          </cell>
          <cell r="O57">
            <v>2514322.5809722226</v>
          </cell>
          <cell r="S57">
            <v>10707616.256551307</v>
          </cell>
          <cell r="U57">
            <v>2173238.9573440002</v>
          </cell>
          <cell r="X57">
            <v>2716548.6966800001</v>
          </cell>
        </row>
        <row r="65">
          <cell r="K65">
            <v>7455558.4057500018</v>
          </cell>
          <cell r="L65">
            <v>621296.53381250007</v>
          </cell>
          <cell r="M65">
            <v>74555.584057500004</v>
          </cell>
          <cell r="N65">
            <v>621296.53381250007</v>
          </cell>
          <cell r="O65">
            <v>310648.26690625004</v>
          </cell>
          <cell r="S65">
            <v>1567307.4880567654</v>
          </cell>
          <cell r="U65">
            <v>318103.82531200006</v>
          </cell>
          <cell r="X65">
            <v>397629.78164000006</v>
          </cell>
        </row>
        <row r="69">
          <cell r="K69">
            <v>219468074.71983337</v>
          </cell>
          <cell r="L69">
            <v>15745599.963527778</v>
          </cell>
          <cell r="M69">
            <v>1889471.9956233334</v>
          </cell>
          <cell r="N69">
            <v>15745599.963527778</v>
          </cell>
          <cell r="O69">
            <v>9144503.1133263875</v>
          </cell>
          <cell r="S69">
            <v>44997992.445243873</v>
          </cell>
          <cell r="U69">
            <v>8941023.4953635577</v>
          </cell>
          <cell r="X69">
            <v>11176279.369204445</v>
          </cell>
        </row>
        <row r="96">
          <cell r="K96">
            <v>903274.20000000007</v>
          </cell>
          <cell r="M96">
            <v>225818.55000000002</v>
          </cell>
          <cell r="O96">
            <v>225818.55000000002</v>
          </cell>
          <cell r="Q96">
            <v>225818.55000000002</v>
          </cell>
          <cell r="S96">
            <v>677455.65</v>
          </cell>
        </row>
        <row r="107">
          <cell r="I107">
            <v>33920029.856666669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do"/>
    </sheetNames>
    <sheetDataSet>
      <sheetData sheetId="0" refreshError="1">
        <row r="7">
          <cell r="E7">
            <v>15964242.075000001</v>
          </cell>
        </row>
        <row r="23">
          <cell r="E23">
            <v>143617755.0925</v>
          </cell>
        </row>
        <row r="27">
          <cell r="E27">
            <v>104622795.48750001</v>
          </cell>
        </row>
        <row r="28">
          <cell r="E28">
            <v>35063239.75</v>
          </cell>
        </row>
        <row r="31">
          <cell r="E31">
            <v>8762070</v>
          </cell>
        </row>
        <row r="32">
          <cell r="E32">
            <v>114261701</v>
          </cell>
        </row>
        <row r="34">
          <cell r="E34">
            <v>15945291</v>
          </cell>
        </row>
        <row r="35">
          <cell r="E35">
            <v>58689291</v>
          </cell>
        </row>
        <row r="36">
          <cell r="E36">
            <v>121247041.60000001</v>
          </cell>
        </row>
        <row r="39">
          <cell r="E39">
            <v>37822474.106282502</v>
          </cell>
        </row>
        <row r="40">
          <cell r="E40">
            <v>15216286.74555175</v>
          </cell>
        </row>
        <row r="44">
          <cell r="E44">
            <v>39972337.661348373</v>
          </cell>
        </row>
        <row r="45">
          <cell r="E45">
            <v>46860652.554709509</v>
          </cell>
        </row>
        <row r="49">
          <cell r="E49">
            <v>6542699.625</v>
          </cell>
        </row>
        <row r="50">
          <cell r="E50">
            <v>46596209.600000009</v>
          </cell>
        </row>
        <row r="54">
          <cell r="E54">
            <v>111509868.87</v>
          </cell>
        </row>
        <row r="55">
          <cell r="E55">
            <v>33995488.217500001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>
        <row r="5">
          <cell r="G5">
            <v>2822342.9025476249</v>
          </cell>
        </row>
        <row r="15">
          <cell r="G15">
            <v>22000246</v>
          </cell>
        </row>
        <row r="16">
          <cell r="G16">
            <v>6746003.4448124999</v>
          </cell>
        </row>
        <row r="17">
          <cell r="G17">
            <v>77861318.553000003</v>
          </cell>
        </row>
        <row r="21">
          <cell r="G21">
            <v>25430178.933333334</v>
          </cell>
        </row>
        <row r="22">
          <cell r="G22">
            <v>43205000</v>
          </cell>
        </row>
        <row r="26">
          <cell r="G26">
            <v>10000000</v>
          </cell>
        </row>
        <row r="29">
          <cell r="G29">
            <v>14500000</v>
          </cell>
        </row>
        <row r="30">
          <cell r="G30">
            <v>8550000</v>
          </cell>
        </row>
        <row r="32">
          <cell r="G32">
            <v>64300000</v>
          </cell>
        </row>
        <row r="33">
          <cell r="G33">
            <v>23455180.799999997</v>
          </cell>
        </row>
        <row r="34">
          <cell r="G34">
            <v>8000000</v>
          </cell>
        </row>
        <row r="36">
          <cell r="G36">
            <v>20000000</v>
          </cell>
        </row>
        <row r="37">
          <cell r="G37">
            <v>30000000</v>
          </cell>
        </row>
        <row r="38">
          <cell r="G38">
            <v>47196559.170000002</v>
          </cell>
        </row>
        <row r="40">
          <cell r="G40">
            <v>15000000</v>
          </cell>
        </row>
        <row r="41">
          <cell r="G41">
            <v>406000000</v>
          </cell>
        </row>
        <row r="42">
          <cell r="G42">
            <v>39000000</v>
          </cell>
        </row>
        <row r="44">
          <cell r="G44">
            <v>27794876</v>
          </cell>
        </row>
        <row r="45">
          <cell r="G45">
            <v>46910362</v>
          </cell>
        </row>
        <row r="46">
          <cell r="G46">
            <v>17000000</v>
          </cell>
        </row>
        <row r="47">
          <cell r="G47">
            <v>9500000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TRIMESTRE PPC"/>
      <sheetName val="II TRIMESTRE SANIDAD"/>
    </sheetNames>
    <sheetDataSet>
      <sheetData sheetId="0">
        <row r="23">
          <cell r="B23">
            <v>690000000</v>
          </cell>
        </row>
        <row r="26">
          <cell r="B26">
            <v>76800000</v>
          </cell>
        </row>
        <row r="39">
          <cell r="B39">
            <v>23000000</v>
          </cell>
        </row>
        <row r="43">
          <cell r="B43">
            <v>550000000</v>
          </cell>
        </row>
        <row r="47">
          <cell r="B47">
            <v>115500000</v>
          </cell>
        </row>
        <row r="53">
          <cell r="B53">
            <v>56000000</v>
          </cell>
        </row>
        <row r="61">
          <cell r="B61">
            <v>50000000</v>
          </cell>
        </row>
        <row r="62">
          <cell r="B62">
            <v>319700000</v>
          </cell>
        </row>
        <row r="63">
          <cell r="B63">
            <v>19000000</v>
          </cell>
        </row>
        <row r="64">
          <cell r="B64">
            <v>100000000</v>
          </cell>
        </row>
        <row r="65">
          <cell r="B65">
            <v>1700000</v>
          </cell>
        </row>
        <row r="67">
          <cell r="B67">
            <v>104000000</v>
          </cell>
        </row>
        <row r="70">
          <cell r="B70">
            <v>130000000</v>
          </cell>
        </row>
        <row r="72">
          <cell r="B72">
            <v>2120000000</v>
          </cell>
        </row>
        <row r="75">
          <cell r="B75">
            <v>27000000</v>
          </cell>
        </row>
        <row r="77">
          <cell r="B77">
            <v>20000000</v>
          </cell>
        </row>
      </sheetData>
      <sheetData sheetId="1">
        <row r="9">
          <cell r="B9">
            <v>16000000</v>
          </cell>
        </row>
        <row r="12">
          <cell r="B12">
            <v>71500000</v>
          </cell>
        </row>
        <row r="17">
          <cell r="B17">
            <v>22500000</v>
          </cell>
        </row>
        <row r="20">
          <cell r="B20">
            <v>30000000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do Ejecución I-TRI"/>
      <sheetName val="Solicitud Presupuesto II-TRI"/>
      <sheetName val="Solicitud Presupuesto II-TRI V2"/>
    </sheetNames>
    <sheetDataSet>
      <sheetData sheetId="0" refreshError="1"/>
      <sheetData sheetId="1" refreshError="1"/>
      <sheetData sheetId="2" refreshError="1">
        <row r="6">
          <cell r="H6">
            <v>2258185.5</v>
          </cell>
        </row>
        <row r="14">
          <cell r="H14">
            <v>86311464.150000006</v>
          </cell>
        </row>
        <row r="28">
          <cell r="H28">
            <v>26000000</v>
          </cell>
        </row>
        <row r="34">
          <cell r="H34">
            <v>183826989.05000001</v>
          </cell>
        </row>
        <row r="53">
          <cell r="H53">
            <v>80126902</v>
          </cell>
        </row>
        <row r="61">
          <cell r="H61">
            <v>18955586.390000001</v>
          </cell>
        </row>
        <row r="65">
          <cell r="H65">
            <v>23739290.399999999</v>
          </cell>
        </row>
        <row r="72">
          <cell r="H72">
            <v>24442155.325000003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. I trim Solic II trim-2017"/>
    </sheetNames>
    <sheetDataSet>
      <sheetData sheetId="0" refreshError="1">
        <row r="8">
          <cell r="J8">
            <v>110000000</v>
          </cell>
        </row>
        <row r="9">
          <cell r="J9">
            <v>1000000</v>
          </cell>
        </row>
        <row r="10">
          <cell r="J10">
            <v>60000000</v>
          </cell>
        </row>
        <row r="11">
          <cell r="J11">
            <v>27208500</v>
          </cell>
        </row>
        <row r="12">
          <cell r="J12">
            <v>5500000</v>
          </cell>
        </row>
        <row r="13">
          <cell r="J13">
            <v>23364000</v>
          </cell>
        </row>
        <row r="14">
          <cell r="J14">
            <v>30000000</v>
          </cell>
        </row>
        <row r="15">
          <cell r="J15">
            <v>36000000</v>
          </cell>
        </row>
        <row r="16">
          <cell r="J16">
            <v>19000000</v>
          </cell>
        </row>
        <row r="17">
          <cell r="J17">
            <v>16800000</v>
          </cell>
        </row>
        <row r="18">
          <cell r="J18">
            <v>7000000</v>
          </cell>
        </row>
        <row r="19">
          <cell r="J19">
            <v>40000000</v>
          </cell>
        </row>
        <row r="20">
          <cell r="J20">
            <v>6930000</v>
          </cell>
        </row>
        <row r="21">
          <cell r="J21">
            <v>4500000</v>
          </cell>
        </row>
        <row r="22">
          <cell r="J22">
            <v>4000000</v>
          </cell>
        </row>
        <row r="23">
          <cell r="J23">
            <v>5500000</v>
          </cell>
        </row>
        <row r="24">
          <cell r="J24">
            <v>14000000</v>
          </cell>
        </row>
        <row r="25">
          <cell r="J25">
            <v>6000000</v>
          </cell>
        </row>
        <row r="26">
          <cell r="J26">
            <v>17000000</v>
          </cell>
        </row>
        <row r="27">
          <cell r="J27">
            <v>14000000</v>
          </cell>
        </row>
        <row r="28">
          <cell r="J28">
            <v>25000000</v>
          </cell>
        </row>
        <row r="29">
          <cell r="J29">
            <v>5000000</v>
          </cell>
        </row>
        <row r="30">
          <cell r="J30">
            <v>7500000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9"/>
  <sheetViews>
    <sheetView tabSelected="1" view="pageBreakPreview" topLeftCell="A2" zoomScale="85" zoomScaleNormal="90" zoomScaleSheetLayoutView="85" workbookViewId="0">
      <pane xSplit="1" ySplit="5" topLeftCell="B7" activePane="bottomRight" state="frozen"/>
      <selection activeCell="A6" sqref="A6:E6"/>
      <selection pane="topRight" activeCell="A6" sqref="A6:E6"/>
      <selection pane="bottomLeft" activeCell="A6" sqref="A6:E6"/>
      <selection pane="bottomRight" activeCell="A4" sqref="A4:M4"/>
    </sheetView>
  </sheetViews>
  <sheetFormatPr baseColWidth="10" defaultRowHeight="12.75" outlineLevelRow="2" x14ac:dyDescent="0.2"/>
  <cols>
    <col min="1" max="1" width="57.7109375" style="2" customWidth="1"/>
    <col min="2" max="2" width="14.5703125" style="2" customWidth="1"/>
    <col min="3" max="3" width="14.7109375" style="2" customWidth="1"/>
    <col min="4" max="4" width="19.85546875" style="2" customWidth="1"/>
    <col min="5" max="5" width="13.42578125" style="2" customWidth="1"/>
    <col min="6" max="6" width="15.42578125" style="2" customWidth="1"/>
    <col min="7" max="7" width="17.5703125" style="2" customWidth="1"/>
    <col min="8" max="8" width="16.140625" style="2" customWidth="1"/>
    <col min="9" max="9" width="21.42578125" style="2" customWidth="1"/>
    <col min="10" max="12" width="19.7109375" style="2" customWidth="1"/>
    <col min="13" max="13" width="11.7109375" style="2" customWidth="1"/>
    <col min="14" max="16" width="14.5703125" style="2" customWidth="1"/>
    <col min="17" max="16384" width="11.42578125" style="2"/>
  </cols>
  <sheetData>
    <row r="1" spans="1:15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5.75" thickBot="1" x14ac:dyDescent="0.3">
      <c r="A5" s="4"/>
      <c r="B5" s="5"/>
      <c r="C5" s="6"/>
      <c r="D5" s="6"/>
      <c r="E5" s="7"/>
      <c r="F5" s="7"/>
      <c r="G5" s="7"/>
      <c r="H5" s="8"/>
      <c r="I5" s="7"/>
    </row>
    <row r="6" spans="1:15" ht="73.5" customHeight="1" thickTop="1" x14ac:dyDescent="0.2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1" t="s">
        <v>14</v>
      </c>
      <c r="L6" s="11" t="s">
        <v>15</v>
      </c>
      <c r="M6" s="12" t="s">
        <v>16</v>
      </c>
    </row>
    <row r="7" spans="1:15" ht="15" x14ac:dyDescent="0.25">
      <c r="A7" s="13" t="s">
        <v>17</v>
      </c>
      <c r="B7" s="14"/>
      <c r="C7" s="14"/>
      <c r="D7" s="14"/>
      <c r="E7" s="14"/>
      <c r="F7" s="14"/>
      <c r="G7" s="14"/>
      <c r="H7" s="14"/>
      <c r="I7" s="14"/>
      <c r="J7" s="14"/>
      <c r="K7" s="15"/>
      <c r="L7" s="15"/>
      <c r="M7" s="16"/>
    </row>
    <row r="8" spans="1:15" ht="15" x14ac:dyDescent="0.25">
      <c r="A8" s="17" t="s">
        <v>18</v>
      </c>
      <c r="B8" s="18">
        <f>SUM(B9:B18)</f>
        <v>329974370.38247329</v>
      </c>
      <c r="C8" s="18">
        <f t="shared" ref="C8:J8" si="0">SUM(C9:C18)</f>
        <v>97498382.27512753</v>
      </c>
      <c r="D8" s="18">
        <f t="shared" si="0"/>
        <v>83953343.450378075</v>
      </c>
      <c r="E8" s="18">
        <f t="shared" si="0"/>
        <v>11366396.419347519</v>
      </c>
      <c r="F8" s="18">
        <f t="shared" si="0"/>
        <v>86527447.850215524</v>
      </c>
      <c r="G8" s="18">
        <f>SUM(G9:G18)</f>
        <v>327786000.7156505</v>
      </c>
      <c r="H8" s="18">
        <f>SUM(H9:H18)</f>
        <v>937105941.09319246</v>
      </c>
      <c r="I8" s="18">
        <f>SUM(I9:I18)</f>
        <v>94249723.391333282</v>
      </c>
      <c r="J8" s="18">
        <f t="shared" si="0"/>
        <v>1031355664.4845258</v>
      </c>
      <c r="K8" s="18">
        <f>SUM(K9:K18)</f>
        <v>984718505</v>
      </c>
      <c r="L8" s="18">
        <f t="shared" ref="L8:L70" si="1">+K8-J8</f>
        <v>-46637159.4845258</v>
      </c>
      <c r="M8" s="19">
        <f t="shared" ref="M8:M69" si="2">IFERROR(K8/J8,0)</f>
        <v>0.95478072105432688</v>
      </c>
    </row>
    <row r="9" spans="1:15" ht="14.25" x14ac:dyDescent="0.2">
      <c r="A9" s="20" t="s">
        <v>19</v>
      </c>
      <c r="B9" s="21">
        <f>+'[1]Nómina y honorarios 2017'!K21</f>
        <v>210623026.28791669</v>
      </c>
      <c r="C9" s="21">
        <f>+'[1]Nómina y honorarios 2017'!K48-1328150</f>
        <v>67902384.244083345</v>
      </c>
      <c r="D9" s="21">
        <f>+'[1]Nómina y honorarios 2017'!K57</f>
        <v>60343741.943333328</v>
      </c>
      <c r="E9" s="21">
        <f>+'[1]Nómina y honorarios 2017'!K65</f>
        <v>7455558.4057500018</v>
      </c>
      <c r="F9" s="21">
        <f>+'[1]Nómina y honorarios 2017'!K39-126233</f>
        <v>61768959.68508333</v>
      </c>
      <c r="G9" s="21">
        <f>+'[1]Nómina y honorarios 2017'!K69</f>
        <v>219468074.71983337</v>
      </c>
      <c r="H9" s="22">
        <f t="shared" ref="H9:H14" si="3">+B9+C9+D9+G9+E9+F9</f>
        <v>627561745.28600025</v>
      </c>
      <c r="I9" s="21">
        <f>+'[1]Nómina y honorarios 2017'!K12+1500000</f>
        <v>42403362.196666673</v>
      </c>
      <c r="J9" s="21">
        <f t="shared" ref="J9:J18" si="4">+H9+I9</f>
        <v>669965107.48266697</v>
      </c>
      <c r="K9" s="21">
        <v>638202036</v>
      </c>
      <c r="L9" s="21">
        <f t="shared" si="1"/>
        <v>-31763071.482666969</v>
      </c>
      <c r="M9" s="23">
        <f t="shared" si="2"/>
        <v>0.95258996158469533</v>
      </c>
      <c r="O9" s="24"/>
    </row>
    <row r="10" spans="1:15" ht="14.25" x14ac:dyDescent="0.2">
      <c r="A10" s="20" t="s">
        <v>20</v>
      </c>
      <c r="B10" s="21">
        <f>+'[1]Nómina y honorarios 2017'!O21</f>
        <v>8775959.4286631942</v>
      </c>
      <c r="C10" s="21">
        <f>+'[1]Nómina y honorarios 2017'!O48+883870</f>
        <v>3768475.5935034733</v>
      </c>
      <c r="D10" s="21">
        <f>+'[1]Nómina y honorarios 2017'!O57</f>
        <v>2514322.5809722226</v>
      </c>
      <c r="E10" s="21">
        <f>+'[1]Nómina y honorarios 2017'!O65</f>
        <v>310648.26690625004</v>
      </c>
      <c r="F10" s="21">
        <f>+'[1]Nómina y honorarios 2017'!O39+14748+126233</f>
        <v>2719947.3618784733</v>
      </c>
      <c r="G10" s="21">
        <f>+'[1]Nómina y honorarios 2017'!O69</f>
        <v>9144503.1133263875</v>
      </c>
      <c r="H10" s="22">
        <f t="shared" si="3"/>
        <v>27233856.345250003</v>
      </c>
      <c r="I10" s="21">
        <f>+'[1]Nómina y honorarios 2017'!O12</f>
        <v>1331349.9062500002</v>
      </c>
      <c r="J10" s="21">
        <f t="shared" si="4"/>
        <v>28565206.251500003</v>
      </c>
      <c r="K10" s="21">
        <v>27785702</v>
      </c>
      <c r="L10" s="21">
        <f t="shared" si="1"/>
        <v>-779504.25150000304</v>
      </c>
      <c r="M10" s="23">
        <f t="shared" si="2"/>
        <v>0.97271140825531166</v>
      </c>
    </row>
    <row r="11" spans="1:15" ht="14.25" x14ac:dyDescent="0.2">
      <c r="A11" s="20" t="s">
        <v>21</v>
      </c>
      <c r="B11" s="21">
        <f>+'[1]Nómina y honorarios 2017'!N21</f>
        <v>15008512.59420139</v>
      </c>
      <c r="C11" s="21">
        <f>+'[1]Nómina y honorarios 2017'!N48</f>
        <v>3225804.9238819447</v>
      </c>
      <c r="D11" s="21">
        <f>+'[1]Nómina y honorarios 2017'!N57</f>
        <v>2485238.8988194447</v>
      </c>
      <c r="E11" s="21">
        <f>+'[1]Nómina y honorarios 2017'!N65</f>
        <v>621296.53381250007</v>
      </c>
      <c r="F11" s="21">
        <f>+'[1]Nómina y honorarios 2017'!N39+50279</f>
        <v>2664805.4606319447</v>
      </c>
      <c r="G11" s="21">
        <f>+'[1]Nómina y honorarios 2017'!N69</f>
        <v>15745599.963527778</v>
      </c>
      <c r="H11" s="22">
        <f t="shared" si="3"/>
        <v>39751258.374875002</v>
      </c>
      <c r="I11" s="21">
        <f>+'[1]Nómina y honorarios 2017'!N12</f>
        <v>2662699.8125000005</v>
      </c>
      <c r="J11" s="21">
        <f t="shared" si="4"/>
        <v>42413958.187375002</v>
      </c>
      <c r="K11" s="21">
        <v>40769024</v>
      </c>
      <c r="L11" s="21">
        <f t="shared" si="1"/>
        <v>-1644934.1873750016</v>
      </c>
      <c r="M11" s="23">
        <f t="shared" si="2"/>
        <v>0.96121714978573647</v>
      </c>
    </row>
    <row r="12" spans="1:15" ht="14.25" x14ac:dyDescent="0.2">
      <c r="A12" s="20" t="s">
        <v>22</v>
      </c>
      <c r="B12" s="21">
        <f>+[2]Agregado!$E$7</f>
        <v>15964242.075000001</v>
      </c>
      <c r="C12" s="25">
        <v>0</v>
      </c>
      <c r="D12" s="25">
        <v>0</v>
      </c>
      <c r="E12" s="21">
        <v>0</v>
      </c>
      <c r="F12" s="22">
        <v>0</v>
      </c>
      <c r="G12" s="22"/>
      <c r="H12" s="22">
        <f t="shared" si="3"/>
        <v>15964242.075000001</v>
      </c>
      <c r="I12" s="21">
        <f>+'[1]Nómina y honorarios 2017'!I107</f>
        <v>33920029.856666669</v>
      </c>
      <c r="J12" s="21">
        <f>+H12+I12</f>
        <v>49884271.931666672</v>
      </c>
      <c r="K12" s="21">
        <v>48917105</v>
      </c>
      <c r="L12" s="21">
        <f t="shared" si="1"/>
        <v>-967166.93166667223</v>
      </c>
      <c r="M12" s="23">
        <f t="shared" si="2"/>
        <v>0.98061178615593436</v>
      </c>
    </row>
    <row r="13" spans="1:15" ht="14.25" x14ac:dyDescent="0.2">
      <c r="A13" s="20" t="s">
        <v>23</v>
      </c>
      <c r="B13" s="21">
        <f>+'[1]Nómina y honorarios 2017'!K96+0.5</f>
        <v>903274.70000000007</v>
      </c>
      <c r="C13" s="21">
        <f>+'[1]Nómina y honorarios 2017'!O96</f>
        <v>225818.55000000002</v>
      </c>
      <c r="D13" s="21">
        <f>+'[1]Nómina y honorarios 2017'!Q96</f>
        <v>225818.55000000002</v>
      </c>
      <c r="E13" s="21">
        <v>0</v>
      </c>
      <c r="F13" s="21">
        <f>+'[1]Nómina y honorarios 2017'!M96</f>
        <v>225818.55000000002</v>
      </c>
      <c r="G13" s="21">
        <f>+'[1]Nómina y honorarios 2017'!S96</f>
        <v>677455.65</v>
      </c>
      <c r="H13" s="22">
        <f t="shared" si="3"/>
        <v>2258186</v>
      </c>
      <c r="I13" s="21"/>
      <c r="J13" s="21">
        <f t="shared" si="4"/>
        <v>2258186</v>
      </c>
      <c r="K13" s="21">
        <v>2258186</v>
      </c>
      <c r="L13" s="21">
        <f t="shared" si="1"/>
        <v>0</v>
      </c>
      <c r="M13" s="23">
        <f t="shared" si="2"/>
        <v>1</v>
      </c>
    </row>
    <row r="14" spans="1:15" ht="14.25" x14ac:dyDescent="0.2">
      <c r="A14" s="20" t="s">
        <v>24</v>
      </c>
      <c r="B14" s="21">
        <f>+'[1]Nómina y honorarios 2017'!L21</f>
        <v>15008512.59420139</v>
      </c>
      <c r="C14" s="21">
        <f>+'[1]Nómina y honorarios 2017'!L48</f>
        <v>3225804.9238819447</v>
      </c>
      <c r="D14" s="21">
        <f>+'[1]Nómina y honorarios 2017'!L57</f>
        <v>2485238.8988194447</v>
      </c>
      <c r="E14" s="21">
        <f>+'[1]Nómina y honorarios 2017'!L65</f>
        <v>621296.53381250007</v>
      </c>
      <c r="F14" s="21">
        <f>+'[1]Nómina y honorarios 2017'!L39+50279</f>
        <v>2664805.4606319447</v>
      </c>
      <c r="G14" s="21">
        <f>+'[1]Nómina y honorarios 2017'!L69</f>
        <v>15745599.963527778</v>
      </c>
      <c r="H14" s="22">
        <f t="shared" si="3"/>
        <v>39751258.374875002</v>
      </c>
      <c r="I14" s="21">
        <f>+'[1]Nómina y honorarios 2017'!L12</f>
        <v>2662699.8125000005</v>
      </c>
      <c r="J14" s="21">
        <f t="shared" si="4"/>
        <v>42413958.187375002</v>
      </c>
      <c r="K14" s="21">
        <v>40687637</v>
      </c>
      <c r="L14" s="21">
        <f t="shared" si="1"/>
        <v>-1726321.1873750016</v>
      </c>
      <c r="M14" s="23">
        <f t="shared" si="2"/>
        <v>0.95929827676661261</v>
      </c>
      <c r="N14" s="26"/>
      <c r="O14" s="26"/>
    </row>
    <row r="15" spans="1:15" ht="14.25" x14ac:dyDescent="0.2">
      <c r="A15" s="20" t="s">
        <v>25</v>
      </c>
      <c r="B15" s="21">
        <f>+'[1]Nómina y honorarios 2017'!M21</f>
        <v>1801021.5113041666</v>
      </c>
      <c r="C15" s="21">
        <f>+'[1]Nómina y honorarios 2017'!M48</f>
        <v>387096.59086583339</v>
      </c>
      <c r="D15" s="21">
        <f>+'[1]Nómina y honorarios 2017'!M57</f>
        <v>298228.66785833333</v>
      </c>
      <c r="E15" s="21">
        <f>+'[1]Nómina y honorarios 2017'!M65</f>
        <v>74555.584057500004</v>
      </c>
      <c r="F15" s="21">
        <f>+'[1]Nómina y honorarios 2017'!M39+6034</f>
        <v>319777.17527583335</v>
      </c>
      <c r="G15" s="21">
        <f>+'[1]Nómina y honorarios 2017'!M69</f>
        <v>1889471.9956233334</v>
      </c>
      <c r="H15" s="22">
        <f>+B15+C15+D15+G15+E15+F15</f>
        <v>4770151.5249849996</v>
      </c>
      <c r="I15" s="21">
        <f>+'[1]Nómina y honorarios 2017'!M12</f>
        <v>319523.97750000004</v>
      </c>
      <c r="J15" s="21">
        <f t="shared" si="4"/>
        <v>5089675.5024849996</v>
      </c>
      <c r="K15" s="21">
        <v>4423242</v>
      </c>
      <c r="L15" s="21">
        <f t="shared" si="1"/>
        <v>-666433.5024849996</v>
      </c>
      <c r="M15" s="23">
        <f t="shared" si="2"/>
        <v>0.86906169122970256</v>
      </c>
      <c r="N15" s="26"/>
      <c r="O15" s="26"/>
    </row>
    <row r="16" spans="1:15" ht="14.25" x14ac:dyDescent="0.2">
      <c r="A16" s="20" t="s">
        <v>26</v>
      </c>
      <c r="B16" s="21">
        <f>+'[1]Nómina y honorarios 2017'!S21</f>
        <v>42645853.344082475</v>
      </c>
      <c r="C16" s="21">
        <f>+'[1]Nómina y honorarios 2017'!S48</f>
        <v>12575797.734014973</v>
      </c>
      <c r="D16" s="21">
        <f>+'[1]Nómina y honorarios 2017'!S57+3350</f>
        <v>10710966.256551307</v>
      </c>
      <c r="E16" s="21">
        <f>+'[1]Nómina y honorarios 2017'!S65</f>
        <v>1567307.4880567654</v>
      </c>
      <c r="F16" s="21">
        <f>+'[1]Nómina y honorarios 2017'!S39+90845</f>
        <v>11124607.231481992</v>
      </c>
      <c r="G16" s="21">
        <f>+'[1]Nómina y honorarios 2017'!S69</f>
        <v>44997992.445243873</v>
      </c>
      <c r="H16" s="22">
        <f>+B16+C16+D16+G16+E16+F16</f>
        <v>123622524.49943137</v>
      </c>
      <c r="I16" s="21">
        <f>+'[1]Nómina y honorarios 2017'!S12</f>
        <v>7882627.645249933</v>
      </c>
      <c r="J16" s="21">
        <f t="shared" si="4"/>
        <v>131505152.1446813</v>
      </c>
      <c r="K16" s="21">
        <v>127311473</v>
      </c>
      <c r="L16" s="21">
        <f t="shared" si="1"/>
        <v>-4193679.1446813047</v>
      </c>
      <c r="M16" s="23">
        <f t="shared" si="2"/>
        <v>0.9681101532807822</v>
      </c>
    </row>
    <row r="17" spans="1:13" ht="14.25" x14ac:dyDescent="0.2">
      <c r="A17" s="20" t="s">
        <v>27</v>
      </c>
      <c r="B17" s="21">
        <f>+'[1]Nómina y honorarios 2017'!U21</f>
        <v>8552874.5987128913</v>
      </c>
      <c r="C17" s="21">
        <f>+'[1]Nómina y honorarios 2017'!U48+197091</f>
        <v>2749499.762176</v>
      </c>
      <c r="D17" s="21">
        <f>+'[1]Nómina y honorarios 2017'!U57</f>
        <v>2173238.9573440002</v>
      </c>
      <c r="E17" s="21">
        <f>+'[1]Nómina y honorarios 2017'!U65</f>
        <v>318103.82531200006</v>
      </c>
      <c r="F17" s="21">
        <f>+'[1]Nómina y honorarios 2017'!U39</f>
        <v>2239434.1889920002</v>
      </c>
      <c r="G17" s="21">
        <f>+'[1]Nómina y honorarios 2017'!U69</f>
        <v>8941023.4953635577</v>
      </c>
      <c r="H17" s="22">
        <f>+B17+C17+D17+G17+E17+F17</f>
        <v>24974174.827900451</v>
      </c>
      <c r="I17" s="21">
        <f>+'[1]Nómina y honorarios 2017'!U12</f>
        <v>1363302.304</v>
      </c>
      <c r="J17" s="21">
        <f t="shared" si="4"/>
        <v>26337477.131900452</v>
      </c>
      <c r="K17" s="21">
        <v>24154800</v>
      </c>
      <c r="L17" s="21">
        <f t="shared" si="1"/>
        <v>-2182677.1319004521</v>
      </c>
      <c r="M17" s="23">
        <f t="shared" si="2"/>
        <v>0.91712656755355082</v>
      </c>
    </row>
    <row r="18" spans="1:13" ht="14.25" x14ac:dyDescent="0.2">
      <c r="A18" s="20" t="s">
        <v>28</v>
      </c>
      <c r="B18" s="21">
        <f>+'[1]Nómina y honorarios 2017'!X21</f>
        <v>10691093.248391112</v>
      </c>
      <c r="C18" s="21">
        <f>+'[1]Nómina y honorarios 2017'!X48+247189</f>
        <v>3437699.9527199999</v>
      </c>
      <c r="D18" s="21">
        <f>+'[1]Nómina y honorarios 2017'!X57</f>
        <v>2716548.6966800001</v>
      </c>
      <c r="E18" s="21">
        <f>+'[1]Nómina y honorarios 2017'!X65</f>
        <v>397629.78164000006</v>
      </c>
      <c r="F18" s="21">
        <f>+'[1]Nómina y honorarios 2017'!X39</f>
        <v>2799292.73624</v>
      </c>
      <c r="G18" s="21">
        <f>+'[1]Nómina y honorarios 2017'!X69</f>
        <v>11176279.369204445</v>
      </c>
      <c r="H18" s="22">
        <f>+B18+C18+D18+G18+E18+F18</f>
        <v>31218543.784875557</v>
      </c>
      <c r="I18" s="21">
        <f>+'[1]Nómina y honorarios 2017'!X12</f>
        <v>1704127.88</v>
      </c>
      <c r="J18" s="21">
        <f t="shared" si="4"/>
        <v>32922671.664875556</v>
      </c>
      <c r="K18" s="21">
        <v>30209300</v>
      </c>
      <c r="L18" s="21">
        <f t="shared" si="1"/>
        <v>-2713371.6648755558</v>
      </c>
      <c r="M18" s="23">
        <f t="shared" si="2"/>
        <v>0.91758349102116188</v>
      </c>
    </row>
    <row r="19" spans="1:13" ht="15" x14ac:dyDescent="0.25">
      <c r="A19" s="27" t="s">
        <v>29</v>
      </c>
      <c r="B19" s="28">
        <f t="shared" ref="B19:G19" si="5">SUM(B9:B18)</f>
        <v>329974370.38247329</v>
      </c>
      <c r="C19" s="28">
        <f t="shared" si="5"/>
        <v>97498382.27512753</v>
      </c>
      <c r="D19" s="28">
        <f t="shared" si="5"/>
        <v>83953343.450378075</v>
      </c>
      <c r="E19" s="28">
        <f t="shared" si="5"/>
        <v>11366396.419347519</v>
      </c>
      <c r="F19" s="28">
        <f t="shared" si="5"/>
        <v>86527447.850215524</v>
      </c>
      <c r="G19" s="28">
        <f t="shared" si="5"/>
        <v>327786000.7156505</v>
      </c>
      <c r="H19" s="28">
        <f>+B19+C19+D19+G19+E19+F19</f>
        <v>937105941.09319246</v>
      </c>
      <c r="I19" s="28">
        <f>SUM(I9:I18)</f>
        <v>94249723.391333282</v>
      </c>
      <c r="J19" s="28">
        <f>SUM(J9:J18)</f>
        <v>1031355664.4845258</v>
      </c>
      <c r="K19" s="28">
        <f>SUM(K9:K18)</f>
        <v>984718505</v>
      </c>
      <c r="L19" s="28">
        <f t="shared" si="1"/>
        <v>-46637159.4845258</v>
      </c>
      <c r="M19" s="19">
        <f t="shared" si="2"/>
        <v>0.95478072105432688</v>
      </c>
    </row>
    <row r="20" spans="1:13" ht="15" x14ac:dyDescent="0.25">
      <c r="A20" s="13" t="s">
        <v>30</v>
      </c>
      <c r="B20" s="21"/>
      <c r="C20" s="21"/>
      <c r="D20" s="21"/>
      <c r="E20" s="21"/>
      <c r="F20" s="21"/>
      <c r="G20" s="21"/>
      <c r="H20" s="21"/>
      <c r="I20" s="28"/>
      <c r="J20" s="21"/>
      <c r="K20" s="21"/>
      <c r="L20" s="21"/>
      <c r="M20" s="19"/>
    </row>
    <row r="21" spans="1:13" ht="14.25" x14ac:dyDescent="0.2">
      <c r="A21" s="29" t="s">
        <v>31</v>
      </c>
      <c r="B21" s="30">
        <f>+[1]Funcionamiento!I10</f>
        <v>36365734</v>
      </c>
      <c r="C21" s="30">
        <f>+[1]Funcionamiento!J10</f>
        <v>0</v>
      </c>
      <c r="D21" s="30">
        <v>0</v>
      </c>
      <c r="E21" s="30">
        <v>0</v>
      </c>
      <c r="F21" s="30">
        <f>+[1]Funcionamiento!L10</f>
        <v>5000000</v>
      </c>
      <c r="G21" s="30">
        <f>+[1]Funcionamiento!G10</f>
        <v>500000</v>
      </c>
      <c r="H21" s="30">
        <f t="shared" ref="H21:H35" si="6">+B21+C21+D21+G21+E21+F21</f>
        <v>41865734</v>
      </c>
      <c r="I21" s="21">
        <f>+[1]Funcionamiento!F10</f>
        <v>34240216.661250003</v>
      </c>
      <c r="J21" s="21">
        <f>+I21+H21</f>
        <v>76105950.661249995</v>
      </c>
      <c r="K21" s="21">
        <v>63059856</v>
      </c>
      <c r="L21" s="21">
        <f t="shared" si="1"/>
        <v>-13046094.661249995</v>
      </c>
      <c r="M21" s="23">
        <f t="shared" si="2"/>
        <v>0.82857983445580263</v>
      </c>
    </row>
    <row r="22" spans="1:13" ht="14.25" x14ac:dyDescent="0.2">
      <c r="A22" s="29" t="s">
        <v>32</v>
      </c>
      <c r="B22" s="21">
        <f>+[1]Funcionamiento!I24+3600000</f>
        <v>5375013.75</v>
      </c>
      <c r="C22" s="30">
        <f>+[1]Funcionamiento!J24</f>
        <v>2258185.5</v>
      </c>
      <c r="D22" s="30">
        <v>0</v>
      </c>
      <c r="E22" s="21">
        <f>+[1]Funcionamiento!H24</f>
        <v>0</v>
      </c>
      <c r="F22" s="30">
        <f>+[1]Funcionamiento!L24</f>
        <v>0</v>
      </c>
      <c r="G22" s="21">
        <f>+[1]Funcionamiento!G24</f>
        <v>4000000</v>
      </c>
      <c r="H22" s="30">
        <f t="shared" si="6"/>
        <v>11633199.25</v>
      </c>
      <c r="I22" s="21">
        <f>+[1]Funcionamiento!F24</f>
        <v>3197455.6781250006</v>
      </c>
      <c r="J22" s="21">
        <f t="shared" ref="J22:J35" si="7">+H22+I22</f>
        <v>14830654.928125001</v>
      </c>
      <c r="K22" s="21">
        <v>7778116</v>
      </c>
      <c r="L22" s="21">
        <f t="shared" si="1"/>
        <v>-7052538.9281250015</v>
      </c>
      <c r="M22" s="23">
        <f t="shared" si="2"/>
        <v>0.52446207114221932</v>
      </c>
    </row>
    <row r="23" spans="1:13" ht="14.25" x14ac:dyDescent="0.2">
      <c r="A23" s="29" t="s">
        <v>33</v>
      </c>
      <c r="B23" s="30">
        <f>+[1]Funcionamiento!I14</f>
        <v>0</v>
      </c>
      <c r="C23" s="30">
        <v>0</v>
      </c>
      <c r="D23" s="30">
        <v>0</v>
      </c>
      <c r="E23" s="30">
        <v>0</v>
      </c>
      <c r="F23" s="30"/>
      <c r="G23" s="30">
        <f>+[1]Funcionamiento!G14</f>
        <v>3500000</v>
      </c>
      <c r="H23" s="30">
        <f t="shared" si="6"/>
        <v>3500000</v>
      </c>
      <c r="I23" s="21">
        <f>+[1]Funcionamiento!F14</f>
        <v>5399350.4531250009</v>
      </c>
      <c r="J23" s="21">
        <f t="shared" si="7"/>
        <v>8899350.453125</v>
      </c>
      <c r="K23" s="21">
        <v>8405891</v>
      </c>
      <c r="L23" s="21">
        <f t="shared" si="1"/>
        <v>-493459.453125</v>
      </c>
      <c r="M23" s="23">
        <f t="shared" si="2"/>
        <v>0.94455107080857548</v>
      </c>
    </row>
    <row r="24" spans="1:13" ht="14.25" x14ac:dyDescent="0.2">
      <c r="A24" s="29" t="s">
        <v>34</v>
      </c>
      <c r="B24" s="21">
        <f>+[1]Funcionamiento!I26</f>
        <v>3650000</v>
      </c>
      <c r="C24" s="30">
        <f>+[1]Funcionamiento!J26</f>
        <v>2984460.3731250004</v>
      </c>
      <c r="D24" s="30">
        <f>+[1]Funcionamiento!K26</f>
        <v>1790741.1543750002</v>
      </c>
      <c r="E24" s="30">
        <f>+[1]Funcionamiento!H26</f>
        <v>1500000</v>
      </c>
      <c r="F24" s="30">
        <f>+[1]Funcionamiento!L26</f>
        <v>2822342.9025476249</v>
      </c>
      <c r="G24" s="30">
        <f>+[1]Funcionamiento!G26</f>
        <v>60000000</v>
      </c>
      <c r="H24" s="30">
        <f t="shared" si="6"/>
        <v>72747544.430047631</v>
      </c>
      <c r="I24" s="21">
        <f>+[1]Funcionamiento!F26</f>
        <v>12232243.570500001</v>
      </c>
      <c r="J24" s="21">
        <f t="shared" si="7"/>
        <v>84979788.000547633</v>
      </c>
      <c r="K24" s="21">
        <v>73334483</v>
      </c>
      <c r="L24" s="21">
        <f t="shared" si="1"/>
        <v>-11645305.000547633</v>
      </c>
      <c r="M24" s="23">
        <f t="shared" si="2"/>
        <v>0.86296382616919931</v>
      </c>
    </row>
    <row r="25" spans="1:13" ht="14.25" x14ac:dyDescent="0.2">
      <c r="A25" s="29" t="s">
        <v>35</v>
      </c>
      <c r="B25" s="30">
        <f>+[1]Funcionamiento!I28</f>
        <v>250000</v>
      </c>
      <c r="C25" s="30">
        <f>+[1]Funcionamiento!J28</f>
        <v>677324.25</v>
      </c>
      <c r="D25" s="30">
        <f>+[1]Funcionamiento!K28</f>
        <v>528750</v>
      </c>
      <c r="E25" s="30">
        <v>0</v>
      </c>
      <c r="F25" s="30">
        <f>+[1]Funcionamiento!L28</f>
        <v>575000</v>
      </c>
      <c r="G25" s="30">
        <f>+[1]Funcionamiento!G28</f>
        <v>750000</v>
      </c>
      <c r="H25" s="30">
        <f t="shared" si="6"/>
        <v>2781074.25</v>
      </c>
      <c r="I25" s="21">
        <f>+[1]Funcionamiento!F28</f>
        <v>1280488.944375</v>
      </c>
      <c r="J25" s="21">
        <f t="shared" si="7"/>
        <v>4061563.194375</v>
      </c>
      <c r="K25" s="21">
        <v>2529900</v>
      </c>
      <c r="L25" s="21">
        <f t="shared" si="1"/>
        <v>-1531663.194375</v>
      </c>
      <c r="M25" s="23">
        <f t="shared" si="2"/>
        <v>0.62288825236149137</v>
      </c>
    </row>
    <row r="26" spans="1:13" ht="14.25" x14ac:dyDescent="0.2">
      <c r="A26" s="20" t="s">
        <v>36</v>
      </c>
      <c r="B26" s="30">
        <v>0</v>
      </c>
      <c r="C26" s="30">
        <v>0</v>
      </c>
      <c r="D26" s="30">
        <v>0</v>
      </c>
      <c r="E26" s="30"/>
      <c r="F26" s="30"/>
      <c r="G26" s="30"/>
      <c r="H26" s="30">
        <f t="shared" si="6"/>
        <v>0</v>
      </c>
      <c r="I26" s="21">
        <f>+[1]Funcionamiento!F8</f>
        <v>22755047</v>
      </c>
      <c r="J26" s="21">
        <f t="shared" si="7"/>
        <v>22755047</v>
      </c>
      <c r="K26" s="21">
        <v>12960000</v>
      </c>
      <c r="L26" s="21">
        <f t="shared" si="1"/>
        <v>-9795047</v>
      </c>
      <c r="M26" s="23">
        <f t="shared" si="2"/>
        <v>0.56954397852924676</v>
      </c>
    </row>
    <row r="27" spans="1:13" ht="14.25" x14ac:dyDescent="0.2">
      <c r="A27" s="29" t="s">
        <v>37</v>
      </c>
      <c r="B27" s="30">
        <f>+[1]Funcionamiento!I16</f>
        <v>2184723.2250000001</v>
      </c>
      <c r="C27" s="30">
        <f>+[1]Funcionamiento!J16</f>
        <v>2184723.2250000001</v>
      </c>
      <c r="D27" s="30">
        <f>+[1]Funcionamiento!K16</f>
        <v>2184723.2250000001</v>
      </c>
      <c r="E27" s="30">
        <f>+[1]Funcionamiento!H16</f>
        <v>2184723.2250000001</v>
      </c>
      <c r="F27" s="30">
        <f>+[1]Funcionamiento!L16</f>
        <v>2184723.2250000001</v>
      </c>
      <c r="G27" s="30">
        <f>+[1]Funcionamiento!G16</f>
        <v>2184723.2250000001</v>
      </c>
      <c r="H27" s="30">
        <f t="shared" si="6"/>
        <v>13108339.35</v>
      </c>
      <c r="I27" s="21">
        <f>+[1]Funcionamiento!F16</f>
        <v>5847953.7206250001</v>
      </c>
      <c r="J27" s="21">
        <f t="shared" si="7"/>
        <v>18956293.070625</v>
      </c>
      <c r="K27" s="21">
        <v>17754384</v>
      </c>
      <c r="L27" s="21">
        <f t="shared" si="1"/>
        <v>-1201909.0706249997</v>
      </c>
      <c r="M27" s="23">
        <f t="shared" si="2"/>
        <v>0.93659577502061842</v>
      </c>
    </row>
    <row r="28" spans="1:13" ht="14.25" x14ac:dyDescent="0.2">
      <c r="A28" s="29" t="s">
        <v>38</v>
      </c>
      <c r="B28" s="30">
        <f>+[1]Funcionamiento!I30</f>
        <v>1500000</v>
      </c>
      <c r="C28" s="30">
        <f>+[1]Funcionamiento!J30</f>
        <v>200000</v>
      </c>
      <c r="D28" s="30">
        <f>+[1]Funcionamiento!K30</f>
        <v>1321875.0000000002</v>
      </c>
      <c r="E28" s="30">
        <f>+[1]Funcionamiento!H30</f>
        <v>0</v>
      </c>
      <c r="F28" s="30"/>
      <c r="G28" s="30">
        <f>+[1]Funcionamiento!G30</f>
        <v>10000000</v>
      </c>
      <c r="H28" s="30">
        <f t="shared" si="6"/>
        <v>13021875</v>
      </c>
      <c r="I28" s="21">
        <f>+[1]Funcionamiento!F30</f>
        <v>6210010.125</v>
      </c>
      <c r="J28" s="21">
        <f t="shared" si="7"/>
        <v>19231885.125</v>
      </c>
      <c r="K28" s="21">
        <v>11029520</v>
      </c>
      <c r="L28" s="21">
        <f t="shared" si="1"/>
        <v>-8202365.125</v>
      </c>
      <c r="M28" s="23">
        <f t="shared" si="2"/>
        <v>0.57350176170002476</v>
      </c>
    </row>
    <row r="29" spans="1:13" ht="14.25" x14ac:dyDescent="0.2">
      <c r="A29" s="29" t="s">
        <v>39</v>
      </c>
      <c r="B29" s="30">
        <v>0</v>
      </c>
      <c r="C29" s="30">
        <v>0</v>
      </c>
      <c r="D29" s="30">
        <v>0</v>
      </c>
      <c r="E29" s="30"/>
      <c r="F29" s="30"/>
      <c r="G29" s="30">
        <f>+[1]Funcionamiento!G34+1784663</f>
        <v>19284663</v>
      </c>
      <c r="H29" s="30">
        <f t="shared" si="6"/>
        <v>19284663</v>
      </c>
      <c r="I29" s="21">
        <f>+[1]Funcionamiento!F34</f>
        <v>29838204.743125003</v>
      </c>
      <c r="J29" s="21">
        <f t="shared" si="7"/>
        <v>49122867.743125007</v>
      </c>
      <c r="K29" s="21">
        <v>44240922</v>
      </c>
      <c r="L29" s="21">
        <f t="shared" si="1"/>
        <v>-4881945.7431250066</v>
      </c>
      <c r="M29" s="23">
        <f t="shared" si="2"/>
        <v>0.90061765594277099</v>
      </c>
    </row>
    <row r="30" spans="1:13" ht="14.25" x14ac:dyDescent="0.2">
      <c r="A30" s="29" t="s">
        <v>40</v>
      </c>
      <c r="B30" s="21">
        <f>+[1]Funcionamiento!I22</f>
        <v>6000000</v>
      </c>
      <c r="C30" s="21">
        <f>+[1]Funcionamiento!J22</f>
        <v>4585921.7175000003</v>
      </c>
      <c r="D30" s="21">
        <f>+[1]Funcionamiento!K22</f>
        <v>2178711.4668750004</v>
      </c>
      <c r="E30" s="21"/>
      <c r="F30" s="30">
        <f>+[1]Funcionamiento!L22</f>
        <v>5968920.5955562508</v>
      </c>
      <c r="G30" s="21">
        <f>+[1]Funcionamiento!G22-1784663</f>
        <v>97015337</v>
      </c>
      <c r="H30" s="30">
        <f t="shared" si="6"/>
        <v>115748890.77993125</v>
      </c>
      <c r="I30" s="21">
        <f>+[1]Funcionamiento!F22</f>
        <v>6673125</v>
      </c>
      <c r="J30" s="21">
        <f t="shared" si="7"/>
        <v>122422015.77993125</v>
      </c>
      <c r="K30" s="21">
        <v>98890451</v>
      </c>
      <c r="L30" s="21">
        <f t="shared" si="1"/>
        <v>-23531564.779931247</v>
      </c>
      <c r="M30" s="23">
        <f t="shared" si="2"/>
        <v>0.8077832273058454</v>
      </c>
    </row>
    <row r="31" spans="1:13" ht="14.25" x14ac:dyDescent="0.2">
      <c r="A31" s="29" t="s">
        <v>41</v>
      </c>
      <c r="B31" s="30">
        <v>0</v>
      </c>
      <c r="C31" s="30">
        <v>0</v>
      </c>
      <c r="D31" s="30">
        <v>0</v>
      </c>
      <c r="E31" s="30"/>
      <c r="F31" s="30"/>
      <c r="G31" s="30"/>
      <c r="H31" s="30">
        <f t="shared" si="6"/>
        <v>0</v>
      </c>
      <c r="I31" s="21">
        <f>+[1]Funcionamiento!F12</f>
        <v>1937049</v>
      </c>
      <c r="J31" s="21">
        <f t="shared" si="7"/>
        <v>1937049</v>
      </c>
      <c r="K31" s="21">
        <v>1925004</v>
      </c>
      <c r="L31" s="21">
        <f t="shared" si="1"/>
        <v>-12045</v>
      </c>
      <c r="M31" s="23">
        <f t="shared" si="2"/>
        <v>0.99378177836492521</v>
      </c>
    </row>
    <row r="32" spans="1:13" ht="14.25" x14ac:dyDescent="0.2">
      <c r="A32" s="29" t="s">
        <v>42</v>
      </c>
      <c r="B32" s="21">
        <f>+[1]Funcionamiento!I18</f>
        <v>2750030.6006250004</v>
      </c>
      <c r="C32" s="21">
        <f>+[1]Funcionamiento!J18</f>
        <v>1069456.359375</v>
      </c>
      <c r="D32" s="21">
        <f>+[1]Funcionamiento!K18</f>
        <v>458338.47750000004</v>
      </c>
      <c r="E32" s="21"/>
      <c r="F32" s="21">
        <f>+[1]Funcionamiento!L18</f>
        <v>2750030.6006250004</v>
      </c>
      <c r="G32" s="21">
        <f>+[1]Funcionamiento!G18</f>
        <v>2472713.1225000001</v>
      </c>
      <c r="H32" s="30">
        <f t="shared" si="6"/>
        <v>9500569.1606250014</v>
      </c>
      <c r="I32" s="21">
        <f>+[1]Funcionamiento!F18</f>
        <v>7791753.588750001</v>
      </c>
      <c r="J32" s="21">
        <f t="shared" si="7"/>
        <v>17292322.749375001</v>
      </c>
      <c r="K32" s="21">
        <v>13654890</v>
      </c>
      <c r="L32" s="21">
        <f t="shared" si="1"/>
        <v>-3637432.7493750006</v>
      </c>
      <c r="M32" s="23">
        <f t="shared" si="2"/>
        <v>0.78965042452110901</v>
      </c>
    </row>
    <row r="33" spans="1:13" ht="14.25" x14ac:dyDescent="0.2">
      <c r="A33" s="29" t="s">
        <v>43</v>
      </c>
      <c r="B33" s="30">
        <f>+[1]Funcionamiento!I20</f>
        <v>6793125</v>
      </c>
      <c r="C33" s="30">
        <v>0</v>
      </c>
      <c r="D33" s="30">
        <v>0</v>
      </c>
      <c r="E33" s="30"/>
      <c r="F33" s="30">
        <f>+[1]Funcionamiento!L20</f>
        <v>1000000</v>
      </c>
      <c r="G33" s="30">
        <f>+[1]Funcionamiento!G20</f>
        <v>2805523.2850000001</v>
      </c>
      <c r="H33" s="30">
        <f>+B33+C33+D33+G33+E33+F33</f>
        <v>10598648.285</v>
      </c>
      <c r="I33" s="21">
        <f>+[1]Funcionamiento!F20</f>
        <v>14115875.972500002</v>
      </c>
      <c r="J33" s="21">
        <f>+H33+I33</f>
        <v>24714524.2575</v>
      </c>
      <c r="K33" s="21">
        <v>17746703</v>
      </c>
      <c r="L33" s="21">
        <f t="shared" si="1"/>
        <v>-6967821.2575000003</v>
      </c>
      <c r="M33" s="23">
        <f t="shared" si="2"/>
        <v>0.71806775704430126</v>
      </c>
    </row>
    <row r="34" spans="1:13" ht="14.25" x14ac:dyDescent="0.2">
      <c r="A34" s="29" t="s">
        <v>44</v>
      </c>
      <c r="B34" s="30">
        <v>0</v>
      </c>
      <c r="C34" s="30">
        <v>0</v>
      </c>
      <c r="D34" s="30">
        <v>0</v>
      </c>
      <c r="E34" s="30"/>
      <c r="F34" s="30"/>
      <c r="G34" s="30"/>
      <c r="H34" s="30">
        <f t="shared" si="6"/>
        <v>0</v>
      </c>
      <c r="I34" s="21">
        <f>+[1]Funcionamiento!F36</f>
        <v>0</v>
      </c>
      <c r="J34" s="21">
        <f t="shared" si="7"/>
        <v>0</v>
      </c>
      <c r="K34" s="21">
        <v>0</v>
      </c>
      <c r="L34" s="21">
        <f t="shared" si="1"/>
        <v>0</v>
      </c>
      <c r="M34" s="23">
        <f t="shared" si="2"/>
        <v>0</v>
      </c>
    </row>
    <row r="35" spans="1:13" ht="14.25" x14ac:dyDescent="0.2">
      <c r="A35" s="29" t="s">
        <v>45</v>
      </c>
      <c r="B35" s="30">
        <v>0</v>
      </c>
      <c r="C35" s="30">
        <v>0</v>
      </c>
      <c r="D35" s="30">
        <v>0</v>
      </c>
      <c r="E35" s="30"/>
      <c r="F35" s="30"/>
      <c r="G35" s="30"/>
      <c r="H35" s="30">
        <f t="shared" si="6"/>
        <v>0</v>
      </c>
      <c r="I35" s="21">
        <f>+[1]Funcionamiento!F32</f>
        <v>6924146.7250000006</v>
      </c>
      <c r="J35" s="21">
        <f t="shared" si="7"/>
        <v>6924146.7250000006</v>
      </c>
      <c r="K35" s="21">
        <v>5309867</v>
      </c>
      <c r="L35" s="21">
        <f t="shared" si="1"/>
        <v>-1614279.7250000006</v>
      </c>
      <c r="M35" s="23">
        <f t="shared" si="2"/>
        <v>0.76686228800271405</v>
      </c>
    </row>
    <row r="36" spans="1:13" ht="15" x14ac:dyDescent="0.25">
      <c r="A36" s="27" t="s">
        <v>46</v>
      </c>
      <c r="B36" s="28">
        <f>SUM(B21:B35)</f>
        <v>64868626.575625002</v>
      </c>
      <c r="C36" s="28">
        <f t="shared" ref="C36:I36" si="8">SUM(C21:C35)</f>
        <v>13960071.425000001</v>
      </c>
      <c r="D36" s="28">
        <f t="shared" si="8"/>
        <v>8463139.3237500004</v>
      </c>
      <c r="E36" s="28">
        <f>SUM(E21:E35)</f>
        <v>3684723.2250000001</v>
      </c>
      <c r="F36" s="28">
        <f t="shared" si="8"/>
        <v>20301017.323728874</v>
      </c>
      <c r="G36" s="28">
        <f>SUM(G21:G35)</f>
        <v>202512959.63249999</v>
      </c>
      <c r="H36" s="31">
        <f>SUM(H21:H35)</f>
        <v>313790537.50560385</v>
      </c>
      <c r="I36" s="28">
        <f t="shared" si="8"/>
        <v>158442921.18237501</v>
      </c>
      <c r="J36" s="28">
        <f>SUM(J21:J35)</f>
        <v>472233458.68797886</v>
      </c>
      <c r="K36" s="28">
        <f>SUM(K21:K35)</f>
        <v>378619987</v>
      </c>
      <c r="L36" s="28">
        <f t="shared" si="1"/>
        <v>-93613471.687978864</v>
      </c>
      <c r="M36" s="19">
        <f t="shared" si="2"/>
        <v>0.80176442400318659</v>
      </c>
    </row>
    <row r="37" spans="1:13" ht="15" x14ac:dyDescent="0.25">
      <c r="A37" s="32" t="s">
        <v>47</v>
      </c>
      <c r="B37" s="33">
        <f t="shared" ref="B37:G37" si="9">+B36+B19</f>
        <v>394842996.95809829</v>
      </c>
      <c r="C37" s="33">
        <f t="shared" si="9"/>
        <v>111458453.70012753</v>
      </c>
      <c r="D37" s="33">
        <f t="shared" si="9"/>
        <v>92416482.774128079</v>
      </c>
      <c r="E37" s="33">
        <f t="shared" si="9"/>
        <v>15051119.644347519</v>
      </c>
      <c r="F37" s="33">
        <f t="shared" si="9"/>
        <v>106828465.1739444</v>
      </c>
      <c r="G37" s="33">
        <f t="shared" si="9"/>
        <v>530298960.34815049</v>
      </c>
      <c r="H37" s="34">
        <f>+B37+C37+D37+G37+E37+F37</f>
        <v>1250896478.5987964</v>
      </c>
      <c r="I37" s="33">
        <f>+I36+I19</f>
        <v>252692644.5737083</v>
      </c>
      <c r="J37" s="33">
        <f>+J36+J19</f>
        <v>1503589123.1725047</v>
      </c>
      <c r="K37" s="33">
        <f>+K19+K36</f>
        <v>1363338492</v>
      </c>
      <c r="L37" s="33">
        <f t="shared" si="1"/>
        <v>-140250631.17250466</v>
      </c>
      <c r="M37" s="35">
        <f t="shared" si="2"/>
        <v>0.90672276820107467</v>
      </c>
    </row>
    <row r="38" spans="1:13" ht="15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8"/>
    </row>
    <row r="39" spans="1:13" ht="15" x14ac:dyDescent="0.25">
      <c r="A39" s="39" t="s">
        <v>48</v>
      </c>
      <c r="B39" s="40">
        <f>+B41</f>
        <v>954004107.81039226</v>
      </c>
      <c r="C39" s="40">
        <f>+C133</f>
        <v>443402387.31500006</v>
      </c>
      <c r="D39" s="40">
        <f>+D147</f>
        <v>528302500</v>
      </c>
      <c r="E39" s="40">
        <f>+E182</f>
        <v>324000000</v>
      </c>
      <c r="F39" s="40">
        <f>+F72</f>
        <v>3475499724.9011459</v>
      </c>
      <c r="G39" s="40">
        <f>+G110</f>
        <v>4402700000</v>
      </c>
      <c r="H39" s="40">
        <f>+B39+C39+D39+G39+E39+F39</f>
        <v>10127908720.026539</v>
      </c>
      <c r="I39" s="40">
        <v>0</v>
      </c>
      <c r="J39" s="40">
        <f>+I39+H39</f>
        <v>10127908720.026539</v>
      </c>
      <c r="K39" s="40">
        <f>+K41+K72+K110+K133+K147+K182</f>
        <v>8631668640</v>
      </c>
      <c r="L39" s="40">
        <f t="shared" si="1"/>
        <v>-1496240080.0265388</v>
      </c>
      <c r="M39" s="41">
        <f t="shared" si="2"/>
        <v>0.85226564324499376</v>
      </c>
    </row>
    <row r="40" spans="1:13" ht="15" x14ac:dyDescent="0.25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1"/>
    </row>
    <row r="41" spans="1:13" ht="15" x14ac:dyDescent="0.25">
      <c r="A41" s="39" t="s">
        <v>49</v>
      </c>
      <c r="B41" s="40">
        <f>+B42+B45+B56+B60+B64+B68</f>
        <v>954004107.81039226</v>
      </c>
      <c r="C41" s="40"/>
      <c r="D41" s="40"/>
      <c r="E41" s="40"/>
      <c r="F41" s="40"/>
      <c r="G41" s="40"/>
      <c r="H41" s="40">
        <f>+H42+H45+H56+H60+H64+H68</f>
        <v>954004107.81039226</v>
      </c>
      <c r="I41" s="40"/>
      <c r="J41" s="40">
        <f>+J42+J45+J56+J60+J64+J68</f>
        <v>954004107.81039226</v>
      </c>
      <c r="K41" s="40">
        <f>+K42+K45+K56+K60+K64+K68</f>
        <v>722252333</v>
      </c>
      <c r="L41" s="40">
        <f t="shared" si="1"/>
        <v>-231751774.81039226</v>
      </c>
      <c r="M41" s="19">
        <f t="shared" si="2"/>
        <v>0.75707465731745804</v>
      </c>
    </row>
    <row r="42" spans="1:13" s="43" customFormat="1" ht="15" x14ac:dyDescent="0.25">
      <c r="A42" s="42" t="s">
        <v>50</v>
      </c>
      <c r="B42" s="28">
        <f>+SUM(B43:B44)</f>
        <v>156896661.0925</v>
      </c>
      <c r="C42" s="28"/>
      <c r="D42" s="28"/>
      <c r="E42" s="28"/>
      <c r="F42" s="28"/>
      <c r="G42" s="28"/>
      <c r="H42" s="28">
        <f>+SUM(H43:H44)</f>
        <v>156896661.0925</v>
      </c>
      <c r="I42" s="28"/>
      <c r="J42" s="28">
        <f>+SUM(J43:J44)</f>
        <v>156896661.0925</v>
      </c>
      <c r="K42" s="28">
        <f>+SUM(K43:K44)</f>
        <v>135892017</v>
      </c>
      <c r="L42" s="28">
        <f t="shared" si="1"/>
        <v>-21004644.092500001</v>
      </c>
      <c r="M42" s="19">
        <f t="shared" si="2"/>
        <v>0.86612433976452496</v>
      </c>
    </row>
    <row r="43" spans="1:13" s="43" customFormat="1" ht="15" hidden="1" outlineLevel="1" x14ac:dyDescent="0.25">
      <c r="A43" s="44" t="s">
        <v>51</v>
      </c>
      <c r="B43" s="21">
        <f>+[2]Agregado!$E$23+13278906</f>
        <v>156896661.0925</v>
      </c>
      <c r="C43" s="28"/>
      <c r="D43" s="28"/>
      <c r="E43" s="28"/>
      <c r="F43" s="28"/>
      <c r="G43" s="28"/>
      <c r="H43" s="21">
        <f>+B43+C43+D43+G43+E43+F43</f>
        <v>156896661.0925</v>
      </c>
      <c r="I43" s="28"/>
      <c r="J43" s="22">
        <f>+H43+I43</f>
        <v>156896661.0925</v>
      </c>
      <c r="K43" s="22">
        <v>135892017</v>
      </c>
      <c r="L43" s="22">
        <f t="shared" si="1"/>
        <v>-21004644.092500001</v>
      </c>
      <c r="M43" s="23">
        <f t="shared" si="2"/>
        <v>0.86612433976452496</v>
      </c>
    </row>
    <row r="44" spans="1:13" s="43" customFormat="1" ht="15" hidden="1" outlineLevel="1" x14ac:dyDescent="0.25">
      <c r="A44" s="44" t="s">
        <v>52</v>
      </c>
      <c r="B44" s="21"/>
      <c r="C44" s="28"/>
      <c r="D44" s="28"/>
      <c r="E44" s="28"/>
      <c r="F44" s="28"/>
      <c r="G44" s="28"/>
      <c r="H44" s="21">
        <f>+B44+C44+D44+G44+E44+F44</f>
        <v>0</v>
      </c>
      <c r="I44" s="28"/>
      <c r="J44" s="22">
        <f>+H44+I44</f>
        <v>0</v>
      </c>
      <c r="K44" s="22"/>
      <c r="L44" s="22">
        <f t="shared" si="1"/>
        <v>0</v>
      </c>
      <c r="M44" s="23">
        <f t="shared" si="2"/>
        <v>0</v>
      </c>
    </row>
    <row r="45" spans="1:13" s="43" customFormat="1" ht="15" collapsed="1" x14ac:dyDescent="0.25">
      <c r="A45" s="45" t="s">
        <v>53</v>
      </c>
      <c r="B45" s="18">
        <f>+B46+B47+B48+B55</f>
        <v>458591429.83750004</v>
      </c>
      <c r="C45" s="28"/>
      <c r="D45" s="28"/>
      <c r="E45" s="28"/>
      <c r="F45" s="28"/>
      <c r="G45" s="28"/>
      <c r="H45" s="18">
        <f>+H46+H47+H48+H55</f>
        <v>458591429.83750004</v>
      </c>
      <c r="I45" s="28"/>
      <c r="J45" s="18">
        <f>+J46+J48+J55+J47</f>
        <v>458591429.83750004</v>
      </c>
      <c r="K45" s="18">
        <f>+K46+K47+K55+K48</f>
        <v>295999953</v>
      </c>
      <c r="L45" s="18">
        <f t="shared" si="1"/>
        <v>-162591476.83750004</v>
      </c>
      <c r="M45" s="19">
        <f t="shared" si="2"/>
        <v>0.64545461110096702</v>
      </c>
    </row>
    <row r="46" spans="1:13" s="43" customFormat="1" ht="15" hidden="1" outlineLevel="1" x14ac:dyDescent="0.25">
      <c r="A46" s="44" t="s">
        <v>54</v>
      </c>
      <c r="B46" s="21">
        <f>+[2]Agregado!$E$27</f>
        <v>104622795.48750001</v>
      </c>
      <c r="C46" s="28"/>
      <c r="D46" s="28"/>
      <c r="E46" s="28"/>
      <c r="F46" s="28"/>
      <c r="G46" s="28"/>
      <c r="H46" s="21">
        <f t="shared" ref="H46:H55" si="10">+B46+C46+D46+G46+E46+F46</f>
        <v>104622795.48750001</v>
      </c>
      <c r="I46" s="28"/>
      <c r="J46" s="22">
        <f t="shared" ref="J46:J55" si="11">+H46+I46</f>
        <v>104622795.48750001</v>
      </c>
      <c r="K46" s="22">
        <v>101842074</v>
      </c>
      <c r="L46" s="22">
        <f>+K46-J46</f>
        <v>-2780721.4875000119</v>
      </c>
      <c r="M46" s="23">
        <f t="shared" si="2"/>
        <v>0.97342145681977843</v>
      </c>
    </row>
    <row r="47" spans="1:13" s="43" customFormat="1" ht="15" hidden="1" outlineLevel="1" x14ac:dyDescent="0.25">
      <c r="A47" s="44" t="s">
        <v>55</v>
      </c>
      <c r="B47" s="21">
        <f>+[2]Agregado!$E$28</f>
        <v>35063239.75</v>
      </c>
      <c r="C47" s="28"/>
      <c r="D47" s="28"/>
      <c r="E47" s="28"/>
      <c r="F47" s="28"/>
      <c r="G47" s="28"/>
      <c r="H47" s="21">
        <f t="shared" si="10"/>
        <v>35063239.75</v>
      </c>
      <c r="I47" s="28"/>
      <c r="J47" s="22">
        <f t="shared" si="11"/>
        <v>35063239.75</v>
      </c>
      <c r="K47" s="22">
        <v>31011475</v>
      </c>
      <c r="L47" s="22">
        <f t="shared" si="1"/>
        <v>-4051764.75</v>
      </c>
      <c r="M47" s="23">
        <f t="shared" si="2"/>
        <v>0.88444408506204852</v>
      </c>
    </row>
    <row r="48" spans="1:13" s="43" customFormat="1" ht="15" hidden="1" outlineLevel="1" x14ac:dyDescent="0.25">
      <c r="A48" s="44" t="s">
        <v>56</v>
      </c>
      <c r="B48" s="18">
        <f>+B49+B52</f>
        <v>197658353</v>
      </c>
      <c r="C48" s="28"/>
      <c r="D48" s="28"/>
      <c r="E48" s="28"/>
      <c r="F48" s="28"/>
      <c r="G48" s="28"/>
      <c r="H48" s="18">
        <f t="shared" si="10"/>
        <v>197658353</v>
      </c>
      <c r="I48" s="18"/>
      <c r="J48" s="18">
        <f t="shared" si="11"/>
        <v>197658353</v>
      </c>
      <c r="K48" s="18">
        <f>+K49+K52</f>
        <v>45139234</v>
      </c>
      <c r="L48" s="18">
        <f>+K48-J48</f>
        <v>-152519119</v>
      </c>
      <c r="M48" s="19">
        <f t="shared" si="2"/>
        <v>0.22836997938559167</v>
      </c>
    </row>
    <row r="49" spans="1:13" s="43" customFormat="1" ht="15" hidden="1" outlineLevel="2" x14ac:dyDescent="0.25">
      <c r="A49" s="45" t="s">
        <v>57</v>
      </c>
      <c r="B49" s="18">
        <f>+B51+B50</f>
        <v>123023771</v>
      </c>
      <c r="C49" s="18"/>
      <c r="D49" s="18"/>
      <c r="E49" s="18"/>
      <c r="F49" s="18"/>
      <c r="G49" s="18"/>
      <c r="H49" s="18">
        <f t="shared" si="10"/>
        <v>123023771</v>
      </c>
      <c r="I49" s="18"/>
      <c r="J49" s="18">
        <f t="shared" si="11"/>
        <v>123023771</v>
      </c>
      <c r="K49" s="18">
        <f>+K51+K50</f>
        <v>9886417</v>
      </c>
      <c r="L49" s="18">
        <f t="shared" si="1"/>
        <v>-113137354</v>
      </c>
      <c r="M49" s="19">
        <f>IFERROR(K49/J49,0)</f>
        <v>8.0361843240848149E-2</v>
      </c>
    </row>
    <row r="50" spans="1:13" s="43" customFormat="1" ht="15" hidden="1" outlineLevel="2" x14ac:dyDescent="0.25">
      <c r="A50" s="44" t="s">
        <v>58</v>
      </c>
      <c r="B50" s="21">
        <f>+[2]Agregado!$E$31</f>
        <v>8762070</v>
      </c>
      <c r="C50" s="28"/>
      <c r="D50" s="28"/>
      <c r="E50" s="28"/>
      <c r="F50" s="28"/>
      <c r="G50" s="28"/>
      <c r="H50" s="21">
        <f t="shared" si="10"/>
        <v>8762070</v>
      </c>
      <c r="I50" s="28"/>
      <c r="J50" s="22">
        <f t="shared" si="11"/>
        <v>8762070</v>
      </c>
      <c r="K50" s="22">
        <v>0</v>
      </c>
      <c r="L50" s="22">
        <f t="shared" si="1"/>
        <v>-8762070</v>
      </c>
      <c r="M50" s="23">
        <f>IFERROR(K50/J50,0)</f>
        <v>0</v>
      </c>
    </row>
    <row r="51" spans="1:13" s="43" customFormat="1" ht="15" hidden="1" outlineLevel="2" x14ac:dyDescent="0.25">
      <c r="A51" s="44" t="s">
        <v>59</v>
      </c>
      <c r="B51" s="21">
        <f>+[2]Agregado!$E$32</f>
        <v>114261701</v>
      </c>
      <c r="C51" s="28"/>
      <c r="D51" s="28"/>
      <c r="E51" s="28"/>
      <c r="F51" s="28"/>
      <c r="G51" s="28"/>
      <c r="H51" s="21">
        <f t="shared" si="10"/>
        <v>114261701</v>
      </c>
      <c r="I51" s="28"/>
      <c r="J51" s="22">
        <f t="shared" si="11"/>
        <v>114261701</v>
      </c>
      <c r="K51" s="22">
        <v>9886417</v>
      </c>
      <c r="L51" s="22">
        <f>+K51-J51</f>
        <v>-104375284</v>
      </c>
      <c r="M51" s="23">
        <f>IFERROR(K51/J51,0)</f>
        <v>8.6524328917525914E-2</v>
      </c>
    </row>
    <row r="52" spans="1:13" s="43" customFormat="1" ht="15" hidden="1" outlineLevel="2" x14ac:dyDescent="0.25">
      <c r="A52" s="45" t="s">
        <v>60</v>
      </c>
      <c r="B52" s="18">
        <f>+B54+B53</f>
        <v>74634582</v>
      </c>
      <c r="C52" s="18"/>
      <c r="D52" s="18"/>
      <c r="E52" s="18"/>
      <c r="F52" s="18"/>
      <c r="G52" s="18"/>
      <c r="H52" s="18">
        <f t="shared" si="10"/>
        <v>74634582</v>
      </c>
      <c r="I52" s="18"/>
      <c r="J52" s="18">
        <f t="shared" si="11"/>
        <v>74634582</v>
      </c>
      <c r="K52" s="18">
        <f>SUM(K53:K54)</f>
        <v>35252817</v>
      </c>
      <c r="L52" s="18">
        <f t="shared" si="1"/>
        <v>-39381765</v>
      </c>
      <c r="M52" s="19">
        <f t="shared" si="2"/>
        <v>0.47233890852366534</v>
      </c>
    </row>
    <row r="53" spans="1:13" s="43" customFormat="1" ht="15" hidden="1" outlineLevel="2" x14ac:dyDescent="0.25">
      <c r="A53" s="44" t="s">
        <v>61</v>
      </c>
      <c r="B53" s="21">
        <f>+[2]Agregado!$E$34</f>
        <v>15945291</v>
      </c>
      <c r="C53" s="28"/>
      <c r="D53" s="28"/>
      <c r="E53" s="28"/>
      <c r="F53" s="28"/>
      <c r="G53" s="28"/>
      <c r="H53" s="21">
        <f t="shared" si="10"/>
        <v>15945291</v>
      </c>
      <c r="I53" s="28"/>
      <c r="J53" s="22">
        <f t="shared" si="11"/>
        <v>15945291</v>
      </c>
      <c r="K53" s="22">
        <v>1633810</v>
      </c>
      <c r="L53" s="22">
        <f t="shared" si="1"/>
        <v>-14311481</v>
      </c>
      <c r="M53" s="23">
        <f t="shared" si="2"/>
        <v>0.10246347965678394</v>
      </c>
    </row>
    <row r="54" spans="1:13" s="43" customFormat="1" ht="15" hidden="1" outlineLevel="2" x14ac:dyDescent="0.25">
      <c r="A54" s="44" t="s">
        <v>62</v>
      </c>
      <c r="B54" s="21">
        <f>+[2]Agregado!$E$35</f>
        <v>58689291</v>
      </c>
      <c r="C54" s="28"/>
      <c r="D54" s="28"/>
      <c r="E54" s="28"/>
      <c r="F54" s="28"/>
      <c r="G54" s="28"/>
      <c r="H54" s="21">
        <f t="shared" si="10"/>
        <v>58689291</v>
      </c>
      <c r="I54" s="28"/>
      <c r="J54" s="22">
        <f t="shared" si="11"/>
        <v>58689291</v>
      </c>
      <c r="K54" s="22">
        <v>33619007</v>
      </c>
      <c r="L54" s="22">
        <f>+K54-J54</f>
        <v>-25070284</v>
      </c>
      <c r="M54" s="23">
        <f>IFERROR(K54/J54,0)</f>
        <v>0.5728303482146343</v>
      </c>
    </row>
    <row r="55" spans="1:13" s="43" customFormat="1" ht="15" hidden="1" outlineLevel="1" x14ac:dyDescent="0.25">
      <c r="A55" s="44" t="s">
        <v>63</v>
      </c>
      <c r="B55" s="18">
        <f>+[2]Agregado!$E$36</f>
        <v>121247041.60000001</v>
      </c>
      <c r="C55" s="28"/>
      <c r="D55" s="28"/>
      <c r="E55" s="28"/>
      <c r="F55" s="28"/>
      <c r="G55" s="28"/>
      <c r="H55" s="21">
        <f t="shared" si="10"/>
        <v>121247041.60000001</v>
      </c>
      <c r="I55" s="28"/>
      <c r="J55" s="22">
        <f t="shared" si="11"/>
        <v>121247041.60000001</v>
      </c>
      <c r="K55" s="22">
        <v>118007170</v>
      </c>
      <c r="L55" s="22">
        <f t="shared" si="1"/>
        <v>-3239871.6000000089</v>
      </c>
      <c r="M55" s="23">
        <f t="shared" si="2"/>
        <v>0.97327875750825732</v>
      </c>
    </row>
    <row r="56" spans="1:13" s="43" customFormat="1" ht="15" collapsed="1" x14ac:dyDescent="0.25">
      <c r="A56" s="45" t="s">
        <v>64</v>
      </c>
      <c r="B56" s="18">
        <f>SUM(B57:B59)</f>
        <v>53038760.851834252</v>
      </c>
      <c r="C56" s="28"/>
      <c r="D56" s="28"/>
      <c r="E56" s="28"/>
      <c r="F56" s="28"/>
      <c r="G56" s="28"/>
      <c r="H56" s="18">
        <f>SUM(H57:H59)</f>
        <v>53038760.851834252</v>
      </c>
      <c r="I56" s="28"/>
      <c r="J56" s="18">
        <f>SUM(J57:J59)</f>
        <v>53038760.851834252</v>
      </c>
      <c r="K56" s="18">
        <f>SUM(K57:K59)</f>
        <v>50112270</v>
      </c>
      <c r="L56" s="18">
        <f t="shared" si="1"/>
        <v>-2926490.8518342525</v>
      </c>
      <c r="M56" s="19">
        <f t="shared" si="2"/>
        <v>0.94482354404904911</v>
      </c>
    </row>
    <row r="57" spans="1:13" s="43" customFormat="1" ht="15" hidden="1" outlineLevel="1" x14ac:dyDescent="0.25">
      <c r="A57" s="44" t="s">
        <v>65</v>
      </c>
      <c r="B57" s="21">
        <f>+[2]Agregado!$E$39</f>
        <v>37822474.106282502</v>
      </c>
      <c r="C57" s="28"/>
      <c r="D57" s="28"/>
      <c r="E57" s="28"/>
      <c r="F57" s="28"/>
      <c r="G57" s="28"/>
      <c r="H57" s="21">
        <f>+B57+C57+D57+G57+E57+F57</f>
        <v>37822474.106282502</v>
      </c>
      <c r="I57" s="28"/>
      <c r="J57" s="22">
        <f>+H57+I57</f>
        <v>37822474.106282502</v>
      </c>
      <c r="K57" s="22">
        <v>35487637</v>
      </c>
      <c r="L57" s="22">
        <f t="shared" si="1"/>
        <v>-2334837.1062825024</v>
      </c>
      <c r="M57" s="23">
        <f t="shared" si="2"/>
        <v>0.93826852522334925</v>
      </c>
    </row>
    <row r="58" spans="1:13" s="43" customFormat="1" ht="15" hidden="1" outlineLevel="1" x14ac:dyDescent="0.25">
      <c r="A58" s="44" t="s">
        <v>66</v>
      </c>
      <c r="B58" s="21">
        <f>+[2]Agregado!$E$40</f>
        <v>15216286.74555175</v>
      </c>
      <c r="C58" s="28"/>
      <c r="D58" s="28"/>
      <c r="E58" s="28"/>
      <c r="F58" s="28"/>
      <c r="G58" s="28"/>
      <c r="H58" s="21">
        <f>+B58+C58+D58+G58+E58+F58</f>
        <v>15216286.74555175</v>
      </c>
      <c r="I58" s="28"/>
      <c r="J58" s="22">
        <f>+H58+I58</f>
        <v>15216286.74555175</v>
      </c>
      <c r="K58" s="22">
        <v>14624633</v>
      </c>
      <c r="L58" s="22">
        <f t="shared" si="1"/>
        <v>-591653.74555175006</v>
      </c>
      <c r="M58" s="23">
        <f t="shared" si="2"/>
        <v>0.96111707439236371</v>
      </c>
    </row>
    <row r="59" spans="1:13" s="43" customFormat="1" ht="15" hidden="1" outlineLevel="1" x14ac:dyDescent="0.25">
      <c r="A59" s="44" t="s">
        <v>67</v>
      </c>
      <c r="B59" s="21"/>
      <c r="C59" s="28"/>
      <c r="D59" s="28"/>
      <c r="E59" s="28"/>
      <c r="F59" s="28"/>
      <c r="G59" s="28"/>
      <c r="H59" s="21">
        <f>+B59+C59+D59+G59+E59+F59</f>
        <v>0</v>
      </c>
      <c r="I59" s="28"/>
      <c r="J59" s="22">
        <f>+H59+I59</f>
        <v>0</v>
      </c>
      <c r="K59" s="22">
        <v>0</v>
      </c>
      <c r="L59" s="22">
        <f t="shared" si="1"/>
        <v>0</v>
      </c>
      <c r="M59" s="23">
        <f t="shared" si="2"/>
        <v>0</v>
      </c>
    </row>
    <row r="60" spans="1:13" s="43" customFormat="1" ht="15" collapsed="1" x14ac:dyDescent="0.25">
      <c r="A60" s="45" t="s">
        <v>68</v>
      </c>
      <c r="B60" s="18">
        <f>SUM(B61:B63)</f>
        <v>86832990.216057882</v>
      </c>
      <c r="C60" s="28"/>
      <c r="D60" s="28"/>
      <c r="E60" s="28"/>
      <c r="F60" s="28"/>
      <c r="G60" s="28"/>
      <c r="H60" s="18">
        <f>SUM(H61:H63)</f>
        <v>86832990.216057882</v>
      </c>
      <c r="I60" s="28"/>
      <c r="J60" s="18">
        <f>SUM(J61:J63)</f>
        <v>86832990.216057882</v>
      </c>
      <c r="K60" s="18">
        <f>SUM(K61:K63)</f>
        <v>85791678</v>
      </c>
      <c r="L60" s="18">
        <f t="shared" si="1"/>
        <v>-1041312.2160578817</v>
      </c>
      <c r="M60" s="19">
        <f t="shared" si="2"/>
        <v>0.98800787335013007</v>
      </c>
    </row>
    <row r="61" spans="1:13" s="43" customFormat="1" ht="15" hidden="1" outlineLevel="1" x14ac:dyDescent="0.25">
      <c r="A61" s="44" t="s">
        <v>69</v>
      </c>
      <c r="B61" s="21">
        <f>+[2]Agregado!$E$44</f>
        <v>39972337.661348373</v>
      </c>
      <c r="C61" s="28"/>
      <c r="D61" s="28"/>
      <c r="E61" s="28"/>
      <c r="F61" s="28"/>
      <c r="G61" s="28"/>
      <c r="H61" s="21">
        <f>+B61+C61+D61+G61+E61+F61</f>
        <v>39972337.661348373</v>
      </c>
      <c r="I61" s="28"/>
      <c r="J61" s="22">
        <f>+H61+I61</f>
        <v>39972337.661348373</v>
      </c>
      <c r="K61" s="22">
        <v>38975078</v>
      </c>
      <c r="L61" s="22">
        <f t="shared" si="1"/>
        <v>-997259.6613483727</v>
      </c>
      <c r="M61" s="23">
        <f t="shared" si="2"/>
        <v>0.97505125495042833</v>
      </c>
    </row>
    <row r="62" spans="1:13" s="43" customFormat="1" ht="15" hidden="1" outlineLevel="1" x14ac:dyDescent="0.25">
      <c r="A62" s="44" t="s">
        <v>70</v>
      </c>
      <c r="B62" s="21">
        <f>+[2]Agregado!$E$45</f>
        <v>46860652.554709509</v>
      </c>
      <c r="C62" s="28"/>
      <c r="D62" s="28"/>
      <c r="E62" s="28"/>
      <c r="F62" s="28"/>
      <c r="G62" s="28"/>
      <c r="H62" s="21">
        <f>+B62+C62+D62+G62+E62+F62</f>
        <v>46860652.554709509</v>
      </c>
      <c r="I62" s="28"/>
      <c r="J62" s="22">
        <f>+H62+I62</f>
        <v>46860652.554709509</v>
      </c>
      <c r="K62" s="22">
        <v>46816600</v>
      </c>
      <c r="L62" s="22">
        <f t="shared" si="1"/>
        <v>-44052.554709509015</v>
      </c>
      <c r="M62" s="23">
        <f t="shared" si="2"/>
        <v>0.99905992442896352</v>
      </c>
    </row>
    <row r="63" spans="1:13" s="43" customFormat="1" ht="15" hidden="1" outlineLevel="1" x14ac:dyDescent="0.25">
      <c r="A63" s="44" t="s">
        <v>71</v>
      </c>
      <c r="B63" s="21"/>
      <c r="C63" s="28"/>
      <c r="D63" s="28"/>
      <c r="E63" s="28"/>
      <c r="F63" s="28"/>
      <c r="G63" s="28"/>
      <c r="H63" s="21">
        <f>+B63+C63+D63+G63+E63+F63</f>
        <v>0</v>
      </c>
      <c r="I63" s="28"/>
      <c r="J63" s="22">
        <f>+H63+I63</f>
        <v>0</v>
      </c>
      <c r="K63" s="22">
        <v>0</v>
      </c>
      <c r="L63" s="22">
        <f t="shared" si="1"/>
        <v>0</v>
      </c>
      <c r="M63" s="23">
        <f t="shared" si="2"/>
        <v>0</v>
      </c>
    </row>
    <row r="64" spans="1:13" s="43" customFormat="1" ht="15" collapsed="1" x14ac:dyDescent="0.25">
      <c r="A64" s="45" t="s">
        <v>72</v>
      </c>
      <c r="B64" s="18">
        <f>SUM(B65:B67)</f>
        <v>53138909.225000009</v>
      </c>
      <c r="C64" s="28"/>
      <c r="D64" s="28"/>
      <c r="E64" s="28"/>
      <c r="F64" s="28"/>
      <c r="G64" s="28"/>
      <c r="H64" s="18">
        <f>SUM(H65:H67)</f>
        <v>53138909.225000009</v>
      </c>
      <c r="I64" s="28"/>
      <c r="J64" s="18">
        <f>SUM(J65:J67)</f>
        <v>53138909.225000009</v>
      </c>
      <c r="K64" s="18">
        <f>SUM(K65:K67)</f>
        <v>36456580</v>
      </c>
      <c r="L64" s="18">
        <f t="shared" si="1"/>
        <v>-16682329.225000009</v>
      </c>
      <c r="M64" s="19">
        <f t="shared" si="2"/>
        <v>0.68606188067647511</v>
      </c>
    </row>
    <row r="65" spans="1:13" s="43" customFormat="1" ht="15" hidden="1" outlineLevel="1" x14ac:dyDescent="0.25">
      <c r="A65" s="44" t="s">
        <v>73</v>
      </c>
      <c r="B65" s="21">
        <f>+[2]Agregado!$E$49+1000000</f>
        <v>7542699.625</v>
      </c>
      <c r="C65" s="28"/>
      <c r="D65" s="28"/>
      <c r="E65" s="28"/>
      <c r="F65" s="28"/>
      <c r="G65" s="28"/>
      <c r="H65" s="21">
        <f>+B65+C65+D65+G65+E65+F65</f>
        <v>7542699.625</v>
      </c>
      <c r="I65" s="28"/>
      <c r="J65" s="22">
        <f>+H65+I65</f>
        <v>7542699.625</v>
      </c>
      <c r="K65" s="22">
        <v>7159462</v>
      </c>
      <c r="L65" s="22">
        <f t="shared" si="1"/>
        <v>-383237.625</v>
      </c>
      <c r="M65" s="23">
        <f t="shared" si="2"/>
        <v>0.9491909204855814</v>
      </c>
    </row>
    <row r="66" spans="1:13" s="43" customFormat="1" ht="15" hidden="1" outlineLevel="1" x14ac:dyDescent="0.25">
      <c r="A66" s="44" t="s">
        <v>74</v>
      </c>
      <c r="B66" s="21">
        <f>+[2]Agregado!$E$50-1000000-2160000</f>
        <v>43436209.600000009</v>
      </c>
      <c r="C66" s="28"/>
      <c r="D66" s="28"/>
      <c r="E66" s="28"/>
      <c r="F66" s="28"/>
      <c r="G66" s="28"/>
      <c r="H66" s="21">
        <f>+B66+C66+D66+G66+E66+F66</f>
        <v>43436209.600000009</v>
      </c>
      <c r="I66" s="28"/>
      <c r="J66" s="22">
        <f>+H66+I66</f>
        <v>43436209.600000009</v>
      </c>
      <c r="K66" s="22">
        <v>29297118</v>
      </c>
      <c r="L66" s="22">
        <f t="shared" si="1"/>
        <v>-14139091.600000009</v>
      </c>
      <c r="M66" s="23">
        <f t="shared" si="2"/>
        <v>0.67448606289071766</v>
      </c>
    </row>
    <row r="67" spans="1:13" s="43" customFormat="1" ht="15" hidden="1" outlineLevel="1" x14ac:dyDescent="0.25">
      <c r="A67" s="44" t="s">
        <v>75</v>
      </c>
      <c r="B67" s="21">
        <v>2160000</v>
      </c>
      <c r="C67" s="28"/>
      <c r="D67" s="28"/>
      <c r="E67" s="28"/>
      <c r="F67" s="28"/>
      <c r="G67" s="28"/>
      <c r="H67" s="21">
        <f>+B67+C67+D67+G67+E67+F67</f>
        <v>2160000</v>
      </c>
      <c r="I67" s="28"/>
      <c r="J67" s="22">
        <f>+H67+I67</f>
        <v>2160000</v>
      </c>
      <c r="K67" s="22">
        <v>0</v>
      </c>
      <c r="L67" s="22">
        <f t="shared" si="1"/>
        <v>-2160000</v>
      </c>
      <c r="M67" s="23">
        <f t="shared" si="2"/>
        <v>0</v>
      </c>
    </row>
    <row r="68" spans="1:13" s="43" customFormat="1" ht="15" collapsed="1" x14ac:dyDescent="0.25">
      <c r="A68" s="45" t="s">
        <v>76</v>
      </c>
      <c r="B68" s="18">
        <f>SUM(B69:B70)</f>
        <v>145505356.58750001</v>
      </c>
      <c r="C68" s="28"/>
      <c r="D68" s="28"/>
      <c r="E68" s="28"/>
      <c r="F68" s="28"/>
      <c r="G68" s="28"/>
      <c r="H68" s="18">
        <f>SUM(H69:H70)</f>
        <v>145505356.58750001</v>
      </c>
      <c r="I68" s="28"/>
      <c r="J68" s="18">
        <f>SUM(J69:J70)</f>
        <v>145505356.58750001</v>
      </c>
      <c r="K68" s="18">
        <f>SUM(K69:K70)</f>
        <v>117999835</v>
      </c>
      <c r="L68" s="18">
        <f t="shared" si="1"/>
        <v>-27505521.587500006</v>
      </c>
      <c r="M68" s="19">
        <f t="shared" si="2"/>
        <v>0.81096557382779588</v>
      </c>
    </row>
    <row r="69" spans="1:13" s="43" customFormat="1" ht="15" hidden="1" outlineLevel="1" x14ac:dyDescent="0.25">
      <c r="A69" s="44" t="s">
        <v>77</v>
      </c>
      <c r="B69" s="21">
        <f>+[2]Agregado!$E$54-18324502.5</f>
        <v>93185366.370000005</v>
      </c>
      <c r="C69" s="28"/>
      <c r="D69" s="28"/>
      <c r="E69" s="28"/>
      <c r="F69" s="28"/>
      <c r="G69" s="28"/>
      <c r="H69" s="21">
        <f>+B69+C69+D69+G69+E69+F69</f>
        <v>93185366.370000005</v>
      </c>
      <c r="I69" s="28"/>
      <c r="J69" s="22">
        <f>+H69+I69</f>
        <v>93185366.370000005</v>
      </c>
      <c r="K69" s="22">
        <v>66827955</v>
      </c>
      <c r="L69" s="22">
        <f t="shared" si="1"/>
        <v>-26357411.370000005</v>
      </c>
      <c r="M69" s="23">
        <f t="shared" si="2"/>
        <v>0.71715074590847472</v>
      </c>
    </row>
    <row r="70" spans="1:13" s="43" customFormat="1" ht="15" hidden="1" outlineLevel="1" x14ac:dyDescent="0.25">
      <c r="A70" s="44" t="s">
        <v>78</v>
      </c>
      <c r="B70" s="21">
        <f>+[2]Agregado!$E$55+18324502</f>
        <v>52319990.217500001</v>
      </c>
      <c r="C70" s="28"/>
      <c r="D70" s="28"/>
      <c r="E70" s="28"/>
      <c r="F70" s="28"/>
      <c r="G70" s="28"/>
      <c r="H70" s="21">
        <f>+B70+C70+D70+G70+E70+F70</f>
        <v>52319990.217500001</v>
      </c>
      <c r="I70" s="28"/>
      <c r="J70" s="22">
        <f>+H70+I70</f>
        <v>52319990.217500001</v>
      </c>
      <c r="K70" s="22">
        <v>51171880</v>
      </c>
      <c r="L70" s="22">
        <f t="shared" si="1"/>
        <v>-1148110.2175000012</v>
      </c>
      <c r="M70" s="23">
        <f>IFERROR(K70/J70,0)</f>
        <v>0.97805599326897463</v>
      </c>
    </row>
    <row r="71" spans="1:13" s="43" customFormat="1" ht="15" collapsed="1" x14ac:dyDescent="0.25">
      <c r="A71" s="44"/>
      <c r="B71" s="21"/>
      <c r="C71" s="28"/>
      <c r="D71" s="28"/>
      <c r="E71" s="28"/>
      <c r="F71" s="28"/>
      <c r="G71" s="28"/>
      <c r="H71" s="21"/>
      <c r="I71" s="28"/>
      <c r="J71" s="22"/>
      <c r="K71" s="22"/>
      <c r="L71" s="22"/>
      <c r="M71" s="23"/>
    </row>
    <row r="72" spans="1:13" s="43" customFormat="1" ht="15" x14ac:dyDescent="0.25">
      <c r="A72" s="45" t="s">
        <v>79</v>
      </c>
      <c r="B72" s="21"/>
      <c r="C72" s="28"/>
      <c r="D72" s="28"/>
      <c r="E72" s="28"/>
      <c r="F72" s="28">
        <f>+F73+F81+F88+F92+F104</f>
        <v>3475499724.9011459</v>
      </c>
      <c r="G72" s="28"/>
      <c r="H72" s="28">
        <f>+H73+H81+H88+H92+H104</f>
        <v>3475499724.9011459</v>
      </c>
      <c r="I72" s="28"/>
      <c r="J72" s="18">
        <f>+H72+I72</f>
        <v>3475499724.9011459</v>
      </c>
      <c r="K72" s="18">
        <f>+K73+K81+K88+K92+K104</f>
        <v>3177050513</v>
      </c>
      <c r="L72" s="18">
        <f t="shared" ref="L72:L135" si="12">+K72-J72</f>
        <v>-298449211.90114594</v>
      </c>
      <c r="M72" s="19">
        <f t="shared" ref="M72:M108" si="13">IFERROR(K72/J72,0)</f>
        <v>0.91412768363558572</v>
      </c>
    </row>
    <row r="73" spans="1:13" s="43" customFormat="1" ht="15" x14ac:dyDescent="0.25">
      <c r="A73" s="45" t="s">
        <v>80</v>
      </c>
      <c r="B73" s="21"/>
      <c r="C73" s="28"/>
      <c r="D73" s="28"/>
      <c r="E73" s="28"/>
      <c r="F73" s="28">
        <f>SUM(F74:F80)</f>
        <v>106607567.99781251</v>
      </c>
      <c r="G73" s="28"/>
      <c r="H73" s="28">
        <f>SUM(H74:H80)</f>
        <v>106607567.99781251</v>
      </c>
      <c r="I73" s="28"/>
      <c r="J73" s="28">
        <f>SUM(J74:J80)</f>
        <v>106607567.99781251</v>
      </c>
      <c r="K73" s="28">
        <f>SUM(K74:K80)</f>
        <v>103218034</v>
      </c>
      <c r="L73" s="28">
        <f t="shared" si="12"/>
        <v>-3389533.9978125095</v>
      </c>
      <c r="M73" s="19">
        <f t="shared" si="13"/>
        <v>0.96820550302880881</v>
      </c>
    </row>
    <row r="74" spans="1:13" s="43" customFormat="1" ht="15" hidden="1" outlineLevel="1" x14ac:dyDescent="0.25">
      <c r="A74" s="44" t="s">
        <v>81</v>
      </c>
      <c r="B74" s="21"/>
      <c r="C74" s="28"/>
      <c r="D74" s="28"/>
      <c r="E74" s="28"/>
      <c r="F74" s="22"/>
      <c r="G74" s="28"/>
      <c r="H74" s="21">
        <f t="shared" ref="H74:H79" si="14">+B74+C74+D74+G74+E74+F74</f>
        <v>0</v>
      </c>
      <c r="I74" s="28"/>
      <c r="J74" s="22">
        <f t="shared" ref="J74:J79" si="15">+H74+I74</f>
        <v>0</v>
      </c>
      <c r="K74" s="22">
        <v>0</v>
      </c>
      <c r="L74" s="22">
        <f t="shared" si="12"/>
        <v>0</v>
      </c>
      <c r="M74" s="23">
        <f t="shared" si="13"/>
        <v>0</v>
      </c>
    </row>
    <row r="75" spans="1:13" s="43" customFormat="1" ht="15" hidden="1" outlineLevel="1" x14ac:dyDescent="0.25">
      <c r="A75" s="44" t="s">
        <v>82</v>
      </c>
      <c r="B75" s="21"/>
      <c r="C75" s="28"/>
      <c r="D75" s="28"/>
      <c r="E75" s="28"/>
      <c r="F75" s="22"/>
      <c r="G75" s="28"/>
      <c r="H75" s="21">
        <f t="shared" si="14"/>
        <v>0</v>
      </c>
      <c r="I75" s="28"/>
      <c r="J75" s="22">
        <f t="shared" si="15"/>
        <v>0</v>
      </c>
      <c r="K75" s="22">
        <v>0</v>
      </c>
      <c r="L75" s="22">
        <f t="shared" si="12"/>
        <v>0</v>
      </c>
      <c r="M75" s="23">
        <f t="shared" si="13"/>
        <v>0</v>
      </c>
    </row>
    <row r="76" spans="1:13" s="43" customFormat="1" ht="15" hidden="1" outlineLevel="1" x14ac:dyDescent="0.25">
      <c r="A76" s="44" t="s">
        <v>83</v>
      </c>
      <c r="B76" s="21"/>
      <c r="C76" s="28"/>
      <c r="D76" s="28"/>
      <c r="E76" s="28"/>
      <c r="F76" s="22">
        <f>+[3]Hoja1!$G$15</f>
        <v>22000246</v>
      </c>
      <c r="G76" s="28"/>
      <c r="H76" s="21">
        <f t="shared" si="14"/>
        <v>22000246</v>
      </c>
      <c r="I76" s="28"/>
      <c r="J76" s="22">
        <f t="shared" si="15"/>
        <v>22000246</v>
      </c>
      <c r="K76" s="22">
        <v>21938681</v>
      </c>
      <c r="L76" s="22">
        <f t="shared" si="12"/>
        <v>-61565</v>
      </c>
      <c r="M76" s="23">
        <f t="shared" si="13"/>
        <v>0.99720162220004271</v>
      </c>
    </row>
    <row r="77" spans="1:13" s="43" customFormat="1" ht="15" hidden="1" outlineLevel="1" x14ac:dyDescent="0.25">
      <c r="A77" s="44" t="s">
        <v>84</v>
      </c>
      <c r="B77" s="21"/>
      <c r="C77" s="28"/>
      <c r="D77" s="28"/>
      <c r="E77" s="28"/>
      <c r="F77" s="22">
        <f>+[3]Hoja1!$G$16</f>
        <v>6746003.4448124999</v>
      </c>
      <c r="G77" s="28"/>
      <c r="H77" s="21">
        <f t="shared" si="14"/>
        <v>6746003.4448124999</v>
      </c>
      <c r="I77" s="28"/>
      <c r="J77" s="22">
        <f t="shared" si="15"/>
        <v>6746003.4448124999</v>
      </c>
      <c r="K77" s="22">
        <v>3418034</v>
      </c>
      <c r="L77" s="22">
        <f t="shared" si="12"/>
        <v>-3327969.4448124999</v>
      </c>
      <c r="M77" s="23">
        <f t="shared" si="13"/>
        <v>0.50667540091880303</v>
      </c>
    </row>
    <row r="78" spans="1:13" s="43" customFormat="1" ht="15" hidden="1" outlineLevel="1" x14ac:dyDescent="0.25">
      <c r="A78" s="44" t="s">
        <v>85</v>
      </c>
      <c r="B78" s="21"/>
      <c r="C78" s="28"/>
      <c r="D78" s="28"/>
      <c r="E78" s="28"/>
      <c r="F78" s="22">
        <f>+[3]Hoja1!$G$17</f>
        <v>77861318.553000003</v>
      </c>
      <c r="G78" s="28"/>
      <c r="H78" s="21">
        <f t="shared" si="14"/>
        <v>77861318.553000003</v>
      </c>
      <c r="I78" s="28"/>
      <c r="J78" s="22">
        <f t="shared" si="15"/>
        <v>77861318.553000003</v>
      </c>
      <c r="K78" s="22">
        <v>77861319</v>
      </c>
      <c r="L78" s="22">
        <f t="shared" si="12"/>
        <v>0.44699999690055847</v>
      </c>
      <c r="M78" s="23">
        <f t="shared" si="13"/>
        <v>1.0000000057409764</v>
      </c>
    </row>
    <row r="79" spans="1:13" s="43" customFormat="1" ht="15" hidden="1" outlineLevel="1" x14ac:dyDescent="0.25">
      <c r="A79" s="44" t="s">
        <v>86</v>
      </c>
      <c r="B79" s="21"/>
      <c r="C79" s="28"/>
      <c r="D79" s="28"/>
      <c r="E79" s="28"/>
      <c r="F79" s="22"/>
      <c r="G79" s="28"/>
      <c r="H79" s="21">
        <f t="shared" si="14"/>
        <v>0</v>
      </c>
      <c r="I79" s="28"/>
      <c r="J79" s="22">
        <f t="shared" si="15"/>
        <v>0</v>
      </c>
      <c r="K79" s="22">
        <v>0</v>
      </c>
      <c r="L79" s="22">
        <f t="shared" si="12"/>
        <v>0</v>
      </c>
      <c r="M79" s="23">
        <f t="shared" si="13"/>
        <v>0</v>
      </c>
    </row>
    <row r="80" spans="1:13" s="43" customFormat="1" ht="15" hidden="1" outlineLevel="1" x14ac:dyDescent="0.25">
      <c r="A80" s="44" t="s">
        <v>87</v>
      </c>
      <c r="B80" s="21"/>
      <c r="C80" s="28"/>
      <c r="D80" s="28"/>
      <c r="E80" s="28"/>
      <c r="F80" s="22"/>
      <c r="G80" s="28"/>
      <c r="H80" s="21">
        <f>+B80+C80+D80+G80+E80+F80</f>
        <v>0</v>
      </c>
      <c r="I80" s="28"/>
      <c r="J80" s="22">
        <f>+H80+I80</f>
        <v>0</v>
      </c>
      <c r="K80" s="22">
        <v>0</v>
      </c>
      <c r="L80" s="22">
        <f t="shared" si="12"/>
        <v>0</v>
      </c>
      <c r="M80" s="23">
        <f t="shared" si="13"/>
        <v>0</v>
      </c>
    </row>
    <row r="81" spans="1:13" s="43" customFormat="1" ht="15" collapsed="1" x14ac:dyDescent="0.25">
      <c r="A81" s="45" t="s">
        <v>88</v>
      </c>
      <c r="B81" s="21"/>
      <c r="C81" s="28"/>
      <c r="D81" s="28"/>
      <c r="E81" s="28"/>
      <c r="F81" s="28">
        <f>SUM(F82:F87)</f>
        <v>78635178.933333337</v>
      </c>
      <c r="G81" s="28"/>
      <c r="H81" s="28">
        <f>SUM(H82:H87)</f>
        <v>78635178.933333337</v>
      </c>
      <c r="I81" s="28"/>
      <c r="J81" s="28">
        <f>SUM(J82:J87)</f>
        <v>78635178.933333337</v>
      </c>
      <c r="K81" s="28">
        <f>SUM(K82:K87)</f>
        <v>53652960</v>
      </c>
      <c r="L81" s="28">
        <f t="shared" si="12"/>
        <v>-24982218.933333337</v>
      </c>
      <c r="M81" s="19">
        <f t="shared" si="13"/>
        <v>0.68230225616306939</v>
      </c>
    </row>
    <row r="82" spans="1:13" s="43" customFormat="1" ht="15" hidden="1" outlineLevel="1" x14ac:dyDescent="0.25">
      <c r="A82" s="44" t="s">
        <v>89</v>
      </c>
      <c r="B82" s="21"/>
      <c r="C82" s="28"/>
      <c r="D82" s="28"/>
      <c r="E82" s="28"/>
      <c r="F82" s="22">
        <f>+[3]Hoja1!$G$21</f>
        <v>25430178.933333334</v>
      </c>
      <c r="G82" s="28"/>
      <c r="H82" s="21">
        <f t="shared" ref="H82:H87" si="16">+B82+C82+D82+G82+E82+F82</f>
        <v>25430178.933333334</v>
      </c>
      <c r="I82" s="28"/>
      <c r="J82" s="22">
        <f t="shared" ref="J82:J87" si="17">+H82+I82</f>
        <v>25430178.933333334</v>
      </c>
      <c r="K82" s="22">
        <v>448000</v>
      </c>
      <c r="L82" s="22">
        <f t="shared" si="12"/>
        <v>-24982178.933333334</v>
      </c>
      <c r="M82" s="23">
        <f t="shared" si="13"/>
        <v>1.7616863851979084E-2</v>
      </c>
    </row>
    <row r="83" spans="1:13" s="43" customFormat="1" ht="15" hidden="1" outlineLevel="1" x14ac:dyDescent="0.25">
      <c r="A83" s="44" t="s">
        <v>90</v>
      </c>
      <c r="B83" s="21"/>
      <c r="C83" s="28"/>
      <c r="D83" s="28"/>
      <c r="E83" s="28"/>
      <c r="F83" s="22">
        <f>+[3]Hoja1!$G$22</f>
        <v>43205000</v>
      </c>
      <c r="G83" s="28"/>
      <c r="H83" s="21">
        <f t="shared" si="16"/>
        <v>43205000</v>
      </c>
      <c r="I83" s="28"/>
      <c r="J83" s="22">
        <f t="shared" si="17"/>
        <v>43205000</v>
      </c>
      <c r="K83" s="22">
        <v>43204960</v>
      </c>
      <c r="L83" s="22">
        <f t="shared" si="12"/>
        <v>-40</v>
      </c>
      <c r="M83" s="23">
        <f t="shared" si="13"/>
        <v>0.99999907418122902</v>
      </c>
    </row>
    <row r="84" spans="1:13" s="43" customFormat="1" ht="15" hidden="1" outlineLevel="1" x14ac:dyDescent="0.25">
      <c r="A84" s="44" t="s">
        <v>91</v>
      </c>
      <c r="B84" s="21"/>
      <c r="C84" s="28"/>
      <c r="D84" s="28"/>
      <c r="E84" s="28"/>
      <c r="F84" s="22"/>
      <c r="G84" s="28"/>
      <c r="H84" s="21">
        <f t="shared" si="16"/>
        <v>0</v>
      </c>
      <c r="I84" s="28"/>
      <c r="J84" s="22">
        <f t="shared" si="17"/>
        <v>0</v>
      </c>
      <c r="K84" s="22">
        <v>0</v>
      </c>
      <c r="L84" s="22">
        <f t="shared" si="12"/>
        <v>0</v>
      </c>
      <c r="M84" s="23">
        <f t="shared" si="13"/>
        <v>0</v>
      </c>
    </row>
    <row r="85" spans="1:13" s="43" customFormat="1" ht="15" hidden="1" outlineLevel="1" x14ac:dyDescent="0.25">
      <c r="A85" s="44" t="s">
        <v>92</v>
      </c>
      <c r="B85" s="21"/>
      <c r="C85" s="28"/>
      <c r="D85" s="28"/>
      <c r="E85" s="28"/>
      <c r="F85" s="22"/>
      <c r="G85" s="28"/>
      <c r="H85" s="21">
        <f t="shared" si="16"/>
        <v>0</v>
      </c>
      <c r="I85" s="28"/>
      <c r="J85" s="22">
        <f t="shared" si="17"/>
        <v>0</v>
      </c>
      <c r="K85" s="22">
        <v>0</v>
      </c>
      <c r="L85" s="22">
        <f t="shared" si="12"/>
        <v>0</v>
      </c>
      <c r="M85" s="23">
        <f t="shared" si="13"/>
        <v>0</v>
      </c>
    </row>
    <row r="86" spans="1:13" s="43" customFormat="1" ht="15" hidden="1" outlineLevel="1" x14ac:dyDescent="0.25">
      <c r="A86" s="44" t="s">
        <v>93</v>
      </c>
      <c r="B86" s="21"/>
      <c r="C86" s="28"/>
      <c r="D86" s="28"/>
      <c r="E86" s="28"/>
      <c r="F86" s="22"/>
      <c r="G86" s="28"/>
      <c r="H86" s="21">
        <f t="shared" si="16"/>
        <v>0</v>
      </c>
      <c r="I86" s="28"/>
      <c r="J86" s="22">
        <f t="shared" si="17"/>
        <v>0</v>
      </c>
      <c r="K86" s="22">
        <v>0</v>
      </c>
      <c r="L86" s="22">
        <f t="shared" si="12"/>
        <v>0</v>
      </c>
      <c r="M86" s="23">
        <f t="shared" si="13"/>
        <v>0</v>
      </c>
    </row>
    <row r="87" spans="1:13" s="43" customFormat="1" ht="15" hidden="1" outlineLevel="1" x14ac:dyDescent="0.25">
      <c r="A87" s="44" t="s">
        <v>94</v>
      </c>
      <c r="B87" s="21"/>
      <c r="C87" s="28"/>
      <c r="D87" s="28"/>
      <c r="E87" s="28"/>
      <c r="F87" s="22">
        <f>+[3]Hoja1!$G$26</f>
        <v>10000000</v>
      </c>
      <c r="G87" s="28"/>
      <c r="H87" s="21">
        <f t="shared" si="16"/>
        <v>10000000</v>
      </c>
      <c r="I87" s="28"/>
      <c r="J87" s="22">
        <f t="shared" si="17"/>
        <v>10000000</v>
      </c>
      <c r="K87" s="22">
        <v>10000000</v>
      </c>
      <c r="L87" s="22">
        <f t="shared" si="12"/>
        <v>0</v>
      </c>
      <c r="M87" s="23">
        <f t="shared" si="13"/>
        <v>1</v>
      </c>
    </row>
    <row r="88" spans="1:13" s="43" customFormat="1" ht="15" collapsed="1" x14ac:dyDescent="0.25">
      <c r="A88" s="45" t="s">
        <v>95</v>
      </c>
      <c r="B88" s="21"/>
      <c r="C88" s="28"/>
      <c r="D88" s="28"/>
      <c r="E88" s="28"/>
      <c r="F88" s="28">
        <f>+SUM(F89:F91)</f>
        <v>2536100000</v>
      </c>
      <c r="G88" s="28"/>
      <c r="H88" s="28">
        <f>SUM(H89:H91)</f>
        <v>2536100000</v>
      </c>
      <c r="I88" s="28"/>
      <c r="J88" s="28">
        <f>SUM(J89:J91)</f>
        <v>2536100000</v>
      </c>
      <c r="K88" s="28">
        <f>SUM(K89:K91)</f>
        <v>2319556056</v>
      </c>
      <c r="L88" s="28">
        <f>+K88-J88</f>
        <v>-216543944</v>
      </c>
      <c r="M88" s="19">
        <f t="shared" si="13"/>
        <v>0.91461537636528523</v>
      </c>
    </row>
    <row r="89" spans="1:13" s="43" customFormat="1" ht="15" hidden="1" outlineLevel="1" x14ac:dyDescent="0.25">
      <c r="A89" s="44" t="s">
        <v>96</v>
      </c>
      <c r="B89" s="21"/>
      <c r="C89" s="28"/>
      <c r="D89" s="28"/>
      <c r="E89" s="28"/>
      <c r="F89" s="22">
        <f>2381550000+131500000</f>
        <v>2513050000</v>
      </c>
      <c r="G89" s="28"/>
      <c r="H89" s="21">
        <f>+B89+C89+D89+G89+E89+F89</f>
        <v>2513050000</v>
      </c>
      <c r="I89" s="28"/>
      <c r="J89" s="22">
        <f>+H89+I89</f>
        <v>2513050000</v>
      </c>
      <c r="K89" s="22">
        <v>2310172654</v>
      </c>
      <c r="L89" s="22">
        <f t="shared" si="12"/>
        <v>-202877346</v>
      </c>
      <c r="M89" s="23">
        <f t="shared" si="13"/>
        <v>0.91927046974791593</v>
      </c>
    </row>
    <row r="90" spans="1:13" s="43" customFormat="1" ht="15" hidden="1" outlineLevel="1" x14ac:dyDescent="0.25">
      <c r="A90" s="44" t="s">
        <v>97</v>
      </c>
      <c r="B90" s="21"/>
      <c r="C90" s="28"/>
      <c r="D90" s="28"/>
      <c r="E90" s="28"/>
      <c r="F90" s="22">
        <f>+[3]Hoja1!$G$29</f>
        <v>14500000</v>
      </c>
      <c r="G90" s="28"/>
      <c r="H90" s="21">
        <f>+B90+C90+D90+G90+E90+F90</f>
        <v>14500000</v>
      </c>
      <c r="I90" s="28"/>
      <c r="J90" s="22">
        <f>+H90+I90</f>
        <v>14500000</v>
      </c>
      <c r="K90" s="22">
        <v>9383402</v>
      </c>
      <c r="L90" s="22">
        <f t="shared" si="12"/>
        <v>-5116598</v>
      </c>
      <c r="M90" s="23">
        <f t="shared" si="13"/>
        <v>0.64713117241379314</v>
      </c>
    </row>
    <row r="91" spans="1:13" s="43" customFormat="1" ht="15" hidden="1" outlineLevel="1" x14ac:dyDescent="0.25">
      <c r="A91" s="44" t="s">
        <v>98</v>
      </c>
      <c r="B91" s="21"/>
      <c r="C91" s="28"/>
      <c r="D91" s="28"/>
      <c r="E91" s="28"/>
      <c r="F91" s="22">
        <f>+[3]Hoja1!$G$30</f>
        <v>8550000</v>
      </c>
      <c r="G91" s="28"/>
      <c r="H91" s="21">
        <f>+B91+C91+D91+G91+E91+F91</f>
        <v>8550000</v>
      </c>
      <c r="I91" s="28"/>
      <c r="J91" s="22">
        <f>+H91+I91</f>
        <v>8550000</v>
      </c>
      <c r="K91" s="22">
        <v>0</v>
      </c>
      <c r="L91" s="22">
        <f t="shared" si="12"/>
        <v>-8550000</v>
      </c>
      <c r="M91" s="23">
        <f t="shared" si="13"/>
        <v>0</v>
      </c>
    </row>
    <row r="92" spans="1:13" s="43" customFormat="1" ht="15" collapsed="1" x14ac:dyDescent="0.25">
      <c r="A92" s="45" t="s">
        <v>99</v>
      </c>
      <c r="B92" s="21"/>
      <c r="C92" s="28"/>
      <c r="D92" s="28"/>
      <c r="E92" s="28"/>
      <c r="F92" s="28">
        <f>SUM(F93:F103)</f>
        <v>652951739.97000003</v>
      </c>
      <c r="G92" s="28"/>
      <c r="H92" s="28">
        <f>SUM(H93:H103)</f>
        <v>652951739.97000003</v>
      </c>
      <c r="I92" s="28"/>
      <c r="J92" s="28">
        <f>SUM(J93:J103)</f>
        <v>652951739.97000003</v>
      </c>
      <c r="K92" s="28">
        <f>SUM(K93:K103)</f>
        <v>601963754</v>
      </c>
      <c r="L92" s="28">
        <f t="shared" si="12"/>
        <v>-50987985.970000029</v>
      </c>
      <c r="M92" s="19">
        <f t="shared" si="13"/>
        <v>0.92191155509847833</v>
      </c>
    </row>
    <row r="93" spans="1:13" s="43" customFormat="1" ht="15" hidden="1" outlineLevel="1" x14ac:dyDescent="0.25">
      <c r="A93" s="44" t="s">
        <v>100</v>
      </c>
      <c r="B93" s="21"/>
      <c r="C93" s="28"/>
      <c r="D93" s="28"/>
      <c r="E93" s="28"/>
      <c r="F93" s="22">
        <f>+[3]Hoja1!$G$32</f>
        <v>64300000</v>
      </c>
      <c r="G93" s="28"/>
      <c r="H93" s="21">
        <f t="shared" ref="H93:H108" si="18">+B93+C93+D93+G93+E93+F93</f>
        <v>64300000</v>
      </c>
      <c r="I93" s="28"/>
      <c r="J93" s="22">
        <f t="shared" ref="J93:J108" si="19">+H93+I93</f>
        <v>64300000</v>
      </c>
      <c r="K93" s="22">
        <v>35602538</v>
      </c>
      <c r="L93" s="22">
        <f t="shared" si="12"/>
        <v>-28697462</v>
      </c>
      <c r="M93" s="23">
        <f t="shared" si="13"/>
        <v>0.55369421461897361</v>
      </c>
    </row>
    <row r="94" spans="1:13" s="43" customFormat="1" ht="15" hidden="1" outlineLevel="1" x14ac:dyDescent="0.25">
      <c r="A94" s="44" t="s">
        <v>101</v>
      </c>
      <c r="B94" s="21"/>
      <c r="C94" s="28"/>
      <c r="D94" s="28"/>
      <c r="E94" s="28"/>
      <c r="F94" s="22">
        <f>+[3]Hoja1!$G$33</f>
        <v>23455180.799999997</v>
      </c>
      <c r="G94" s="28"/>
      <c r="H94" s="21">
        <f t="shared" si="18"/>
        <v>23455180.799999997</v>
      </c>
      <c r="I94" s="28"/>
      <c r="J94" s="22">
        <f t="shared" si="19"/>
        <v>23455180.799999997</v>
      </c>
      <c r="K94" s="22">
        <v>23455182</v>
      </c>
      <c r="L94" s="22">
        <f t="shared" si="12"/>
        <v>1.2000000029802322</v>
      </c>
      <c r="M94" s="23">
        <f t="shared" si="13"/>
        <v>1.0000000511614049</v>
      </c>
    </row>
    <row r="95" spans="1:13" s="43" customFormat="1" ht="15" hidden="1" outlineLevel="1" x14ac:dyDescent="0.25">
      <c r="A95" s="44" t="s">
        <v>102</v>
      </c>
      <c r="B95" s="21"/>
      <c r="C95" s="28"/>
      <c r="D95" s="28"/>
      <c r="E95" s="28"/>
      <c r="F95" s="22">
        <f>+[3]Hoja1!$G$34</f>
        <v>8000000</v>
      </c>
      <c r="G95" s="28"/>
      <c r="H95" s="21">
        <f t="shared" si="18"/>
        <v>8000000</v>
      </c>
      <c r="I95" s="28"/>
      <c r="J95" s="22">
        <f t="shared" si="19"/>
        <v>8000000</v>
      </c>
      <c r="K95" s="22">
        <v>4768560</v>
      </c>
      <c r="L95" s="22">
        <f t="shared" si="12"/>
        <v>-3231440</v>
      </c>
      <c r="M95" s="23">
        <f t="shared" si="13"/>
        <v>0.59606999999999999</v>
      </c>
    </row>
    <row r="96" spans="1:13" s="43" customFormat="1" ht="15" hidden="1" outlineLevel="1" x14ac:dyDescent="0.25">
      <c r="A96" s="44" t="s">
        <v>103</v>
      </c>
      <c r="B96" s="21"/>
      <c r="C96" s="28"/>
      <c r="D96" s="28"/>
      <c r="E96" s="28"/>
      <c r="F96" s="22"/>
      <c r="G96" s="28"/>
      <c r="H96" s="21">
        <f t="shared" si="18"/>
        <v>0</v>
      </c>
      <c r="I96" s="28"/>
      <c r="J96" s="22">
        <f t="shared" si="19"/>
        <v>0</v>
      </c>
      <c r="K96" s="22"/>
      <c r="L96" s="22">
        <f t="shared" si="12"/>
        <v>0</v>
      </c>
      <c r="M96" s="23">
        <f t="shared" si="13"/>
        <v>0</v>
      </c>
    </row>
    <row r="97" spans="1:13" s="43" customFormat="1" ht="15" hidden="1" outlineLevel="1" x14ac:dyDescent="0.25">
      <c r="A97" s="44" t="s">
        <v>104</v>
      </c>
      <c r="B97" s="21"/>
      <c r="C97" s="28"/>
      <c r="D97" s="28"/>
      <c r="E97" s="28"/>
      <c r="F97" s="22">
        <f>+[3]Hoja1!$G$36</f>
        <v>20000000</v>
      </c>
      <c r="G97" s="28"/>
      <c r="H97" s="21">
        <f t="shared" si="18"/>
        <v>20000000</v>
      </c>
      <c r="I97" s="28"/>
      <c r="J97" s="22">
        <f t="shared" si="19"/>
        <v>20000000</v>
      </c>
      <c r="K97" s="22">
        <v>8855992</v>
      </c>
      <c r="L97" s="22">
        <f t="shared" si="12"/>
        <v>-11144008</v>
      </c>
      <c r="M97" s="23">
        <f t="shared" si="13"/>
        <v>0.44279960000000002</v>
      </c>
    </row>
    <row r="98" spans="1:13" s="43" customFormat="1" ht="15" hidden="1" outlineLevel="1" x14ac:dyDescent="0.25">
      <c r="A98" s="44" t="s">
        <v>105</v>
      </c>
      <c r="B98" s="21"/>
      <c r="C98" s="28"/>
      <c r="D98" s="28"/>
      <c r="E98" s="28"/>
      <c r="F98" s="22">
        <f>+[3]Hoja1!$G$37</f>
        <v>30000000</v>
      </c>
      <c r="G98" s="28"/>
      <c r="H98" s="21">
        <f t="shared" si="18"/>
        <v>30000000</v>
      </c>
      <c r="I98" s="28"/>
      <c r="J98" s="22">
        <f t="shared" si="19"/>
        <v>30000000</v>
      </c>
      <c r="K98" s="22">
        <v>28628425</v>
      </c>
      <c r="L98" s="22">
        <f t="shared" si="12"/>
        <v>-1371575</v>
      </c>
      <c r="M98" s="23">
        <f t="shared" si="13"/>
        <v>0.95428083333333336</v>
      </c>
    </row>
    <row r="99" spans="1:13" s="43" customFormat="1" ht="15" hidden="1" outlineLevel="1" x14ac:dyDescent="0.25">
      <c r="A99" s="44" t="s">
        <v>106</v>
      </c>
      <c r="B99" s="21"/>
      <c r="C99" s="28"/>
      <c r="D99" s="28"/>
      <c r="E99" s="28"/>
      <c r="F99" s="22">
        <f>+[3]Hoja1!$G$38</f>
        <v>47196559.170000002</v>
      </c>
      <c r="G99" s="28"/>
      <c r="H99" s="21">
        <f t="shared" si="18"/>
        <v>47196559.170000002</v>
      </c>
      <c r="I99" s="28"/>
      <c r="J99" s="22">
        <f t="shared" si="19"/>
        <v>47196559.170000002</v>
      </c>
      <c r="K99" s="22">
        <v>41952496</v>
      </c>
      <c r="L99" s="22">
        <f t="shared" si="12"/>
        <v>-5244063.1700000018</v>
      </c>
      <c r="M99" s="23">
        <f t="shared" si="13"/>
        <v>0.8888888668533842</v>
      </c>
    </row>
    <row r="100" spans="1:13" s="43" customFormat="1" ht="15" hidden="1" outlineLevel="1" x14ac:dyDescent="0.25">
      <c r="A100" s="44" t="s">
        <v>107</v>
      </c>
      <c r="B100" s="21"/>
      <c r="C100" s="28"/>
      <c r="D100" s="28"/>
      <c r="E100" s="28"/>
      <c r="F100" s="22"/>
      <c r="G100" s="28"/>
      <c r="H100" s="21">
        <f t="shared" si="18"/>
        <v>0</v>
      </c>
      <c r="I100" s="28"/>
      <c r="J100" s="22">
        <f t="shared" si="19"/>
        <v>0</v>
      </c>
      <c r="K100" s="22"/>
      <c r="L100" s="22">
        <f t="shared" si="12"/>
        <v>0</v>
      </c>
      <c r="M100" s="23">
        <f t="shared" si="13"/>
        <v>0</v>
      </c>
    </row>
    <row r="101" spans="1:13" s="43" customFormat="1" ht="15" hidden="1" outlineLevel="1" x14ac:dyDescent="0.25">
      <c r="A101" s="44" t="s">
        <v>108</v>
      </c>
      <c r="B101" s="21"/>
      <c r="C101" s="28"/>
      <c r="D101" s="28"/>
      <c r="E101" s="28"/>
      <c r="F101" s="22">
        <f>+[3]Hoja1!$G$40</f>
        <v>15000000</v>
      </c>
      <c r="G101" s="28"/>
      <c r="H101" s="21">
        <f>+B101+C101+D101+G101+E101+F101</f>
        <v>15000000</v>
      </c>
      <c r="I101" s="28"/>
      <c r="J101" s="22">
        <f t="shared" si="19"/>
        <v>15000000</v>
      </c>
      <c r="K101" s="22">
        <v>13967586</v>
      </c>
      <c r="L101" s="22">
        <f t="shared" si="12"/>
        <v>-1032414</v>
      </c>
      <c r="M101" s="23">
        <f t="shared" si="13"/>
        <v>0.93117240000000001</v>
      </c>
    </row>
    <row r="102" spans="1:13" s="43" customFormat="1" ht="15" hidden="1" outlineLevel="1" x14ac:dyDescent="0.25">
      <c r="A102" s="44" t="s">
        <v>109</v>
      </c>
      <c r="B102" s="21"/>
      <c r="C102" s="28"/>
      <c r="D102" s="28"/>
      <c r="E102" s="28"/>
      <c r="F102" s="22">
        <f>+[3]Hoja1!$G$41</f>
        <v>406000000</v>
      </c>
      <c r="G102" s="28"/>
      <c r="H102" s="21">
        <f>+B102+C102+D102+G102+E102+F102</f>
        <v>406000000</v>
      </c>
      <c r="I102" s="28"/>
      <c r="J102" s="22">
        <f t="shared" si="19"/>
        <v>406000000</v>
      </c>
      <c r="K102" s="22">
        <v>405885200</v>
      </c>
      <c r="L102" s="22">
        <f t="shared" si="12"/>
        <v>-114800</v>
      </c>
      <c r="M102" s="23">
        <f t="shared" si="13"/>
        <v>0.9997172413793104</v>
      </c>
    </row>
    <row r="103" spans="1:13" s="43" customFormat="1" ht="15" hidden="1" outlineLevel="1" x14ac:dyDescent="0.25">
      <c r="A103" s="44" t="s">
        <v>110</v>
      </c>
      <c r="B103" s="21"/>
      <c r="C103" s="28"/>
      <c r="D103" s="28"/>
      <c r="E103" s="28"/>
      <c r="F103" s="22">
        <f>+[3]Hoja1!$G$42</f>
        <v>39000000</v>
      </c>
      <c r="G103" s="28"/>
      <c r="H103" s="21">
        <f>+B103+C103+D103+G103+E103+F103</f>
        <v>39000000</v>
      </c>
      <c r="I103" s="28"/>
      <c r="J103" s="22">
        <f t="shared" si="19"/>
        <v>39000000</v>
      </c>
      <c r="K103" s="22">
        <v>38847775</v>
      </c>
      <c r="L103" s="22">
        <f t="shared" si="12"/>
        <v>-152225</v>
      </c>
      <c r="M103" s="23">
        <f t="shared" si="13"/>
        <v>0.99609679487179492</v>
      </c>
    </row>
    <row r="104" spans="1:13" s="43" customFormat="1" ht="15" collapsed="1" x14ac:dyDescent="0.25">
      <c r="A104" s="45" t="s">
        <v>111</v>
      </c>
      <c r="B104" s="18"/>
      <c r="C104" s="18"/>
      <c r="D104" s="18"/>
      <c r="E104" s="18"/>
      <c r="F104" s="18">
        <f>SUM(F105:F108)</f>
        <v>101205238</v>
      </c>
      <c r="G104" s="18"/>
      <c r="H104" s="18">
        <f t="shared" si="18"/>
        <v>101205238</v>
      </c>
      <c r="I104" s="18"/>
      <c r="J104" s="18">
        <f t="shared" si="19"/>
        <v>101205238</v>
      </c>
      <c r="K104" s="18">
        <f>SUM(K105:K108)</f>
        <v>98659709</v>
      </c>
      <c r="L104" s="18">
        <f t="shared" si="12"/>
        <v>-2545529</v>
      </c>
      <c r="M104" s="19">
        <f t="shared" si="13"/>
        <v>0.97484785323067957</v>
      </c>
    </row>
    <row r="105" spans="1:13" s="43" customFormat="1" ht="15" hidden="1" outlineLevel="1" x14ac:dyDescent="0.25">
      <c r="A105" s="44" t="s">
        <v>112</v>
      </c>
      <c r="B105" s="21"/>
      <c r="C105" s="28"/>
      <c r="D105" s="28"/>
      <c r="E105" s="28"/>
      <c r="F105" s="22">
        <f>+[3]Hoja1!$G$44</f>
        <v>27794876</v>
      </c>
      <c r="G105" s="28"/>
      <c r="H105" s="21">
        <f t="shared" si="18"/>
        <v>27794876</v>
      </c>
      <c r="I105" s="28"/>
      <c r="J105" s="22">
        <f t="shared" si="19"/>
        <v>27794876</v>
      </c>
      <c r="K105" s="22">
        <v>25759342</v>
      </c>
      <c r="L105" s="22">
        <f t="shared" si="12"/>
        <v>-2035534</v>
      </c>
      <c r="M105" s="23">
        <f t="shared" si="13"/>
        <v>0.9267658542531364</v>
      </c>
    </row>
    <row r="106" spans="1:13" s="43" customFormat="1" ht="15" hidden="1" outlineLevel="1" x14ac:dyDescent="0.25">
      <c r="A106" s="44" t="s">
        <v>113</v>
      </c>
      <c r="B106" s="21"/>
      <c r="C106" s="28"/>
      <c r="D106" s="28"/>
      <c r="E106" s="28"/>
      <c r="F106" s="22">
        <f>+[3]Hoja1!$G$45</f>
        <v>46910362</v>
      </c>
      <c r="G106" s="28"/>
      <c r="H106" s="21">
        <f t="shared" si="18"/>
        <v>46910362</v>
      </c>
      <c r="I106" s="28"/>
      <c r="J106" s="22">
        <f t="shared" si="19"/>
        <v>46910362</v>
      </c>
      <c r="K106" s="22">
        <v>46910364</v>
      </c>
      <c r="L106" s="22">
        <f t="shared" si="12"/>
        <v>2</v>
      </c>
      <c r="M106" s="23">
        <f t="shared" si="13"/>
        <v>1.0000000426345037</v>
      </c>
    </row>
    <row r="107" spans="1:13" s="43" customFormat="1" ht="15" hidden="1" outlineLevel="1" x14ac:dyDescent="0.25">
      <c r="A107" s="44" t="s">
        <v>114</v>
      </c>
      <c r="B107" s="21"/>
      <c r="C107" s="28"/>
      <c r="D107" s="28"/>
      <c r="E107" s="28"/>
      <c r="F107" s="22">
        <f>+[3]Hoja1!$G$46</f>
        <v>17000000</v>
      </c>
      <c r="G107" s="28"/>
      <c r="H107" s="21">
        <f t="shared" si="18"/>
        <v>17000000</v>
      </c>
      <c r="I107" s="28"/>
      <c r="J107" s="22">
        <f t="shared" si="19"/>
        <v>17000000</v>
      </c>
      <c r="K107" s="22">
        <v>16890860</v>
      </c>
      <c r="L107" s="22">
        <f t="shared" si="12"/>
        <v>-109140</v>
      </c>
      <c r="M107" s="23">
        <f t="shared" si="13"/>
        <v>0.99358000000000002</v>
      </c>
    </row>
    <row r="108" spans="1:13" s="43" customFormat="1" ht="15" hidden="1" outlineLevel="1" x14ac:dyDescent="0.25">
      <c r="A108" s="44" t="s">
        <v>115</v>
      </c>
      <c r="B108" s="21"/>
      <c r="C108" s="28"/>
      <c r="D108" s="28"/>
      <c r="E108" s="28"/>
      <c r="F108" s="22">
        <f>+[3]Hoja1!$G$47</f>
        <v>9500000</v>
      </c>
      <c r="G108" s="28"/>
      <c r="H108" s="21">
        <f t="shared" si="18"/>
        <v>9500000</v>
      </c>
      <c r="I108" s="28"/>
      <c r="J108" s="22">
        <f t="shared" si="19"/>
        <v>9500000</v>
      </c>
      <c r="K108" s="22">
        <v>9099143</v>
      </c>
      <c r="L108" s="22">
        <f t="shared" si="12"/>
        <v>-400857</v>
      </c>
      <c r="M108" s="23">
        <f t="shared" si="13"/>
        <v>0.9578045263157895</v>
      </c>
    </row>
    <row r="109" spans="1:13" s="43" customFormat="1" ht="15" collapsed="1" x14ac:dyDescent="0.25">
      <c r="A109" s="44"/>
      <c r="B109" s="21"/>
      <c r="C109" s="28"/>
      <c r="D109" s="28"/>
      <c r="E109" s="28"/>
      <c r="F109" s="22"/>
      <c r="G109" s="28"/>
      <c r="H109" s="21"/>
      <c r="I109" s="28"/>
      <c r="J109" s="22"/>
      <c r="K109" s="22"/>
      <c r="L109" s="22"/>
      <c r="M109" s="23"/>
    </row>
    <row r="110" spans="1:13" s="43" customFormat="1" ht="15" x14ac:dyDescent="0.25">
      <c r="A110" s="45" t="s">
        <v>116</v>
      </c>
      <c r="B110" s="28"/>
      <c r="C110" s="28"/>
      <c r="D110" s="28"/>
      <c r="E110" s="28"/>
      <c r="F110" s="28"/>
      <c r="G110" s="28">
        <f>+G111+G116+G119+G125+G128</f>
        <v>4402700000</v>
      </c>
      <c r="H110" s="28">
        <f>+H111+H116+H119+H125+H128</f>
        <v>4402700000</v>
      </c>
      <c r="I110" s="28"/>
      <c r="J110" s="28">
        <f>+J111+J116+J119+J125+J128</f>
        <v>4402700000</v>
      </c>
      <c r="K110" s="28">
        <f>+K111+K116+K119+K125+K128</f>
        <v>3698848127</v>
      </c>
      <c r="L110" s="28">
        <f t="shared" si="12"/>
        <v>-703851873</v>
      </c>
      <c r="M110" s="19">
        <f t="shared" ref="M110:M145" si="20">IFERROR(K110/J110,0)</f>
        <v>0.84013176618892949</v>
      </c>
    </row>
    <row r="111" spans="1:13" s="43" customFormat="1" ht="15" x14ac:dyDescent="0.25">
      <c r="A111" s="45" t="s">
        <v>117</v>
      </c>
      <c r="B111" s="28"/>
      <c r="C111" s="28"/>
      <c r="D111" s="28"/>
      <c r="E111" s="18"/>
      <c r="F111" s="28"/>
      <c r="G111" s="18">
        <f>SUM(G112:G115)</f>
        <v>1339800000</v>
      </c>
      <c r="H111" s="18">
        <f>SUM(H112:H115)</f>
        <v>1339800000</v>
      </c>
      <c r="I111" s="28"/>
      <c r="J111" s="18">
        <f>SUM(J112:J115)</f>
        <v>1339800000</v>
      </c>
      <c r="K111" s="18">
        <f>SUM(K112:K115)</f>
        <v>1206217092</v>
      </c>
      <c r="L111" s="18">
        <f t="shared" si="12"/>
        <v>-133582908</v>
      </c>
      <c r="M111" s="19">
        <f t="shared" si="20"/>
        <v>0.90029638154948499</v>
      </c>
    </row>
    <row r="112" spans="1:13" s="43" customFormat="1" ht="15" hidden="1" outlineLevel="1" x14ac:dyDescent="0.25">
      <c r="A112" s="44" t="s">
        <v>118</v>
      </c>
      <c r="B112" s="28"/>
      <c r="C112" s="28"/>
      <c r="D112" s="28"/>
      <c r="E112" s="21"/>
      <c r="F112" s="28"/>
      <c r="G112" s="21">
        <f>+'[4]II TRIMESTRE PPC'!$B$23+19140000+9500000</f>
        <v>718640000</v>
      </c>
      <c r="H112" s="21">
        <f>+B112+C112+D112+G112+E112+F112</f>
        <v>718640000</v>
      </c>
      <c r="I112" s="28"/>
      <c r="J112" s="22">
        <f>+H112+I112</f>
        <v>718640000</v>
      </c>
      <c r="K112" s="22">
        <v>718578219</v>
      </c>
      <c r="L112" s="22">
        <f t="shared" si="12"/>
        <v>-61781</v>
      </c>
      <c r="M112" s="23">
        <f t="shared" si="20"/>
        <v>0.9999140306690415</v>
      </c>
    </row>
    <row r="113" spans="1:13" s="43" customFormat="1" ht="15" hidden="1" outlineLevel="1" x14ac:dyDescent="0.25">
      <c r="A113" s="44" t="s">
        <v>119</v>
      </c>
      <c r="B113" s="28"/>
      <c r="C113" s="28"/>
      <c r="D113" s="28"/>
      <c r="E113" s="21"/>
      <c r="F113" s="28"/>
      <c r="G113" s="21">
        <f>+'[4]II TRIMESTRE PPC'!$B$26</f>
        <v>76800000</v>
      </c>
      <c r="H113" s="21">
        <f>+B113+C113+D113+G113+E113+F113</f>
        <v>76800000</v>
      </c>
      <c r="I113" s="28"/>
      <c r="J113" s="22">
        <f>+H113+I113</f>
        <v>76800000</v>
      </c>
      <c r="K113" s="22">
        <v>76507827</v>
      </c>
      <c r="L113" s="22">
        <f t="shared" si="12"/>
        <v>-292173</v>
      </c>
      <c r="M113" s="23">
        <f t="shared" si="20"/>
        <v>0.99619566406250004</v>
      </c>
    </row>
    <row r="114" spans="1:13" s="43" customFormat="1" ht="15" hidden="1" outlineLevel="1" x14ac:dyDescent="0.25">
      <c r="A114" s="44" t="s">
        <v>120</v>
      </c>
      <c r="B114" s="28"/>
      <c r="C114" s="28"/>
      <c r="D114" s="28"/>
      <c r="E114" s="21"/>
      <c r="F114" s="28"/>
      <c r="G114" s="21">
        <f>+'[4]II TRIMESTRE PPC'!$B$39</f>
        <v>23000000</v>
      </c>
      <c r="H114" s="21">
        <f>+B114+C114+D114+G114+E114+F114</f>
        <v>23000000</v>
      </c>
      <c r="I114" s="28"/>
      <c r="J114" s="22">
        <f>+H114+I114</f>
        <v>23000000</v>
      </c>
      <c r="K114" s="22">
        <v>22052822</v>
      </c>
      <c r="L114" s="22">
        <f t="shared" si="12"/>
        <v>-947178</v>
      </c>
      <c r="M114" s="23">
        <f t="shared" si="20"/>
        <v>0.95881834782608699</v>
      </c>
    </row>
    <row r="115" spans="1:13" s="43" customFormat="1" ht="15" hidden="1" outlineLevel="1" x14ac:dyDescent="0.25">
      <c r="A115" s="44" t="s">
        <v>121</v>
      </c>
      <c r="B115" s="28"/>
      <c r="C115" s="28"/>
      <c r="D115" s="28"/>
      <c r="E115" s="21"/>
      <c r="F115" s="28"/>
      <c r="G115" s="21">
        <f>+'[4]II TRIMESTRE PPC'!$B$43-19140000-9500000</f>
        <v>521360000</v>
      </c>
      <c r="H115" s="21">
        <f>+B115+C115+D115+G115+E115+F115</f>
        <v>521360000</v>
      </c>
      <c r="I115" s="28"/>
      <c r="J115" s="22">
        <f>+H115+I115</f>
        <v>521360000</v>
      </c>
      <c r="K115" s="22">
        <v>389078224</v>
      </c>
      <c r="L115" s="22">
        <f t="shared" si="12"/>
        <v>-132281776</v>
      </c>
      <c r="M115" s="23">
        <f t="shared" si="20"/>
        <v>0.74627555623753261</v>
      </c>
    </row>
    <row r="116" spans="1:13" s="43" customFormat="1" ht="15" collapsed="1" x14ac:dyDescent="0.25">
      <c r="A116" s="45" t="s">
        <v>122</v>
      </c>
      <c r="B116" s="28"/>
      <c r="C116" s="28"/>
      <c r="D116" s="28"/>
      <c r="E116" s="18"/>
      <c r="F116" s="28"/>
      <c r="G116" s="18">
        <f>SUM(G117:G118)</f>
        <v>171500000</v>
      </c>
      <c r="H116" s="18">
        <f>SUM(H117:H118)</f>
        <v>171500000</v>
      </c>
      <c r="I116" s="28"/>
      <c r="J116" s="18">
        <f>SUM(J117:J118)</f>
        <v>171500000</v>
      </c>
      <c r="K116" s="18">
        <f>SUM(K117:K118)</f>
        <v>101866050</v>
      </c>
      <c r="L116" s="18">
        <f t="shared" si="12"/>
        <v>-69633950</v>
      </c>
      <c r="M116" s="19">
        <f t="shared" si="20"/>
        <v>0.59397113702623905</v>
      </c>
    </row>
    <row r="117" spans="1:13" s="43" customFormat="1" ht="15" hidden="1" outlineLevel="1" x14ac:dyDescent="0.25">
      <c r="A117" s="44" t="s">
        <v>123</v>
      </c>
      <c r="B117" s="28"/>
      <c r="C117" s="28"/>
      <c r="D117" s="28"/>
      <c r="E117" s="21"/>
      <c r="F117" s="28"/>
      <c r="G117" s="21">
        <f>+'[4]II TRIMESTRE PPC'!$B$47</f>
        <v>115500000</v>
      </c>
      <c r="H117" s="21">
        <f>+B117+C117+D117+G117+E117+F117</f>
        <v>115500000</v>
      </c>
      <c r="I117" s="28"/>
      <c r="J117" s="22">
        <f>+H117+I117</f>
        <v>115500000</v>
      </c>
      <c r="K117" s="22">
        <v>90513450</v>
      </c>
      <c r="L117" s="22">
        <f t="shared" si="12"/>
        <v>-24986550</v>
      </c>
      <c r="M117" s="23">
        <f t="shared" si="20"/>
        <v>0.78366623376623379</v>
      </c>
    </row>
    <row r="118" spans="1:13" s="43" customFormat="1" ht="15" hidden="1" outlineLevel="1" x14ac:dyDescent="0.25">
      <c r="A118" s="44" t="s">
        <v>124</v>
      </c>
      <c r="B118" s="28"/>
      <c r="C118" s="28"/>
      <c r="D118" s="28"/>
      <c r="E118" s="21"/>
      <c r="F118" s="28"/>
      <c r="G118" s="21">
        <f>+'[4]II TRIMESTRE PPC'!$B$53</f>
        <v>56000000</v>
      </c>
      <c r="H118" s="21">
        <f>+B118+C118+D118+G118+E118+F118</f>
        <v>56000000</v>
      </c>
      <c r="I118" s="28"/>
      <c r="J118" s="22">
        <f>+H118+I118</f>
        <v>56000000</v>
      </c>
      <c r="K118" s="22">
        <v>11352600</v>
      </c>
      <c r="L118" s="22">
        <f t="shared" si="12"/>
        <v>-44647400</v>
      </c>
      <c r="M118" s="23">
        <f t="shared" si="20"/>
        <v>0.20272499999999999</v>
      </c>
    </row>
    <row r="119" spans="1:13" s="43" customFormat="1" ht="15" collapsed="1" x14ac:dyDescent="0.25">
      <c r="A119" s="45" t="s">
        <v>125</v>
      </c>
      <c r="B119" s="28"/>
      <c r="C119" s="28"/>
      <c r="D119" s="28"/>
      <c r="E119" s="18"/>
      <c r="F119" s="28"/>
      <c r="G119" s="18">
        <f>SUM(G120:G124)</f>
        <v>490400000</v>
      </c>
      <c r="H119" s="18">
        <f>SUM(H120:H124)</f>
        <v>490400000</v>
      </c>
      <c r="I119" s="28"/>
      <c r="J119" s="18">
        <f>SUM(J120:J124)</f>
        <v>490400000</v>
      </c>
      <c r="K119" s="18">
        <f>SUM(K120:K124)</f>
        <v>250150082</v>
      </c>
      <c r="L119" s="18">
        <f t="shared" si="12"/>
        <v>-240249918</v>
      </c>
      <c r="M119" s="19">
        <f t="shared" si="20"/>
        <v>0.51009396818923325</v>
      </c>
    </row>
    <row r="120" spans="1:13" s="43" customFormat="1" ht="15" hidden="1" outlineLevel="1" x14ac:dyDescent="0.25">
      <c r="A120" s="44" t="s">
        <v>126</v>
      </c>
      <c r="B120" s="28"/>
      <c r="C120" s="28"/>
      <c r="D120" s="28"/>
      <c r="E120" s="21"/>
      <c r="F120" s="28"/>
      <c r="G120" s="21">
        <f>+'[4]II TRIMESTRE PPC'!$B$61</f>
        <v>50000000</v>
      </c>
      <c r="H120" s="21">
        <f>+B120+C120+D120+G120+E120+F120</f>
        <v>50000000</v>
      </c>
      <c r="I120" s="28"/>
      <c r="J120" s="22">
        <f>+H120+I120</f>
        <v>50000000</v>
      </c>
      <c r="K120" s="22">
        <v>27293602</v>
      </c>
      <c r="L120" s="22">
        <f t="shared" si="12"/>
        <v>-22706398</v>
      </c>
      <c r="M120" s="23">
        <f t="shared" si="20"/>
        <v>0.54587204</v>
      </c>
    </row>
    <row r="121" spans="1:13" s="43" customFormat="1" ht="15" hidden="1" outlineLevel="1" x14ac:dyDescent="0.25">
      <c r="A121" s="44" t="s">
        <v>127</v>
      </c>
      <c r="B121" s="28"/>
      <c r="C121" s="28"/>
      <c r="D121" s="28"/>
      <c r="E121" s="21"/>
      <c r="F121" s="28"/>
      <c r="G121" s="21">
        <f>+'[4]II TRIMESTRE PPC'!$B$62</f>
        <v>319700000</v>
      </c>
      <c r="H121" s="21">
        <f>+B121+C121+D121+G121+E121+F121</f>
        <v>319700000</v>
      </c>
      <c r="I121" s="28"/>
      <c r="J121" s="22">
        <f>+H121+I121</f>
        <v>319700000</v>
      </c>
      <c r="K121" s="22">
        <v>158568206</v>
      </c>
      <c r="L121" s="22">
        <f t="shared" si="12"/>
        <v>-161131794</v>
      </c>
      <c r="M121" s="23">
        <f t="shared" si="20"/>
        <v>0.49599063497028462</v>
      </c>
    </row>
    <row r="122" spans="1:13" s="43" customFormat="1" ht="15" hidden="1" outlineLevel="1" x14ac:dyDescent="0.25">
      <c r="A122" s="44" t="s">
        <v>128</v>
      </c>
      <c r="B122" s="28"/>
      <c r="C122" s="28"/>
      <c r="D122" s="28"/>
      <c r="E122" s="21"/>
      <c r="F122" s="28"/>
      <c r="G122" s="21">
        <f>+'[4]II TRIMESTRE PPC'!$B$63</f>
        <v>19000000</v>
      </c>
      <c r="H122" s="21">
        <f>+B122+C122+D122+G122+E122+F122</f>
        <v>19000000</v>
      </c>
      <c r="I122" s="28"/>
      <c r="J122" s="22">
        <f>+H122+I122</f>
        <v>19000000</v>
      </c>
      <c r="K122" s="22">
        <v>12298078</v>
      </c>
      <c r="L122" s="22">
        <f t="shared" si="12"/>
        <v>-6701922</v>
      </c>
      <c r="M122" s="23">
        <f t="shared" si="20"/>
        <v>0.64726726315789473</v>
      </c>
    </row>
    <row r="123" spans="1:13" s="43" customFormat="1" ht="15" hidden="1" outlineLevel="1" x14ac:dyDescent="0.25">
      <c r="A123" s="44" t="s">
        <v>129</v>
      </c>
      <c r="B123" s="28"/>
      <c r="C123" s="28"/>
      <c r="D123" s="28"/>
      <c r="E123" s="21"/>
      <c r="F123" s="28"/>
      <c r="G123" s="21">
        <f>+'[4]II TRIMESTRE PPC'!$B$64</f>
        <v>100000000</v>
      </c>
      <c r="H123" s="21">
        <f>+B123+C123+D123+G123+E123+F123</f>
        <v>100000000</v>
      </c>
      <c r="I123" s="28"/>
      <c r="J123" s="22">
        <f>+H123+I123</f>
        <v>100000000</v>
      </c>
      <c r="K123" s="22">
        <v>50344701</v>
      </c>
      <c r="L123" s="22">
        <f t="shared" si="12"/>
        <v>-49655299</v>
      </c>
      <c r="M123" s="23">
        <f t="shared" si="20"/>
        <v>0.50344701000000003</v>
      </c>
    </row>
    <row r="124" spans="1:13" s="43" customFormat="1" ht="15" hidden="1" outlineLevel="1" x14ac:dyDescent="0.25">
      <c r="A124" s="44" t="s">
        <v>130</v>
      </c>
      <c r="B124" s="28"/>
      <c r="C124" s="28"/>
      <c r="D124" s="28"/>
      <c r="E124" s="21"/>
      <c r="F124" s="28"/>
      <c r="G124" s="21">
        <f>+'[4]II TRIMESTRE PPC'!$B$65</f>
        <v>1700000</v>
      </c>
      <c r="H124" s="21">
        <f>+B124+C124+D124+G124+E124+F124</f>
        <v>1700000</v>
      </c>
      <c r="I124" s="28"/>
      <c r="J124" s="22">
        <f>+H124+I124</f>
        <v>1700000</v>
      </c>
      <c r="K124" s="22">
        <v>1645495</v>
      </c>
      <c r="L124" s="22">
        <f t="shared" si="12"/>
        <v>-54505</v>
      </c>
      <c r="M124" s="23">
        <f t="shared" si="20"/>
        <v>0.9679382352941176</v>
      </c>
    </row>
    <row r="125" spans="1:13" s="43" customFormat="1" ht="15" collapsed="1" x14ac:dyDescent="0.25">
      <c r="A125" s="45" t="s">
        <v>131</v>
      </c>
      <c r="B125" s="28"/>
      <c r="C125" s="28"/>
      <c r="D125" s="28"/>
      <c r="E125" s="18"/>
      <c r="F125" s="28"/>
      <c r="G125" s="18">
        <f>SUM(G126:G127)</f>
        <v>234000000</v>
      </c>
      <c r="H125" s="18">
        <f>SUM(H126:H127)</f>
        <v>234000000</v>
      </c>
      <c r="I125" s="28"/>
      <c r="J125" s="18">
        <f>SUM(J126:J127)</f>
        <v>234000000</v>
      </c>
      <c r="K125" s="18">
        <f>SUM(K126:K127)</f>
        <v>126207367</v>
      </c>
      <c r="L125" s="18">
        <f t="shared" si="12"/>
        <v>-107792633</v>
      </c>
      <c r="M125" s="19">
        <f t="shared" si="20"/>
        <v>0.53934772222222227</v>
      </c>
    </row>
    <row r="126" spans="1:13" s="43" customFormat="1" ht="15" hidden="1" outlineLevel="1" x14ac:dyDescent="0.25">
      <c r="A126" s="44" t="s">
        <v>132</v>
      </c>
      <c r="B126" s="28"/>
      <c r="C126" s="28"/>
      <c r="D126" s="28"/>
      <c r="E126" s="21"/>
      <c r="F126" s="28"/>
      <c r="G126" s="21">
        <f>+'[4]II TRIMESTRE PPC'!$B$67+12500000</f>
        <v>116500000</v>
      </c>
      <c r="H126" s="21">
        <f>+B126+C126+D126+G126+E126+F126</f>
        <v>116500000</v>
      </c>
      <c r="I126" s="28"/>
      <c r="J126" s="22">
        <f>+H126+I126</f>
        <v>116500000</v>
      </c>
      <c r="K126" s="22">
        <v>116411751</v>
      </c>
      <c r="L126" s="22">
        <f t="shared" si="12"/>
        <v>-88249</v>
      </c>
      <c r="M126" s="23">
        <f t="shared" si="20"/>
        <v>0.99924249785407726</v>
      </c>
    </row>
    <row r="127" spans="1:13" s="43" customFormat="1" ht="15" hidden="1" outlineLevel="1" x14ac:dyDescent="0.25">
      <c r="A127" s="44" t="s">
        <v>133</v>
      </c>
      <c r="B127" s="28"/>
      <c r="C127" s="28"/>
      <c r="D127" s="28"/>
      <c r="E127" s="21"/>
      <c r="F127" s="28"/>
      <c r="G127" s="21">
        <f>+'[4]II TRIMESTRE PPC'!$B$70-12500000</f>
        <v>117500000</v>
      </c>
      <c r="H127" s="21">
        <f>+B127+C127+D127+G127+E127+F127</f>
        <v>117500000</v>
      </c>
      <c r="I127" s="28"/>
      <c r="J127" s="22">
        <f>+H127+I127</f>
        <v>117500000</v>
      </c>
      <c r="K127" s="22">
        <v>9795616</v>
      </c>
      <c r="L127" s="22">
        <f t="shared" si="12"/>
        <v>-107704384</v>
      </c>
      <c r="M127" s="23">
        <f t="shared" si="20"/>
        <v>8.3366944680851068E-2</v>
      </c>
    </row>
    <row r="128" spans="1:13" s="43" customFormat="1" ht="15" collapsed="1" x14ac:dyDescent="0.25">
      <c r="A128" s="45" t="s">
        <v>134</v>
      </c>
      <c r="B128" s="28"/>
      <c r="C128" s="28"/>
      <c r="D128" s="28"/>
      <c r="E128" s="28"/>
      <c r="F128" s="28"/>
      <c r="G128" s="28">
        <f>SUM(G129:G131)</f>
        <v>2167000000</v>
      </c>
      <c r="H128" s="28">
        <f>SUM(H129:H131)</f>
        <v>2167000000</v>
      </c>
      <c r="I128" s="28"/>
      <c r="J128" s="28">
        <f>SUM(J129:J131)</f>
        <v>2167000000</v>
      </c>
      <c r="K128" s="28">
        <f>SUM(K129:K131)</f>
        <v>2014407536</v>
      </c>
      <c r="L128" s="28">
        <f t="shared" si="12"/>
        <v>-152592464</v>
      </c>
      <c r="M128" s="19">
        <f t="shared" si="20"/>
        <v>0.9295835422242732</v>
      </c>
    </row>
    <row r="129" spans="1:13" s="43" customFormat="1" ht="15" hidden="1" outlineLevel="1" x14ac:dyDescent="0.25">
      <c r="A129" s="44" t="s">
        <v>135</v>
      </c>
      <c r="B129" s="28"/>
      <c r="C129" s="28"/>
      <c r="D129" s="28"/>
      <c r="E129" s="22"/>
      <c r="F129" s="28"/>
      <c r="G129" s="22">
        <f>+'[4]II TRIMESTRE PPC'!$B$72</f>
        <v>2120000000</v>
      </c>
      <c r="H129" s="21">
        <f>+B129+C129+D129+G129+E129+F129</f>
        <v>2120000000</v>
      </c>
      <c r="I129" s="28"/>
      <c r="J129" s="22">
        <f>+H129+I129</f>
        <v>2120000000</v>
      </c>
      <c r="K129" s="22">
        <v>1971837595</v>
      </c>
      <c r="L129" s="22">
        <f t="shared" si="12"/>
        <v>-148162405</v>
      </c>
      <c r="M129" s="23">
        <f t="shared" si="20"/>
        <v>0.93011207311320754</v>
      </c>
    </row>
    <row r="130" spans="1:13" s="43" customFormat="1" ht="15" hidden="1" outlineLevel="1" x14ac:dyDescent="0.25">
      <c r="A130" s="44" t="s">
        <v>136</v>
      </c>
      <c r="B130" s="28"/>
      <c r="C130" s="28"/>
      <c r="D130" s="28"/>
      <c r="E130" s="22"/>
      <c r="F130" s="28"/>
      <c r="G130" s="22">
        <f>+'[4]II TRIMESTRE PPC'!$B$75</f>
        <v>27000000</v>
      </c>
      <c r="H130" s="21">
        <f>+B130+C130+D130+G130+E130+F130</f>
        <v>27000000</v>
      </c>
      <c r="I130" s="28"/>
      <c r="J130" s="22">
        <f>+H130+I130</f>
        <v>27000000</v>
      </c>
      <c r="K130" s="22">
        <v>24572520</v>
      </c>
      <c r="L130" s="22">
        <f t="shared" si="12"/>
        <v>-2427480</v>
      </c>
      <c r="M130" s="23">
        <f t="shared" si="20"/>
        <v>0.91009333333333331</v>
      </c>
    </row>
    <row r="131" spans="1:13" s="43" customFormat="1" ht="15" hidden="1" outlineLevel="1" x14ac:dyDescent="0.25">
      <c r="A131" s="44" t="s">
        <v>137</v>
      </c>
      <c r="B131" s="28"/>
      <c r="C131" s="28"/>
      <c r="D131" s="28"/>
      <c r="E131" s="22"/>
      <c r="F131" s="28"/>
      <c r="G131" s="22">
        <f>+'[4]II TRIMESTRE PPC'!$B$77</f>
        <v>20000000</v>
      </c>
      <c r="H131" s="21">
        <f>+B131+C131+D131+G131+E131+F131</f>
        <v>20000000</v>
      </c>
      <c r="I131" s="28"/>
      <c r="J131" s="22">
        <f>+H131+I131</f>
        <v>20000000</v>
      </c>
      <c r="K131" s="22">
        <v>17997421</v>
      </c>
      <c r="L131" s="22">
        <f t="shared" si="12"/>
        <v>-2002579</v>
      </c>
      <c r="M131" s="23">
        <f t="shared" si="20"/>
        <v>0.89987105000000001</v>
      </c>
    </row>
    <row r="132" spans="1:13" s="43" customFormat="1" ht="15" collapsed="1" x14ac:dyDescent="0.25">
      <c r="A132" s="44"/>
      <c r="B132" s="28"/>
      <c r="C132" s="28"/>
      <c r="D132" s="28"/>
      <c r="E132" s="22"/>
      <c r="F132" s="28"/>
      <c r="G132" s="22"/>
      <c r="H132" s="21"/>
      <c r="I132" s="28"/>
      <c r="J132" s="22"/>
      <c r="K132" s="22"/>
      <c r="L132" s="22"/>
      <c r="M132" s="23"/>
    </row>
    <row r="133" spans="1:13" s="48" customFormat="1" ht="15" x14ac:dyDescent="0.25">
      <c r="A133" s="45" t="s">
        <v>138</v>
      </c>
      <c r="B133" s="46"/>
      <c r="C133" s="18">
        <f>+C134+C138+C141+C144</f>
        <v>443402387.31500006</v>
      </c>
      <c r="D133" s="46"/>
      <c r="E133" s="47"/>
      <c r="F133" s="46"/>
      <c r="G133" s="47"/>
      <c r="H133" s="18">
        <f>+H134+H138+H141+H144</f>
        <v>443402387.31500006</v>
      </c>
      <c r="I133" s="46"/>
      <c r="J133" s="18">
        <f>+H133+I133</f>
        <v>443402387.31500006</v>
      </c>
      <c r="K133" s="18">
        <f>+K134+K138+K141+K144</f>
        <v>384702749</v>
      </c>
      <c r="L133" s="18">
        <f t="shared" si="12"/>
        <v>-58699638.315000057</v>
      </c>
      <c r="M133" s="19">
        <f t="shared" si="20"/>
        <v>0.86761542112920809</v>
      </c>
    </row>
    <row r="134" spans="1:13" s="43" customFormat="1" ht="15" x14ac:dyDescent="0.25">
      <c r="A134" s="45" t="s">
        <v>139</v>
      </c>
      <c r="B134" s="46"/>
      <c r="C134" s="28">
        <f>SUM(C135:C137)</f>
        <v>112311464.15000001</v>
      </c>
      <c r="D134" s="28"/>
      <c r="E134" s="28"/>
      <c r="F134" s="28"/>
      <c r="G134" s="28"/>
      <c r="H134" s="18">
        <f>+B134+C134+D134+G134+E134+F134</f>
        <v>112311464.15000001</v>
      </c>
      <c r="I134" s="18"/>
      <c r="J134" s="28">
        <f>SUM(J135:J137)</f>
        <v>112311464.15000001</v>
      </c>
      <c r="K134" s="28">
        <f>SUM(K135:K137)</f>
        <v>97215414</v>
      </c>
      <c r="L134" s="28">
        <f t="shared" si="12"/>
        <v>-15096050.150000006</v>
      </c>
      <c r="M134" s="19">
        <f t="shared" si="20"/>
        <v>0.86558762932839917</v>
      </c>
    </row>
    <row r="135" spans="1:13" s="43" customFormat="1" ht="15" hidden="1" outlineLevel="1" x14ac:dyDescent="0.25">
      <c r="A135" s="44" t="s">
        <v>140</v>
      </c>
      <c r="B135" s="46"/>
      <c r="C135" s="22">
        <f>+'[5]Solicitud Presupuesto II-TRI V2'!$H$14</f>
        <v>86311464.150000006</v>
      </c>
      <c r="D135" s="28"/>
      <c r="E135" s="28"/>
      <c r="F135" s="28"/>
      <c r="G135" s="28"/>
      <c r="H135" s="22">
        <f>+B135+C135+D135+G135+E135+F135</f>
        <v>86311464.150000006</v>
      </c>
      <c r="I135" s="18"/>
      <c r="J135" s="22">
        <f t="shared" ref="J135:J143" si="21">+H135+I135</f>
        <v>86311464.150000006</v>
      </c>
      <c r="K135" s="22">
        <v>77464934</v>
      </c>
      <c r="L135" s="22">
        <f t="shared" si="12"/>
        <v>-8846530.150000006</v>
      </c>
      <c r="M135" s="23">
        <f t="shared" si="20"/>
        <v>0.8975045755842388</v>
      </c>
    </row>
    <row r="136" spans="1:13" s="43" customFormat="1" ht="15" hidden="1" outlineLevel="1" x14ac:dyDescent="0.25">
      <c r="A136" s="44" t="s">
        <v>141</v>
      </c>
      <c r="B136" s="46"/>
      <c r="C136" s="22"/>
      <c r="D136" s="28"/>
      <c r="E136" s="28"/>
      <c r="F136" s="28"/>
      <c r="G136" s="28"/>
      <c r="H136" s="22">
        <f t="shared" ref="H136:H143" si="22">+B136+C136+D136+G136+E136+F136</f>
        <v>0</v>
      </c>
      <c r="I136" s="18"/>
      <c r="J136" s="22">
        <f t="shared" si="21"/>
        <v>0</v>
      </c>
      <c r="K136" s="22"/>
      <c r="L136" s="22">
        <f t="shared" ref="L136:L199" si="23">+K136-J136</f>
        <v>0</v>
      </c>
      <c r="M136" s="23">
        <f t="shared" si="20"/>
        <v>0</v>
      </c>
    </row>
    <row r="137" spans="1:13" s="43" customFormat="1" ht="15" hidden="1" outlineLevel="1" x14ac:dyDescent="0.25">
      <c r="A137" s="44" t="s">
        <v>142</v>
      </c>
      <c r="B137" s="46"/>
      <c r="C137" s="22">
        <f>+'[5]Solicitud Presupuesto II-TRI V2'!$H$28</f>
        <v>26000000</v>
      </c>
      <c r="D137" s="28"/>
      <c r="E137" s="28"/>
      <c r="F137" s="28"/>
      <c r="G137" s="28"/>
      <c r="H137" s="22">
        <f t="shared" si="22"/>
        <v>26000000</v>
      </c>
      <c r="I137" s="18"/>
      <c r="J137" s="22">
        <f t="shared" si="21"/>
        <v>26000000</v>
      </c>
      <c r="K137" s="22">
        <v>19750480</v>
      </c>
      <c r="L137" s="22">
        <f t="shared" si="23"/>
        <v>-6249520</v>
      </c>
      <c r="M137" s="23">
        <f t="shared" si="20"/>
        <v>0.7596338461538461</v>
      </c>
    </row>
    <row r="138" spans="1:13" s="43" customFormat="1" ht="15" collapsed="1" x14ac:dyDescent="0.25">
      <c r="A138" s="45" t="s">
        <v>143</v>
      </c>
      <c r="B138" s="46"/>
      <c r="C138" s="28">
        <f>SUM(C139:C140)</f>
        <v>263953891.05000001</v>
      </c>
      <c r="D138" s="28"/>
      <c r="E138" s="28"/>
      <c r="F138" s="28"/>
      <c r="G138" s="28"/>
      <c r="H138" s="18">
        <f>+B138+C138+D138+G138+E138+F138</f>
        <v>263953891.05000001</v>
      </c>
      <c r="I138" s="18"/>
      <c r="J138" s="28">
        <f>SUM(J139:J140)</f>
        <v>263953891.05000001</v>
      </c>
      <c r="K138" s="28">
        <f>SUM(K139:K140)</f>
        <v>242103122</v>
      </c>
      <c r="L138" s="28">
        <f t="shared" si="23"/>
        <v>-21850769.050000012</v>
      </c>
      <c r="M138" s="19">
        <f t="shared" si="20"/>
        <v>0.91721747702570944</v>
      </c>
    </row>
    <row r="139" spans="1:13" s="43" customFormat="1" ht="15" hidden="1" outlineLevel="1" x14ac:dyDescent="0.25">
      <c r="A139" s="44" t="s">
        <v>144</v>
      </c>
      <c r="B139" s="46"/>
      <c r="C139" s="22">
        <f>+'[5]Solicitud Presupuesto II-TRI V2'!$H$34+6000000+83000</f>
        <v>189909989.05000001</v>
      </c>
      <c r="D139" s="28"/>
      <c r="E139" s="28"/>
      <c r="F139" s="28"/>
      <c r="G139" s="28"/>
      <c r="H139" s="22">
        <f t="shared" si="22"/>
        <v>189909989.05000001</v>
      </c>
      <c r="I139" s="18"/>
      <c r="J139" s="22">
        <f t="shared" si="21"/>
        <v>189909989.05000001</v>
      </c>
      <c r="K139" s="22">
        <v>189909231</v>
      </c>
      <c r="L139" s="22">
        <f t="shared" si="23"/>
        <v>-758.05000001192093</v>
      </c>
      <c r="M139" s="23">
        <f t="shared" si="20"/>
        <v>0.99999600837215674</v>
      </c>
    </row>
    <row r="140" spans="1:13" s="43" customFormat="1" ht="15" hidden="1" outlineLevel="1" x14ac:dyDescent="0.25">
      <c r="A140" s="44" t="s">
        <v>145</v>
      </c>
      <c r="B140" s="46"/>
      <c r="C140" s="22">
        <f>+'[5]Solicitud Presupuesto II-TRI V2'!$H$53-6000000-83000</f>
        <v>74043902</v>
      </c>
      <c r="D140" s="28"/>
      <c r="E140" s="28"/>
      <c r="F140" s="28"/>
      <c r="G140" s="28"/>
      <c r="H140" s="22">
        <f t="shared" si="22"/>
        <v>74043902</v>
      </c>
      <c r="I140" s="18"/>
      <c r="J140" s="22">
        <f t="shared" si="21"/>
        <v>74043902</v>
      </c>
      <c r="K140" s="22">
        <v>52193891</v>
      </c>
      <c r="L140" s="22">
        <f t="shared" si="23"/>
        <v>-21850011</v>
      </c>
      <c r="M140" s="23">
        <f t="shared" si="20"/>
        <v>0.70490465237772049</v>
      </c>
    </row>
    <row r="141" spans="1:13" s="43" customFormat="1" ht="15" collapsed="1" x14ac:dyDescent="0.25">
      <c r="A141" s="45" t="s">
        <v>146</v>
      </c>
      <c r="B141" s="46"/>
      <c r="C141" s="28">
        <f>SUM(C142:C143)</f>
        <v>42694876.789999999</v>
      </c>
      <c r="D141" s="28"/>
      <c r="E141" s="28"/>
      <c r="F141" s="28"/>
      <c r="G141" s="28"/>
      <c r="H141" s="18">
        <f>+B141+C141+D141+G141+E141+F141</f>
        <v>42694876.789999999</v>
      </c>
      <c r="I141" s="18"/>
      <c r="J141" s="28">
        <f>SUM(J142:J143)</f>
        <v>42694876.789999999</v>
      </c>
      <c r="K141" s="28">
        <f>SUM(K142:K143)</f>
        <v>38730978</v>
      </c>
      <c r="L141" s="28">
        <f t="shared" si="23"/>
        <v>-3963898.7899999991</v>
      </c>
      <c r="M141" s="19">
        <f t="shared" si="20"/>
        <v>0.90715750722277699</v>
      </c>
    </row>
    <row r="142" spans="1:13" s="43" customFormat="1" ht="15" hidden="1" outlineLevel="1" x14ac:dyDescent="0.25">
      <c r="A142" s="44" t="s">
        <v>147</v>
      </c>
      <c r="B142" s="46"/>
      <c r="C142" s="22">
        <f>+'[5]Solicitud Presupuesto II-TRI V2'!$H$61</f>
        <v>18955586.390000001</v>
      </c>
      <c r="D142" s="28"/>
      <c r="E142" s="28"/>
      <c r="F142" s="28"/>
      <c r="G142" s="28"/>
      <c r="H142" s="22">
        <f t="shared" si="22"/>
        <v>18955586.390000001</v>
      </c>
      <c r="I142" s="18"/>
      <c r="J142" s="22">
        <f t="shared" si="21"/>
        <v>18955586.390000001</v>
      </c>
      <c r="K142" s="22">
        <v>18786476</v>
      </c>
      <c r="L142" s="22">
        <f t="shared" si="23"/>
        <v>-169110.3900000006</v>
      </c>
      <c r="M142" s="23">
        <f t="shared" si="20"/>
        <v>0.99107859886153593</v>
      </c>
    </row>
    <row r="143" spans="1:13" s="43" customFormat="1" ht="15" hidden="1" outlineLevel="1" x14ac:dyDescent="0.25">
      <c r="A143" s="44" t="s">
        <v>148</v>
      </c>
      <c r="B143" s="46"/>
      <c r="C143" s="22">
        <f>+'[5]Solicitud Presupuesto II-TRI V2'!$H$65</f>
        <v>23739290.399999999</v>
      </c>
      <c r="D143" s="28"/>
      <c r="E143" s="28"/>
      <c r="F143" s="28"/>
      <c r="G143" s="28"/>
      <c r="H143" s="22">
        <f t="shared" si="22"/>
        <v>23739290.399999999</v>
      </c>
      <c r="I143" s="18"/>
      <c r="J143" s="22">
        <f t="shared" si="21"/>
        <v>23739290.399999999</v>
      </c>
      <c r="K143" s="22">
        <v>19944502</v>
      </c>
      <c r="L143" s="22">
        <f t="shared" si="23"/>
        <v>-3794788.3999999985</v>
      </c>
      <c r="M143" s="23">
        <f t="shared" si="20"/>
        <v>0.84014735335138746</v>
      </c>
    </row>
    <row r="144" spans="1:13" s="43" customFormat="1" ht="15" collapsed="1" x14ac:dyDescent="0.25">
      <c r="A144" s="45" t="s">
        <v>149</v>
      </c>
      <c r="B144" s="46"/>
      <c r="C144" s="28">
        <f>SUM(C145:C146)</f>
        <v>24442155.325000003</v>
      </c>
      <c r="D144" s="28"/>
      <c r="E144" s="28"/>
      <c r="F144" s="28"/>
      <c r="G144" s="28"/>
      <c r="H144" s="18">
        <f>+B144+C144+D144+G144+E144+F144</f>
        <v>24442155.325000003</v>
      </c>
      <c r="I144" s="18"/>
      <c r="J144" s="28">
        <f>SUM(J145:J146)</f>
        <v>24442155.325000003</v>
      </c>
      <c r="K144" s="28">
        <f>SUM(K145)</f>
        <v>6653235</v>
      </c>
      <c r="L144" s="28">
        <f t="shared" si="23"/>
        <v>-17788920.325000003</v>
      </c>
      <c r="M144" s="19">
        <f t="shared" si="20"/>
        <v>0.27220328614780209</v>
      </c>
    </row>
    <row r="145" spans="1:13" s="43" customFormat="1" ht="15" hidden="1" outlineLevel="1" x14ac:dyDescent="0.25">
      <c r="A145" s="44" t="s">
        <v>150</v>
      </c>
      <c r="B145" s="46"/>
      <c r="C145" s="22">
        <f>+'[5]Solicitud Presupuesto II-TRI V2'!$H$72</f>
        <v>24442155.325000003</v>
      </c>
      <c r="D145" s="28"/>
      <c r="E145" s="28"/>
      <c r="F145" s="28"/>
      <c r="G145" s="28"/>
      <c r="H145" s="22">
        <f>+B145+C145+D145+G145+E145+F145</f>
        <v>24442155.325000003</v>
      </c>
      <c r="I145" s="18"/>
      <c r="J145" s="22">
        <f>+H145+I145</f>
        <v>24442155.325000003</v>
      </c>
      <c r="K145" s="22">
        <v>6653235</v>
      </c>
      <c r="L145" s="22">
        <f t="shared" si="23"/>
        <v>-17788920.325000003</v>
      </c>
      <c r="M145" s="23">
        <f t="shared" si="20"/>
        <v>0.27220328614780209</v>
      </c>
    </row>
    <row r="146" spans="1:13" s="43" customFormat="1" ht="15" collapsed="1" x14ac:dyDescent="0.25">
      <c r="A146" s="44"/>
      <c r="B146" s="46"/>
      <c r="C146" s="28"/>
      <c r="D146" s="28"/>
      <c r="E146" s="28"/>
      <c r="F146" s="28"/>
      <c r="G146" s="28"/>
      <c r="H146" s="22"/>
      <c r="I146" s="28"/>
      <c r="J146" s="22"/>
      <c r="K146" s="22"/>
      <c r="L146" s="22"/>
      <c r="M146" s="23"/>
    </row>
    <row r="147" spans="1:13" s="43" customFormat="1" ht="15" x14ac:dyDescent="0.25">
      <c r="A147" s="45" t="s">
        <v>151</v>
      </c>
      <c r="B147" s="46"/>
      <c r="C147" s="28"/>
      <c r="D147" s="28">
        <f>+D148+D152+D166</f>
        <v>528302500</v>
      </c>
      <c r="E147" s="28"/>
      <c r="F147" s="28"/>
      <c r="G147" s="28"/>
      <c r="H147" s="28">
        <f>+H148+H152+H166</f>
        <v>528302500</v>
      </c>
      <c r="I147" s="28"/>
      <c r="J147" s="18">
        <f>+H147+I147</f>
        <v>528302500</v>
      </c>
      <c r="K147" s="18">
        <f>+K148+K152+K166</f>
        <v>398541722</v>
      </c>
      <c r="L147" s="18">
        <f t="shared" si="23"/>
        <v>-129760778</v>
      </c>
      <c r="M147" s="19">
        <f t="shared" ref="M147:M180" si="24">IFERROR(K147/J147,0)</f>
        <v>0.75438166959270492</v>
      </c>
    </row>
    <row r="148" spans="1:13" s="43" customFormat="1" ht="15" x14ac:dyDescent="0.25">
      <c r="A148" s="45" t="s">
        <v>152</v>
      </c>
      <c r="B148" s="28"/>
      <c r="C148" s="28"/>
      <c r="D148" s="28">
        <f>SUM(D149:D151)</f>
        <v>111000000</v>
      </c>
      <c r="E148" s="28"/>
      <c r="F148" s="28"/>
      <c r="G148" s="28"/>
      <c r="H148" s="28">
        <f>SUM(H149:H151)</f>
        <v>111000000</v>
      </c>
      <c r="I148" s="28"/>
      <c r="J148" s="28">
        <f>SUM(J149:J151)</f>
        <v>111000000</v>
      </c>
      <c r="K148" s="28">
        <f>SUM(K149:K151)</f>
        <v>87923329</v>
      </c>
      <c r="L148" s="28">
        <f t="shared" si="23"/>
        <v>-23076671</v>
      </c>
      <c r="M148" s="19">
        <f t="shared" si="24"/>
        <v>0.79210206306306308</v>
      </c>
    </row>
    <row r="149" spans="1:13" s="43" customFormat="1" ht="15" hidden="1" outlineLevel="1" x14ac:dyDescent="0.25">
      <c r="A149" s="44" t="s">
        <v>153</v>
      </c>
      <c r="B149" s="28"/>
      <c r="C149" s="28"/>
      <c r="D149" s="22">
        <f>+'[6]Ejec. I trim Solic II trim-2017'!$J$8</f>
        <v>110000000</v>
      </c>
      <c r="E149" s="28"/>
      <c r="F149" s="28"/>
      <c r="G149" s="28"/>
      <c r="H149" s="21">
        <f>+B149+C149+D149+G149+E149+F149</f>
        <v>110000000</v>
      </c>
      <c r="I149" s="28"/>
      <c r="J149" s="22">
        <f>+H149+I149</f>
        <v>110000000</v>
      </c>
      <c r="K149" s="22">
        <v>87203329</v>
      </c>
      <c r="L149" s="22">
        <f t="shared" si="23"/>
        <v>-22796671</v>
      </c>
      <c r="M149" s="23">
        <f t="shared" si="24"/>
        <v>0.79275753636363633</v>
      </c>
    </row>
    <row r="150" spans="1:13" s="43" customFormat="1" ht="15" hidden="1" outlineLevel="1" x14ac:dyDescent="0.25">
      <c r="A150" s="44" t="s">
        <v>154</v>
      </c>
      <c r="B150" s="28"/>
      <c r="C150" s="28"/>
      <c r="D150" s="22">
        <f>+'[6]Ejec. I trim Solic II trim-2017'!$J$9</f>
        <v>1000000</v>
      </c>
      <c r="E150" s="28"/>
      <c r="F150" s="28"/>
      <c r="G150" s="28"/>
      <c r="H150" s="21">
        <f>+B150+C150+D150+G150+E150+F150</f>
        <v>1000000</v>
      </c>
      <c r="I150" s="28"/>
      <c r="J150" s="22">
        <f>+H150+I150</f>
        <v>1000000</v>
      </c>
      <c r="K150" s="22">
        <v>720000</v>
      </c>
      <c r="L150" s="22">
        <f t="shared" si="23"/>
        <v>-280000</v>
      </c>
      <c r="M150" s="23">
        <f t="shared" si="24"/>
        <v>0.72</v>
      </c>
    </row>
    <row r="151" spans="1:13" s="43" customFormat="1" ht="15" hidden="1" outlineLevel="1" x14ac:dyDescent="0.25">
      <c r="A151" s="44" t="s">
        <v>155</v>
      </c>
      <c r="B151" s="28"/>
      <c r="C151" s="28"/>
      <c r="D151" s="22"/>
      <c r="E151" s="28"/>
      <c r="F151" s="28"/>
      <c r="G151" s="28"/>
      <c r="H151" s="21">
        <f>+B151+C151+D151+G151+E151+F151</f>
        <v>0</v>
      </c>
      <c r="I151" s="28"/>
      <c r="J151" s="22">
        <f>+H151+I151</f>
        <v>0</v>
      </c>
      <c r="K151" s="22"/>
      <c r="L151" s="22">
        <f t="shared" si="23"/>
        <v>0</v>
      </c>
      <c r="M151" s="23">
        <f t="shared" si="24"/>
        <v>0</v>
      </c>
    </row>
    <row r="152" spans="1:13" s="43" customFormat="1" ht="15" collapsed="1" x14ac:dyDescent="0.25">
      <c r="A152" s="45" t="s">
        <v>156</v>
      </c>
      <c r="B152" s="28"/>
      <c r="C152" s="28"/>
      <c r="D152" s="28">
        <f>+D153+D161</f>
        <v>287802500</v>
      </c>
      <c r="E152" s="28"/>
      <c r="F152" s="28"/>
      <c r="G152" s="28"/>
      <c r="H152" s="28">
        <f>+H153+H161</f>
        <v>287802500</v>
      </c>
      <c r="I152" s="28"/>
      <c r="J152" s="28">
        <f>+J153+J161</f>
        <v>287802500</v>
      </c>
      <c r="K152" s="28">
        <f>+K153+K161</f>
        <v>206259595</v>
      </c>
      <c r="L152" s="28">
        <f t="shared" si="23"/>
        <v>-81542905</v>
      </c>
      <c r="M152" s="19">
        <f t="shared" si="24"/>
        <v>0.71667061613432825</v>
      </c>
    </row>
    <row r="153" spans="1:13" s="43" customFormat="1" ht="15" hidden="1" outlineLevel="1" x14ac:dyDescent="0.25">
      <c r="A153" s="45" t="s">
        <v>157</v>
      </c>
      <c r="B153" s="28"/>
      <c r="C153" s="28"/>
      <c r="D153" s="28">
        <f>SUM(D154:D160)</f>
        <v>217072500</v>
      </c>
      <c r="E153" s="28"/>
      <c r="F153" s="28"/>
      <c r="G153" s="28"/>
      <c r="H153" s="28">
        <f>SUM(H154:H160)</f>
        <v>217072500</v>
      </c>
      <c r="I153" s="28"/>
      <c r="J153" s="28">
        <f>SUM(J154:J160)</f>
        <v>217072500</v>
      </c>
      <c r="K153" s="28">
        <f>SUM(K154:K160)</f>
        <v>141149291</v>
      </c>
      <c r="L153" s="28">
        <f t="shared" si="23"/>
        <v>-75923209</v>
      </c>
      <c r="M153" s="19">
        <f t="shared" si="24"/>
        <v>0.65024031602344834</v>
      </c>
    </row>
    <row r="154" spans="1:13" s="43" customFormat="1" ht="15" hidden="1" outlineLevel="2" x14ac:dyDescent="0.25">
      <c r="A154" s="44" t="s">
        <v>158</v>
      </c>
      <c r="B154" s="28"/>
      <c r="C154" s="28"/>
      <c r="D154" s="22">
        <f>+'[6]Ejec. I trim Solic II trim-2017'!$J$12</f>
        <v>5500000</v>
      </c>
      <c r="E154" s="28"/>
      <c r="F154" s="28"/>
      <c r="G154" s="28"/>
      <c r="H154" s="21">
        <f t="shared" ref="H154:H159" si="25">+B154+C154+D154+G154+E154+F154</f>
        <v>5500000</v>
      </c>
      <c r="I154" s="28"/>
      <c r="J154" s="22">
        <f t="shared" ref="J154:J159" si="26">+H154+I154</f>
        <v>5500000</v>
      </c>
      <c r="K154" s="22">
        <v>315000</v>
      </c>
      <c r="L154" s="22">
        <f t="shared" si="23"/>
        <v>-5185000</v>
      </c>
      <c r="M154" s="23">
        <f t="shared" si="24"/>
        <v>5.7272727272727274E-2</v>
      </c>
    </row>
    <row r="155" spans="1:13" s="43" customFormat="1" ht="15" hidden="1" outlineLevel="2" x14ac:dyDescent="0.25">
      <c r="A155" s="44" t="s">
        <v>159</v>
      </c>
      <c r="B155" s="28"/>
      <c r="C155" s="28"/>
      <c r="D155" s="22">
        <f>+'[6]Ejec. I trim Solic II trim-2017'!$J$11</f>
        <v>27208500</v>
      </c>
      <c r="E155" s="28"/>
      <c r="F155" s="28"/>
      <c r="G155" s="28"/>
      <c r="H155" s="21">
        <f t="shared" si="25"/>
        <v>27208500</v>
      </c>
      <c r="I155" s="28"/>
      <c r="J155" s="22">
        <f t="shared" si="26"/>
        <v>27208500</v>
      </c>
      <c r="K155" s="22">
        <v>19939072</v>
      </c>
      <c r="L155" s="22">
        <f t="shared" si="23"/>
        <v>-7269428</v>
      </c>
      <c r="M155" s="23">
        <f t="shared" si="24"/>
        <v>0.73282510980024629</v>
      </c>
    </row>
    <row r="156" spans="1:13" s="43" customFormat="1" ht="15" hidden="1" outlineLevel="2" x14ac:dyDescent="0.25">
      <c r="A156" s="44" t="s">
        <v>160</v>
      </c>
      <c r="B156" s="28"/>
      <c r="C156" s="28"/>
      <c r="D156" s="22">
        <f>+'[6]Ejec. I trim Solic II trim-2017'!$J$13</f>
        <v>23364000</v>
      </c>
      <c r="E156" s="28"/>
      <c r="F156" s="28"/>
      <c r="G156" s="28"/>
      <c r="H156" s="21">
        <f t="shared" si="25"/>
        <v>23364000</v>
      </c>
      <c r="I156" s="28"/>
      <c r="J156" s="22">
        <f t="shared" si="26"/>
        <v>23364000</v>
      </c>
      <c r="K156" s="22">
        <v>22673780</v>
      </c>
      <c r="L156" s="22">
        <f t="shared" si="23"/>
        <v>-690220</v>
      </c>
      <c r="M156" s="23">
        <f t="shared" si="24"/>
        <v>0.97045796952576613</v>
      </c>
    </row>
    <row r="157" spans="1:13" s="43" customFormat="1" ht="15" hidden="1" outlineLevel="2" x14ac:dyDescent="0.25">
      <c r="A157" s="44" t="s">
        <v>161</v>
      </c>
      <c r="B157" s="28"/>
      <c r="C157" s="28"/>
      <c r="D157" s="22">
        <f>+'[6]Ejec. I trim Solic II trim-2017'!$J$10</f>
        <v>60000000</v>
      </c>
      <c r="E157" s="28"/>
      <c r="F157" s="28"/>
      <c r="G157" s="28"/>
      <c r="H157" s="21">
        <f t="shared" si="25"/>
        <v>60000000</v>
      </c>
      <c r="I157" s="28"/>
      <c r="J157" s="22">
        <f t="shared" si="26"/>
        <v>60000000</v>
      </c>
      <c r="K157" s="22">
        <v>58303193</v>
      </c>
      <c r="L157" s="22">
        <f t="shared" si="23"/>
        <v>-1696807</v>
      </c>
      <c r="M157" s="23">
        <f t="shared" si="24"/>
        <v>0.97171988333333337</v>
      </c>
    </row>
    <row r="158" spans="1:13" s="43" customFormat="1" ht="15" hidden="1" outlineLevel="2" x14ac:dyDescent="0.25">
      <c r="A158" s="44" t="s">
        <v>162</v>
      </c>
      <c r="B158" s="28"/>
      <c r="C158" s="28"/>
      <c r="D158" s="22">
        <f>+'[6]Ejec. I trim Solic II trim-2017'!$J$14</f>
        <v>30000000</v>
      </c>
      <c r="E158" s="28"/>
      <c r="F158" s="28"/>
      <c r="G158" s="28"/>
      <c r="H158" s="21">
        <f t="shared" si="25"/>
        <v>30000000</v>
      </c>
      <c r="I158" s="28"/>
      <c r="J158" s="22">
        <f t="shared" si="26"/>
        <v>30000000</v>
      </c>
      <c r="K158" s="22">
        <v>6885574</v>
      </c>
      <c r="L158" s="22">
        <f t="shared" si="23"/>
        <v>-23114426</v>
      </c>
      <c r="M158" s="23">
        <f t="shared" si="24"/>
        <v>0.22951913333333332</v>
      </c>
    </row>
    <row r="159" spans="1:13" s="43" customFormat="1" ht="15" hidden="1" outlineLevel="2" x14ac:dyDescent="0.25">
      <c r="A159" s="44" t="s">
        <v>163</v>
      </c>
      <c r="B159" s="28"/>
      <c r="C159" s="28"/>
      <c r="D159" s="22">
        <f>+'[6]Ejec. I trim Solic II trim-2017'!$J$15</f>
        <v>36000000</v>
      </c>
      <c r="E159" s="28"/>
      <c r="F159" s="28"/>
      <c r="G159" s="28"/>
      <c r="H159" s="21">
        <f t="shared" si="25"/>
        <v>36000000</v>
      </c>
      <c r="I159" s="28"/>
      <c r="J159" s="22">
        <f t="shared" si="26"/>
        <v>36000000</v>
      </c>
      <c r="K159" s="22">
        <v>33032672</v>
      </c>
      <c r="L159" s="22">
        <f t="shared" si="23"/>
        <v>-2967328</v>
      </c>
      <c r="M159" s="23">
        <f t="shared" si="24"/>
        <v>0.91757422222222218</v>
      </c>
    </row>
    <row r="160" spans="1:13" s="43" customFormat="1" ht="15" hidden="1" outlineLevel="2" x14ac:dyDescent="0.25">
      <c r="A160" s="44" t="s">
        <v>164</v>
      </c>
      <c r="B160" s="28"/>
      <c r="C160" s="28"/>
      <c r="D160" s="22">
        <f>+'[6]Ejec. I trim Solic II trim-2017'!$J$16+16000000</f>
        <v>35000000</v>
      </c>
      <c r="E160" s="28"/>
      <c r="F160" s="28"/>
      <c r="G160" s="28"/>
      <c r="H160" s="21">
        <f>+B160+C160+D160+G160+E160+F160</f>
        <v>35000000</v>
      </c>
      <c r="I160" s="28"/>
      <c r="J160" s="22">
        <f>+H160+I160</f>
        <v>35000000</v>
      </c>
      <c r="K160" s="22">
        <v>0</v>
      </c>
      <c r="L160" s="22">
        <f t="shared" si="23"/>
        <v>-35000000</v>
      </c>
      <c r="M160" s="23">
        <f t="shared" si="24"/>
        <v>0</v>
      </c>
    </row>
    <row r="161" spans="1:13" s="43" customFormat="1" ht="15" hidden="1" outlineLevel="1" x14ac:dyDescent="0.25">
      <c r="A161" s="45" t="s">
        <v>165</v>
      </c>
      <c r="B161" s="28"/>
      <c r="C161" s="28"/>
      <c r="D161" s="28">
        <f>SUM(D162:D165)</f>
        <v>70730000</v>
      </c>
      <c r="E161" s="28"/>
      <c r="F161" s="28"/>
      <c r="G161" s="28"/>
      <c r="H161" s="28">
        <f>SUM(H162:H165)</f>
        <v>70730000</v>
      </c>
      <c r="I161" s="28"/>
      <c r="J161" s="28">
        <f>SUM(J162:J165)</f>
        <v>70730000</v>
      </c>
      <c r="K161" s="28">
        <f>SUM(K162:K165)</f>
        <v>65110304</v>
      </c>
      <c r="L161" s="28">
        <f t="shared" si="23"/>
        <v>-5619696</v>
      </c>
      <c r="M161" s="19">
        <f t="shared" si="24"/>
        <v>0.92054720769122012</v>
      </c>
    </row>
    <row r="162" spans="1:13" s="43" customFormat="1" ht="15" hidden="1" outlineLevel="2" x14ac:dyDescent="0.25">
      <c r="A162" s="44" t="s">
        <v>166</v>
      </c>
      <c r="B162" s="28"/>
      <c r="C162" s="28"/>
      <c r="D162" s="22">
        <f>+'[6]Ejec. I trim Solic II trim-2017'!$J$18</f>
        <v>7000000</v>
      </c>
      <c r="E162" s="28"/>
      <c r="F162" s="28"/>
      <c r="G162" s="28"/>
      <c r="H162" s="21">
        <f>+B162+C162+D162+G162+E162+F162</f>
        <v>7000000</v>
      </c>
      <c r="I162" s="28"/>
      <c r="J162" s="22">
        <f>+H162+I162</f>
        <v>7000000</v>
      </c>
      <c r="K162" s="22">
        <v>6396375</v>
      </c>
      <c r="L162" s="22">
        <f t="shared" si="23"/>
        <v>-603625</v>
      </c>
      <c r="M162" s="23">
        <f t="shared" si="24"/>
        <v>0.91376785714285713</v>
      </c>
    </row>
    <row r="163" spans="1:13" s="43" customFormat="1" ht="15" hidden="1" outlineLevel="2" x14ac:dyDescent="0.25">
      <c r="A163" s="44" t="s">
        <v>167</v>
      </c>
      <c r="B163" s="28"/>
      <c r="C163" s="28"/>
      <c r="D163" s="22">
        <f>+'[6]Ejec. I trim Solic II trim-2017'!$J$17-6000000</f>
        <v>10800000</v>
      </c>
      <c r="E163" s="28"/>
      <c r="F163" s="28"/>
      <c r="G163" s="28"/>
      <c r="H163" s="21">
        <f>+B163+C163+D163+G163+E163+F163</f>
        <v>10800000</v>
      </c>
      <c r="I163" s="28"/>
      <c r="J163" s="22">
        <f>+H163+I163</f>
        <v>10800000</v>
      </c>
      <c r="K163" s="22">
        <v>9598984</v>
      </c>
      <c r="L163" s="22">
        <f t="shared" si="23"/>
        <v>-1201016</v>
      </c>
      <c r="M163" s="23">
        <f t="shared" si="24"/>
        <v>0.88879481481481482</v>
      </c>
    </row>
    <row r="164" spans="1:13" s="43" customFormat="1" ht="15" hidden="1" outlineLevel="2" x14ac:dyDescent="0.25">
      <c r="A164" s="44" t="s">
        <v>168</v>
      </c>
      <c r="B164" s="28"/>
      <c r="C164" s="28"/>
      <c r="D164" s="22">
        <f>+'[6]Ejec. I trim Solic II trim-2017'!$J$20</f>
        <v>6930000</v>
      </c>
      <c r="E164" s="28"/>
      <c r="F164" s="28"/>
      <c r="G164" s="28"/>
      <c r="H164" s="21">
        <f>+B164+C164+D164+G164+E164+F164</f>
        <v>6930000</v>
      </c>
      <c r="I164" s="28"/>
      <c r="J164" s="22">
        <f>+H164+I164</f>
        <v>6930000</v>
      </c>
      <c r="K164" s="22">
        <v>4900270</v>
      </c>
      <c r="L164" s="22">
        <f t="shared" si="23"/>
        <v>-2029730</v>
      </c>
      <c r="M164" s="23">
        <f t="shared" si="24"/>
        <v>0.70710966810966813</v>
      </c>
    </row>
    <row r="165" spans="1:13" s="43" customFormat="1" ht="15" hidden="1" outlineLevel="2" x14ac:dyDescent="0.25">
      <c r="A165" s="44" t="s">
        <v>169</v>
      </c>
      <c r="B165" s="28"/>
      <c r="C165" s="28"/>
      <c r="D165" s="22">
        <f>+'[6]Ejec. I trim Solic II trim-2017'!$J$19+6000000</f>
        <v>46000000</v>
      </c>
      <c r="E165" s="28"/>
      <c r="F165" s="28"/>
      <c r="G165" s="28"/>
      <c r="H165" s="21">
        <f>+B165+C165+D165+G165+E165+F165</f>
        <v>46000000</v>
      </c>
      <c r="I165" s="28"/>
      <c r="J165" s="22">
        <f>+H165+I165</f>
        <v>46000000</v>
      </c>
      <c r="K165" s="22">
        <v>44214675</v>
      </c>
      <c r="L165" s="22">
        <f t="shared" si="23"/>
        <v>-1785325</v>
      </c>
      <c r="M165" s="23">
        <f t="shared" si="24"/>
        <v>0.96118858695652176</v>
      </c>
    </row>
    <row r="166" spans="1:13" s="43" customFormat="1" ht="15" collapsed="1" x14ac:dyDescent="0.25">
      <c r="A166" s="45" t="s">
        <v>170</v>
      </c>
      <c r="B166" s="28"/>
      <c r="C166" s="28"/>
      <c r="D166" s="28">
        <f>+D167+D174+D179+D180</f>
        <v>129500000</v>
      </c>
      <c r="E166" s="28"/>
      <c r="F166" s="28"/>
      <c r="G166" s="28"/>
      <c r="H166" s="28">
        <f>+H167+H174+H179+H180</f>
        <v>129500000</v>
      </c>
      <c r="I166" s="28"/>
      <c r="J166" s="28">
        <f>+J167+J174+J179+J180</f>
        <v>129500000</v>
      </c>
      <c r="K166" s="28">
        <f>+K167+K174+K179+K180</f>
        <v>104358798</v>
      </c>
      <c r="L166" s="28">
        <f t="shared" si="23"/>
        <v>-25141202</v>
      </c>
      <c r="M166" s="19">
        <f t="shared" si="24"/>
        <v>0.80585944401544407</v>
      </c>
    </row>
    <row r="167" spans="1:13" s="43" customFormat="1" ht="15" hidden="1" outlineLevel="1" x14ac:dyDescent="0.25">
      <c r="A167" s="45" t="s">
        <v>171</v>
      </c>
      <c r="B167" s="28"/>
      <c r="C167" s="28"/>
      <c r="D167" s="28">
        <f>SUM(D168:D173)</f>
        <v>34000000</v>
      </c>
      <c r="E167" s="28"/>
      <c r="F167" s="28"/>
      <c r="G167" s="28"/>
      <c r="H167" s="28">
        <f>SUM(H168:H173)</f>
        <v>34000000</v>
      </c>
      <c r="I167" s="28"/>
      <c r="J167" s="28">
        <f>SUM(J168:J173)</f>
        <v>34000000</v>
      </c>
      <c r="K167" s="28">
        <f>SUM(K168:K173)</f>
        <v>33871960</v>
      </c>
      <c r="L167" s="28">
        <f t="shared" si="23"/>
        <v>-128040</v>
      </c>
      <c r="M167" s="19">
        <f t="shared" si="24"/>
        <v>0.99623411764705883</v>
      </c>
    </row>
    <row r="168" spans="1:13" s="43" customFormat="1" ht="15" hidden="1" outlineLevel="2" x14ac:dyDescent="0.25">
      <c r="A168" s="44" t="s">
        <v>172</v>
      </c>
      <c r="B168" s="28"/>
      <c r="C168" s="28"/>
      <c r="D168" s="21">
        <f>+'[6]Ejec. I trim Solic II trim-2017'!$J$21</f>
        <v>4500000</v>
      </c>
      <c r="E168" s="28"/>
      <c r="F168" s="28"/>
      <c r="G168" s="28"/>
      <c r="H168" s="21">
        <f t="shared" ref="H168:H173" si="27">+B168+C168+D168+G168+E168+F168</f>
        <v>4500000</v>
      </c>
      <c r="I168" s="28"/>
      <c r="J168" s="22">
        <f t="shared" ref="J168:J173" si="28">+H168+I168</f>
        <v>4500000</v>
      </c>
      <c r="K168" s="22">
        <v>4489875</v>
      </c>
      <c r="L168" s="22">
        <f t="shared" si="23"/>
        <v>-10125</v>
      </c>
      <c r="M168" s="23">
        <f t="shared" si="24"/>
        <v>0.99775000000000003</v>
      </c>
    </row>
    <row r="169" spans="1:13" s="43" customFormat="1" ht="15" hidden="1" outlineLevel="2" x14ac:dyDescent="0.25">
      <c r="A169" s="44" t="s">
        <v>173</v>
      </c>
      <c r="B169" s="28"/>
      <c r="C169" s="28"/>
      <c r="D169" s="21">
        <f>+'[6]Ejec. I trim Solic II trim-2017'!$J$22-600000</f>
        <v>3400000</v>
      </c>
      <c r="E169" s="28"/>
      <c r="F169" s="28"/>
      <c r="G169" s="28"/>
      <c r="H169" s="21">
        <f t="shared" si="27"/>
        <v>3400000</v>
      </c>
      <c r="I169" s="28"/>
      <c r="J169" s="22">
        <f t="shared" si="28"/>
        <v>3400000</v>
      </c>
      <c r="K169" s="22">
        <v>3397870</v>
      </c>
      <c r="L169" s="22">
        <f t="shared" si="23"/>
        <v>-2130</v>
      </c>
      <c r="M169" s="23">
        <f t="shared" si="24"/>
        <v>0.99937352941176472</v>
      </c>
    </row>
    <row r="170" spans="1:13" s="43" customFormat="1" ht="15" hidden="1" outlineLevel="2" x14ac:dyDescent="0.25">
      <c r="A170" s="44" t="s">
        <v>174</v>
      </c>
      <c r="B170" s="28"/>
      <c r="C170" s="28"/>
      <c r="D170" s="21">
        <f>+'[6]Ejec. I trim Solic II trim-2017'!$J$23</f>
        <v>5500000</v>
      </c>
      <c r="E170" s="28"/>
      <c r="F170" s="28"/>
      <c r="G170" s="28"/>
      <c r="H170" s="21">
        <f t="shared" si="27"/>
        <v>5500000</v>
      </c>
      <c r="I170" s="28"/>
      <c r="J170" s="22">
        <f t="shared" si="28"/>
        <v>5500000</v>
      </c>
      <c r="K170" s="22">
        <v>5459300</v>
      </c>
      <c r="L170" s="22">
        <f t="shared" si="23"/>
        <v>-40700</v>
      </c>
      <c r="M170" s="23">
        <f t="shared" si="24"/>
        <v>0.99260000000000004</v>
      </c>
    </row>
    <row r="171" spans="1:13" s="43" customFormat="1" ht="15" hidden="1" outlineLevel="2" x14ac:dyDescent="0.25">
      <c r="A171" s="44" t="s">
        <v>175</v>
      </c>
      <c r="B171" s="28"/>
      <c r="C171" s="28"/>
      <c r="D171" s="21">
        <f>+'[6]Ejec. I trim Solic II trim-2017'!$J$24-400000</f>
        <v>13600000</v>
      </c>
      <c r="E171" s="28"/>
      <c r="F171" s="28"/>
      <c r="G171" s="28"/>
      <c r="H171" s="21">
        <f t="shared" si="27"/>
        <v>13600000</v>
      </c>
      <c r="I171" s="28"/>
      <c r="J171" s="22">
        <f t="shared" si="28"/>
        <v>13600000</v>
      </c>
      <c r="K171" s="22">
        <v>13564915</v>
      </c>
      <c r="L171" s="22">
        <f t="shared" si="23"/>
        <v>-35085</v>
      </c>
      <c r="M171" s="23">
        <f t="shared" si="24"/>
        <v>0.99742022058823532</v>
      </c>
    </row>
    <row r="172" spans="1:13" s="43" customFormat="1" ht="15" hidden="1" outlineLevel="2" x14ac:dyDescent="0.25">
      <c r="A172" s="44" t="s">
        <v>176</v>
      </c>
      <c r="B172" s="28"/>
      <c r="C172" s="28"/>
      <c r="D172" s="21">
        <f>+'[6]Ejec. I trim Solic II trim-2017'!$J$25+1000000</f>
        <v>7000000</v>
      </c>
      <c r="E172" s="28"/>
      <c r="F172" s="28"/>
      <c r="G172" s="28"/>
      <c r="H172" s="21">
        <f t="shared" si="27"/>
        <v>7000000</v>
      </c>
      <c r="I172" s="28"/>
      <c r="J172" s="22">
        <f t="shared" si="28"/>
        <v>7000000</v>
      </c>
      <c r="K172" s="22">
        <v>6960000</v>
      </c>
      <c r="L172" s="22">
        <f t="shared" si="23"/>
        <v>-40000</v>
      </c>
      <c r="M172" s="23">
        <f t="shared" si="24"/>
        <v>0.99428571428571433</v>
      </c>
    </row>
    <row r="173" spans="1:13" s="43" customFormat="1" ht="15" hidden="1" outlineLevel="2" x14ac:dyDescent="0.25">
      <c r="A173" s="44" t="s">
        <v>177</v>
      </c>
      <c r="B173" s="28"/>
      <c r="C173" s="28"/>
      <c r="D173" s="21"/>
      <c r="E173" s="28"/>
      <c r="F173" s="28"/>
      <c r="G173" s="28"/>
      <c r="H173" s="21">
        <f t="shared" si="27"/>
        <v>0</v>
      </c>
      <c r="I173" s="28"/>
      <c r="J173" s="22">
        <f t="shared" si="28"/>
        <v>0</v>
      </c>
      <c r="K173" s="22"/>
      <c r="L173" s="22">
        <f t="shared" si="23"/>
        <v>0</v>
      </c>
      <c r="M173" s="23">
        <f t="shared" si="24"/>
        <v>0</v>
      </c>
    </row>
    <row r="174" spans="1:13" s="43" customFormat="1" ht="15" hidden="1" outlineLevel="1" x14ac:dyDescent="0.25">
      <c r="A174" s="45" t="s">
        <v>178</v>
      </c>
      <c r="B174" s="28"/>
      <c r="C174" s="28"/>
      <c r="D174" s="28">
        <f>SUM(D175:D178)</f>
        <v>82000000</v>
      </c>
      <c r="E174" s="28"/>
      <c r="F174" s="28"/>
      <c r="G174" s="28"/>
      <c r="H174" s="28">
        <f>SUM(H175:H178)</f>
        <v>82000000</v>
      </c>
      <c r="I174" s="28"/>
      <c r="J174" s="28">
        <f>SUM(J175:J178)</f>
        <v>82000000</v>
      </c>
      <c r="K174" s="28">
        <f>SUM(K175:K178)</f>
        <v>57392570</v>
      </c>
      <c r="L174" s="28">
        <f t="shared" si="23"/>
        <v>-24607430</v>
      </c>
      <c r="M174" s="19">
        <f t="shared" si="24"/>
        <v>0.69990939024390242</v>
      </c>
    </row>
    <row r="175" spans="1:13" s="43" customFormat="1" ht="15" hidden="1" outlineLevel="2" x14ac:dyDescent="0.25">
      <c r="A175" s="44" t="s">
        <v>179</v>
      </c>
      <c r="B175" s="28"/>
      <c r="C175" s="28"/>
      <c r="D175" s="21">
        <f>+'[6]Ejec. I trim Solic II trim-2017'!$J$26+5000000</f>
        <v>22000000</v>
      </c>
      <c r="E175" s="28"/>
      <c r="F175" s="28"/>
      <c r="G175" s="28"/>
      <c r="H175" s="21">
        <f t="shared" ref="H175:H180" si="29">+B175+C175+D175+G175+E175+F175</f>
        <v>22000000</v>
      </c>
      <c r="I175" s="28"/>
      <c r="J175" s="22">
        <f t="shared" ref="J175:J180" si="30">+H175+I175</f>
        <v>22000000</v>
      </c>
      <c r="K175" s="22">
        <v>19997475</v>
      </c>
      <c r="L175" s="22">
        <f t="shared" si="23"/>
        <v>-2002525</v>
      </c>
      <c r="M175" s="23">
        <f t="shared" si="24"/>
        <v>0.90897613636363639</v>
      </c>
    </row>
    <row r="176" spans="1:13" s="43" customFormat="1" ht="15" hidden="1" outlineLevel="2" x14ac:dyDescent="0.25">
      <c r="A176" s="44" t="s">
        <v>180</v>
      </c>
      <c r="B176" s="28"/>
      <c r="C176" s="28"/>
      <c r="D176" s="21">
        <f>+'[6]Ejec. I trim Solic II trim-2017'!$J$27+10000000-1000000</f>
        <v>23000000</v>
      </c>
      <c r="E176" s="28"/>
      <c r="F176" s="28"/>
      <c r="G176" s="28"/>
      <c r="H176" s="21">
        <f t="shared" si="29"/>
        <v>23000000</v>
      </c>
      <c r="I176" s="28"/>
      <c r="J176" s="22">
        <f t="shared" si="30"/>
        <v>23000000</v>
      </c>
      <c r="K176" s="22">
        <v>7829095</v>
      </c>
      <c r="L176" s="22">
        <f t="shared" si="23"/>
        <v>-15170905</v>
      </c>
      <c r="M176" s="23">
        <f t="shared" si="24"/>
        <v>0.3403954347826087</v>
      </c>
    </row>
    <row r="177" spans="1:13" s="43" customFormat="1" ht="15" hidden="1" outlineLevel="2" x14ac:dyDescent="0.25">
      <c r="A177" s="44" t="s">
        <v>181</v>
      </c>
      <c r="B177" s="28"/>
      <c r="C177" s="28"/>
      <c r="D177" s="21">
        <f>+'[6]Ejec. I trim Solic II trim-2017'!$J$28+12000000</f>
        <v>37000000</v>
      </c>
      <c r="E177" s="28"/>
      <c r="F177" s="28"/>
      <c r="G177" s="28"/>
      <c r="H177" s="21">
        <f t="shared" si="29"/>
        <v>37000000</v>
      </c>
      <c r="I177" s="28"/>
      <c r="J177" s="22">
        <f t="shared" si="30"/>
        <v>37000000</v>
      </c>
      <c r="K177" s="22">
        <v>29566000</v>
      </c>
      <c r="L177" s="22">
        <f t="shared" si="23"/>
        <v>-7434000</v>
      </c>
      <c r="M177" s="23">
        <f t="shared" si="24"/>
        <v>0.79908108108108111</v>
      </c>
    </row>
    <row r="178" spans="1:13" s="43" customFormat="1" ht="15" hidden="1" outlineLevel="2" x14ac:dyDescent="0.25">
      <c r="A178" s="44" t="s">
        <v>182</v>
      </c>
      <c r="B178" s="28"/>
      <c r="C178" s="28"/>
      <c r="D178" s="21"/>
      <c r="E178" s="28"/>
      <c r="F178" s="28"/>
      <c r="G178" s="28"/>
      <c r="H178" s="21">
        <f t="shared" si="29"/>
        <v>0</v>
      </c>
      <c r="I178" s="28"/>
      <c r="J178" s="22">
        <f t="shared" si="30"/>
        <v>0</v>
      </c>
      <c r="K178" s="22"/>
      <c r="L178" s="22">
        <f t="shared" si="23"/>
        <v>0</v>
      </c>
      <c r="M178" s="23">
        <f t="shared" si="24"/>
        <v>0</v>
      </c>
    </row>
    <row r="179" spans="1:13" s="43" customFormat="1" ht="15" hidden="1" outlineLevel="1" x14ac:dyDescent="0.25">
      <c r="A179" s="45" t="s">
        <v>183</v>
      </c>
      <c r="B179" s="28"/>
      <c r="C179" s="28"/>
      <c r="D179" s="28">
        <f>+'[6]Ejec. I trim Solic II trim-2017'!$J$29+1000000</f>
        <v>6000000</v>
      </c>
      <c r="E179" s="28"/>
      <c r="F179" s="28"/>
      <c r="G179" s="28"/>
      <c r="H179" s="18">
        <f t="shared" si="29"/>
        <v>6000000</v>
      </c>
      <c r="I179" s="18"/>
      <c r="J179" s="18">
        <f t="shared" si="30"/>
        <v>6000000</v>
      </c>
      <c r="K179" s="18">
        <v>5752468</v>
      </c>
      <c r="L179" s="18">
        <f t="shared" si="23"/>
        <v>-247532</v>
      </c>
      <c r="M179" s="19">
        <f t="shared" si="24"/>
        <v>0.95874466666666669</v>
      </c>
    </row>
    <row r="180" spans="1:13" s="43" customFormat="1" ht="15" hidden="1" outlineLevel="1" x14ac:dyDescent="0.25">
      <c r="A180" s="45" t="s">
        <v>184</v>
      </c>
      <c r="B180" s="28"/>
      <c r="C180" s="28"/>
      <c r="D180" s="28">
        <f>+'[6]Ejec. I trim Solic II trim-2017'!$J$30</f>
        <v>7500000</v>
      </c>
      <c r="E180" s="28"/>
      <c r="F180" s="28"/>
      <c r="G180" s="28"/>
      <c r="H180" s="18">
        <f t="shared" si="29"/>
        <v>7500000</v>
      </c>
      <c r="I180" s="18"/>
      <c r="J180" s="18">
        <f t="shared" si="30"/>
        <v>7500000</v>
      </c>
      <c r="K180" s="18">
        <v>7341800</v>
      </c>
      <c r="L180" s="18">
        <f t="shared" si="23"/>
        <v>-158200</v>
      </c>
      <c r="M180" s="19">
        <f t="shared" si="24"/>
        <v>0.9789066666666667</v>
      </c>
    </row>
    <row r="181" spans="1:13" s="43" customFormat="1" ht="15" collapsed="1" x14ac:dyDescent="0.25">
      <c r="A181" s="44"/>
      <c r="B181" s="28"/>
      <c r="C181" s="28"/>
      <c r="D181" s="28"/>
      <c r="E181" s="28"/>
      <c r="F181" s="28"/>
      <c r="G181" s="28"/>
      <c r="H181" s="21"/>
      <c r="I181" s="28"/>
      <c r="J181" s="22"/>
      <c r="K181" s="22"/>
      <c r="L181" s="22"/>
      <c r="M181" s="23"/>
    </row>
    <row r="182" spans="1:13" s="43" customFormat="1" ht="15" x14ac:dyDescent="0.25">
      <c r="A182" s="45" t="s">
        <v>185</v>
      </c>
      <c r="B182" s="28"/>
      <c r="C182" s="28"/>
      <c r="D182" s="28"/>
      <c r="E182" s="18">
        <f>+E183</f>
        <v>324000000</v>
      </c>
      <c r="F182" s="18"/>
      <c r="G182" s="18"/>
      <c r="H182" s="18">
        <f>+H183</f>
        <v>324000000</v>
      </c>
      <c r="I182" s="18"/>
      <c r="J182" s="18">
        <f>+H182+I182</f>
        <v>324000000</v>
      </c>
      <c r="K182" s="18">
        <f>+K183</f>
        <v>250273196</v>
      </c>
      <c r="L182" s="18">
        <f t="shared" si="23"/>
        <v>-73726804</v>
      </c>
      <c r="M182" s="19">
        <f t="shared" ref="M182:M188" si="31">IFERROR(K182/J182,0)</f>
        <v>0.77244813580246918</v>
      </c>
    </row>
    <row r="183" spans="1:13" s="43" customFormat="1" ht="15" x14ac:dyDescent="0.25">
      <c r="A183" s="45" t="s">
        <v>186</v>
      </c>
      <c r="B183" s="28"/>
      <c r="C183" s="28"/>
      <c r="D183" s="28"/>
      <c r="E183" s="28">
        <f t="shared" ref="E183:J183" si="32">SUM(E184:E188)</f>
        <v>324000000</v>
      </c>
      <c r="F183" s="28">
        <f t="shared" si="32"/>
        <v>0</v>
      </c>
      <c r="G183" s="28">
        <f t="shared" si="32"/>
        <v>0</v>
      </c>
      <c r="H183" s="28">
        <f t="shared" si="32"/>
        <v>324000000</v>
      </c>
      <c r="I183" s="28">
        <f t="shared" si="32"/>
        <v>0</v>
      </c>
      <c r="J183" s="28">
        <f t="shared" si="32"/>
        <v>324000000</v>
      </c>
      <c r="K183" s="28">
        <f>SUM(K184:K188)</f>
        <v>250273196</v>
      </c>
      <c r="L183" s="28">
        <f t="shared" si="23"/>
        <v>-73726804</v>
      </c>
      <c r="M183" s="19">
        <f t="shared" si="31"/>
        <v>0.77244813580246918</v>
      </c>
    </row>
    <row r="184" spans="1:13" s="43" customFormat="1" ht="15" hidden="1" outlineLevel="1" x14ac:dyDescent="0.25">
      <c r="A184" s="44" t="s">
        <v>187</v>
      </c>
      <c r="B184" s="28"/>
      <c r="C184" s="28"/>
      <c r="D184" s="28"/>
      <c r="E184" s="22">
        <f>+'[4]II TRIMESTRE SANIDAD'!$B$9</f>
        <v>16000000</v>
      </c>
      <c r="F184" s="28"/>
      <c r="G184" s="28"/>
      <c r="H184" s="21">
        <f>+B184+C184+D184+G184+E184+F184</f>
        <v>16000000</v>
      </c>
      <c r="I184" s="28"/>
      <c r="J184" s="22">
        <f>+H184+I184</f>
        <v>16000000</v>
      </c>
      <c r="K184" s="22">
        <v>7584910</v>
      </c>
      <c r="L184" s="22">
        <f t="shared" si="23"/>
        <v>-8415090</v>
      </c>
      <c r="M184" s="23">
        <f t="shared" si="31"/>
        <v>0.47405687499999999</v>
      </c>
    </row>
    <row r="185" spans="1:13" s="43" customFormat="1" ht="15" hidden="1" outlineLevel="1" x14ac:dyDescent="0.25">
      <c r="A185" s="44" t="s">
        <v>188</v>
      </c>
      <c r="B185" s="28"/>
      <c r="C185" s="28"/>
      <c r="D185" s="28"/>
      <c r="E185" s="22">
        <f>+'[4]II TRIMESTRE SANIDAD'!$B$12</f>
        <v>71500000</v>
      </c>
      <c r="F185" s="28"/>
      <c r="G185" s="28"/>
      <c r="H185" s="21">
        <f>+B185+C185+D185+G185+E185+F185</f>
        <v>71500000</v>
      </c>
      <c r="I185" s="28"/>
      <c r="J185" s="22">
        <f>+H185+I185</f>
        <v>71500000</v>
      </c>
      <c r="K185" s="22">
        <v>35486144</v>
      </c>
      <c r="L185" s="22">
        <f t="shared" si="23"/>
        <v>-36013856</v>
      </c>
      <c r="M185" s="23">
        <f t="shared" si="31"/>
        <v>0.4963097062937063</v>
      </c>
    </row>
    <row r="186" spans="1:13" s="43" customFormat="1" ht="15" hidden="1" outlineLevel="1" x14ac:dyDescent="0.25">
      <c r="A186" s="44" t="s">
        <v>189</v>
      </c>
      <c r="B186" s="28"/>
      <c r="C186" s="28"/>
      <c r="D186" s="28"/>
      <c r="E186" s="22">
        <f>+'[4]II TRIMESTRE SANIDAD'!$B$17</f>
        <v>22500000</v>
      </c>
      <c r="F186" s="28"/>
      <c r="G186" s="28"/>
      <c r="H186" s="21">
        <f>+B186+C186+D186+G186+E186+F186</f>
        <v>22500000</v>
      </c>
      <c r="I186" s="28"/>
      <c r="J186" s="22">
        <f>+H186+I186</f>
        <v>22500000</v>
      </c>
      <c r="K186" s="22">
        <v>22018942</v>
      </c>
      <c r="L186" s="22">
        <f t="shared" si="23"/>
        <v>-481058</v>
      </c>
      <c r="M186" s="23">
        <f t="shared" si="31"/>
        <v>0.97861964444444449</v>
      </c>
    </row>
    <row r="187" spans="1:13" s="43" customFormat="1" ht="15" hidden="1" outlineLevel="1" x14ac:dyDescent="0.25">
      <c r="A187" s="44" t="s">
        <v>190</v>
      </c>
      <c r="B187" s="28"/>
      <c r="C187" s="28"/>
      <c r="D187" s="28"/>
      <c r="E187" s="22">
        <f>+'[4]II TRIMESTRE SANIDAD'!$B$20</f>
        <v>30000000</v>
      </c>
      <c r="F187" s="28"/>
      <c r="G187" s="28"/>
      <c r="H187" s="21">
        <f>+B187+C187+D187+G187+E187+F187</f>
        <v>30000000</v>
      </c>
      <c r="I187" s="28"/>
      <c r="J187" s="22">
        <f>+H187+I187</f>
        <v>30000000</v>
      </c>
      <c r="K187" s="22">
        <v>1183200</v>
      </c>
      <c r="L187" s="22">
        <f t="shared" si="23"/>
        <v>-28816800</v>
      </c>
      <c r="M187" s="23">
        <f t="shared" si="31"/>
        <v>3.9440000000000003E-2</v>
      </c>
    </row>
    <row r="188" spans="1:13" s="43" customFormat="1" ht="15" hidden="1" outlineLevel="1" x14ac:dyDescent="0.25">
      <c r="A188" s="44" t="s">
        <v>191</v>
      </c>
      <c r="B188" s="28"/>
      <c r="C188" s="28"/>
      <c r="D188" s="28"/>
      <c r="E188" s="22">
        <v>184000000</v>
      </c>
      <c r="F188" s="28"/>
      <c r="G188" s="28"/>
      <c r="H188" s="21">
        <f>+B188+C188+D188+G188+E188+F188</f>
        <v>184000000</v>
      </c>
      <c r="I188" s="28"/>
      <c r="J188" s="22">
        <f>+H188+I188</f>
        <v>184000000</v>
      </c>
      <c r="K188" s="22">
        <v>184000000</v>
      </c>
      <c r="L188" s="22">
        <f t="shared" si="23"/>
        <v>0</v>
      </c>
      <c r="M188" s="23">
        <f t="shared" si="31"/>
        <v>1</v>
      </c>
    </row>
    <row r="189" spans="1:13" s="43" customFormat="1" ht="15" collapsed="1" x14ac:dyDescent="0.25">
      <c r="A189" s="44"/>
      <c r="B189" s="21"/>
      <c r="C189" s="28"/>
      <c r="D189" s="28"/>
      <c r="E189" s="28"/>
      <c r="F189" s="28"/>
      <c r="G189" s="28"/>
      <c r="H189" s="21"/>
      <c r="I189" s="28"/>
      <c r="J189" s="22"/>
      <c r="K189" s="22"/>
      <c r="L189" s="22"/>
      <c r="M189" s="23"/>
    </row>
    <row r="190" spans="1:13" ht="15" x14ac:dyDescent="0.25">
      <c r="A190" s="42" t="s">
        <v>192</v>
      </c>
      <c r="B190" s="21"/>
      <c r="C190" s="21"/>
      <c r="D190" s="21"/>
      <c r="E190" s="21"/>
      <c r="F190" s="21"/>
      <c r="G190" s="21"/>
      <c r="H190" s="21"/>
      <c r="I190" s="28">
        <f>+I191+I192</f>
        <v>798933803.10000002</v>
      </c>
      <c r="J190" s="28">
        <f>+I190+H190</f>
        <v>798933803.10000002</v>
      </c>
      <c r="K190" s="28">
        <f>+K191+K192</f>
        <v>763447920</v>
      </c>
      <c r="L190" s="28">
        <f t="shared" si="23"/>
        <v>-35485883.100000024</v>
      </c>
      <c r="M190" s="19">
        <f>IFERROR(K190/J190,0)</f>
        <v>0.95558345014028856</v>
      </c>
    </row>
    <row r="191" spans="1:13" ht="14.25" outlineLevel="1" x14ac:dyDescent="0.2">
      <c r="A191" s="49" t="s">
        <v>193</v>
      </c>
      <c r="B191" s="21"/>
      <c r="C191" s="21"/>
      <c r="D191" s="21"/>
      <c r="E191" s="21"/>
      <c r="F191" s="21"/>
      <c r="G191" s="21"/>
      <c r="H191" s="21"/>
      <c r="I191" s="22">
        <f>+('[1]Anexo 1'!B15+'[1]Anexo 1'!B19)*0.1</f>
        <v>499333626.9375</v>
      </c>
      <c r="J191" s="22">
        <f>+I191+H191</f>
        <v>499333626.9375</v>
      </c>
      <c r="K191" s="22">
        <v>477154950</v>
      </c>
      <c r="L191" s="22">
        <f t="shared" si="23"/>
        <v>-22178676.9375</v>
      </c>
      <c r="M191" s="23">
        <f>IFERROR(K191/J191,0)</f>
        <v>0.95558345014028856</v>
      </c>
    </row>
    <row r="192" spans="1:13" ht="14.25" outlineLevel="1" x14ac:dyDescent="0.2">
      <c r="A192" s="49" t="s">
        <v>194</v>
      </c>
      <c r="B192" s="21"/>
      <c r="C192" s="21"/>
      <c r="D192" s="21"/>
      <c r="E192" s="21"/>
      <c r="F192" s="21"/>
      <c r="G192" s="21"/>
      <c r="H192" s="21"/>
      <c r="I192" s="22">
        <f>+('[1]Anexo 1'!B16+'[1]Anexo 1'!B20)*0.1</f>
        <v>299600176.16250002</v>
      </c>
      <c r="J192" s="22">
        <f>+I192+H192</f>
        <v>299600176.16250002</v>
      </c>
      <c r="K192" s="22">
        <v>286292970</v>
      </c>
      <c r="L192" s="22">
        <f t="shared" si="23"/>
        <v>-13307206.162500024</v>
      </c>
      <c r="M192" s="23">
        <f>IFERROR(K192/J192,0)</f>
        <v>0.95558345014028856</v>
      </c>
    </row>
    <row r="193" spans="1:18" ht="15" x14ac:dyDescent="0.25">
      <c r="A193" s="27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19"/>
    </row>
    <row r="194" spans="1:18" ht="15" x14ac:dyDescent="0.25">
      <c r="A194" s="50" t="s">
        <v>195</v>
      </c>
      <c r="B194" s="18"/>
      <c r="C194" s="18"/>
      <c r="D194" s="18"/>
      <c r="E194" s="18"/>
      <c r="F194" s="18"/>
      <c r="G194" s="18">
        <v>27877122</v>
      </c>
      <c r="H194" s="18">
        <f>+B194+C194+D194+G194+F194</f>
        <v>27877122</v>
      </c>
      <c r="I194" s="18"/>
      <c r="J194" s="51">
        <f>+I194+H194</f>
        <v>27877122</v>
      </c>
      <c r="K194" s="51">
        <v>0</v>
      </c>
      <c r="L194" s="51">
        <f t="shared" si="23"/>
        <v>-27877122</v>
      </c>
      <c r="M194" s="19">
        <f>IFERROR(K194/J194,0)</f>
        <v>0</v>
      </c>
    </row>
    <row r="195" spans="1:18" ht="15" x14ac:dyDescent="0.25">
      <c r="A195" s="27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19"/>
    </row>
    <row r="196" spans="1:18" ht="15" x14ac:dyDescent="0.25">
      <c r="A196" s="42" t="s">
        <v>196</v>
      </c>
      <c r="B196" s="21"/>
      <c r="C196" s="21"/>
      <c r="D196" s="21"/>
      <c r="E196" s="21"/>
      <c r="F196" s="21"/>
      <c r="G196" s="21"/>
      <c r="H196" s="28">
        <f>+B196+C196+G196+F196</f>
        <v>0</v>
      </c>
      <c r="I196" s="28">
        <f>+I197+I198</f>
        <v>0</v>
      </c>
      <c r="J196" s="28">
        <f>+I196+H196</f>
        <v>0</v>
      </c>
      <c r="K196" s="28"/>
      <c r="L196" s="28">
        <f t="shared" si="23"/>
        <v>0</v>
      </c>
      <c r="M196" s="19">
        <f>IFERROR(K196/J196,0)</f>
        <v>0</v>
      </c>
    </row>
    <row r="197" spans="1:18" s="53" customFormat="1" ht="14.25" hidden="1" outlineLevel="1" x14ac:dyDescent="0.2">
      <c r="A197" s="29" t="s">
        <v>197</v>
      </c>
      <c r="B197" s="21"/>
      <c r="C197" s="21"/>
      <c r="D197" s="21"/>
      <c r="E197" s="21"/>
      <c r="F197" s="21"/>
      <c r="G197" s="21"/>
      <c r="H197" s="21">
        <f>+B197+C197+G197+F197</f>
        <v>0</v>
      </c>
      <c r="I197" s="21">
        <v>0</v>
      </c>
      <c r="J197" s="21">
        <f>+I197+H197</f>
        <v>0</v>
      </c>
      <c r="K197" s="21"/>
      <c r="L197" s="21">
        <f t="shared" si="23"/>
        <v>0</v>
      </c>
      <c r="M197" s="23">
        <f>IFERROR(K197/J197,0)</f>
        <v>0</v>
      </c>
      <c r="N197" s="52"/>
    </row>
    <row r="198" spans="1:18" s="53" customFormat="1" ht="14.25" hidden="1" outlineLevel="1" x14ac:dyDescent="0.2">
      <c r="A198" s="29" t="s">
        <v>198</v>
      </c>
      <c r="B198" s="21"/>
      <c r="C198" s="21"/>
      <c r="D198" s="21"/>
      <c r="E198" s="21"/>
      <c r="F198" s="21"/>
      <c r="G198" s="21"/>
      <c r="H198" s="21">
        <f>+B198+C198+G198+F198</f>
        <v>0</v>
      </c>
      <c r="I198" s="21">
        <v>0</v>
      </c>
      <c r="J198" s="21">
        <f>+I198+H198</f>
        <v>0</v>
      </c>
      <c r="K198" s="21"/>
      <c r="L198" s="21">
        <f t="shared" si="23"/>
        <v>0</v>
      </c>
      <c r="M198" s="23">
        <f>IFERROR(K198/J198,0)</f>
        <v>0</v>
      </c>
      <c r="N198" s="54"/>
    </row>
    <row r="199" spans="1:18" ht="15" collapsed="1" x14ac:dyDescent="0.25">
      <c r="A199" s="27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19"/>
    </row>
    <row r="200" spans="1:18" ht="15" x14ac:dyDescent="0.25">
      <c r="A200" s="27" t="s">
        <v>199</v>
      </c>
      <c r="B200" s="28">
        <f>+B39+B37</f>
        <v>1348847104.7684906</v>
      </c>
      <c r="C200" s="28">
        <f>+C37+C39</f>
        <v>554860841.01512754</v>
      </c>
      <c r="D200" s="28">
        <f>+D39+D37</f>
        <v>620718982.77412808</v>
      </c>
      <c r="E200" s="28">
        <f>+E39+E37</f>
        <v>339051119.64434755</v>
      </c>
      <c r="F200" s="28">
        <f>+F39+F37</f>
        <v>3582328190.0750904</v>
      </c>
      <c r="G200" s="28">
        <f>+G37+G39+G194</f>
        <v>4960876082.3481503</v>
      </c>
      <c r="H200" s="28">
        <f>+B200+C200+D200+G200+E200+F200</f>
        <v>11406682320.625334</v>
      </c>
      <c r="I200" s="28">
        <f>+I196+I190+I39+I37</f>
        <v>1051626447.6737083</v>
      </c>
      <c r="J200" s="28">
        <f>+I200+H200</f>
        <v>12458308768.299042</v>
      </c>
      <c r="K200" s="28">
        <f>+K37+K39+K190+K194+K196</f>
        <v>10758455052</v>
      </c>
      <c r="L200" s="28">
        <f>+K200-J200</f>
        <v>-1699853716.2990417</v>
      </c>
      <c r="M200" s="19">
        <f>IFERROR(K200/J200,0)</f>
        <v>0.86355662330151683</v>
      </c>
    </row>
    <row r="201" spans="1:18" ht="15.75" thickBot="1" x14ac:dyDescent="0.3">
      <c r="A201" s="55"/>
      <c r="B201" s="56"/>
      <c r="C201" s="57"/>
      <c r="D201" s="57"/>
      <c r="E201" s="58"/>
      <c r="F201" s="57"/>
      <c r="G201" s="58"/>
      <c r="H201" s="57"/>
      <c r="I201" s="57"/>
      <c r="J201" s="57"/>
      <c r="K201" s="59"/>
      <c r="L201" s="59"/>
      <c r="M201" s="60"/>
      <c r="N201" s="61"/>
      <c r="O201" s="61"/>
      <c r="P201" s="61"/>
      <c r="Q201" s="61"/>
      <c r="R201" s="61"/>
    </row>
    <row r="202" spans="1:18" ht="13.5" thickTop="1" x14ac:dyDescent="0.2">
      <c r="A202" s="62"/>
      <c r="B202" s="63"/>
      <c r="C202" s="63"/>
      <c r="D202" s="63"/>
      <c r="E202" s="63"/>
      <c r="F202" s="63"/>
      <c r="G202" s="64"/>
      <c r="H202" s="65"/>
      <c r="I202" s="63"/>
      <c r="J202" s="63"/>
      <c r="K202" s="63"/>
      <c r="L202" s="63"/>
      <c r="M202" s="66"/>
    </row>
    <row r="203" spans="1:18" x14ac:dyDescent="0.2">
      <c r="A203" s="62"/>
      <c r="B203" s="63"/>
      <c r="C203" s="63"/>
      <c r="D203" s="63"/>
      <c r="E203" s="63"/>
      <c r="F203" s="63"/>
      <c r="G203" s="67"/>
      <c r="H203" s="63"/>
      <c r="I203" s="63"/>
      <c r="J203" s="68"/>
      <c r="K203" s="68"/>
      <c r="L203" s="68"/>
      <c r="M203" s="69"/>
    </row>
    <row r="204" spans="1:18" ht="15.75" hidden="1" outlineLevel="1" x14ac:dyDescent="0.25">
      <c r="A204" s="62"/>
      <c r="C204" s="65"/>
      <c r="D204" s="65"/>
      <c r="E204" s="65"/>
      <c r="F204" s="65"/>
      <c r="G204" s="70"/>
      <c r="H204" s="71" t="s">
        <v>200</v>
      </c>
      <c r="I204" s="71" t="s">
        <v>201</v>
      </c>
      <c r="J204" s="72" t="s">
        <v>202</v>
      </c>
      <c r="K204" s="72"/>
      <c r="L204" s="72"/>
      <c r="M204" s="65"/>
    </row>
    <row r="205" spans="1:18" ht="15.75" hidden="1" outlineLevel="1" x14ac:dyDescent="0.25">
      <c r="A205" s="73"/>
      <c r="B205" s="65"/>
      <c r="C205" s="65"/>
      <c r="D205" s="65"/>
      <c r="E205" s="65"/>
      <c r="F205" s="65"/>
      <c r="G205" s="70" t="s">
        <v>203</v>
      </c>
      <c r="H205" s="74">
        <f>+B200+C200+D200+F200+I37+I191+E200</f>
        <v>7197832509.7883921</v>
      </c>
      <c r="I205" s="75">
        <f>+'[1]Anexo 1'!B41</f>
        <v>7197832509.7883902</v>
      </c>
      <c r="J205" s="75">
        <f>+I205-H205</f>
        <v>0</v>
      </c>
      <c r="K205" s="75"/>
      <c r="L205" s="75"/>
      <c r="M205" s="65"/>
    </row>
    <row r="206" spans="1:18" ht="16.5" hidden="1" outlineLevel="1" thickBot="1" x14ac:dyDescent="0.3">
      <c r="A206" s="62"/>
      <c r="B206" s="65"/>
      <c r="C206" s="63"/>
      <c r="D206" s="76"/>
      <c r="E206" s="65"/>
      <c r="F206" s="65"/>
      <c r="G206" s="70" t="s">
        <v>204</v>
      </c>
      <c r="H206" s="77">
        <f>+G200+I192</f>
        <v>5260476258.5106506</v>
      </c>
      <c r="I206" s="78">
        <f>+'[1]Anexo 1'!B45</f>
        <v>5260476258.5106497</v>
      </c>
      <c r="J206" s="78">
        <f>+I206-H206</f>
        <v>0</v>
      </c>
      <c r="K206" s="79"/>
      <c r="L206" s="79"/>
      <c r="M206" s="65"/>
    </row>
    <row r="207" spans="1:18" ht="15.75" hidden="1" outlineLevel="1" x14ac:dyDescent="0.25">
      <c r="A207" s="62"/>
      <c r="B207" s="63"/>
      <c r="C207" s="63"/>
      <c r="D207" s="76"/>
      <c r="E207" s="65"/>
      <c r="F207" s="65"/>
      <c r="G207" s="70"/>
      <c r="H207" s="80">
        <f>+H205+H206</f>
        <v>12458308768.299042</v>
      </c>
      <c r="I207" s="81">
        <f>+I206+I205</f>
        <v>12458308768.29904</v>
      </c>
      <c r="J207" s="81">
        <f>+J206+J205</f>
        <v>0</v>
      </c>
      <c r="K207" s="81"/>
      <c r="L207" s="81"/>
      <c r="M207" s="65"/>
    </row>
    <row r="208" spans="1:18" ht="15.75" collapsed="1" x14ac:dyDescent="0.25">
      <c r="A208" s="62"/>
      <c r="B208" s="65"/>
      <c r="C208" s="65"/>
      <c r="D208" s="65"/>
      <c r="E208" s="65"/>
      <c r="F208" s="65"/>
      <c r="G208" s="70"/>
      <c r="H208" s="74"/>
      <c r="I208" s="70"/>
      <c r="J208" s="82"/>
      <c r="K208" s="82"/>
      <c r="L208" s="82"/>
      <c r="M208" s="65"/>
    </row>
    <row r="209" spans="1:13" x14ac:dyDescent="0.2">
      <c r="A209" s="65"/>
      <c r="B209" s="65"/>
      <c r="C209" s="65"/>
      <c r="D209" s="65"/>
      <c r="E209" s="65"/>
      <c r="F209" s="65"/>
      <c r="G209" s="65"/>
      <c r="H209" s="65"/>
      <c r="I209" s="65"/>
      <c r="J209" s="68"/>
      <c r="K209" s="68"/>
      <c r="L209" s="68"/>
      <c r="M209" s="65"/>
    </row>
    <row r="210" spans="1:13" x14ac:dyDescent="0.2">
      <c r="A210" s="65"/>
      <c r="B210" s="65"/>
      <c r="C210" s="65"/>
      <c r="D210" s="65"/>
      <c r="E210" s="65"/>
      <c r="F210" s="65"/>
      <c r="G210" s="65"/>
      <c r="H210" s="63"/>
      <c r="I210" s="63"/>
      <c r="J210" s="65"/>
      <c r="K210" s="65"/>
      <c r="L210" s="65"/>
      <c r="M210" s="65"/>
    </row>
    <row r="211" spans="1:13" x14ac:dyDescent="0.2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</row>
    <row r="212" spans="1:13" x14ac:dyDescent="0.2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</row>
    <row r="213" spans="1:13" x14ac:dyDescent="0.2">
      <c r="A213" s="65"/>
      <c r="B213" s="65"/>
      <c r="C213" s="65"/>
      <c r="D213" s="65"/>
      <c r="E213" s="65"/>
      <c r="F213" s="65"/>
      <c r="G213" s="65"/>
      <c r="H213" s="65"/>
      <c r="I213" s="76"/>
      <c r="J213" s="65"/>
      <c r="K213" s="65"/>
      <c r="L213" s="65"/>
      <c r="M213" s="65"/>
    </row>
    <row r="214" spans="1:13" x14ac:dyDescent="0.2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</row>
    <row r="215" spans="1:13" x14ac:dyDescent="0.2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</row>
    <row r="216" spans="1:13" x14ac:dyDescent="0.2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</row>
    <row r="217" spans="1:13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</row>
    <row r="218" spans="1:13" x14ac:dyDescent="0.2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</row>
    <row r="219" spans="1:13" x14ac:dyDescent="0.2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</row>
    <row r="220" spans="1:13" x14ac:dyDescent="0.2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</row>
    <row r="221" spans="1:13" x14ac:dyDescent="0.2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</row>
    <row r="222" spans="1:13" x14ac:dyDescent="0.2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</row>
    <row r="223" spans="1:13" x14ac:dyDescent="0.2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</row>
    <row r="224" spans="1:13" x14ac:dyDescent="0.2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</row>
    <row r="225" spans="1:13" x14ac:dyDescent="0.2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</row>
    <row r="226" spans="1:13" x14ac:dyDescent="0.2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</row>
    <row r="227" spans="1:13" x14ac:dyDescent="0.2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</row>
    <row r="228" spans="1:13" x14ac:dyDescent="0.2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</row>
    <row r="229" spans="1:13" x14ac:dyDescent="0.2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</row>
    <row r="230" spans="1:13" x14ac:dyDescent="0.2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</row>
    <row r="231" spans="1:13" x14ac:dyDescent="0.2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</row>
    <row r="232" spans="1:13" x14ac:dyDescent="0.2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</row>
    <row r="233" spans="1:13" x14ac:dyDescent="0.2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</row>
    <row r="234" spans="1:13" x14ac:dyDescent="0.2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</row>
    <row r="235" spans="1:13" x14ac:dyDescent="0.2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</row>
    <row r="236" spans="1:13" x14ac:dyDescent="0.2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</row>
    <row r="237" spans="1:13" x14ac:dyDescent="0.2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</row>
    <row r="238" spans="1:13" x14ac:dyDescent="0.2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</row>
    <row r="239" spans="1:13" x14ac:dyDescent="0.2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</row>
    <row r="240" spans="1:13" x14ac:dyDescent="0.2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</row>
    <row r="241" spans="1:13" x14ac:dyDescent="0.2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</row>
    <row r="242" spans="1:13" x14ac:dyDescent="0.2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</row>
    <row r="243" spans="1:13" x14ac:dyDescent="0.2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</row>
    <row r="244" spans="1:13" x14ac:dyDescent="0.2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</row>
    <row r="245" spans="1:13" x14ac:dyDescent="0.2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</row>
    <row r="246" spans="1:13" x14ac:dyDescent="0.2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</row>
    <row r="247" spans="1:13" x14ac:dyDescent="0.2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</row>
    <row r="248" spans="1:13" x14ac:dyDescent="0.2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</row>
    <row r="249" spans="1:13" x14ac:dyDescent="0.2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</row>
    <row r="250" spans="1:13" x14ac:dyDescent="0.2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</row>
    <row r="251" spans="1:13" x14ac:dyDescent="0.2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</row>
    <row r="252" spans="1:13" x14ac:dyDescent="0.2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</row>
    <row r="253" spans="1:13" x14ac:dyDescent="0.2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</row>
    <row r="254" spans="1:13" x14ac:dyDescent="0.2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</row>
    <row r="255" spans="1:13" x14ac:dyDescent="0.2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</row>
    <row r="256" spans="1:13" x14ac:dyDescent="0.2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</row>
    <row r="257" spans="1:13" x14ac:dyDescent="0.2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</row>
    <row r="258" spans="1:13" x14ac:dyDescent="0.2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</row>
    <row r="259" spans="1:13" x14ac:dyDescent="0.2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</row>
    <row r="260" spans="1:13" x14ac:dyDescent="0.2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</row>
    <row r="261" spans="1:13" x14ac:dyDescent="0.2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</row>
    <row r="262" spans="1:13" x14ac:dyDescent="0.2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</row>
    <row r="263" spans="1:13" x14ac:dyDescent="0.2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</row>
    <row r="264" spans="1:13" x14ac:dyDescent="0.2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</row>
    <row r="265" spans="1:13" x14ac:dyDescent="0.2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</row>
    <row r="266" spans="1:13" x14ac:dyDescent="0.2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</row>
    <row r="267" spans="1:13" x14ac:dyDescent="0.2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</row>
    <row r="268" spans="1:13" x14ac:dyDescent="0.2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</row>
    <row r="269" spans="1:13" x14ac:dyDescent="0.2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</row>
    <row r="270" spans="1:13" x14ac:dyDescent="0.2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</row>
    <row r="271" spans="1:13" x14ac:dyDescent="0.2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</row>
    <row r="272" spans="1:13" x14ac:dyDescent="0.2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</row>
    <row r="273" spans="1:13" x14ac:dyDescent="0.2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</row>
    <row r="274" spans="1:13" x14ac:dyDescent="0.2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</row>
    <row r="275" spans="1:13" x14ac:dyDescent="0.2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</row>
    <row r="276" spans="1:13" x14ac:dyDescent="0.2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</row>
    <row r="277" spans="1:13" x14ac:dyDescent="0.2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</row>
    <row r="278" spans="1:13" x14ac:dyDescent="0.2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</row>
    <row r="279" spans="1:13" x14ac:dyDescent="0.2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</row>
  </sheetData>
  <mergeCells count="4">
    <mergeCell ref="A1:M1"/>
    <mergeCell ref="A2:M2"/>
    <mergeCell ref="A3:M3"/>
    <mergeCell ref="A4:M4"/>
  </mergeCells>
  <printOptions horizontalCentered="1"/>
  <pageMargins left="0.39370078740157483" right="0.39370078740157483" top="0.39370078740157483" bottom="0.39370078740157483" header="0" footer="0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2019-10-16T17:33:52Z</dcterms:created>
  <dcterms:modified xsi:type="dcterms:W3CDTF">2019-10-16T17:34:18Z</dcterms:modified>
</cp:coreProperties>
</file>