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Y:\Año 2019\LEY 1712\EJECUCION PRESUPUESTAL HISTORICA ANUAL\2019\Gasto\"/>
    </mc:Choice>
  </mc:AlternateContent>
  <xr:revisionPtr revIDLastSave="0" documentId="8_{4F3D08C6-7A18-49E1-BC73-5B2EF6C9D99C}" xr6:coauthVersionLast="44" xr6:coauthVersionMax="44" xr10:uidLastSave="{00000000-0000-0000-0000-000000000000}"/>
  <bookViews>
    <workbookView xWindow="-120" yWindow="-120" windowWidth="24240" windowHeight="13140" xr2:uid="{5650878B-C96B-4484-8BBF-381883C1A93E}"/>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xlnm._FilterDatabase" hidden="1">#REF!</definedName>
    <definedName name="ANEXO" hidden="1">'[13]Inversión total en programas'!$50:$50,'[13]Inversión total en programas'!$60:$63</definedName>
    <definedName name="_xlnm.Print_Area" localSheetId="0">'Anexo 2 '!$A$1:$M$197</definedName>
    <definedName name="_xlnm.Print_Area">#REF!</definedName>
    <definedName name="AREAS">#REF!</definedName>
    <definedName name="ASISCALLCENTER">#REF!</definedName>
    <definedName name="ASISCONTABPPC">#REF!</definedName>
    <definedName name="ASISDESPACHOS">#REF!</definedName>
    <definedName name="ASISICA">#REF!</definedName>
    <definedName name="AUXBODEGA">#REF!</definedName>
    <definedName name="cabezas">'[16]Anexo 1 Minagricultura'!#REF!</definedName>
    <definedName name="CABEZAS_PROYEC" localSheetId="0">'[17]Anexo 1 Minagricultura'!$C$46</definedName>
    <definedName name="CABEZAS_PROYEC">'[1]Anexo 1'!#REF!</definedName>
    <definedName name="CONTRATOS">#REF!</definedName>
    <definedName name="CUOTAPPC2005" localSheetId="0">'[17]Anexo 1 Minagricultura'!#REF!</definedName>
    <definedName name="CUOTAPPC2005">'[1]Anexo 1'!#REF!</definedName>
    <definedName name="CUOTAPPC2013" localSheetId="0">'[17]Anexo 1 Minagricultura'!#REF!</definedName>
    <definedName name="CUOTAPPC2013">'[1]Anexo 1'!#REF!</definedName>
    <definedName name="CUOTAPPC203" localSheetId="0">'[17]Anexo 1 Minagricultura'!#REF!</definedName>
    <definedName name="CUOTAPPC203">'[1]Anexo 1'!#REF!</definedName>
    <definedName name="DIAG_PPC">#REF!</definedName>
    <definedName name="DIRECCION">[18]consecutivo!$M$9:$M$13</definedName>
    <definedName name="DISTRIBUIDOR">#REF!</definedName>
    <definedName name="Dólar" localSheetId="0">#REF!</definedName>
    <definedName name="Dólar">#REF!</definedName>
    <definedName name="eeeee" localSheetId="0">'[17]Ejecución ingresos 2014'!#REF!</definedName>
    <definedName name="eeeee">#REF!</definedName>
    <definedName name="EPPC" localSheetId="0">'[17]Anexo 1 Minagricultura'!$C$54</definedName>
    <definedName name="EPPC">'[1]Anexo 1'!#REF!</definedName>
    <definedName name="Euro" localSheetId="0">#REF!</definedName>
    <definedName name="Euro">#REF!</definedName>
    <definedName name="FDGFDG">#REF!</definedName>
    <definedName name="FECHA_DE_RECIBIDO">[19]BASE!$E$3:$E$177</definedName>
    <definedName name="FOMENTO" localSheetId="0">'[17]Anexo 1 Minagricultura'!$C$53</definedName>
    <definedName name="FOMENTO">'[1]Anexo 1'!#REF!</definedName>
    <definedName name="FOMENTOS">'[22]Anexo 1 Minagricultura'!$C$51</definedName>
    <definedName name="fondo">#REF!</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ojo">#REF!</definedName>
    <definedName name="Pasajes" localSheetId="0">#REF!</definedName>
    <definedName name="Pasajes">#REF!</definedName>
    <definedName name="ppc">'[1]Anexo 1'!$B$16</definedName>
    <definedName name="RESERV_FUTU">#REF!</definedName>
    <definedName name="saldo" localSheetId="0">'[17]Ejecución ingresos 2014'!#REF!</definedName>
    <definedName name="saldo">#REF!</definedName>
    <definedName name="saldos" localSheetId="0">'[17]Ejecución ingresos 2014'!#REF!</definedName>
    <definedName name="saldos">#REF!</definedName>
    <definedName name="SUPERA2004" localSheetId="0">'[17]Anexo 1 Minagricultura'!#REF!</definedName>
    <definedName name="SUPERA2004">'[1]Anexo 1'!#REF!</definedName>
    <definedName name="SUPERA2005" localSheetId="0">'[17]Anexo 1 Minagricultura'!#REF!</definedName>
    <definedName name="SUPERA2005">'[1]Anexo 1'!#REF!</definedName>
    <definedName name="SUPERA2010">'[24]Anexo 1 Minagricultura'!$C$21</definedName>
    <definedName name="SUPERA2012" localSheetId="0">'[17]Anexo 1 Minagricultura'!#REF!</definedName>
    <definedName name="SUPERA2012">'[1]Anexo 1'!#REF!</definedName>
    <definedName name="SUPERAVIT">#REF!</definedName>
    <definedName name="SUPERAVIT2005_FNP">#REF!</definedName>
    <definedName name="SUPERAVITPPC_2005">#REF!</definedName>
    <definedName name="TIPOS">#REF!</definedName>
    <definedName name="_xlnm.Print_Titles" localSheetId="0">'Anexo 2 '!$1:$6</definedName>
    <definedName name="_xlnm.Print_Titles">#REF!</definedName>
    <definedName name="xx">[25]Ingresos!$C$19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'[27]Ingresos 2014'!#REF!</definedName>
    <definedName name="ZFRONTERA">'[27]Ingresos 2014'!#REF!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192" i="1" l="1"/>
  <c r="L192" i="1" s="1"/>
  <c r="J192" i="1"/>
  <c r="K191" i="1"/>
  <c r="L191" i="1" s="1"/>
  <c r="J191" i="1"/>
  <c r="J190" i="1"/>
  <c r="K190" i="1" s="1"/>
  <c r="L190" i="1" s="1"/>
  <c r="I190" i="1"/>
  <c r="H188" i="1"/>
  <c r="J188" i="1" s="1"/>
  <c r="L186" i="1"/>
  <c r="K186" i="1"/>
  <c r="J186" i="1"/>
  <c r="I184" i="1"/>
  <c r="J184" i="1" s="1"/>
  <c r="M183" i="1"/>
  <c r="L183" i="1"/>
  <c r="I183" i="1"/>
  <c r="J183" i="1" s="1"/>
  <c r="K182" i="1"/>
  <c r="I182" i="1"/>
  <c r="J182" i="1" s="1"/>
  <c r="H180" i="1"/>
  <c r="J180" i="1" s="1"/>
  <c r="E180" i="1"/>
  <c r="A180" i="1"/>
  <c r="K179" i="1"/>
  <c r="E179" i="1"/>
  <c r="E178" i="1" s="1"/>
  <c r="E51" i="1" s="1"/>
  <c r="D176" i="1"/>
  <c r="H176" i="1" s="1"/>
  <c r="J176" i="1" s="1"/>
  <c r="M175" i="1"/>
  <c r="L175" i="1"/>
  <c r="D175" i="1"/>
  <c r="H175" i="1" s="1"/>
  <c r="J175" i="1" s="1"/>
  <c r="A175" i="1"/>
  <c r="J174" i="1"/>
  <c r="H174" i="1"/>
  <c r="D174" i="1"/>
  <c r="A174" i="1"/>
  <c r="H173" i="1"/>
  <c r="J173" i="1" s="1"/>
  <c r="L173" i="1" s="1"/>
  <c r="A173" i="1"/>
  <c r="D172" i="1"/>
  <c r="D171" i="1" s="1"/>
  <c r="K171" i="1"/>
  <c r="D170" i="1"/>
  <c r="H170" i="1" s="1"/>
  <c r="J170" i="1" s="1"/>
  <c r="M169" i="1"/>
  <c r="L169" i="1"/>
  <c r="D169" i="1"/>
  <c r="H169" i="1" s="1"/>
  <c r="J169" i="1" s="1"/>
  <c r="H168" i="1"/>
  <c r="D168" i="1"/>
  <c r="D167" i="1" s="1"/>
  <c r="K167" i="1"/>
  <c r="J165" i="1"/>
  <c r="H165" i="1"/>
  <c r="D165" i="1"/>
  <c r="J164" i="1"/>
  <c r="L164" i="1" s="1"/>
  <c r="H164" i="1"/>
  <c r="H163" i="1"/>
  <c r="D163" i="1"/>
  <c r="K162" i="1"/>
  <c r="D162" i="1"/>
  <c r="H161" i="1"/>
  <c r="J161" i="1" s="1"/>
  <c r="L161" i="1" s="1"/>
  <c r="D160" i="1"/>
  <c r="H160" i="1" s="1"/>
  <c r="J160" i="1" s="1"/>
  <c r="H159" i="1"/>
  <c r="J159" i="1" s="1"/>
  <c r="L159" i="1" s="1"/>
  <c r="D158" i="1"/>
  <c r="H158" i="1" s="1"/>
  <c r="J158" i="1" s="1"/>
  <c r="M157" i="1"/>
  <c r="H157" i="1"/>
  <c r="J157" i="1" s="1"/>
  <c r="L157" i="1" s="1"/>
  <c r="D157" i="1"/>
  <c r="A157" i="1"/>
  <c r="D156" i="1"/>
  <c r="H156" i="1" s="1"/>
  <c r="J156" i="1" s="1"/>
  <c r="A156" i="1"/>
  <c r="H155" i="1"/>
  <c r="J155" i="1" s="1"/>
  <c r="D155" i="1"/>
  <c r="A155" i="1"/>
  <c r="D154" i="1"/>
  <c r="H154" i="1" s="1"/>
  <c r="A154" i="1"/>
  <c r="K153" i="1"/>
  <c r="K152" i="1"/>
  <c r="H151" i="1"/>
  <c r="J151" i="1" s="1"/>
  <c r="L151" i="1" s="1"/>
  <c r="L150" i="1"/>
  <c r="D150" i="1"/>
  <c r="H150" i="1" s="1"/>
  <c r="J150" i="1" s="1"/>
  <c r="M150" i="1" s="1"/>
  <c r="D149" i="1"/>
  <c r="D148" i="1" s="1"/>
  <c r="K148" i="1"/>
  <c r="H145" i="1"/>
  <c r="J145" i="1" s="1"/>
  <c r="C145" i="1"/>
  <c r="J144" i="1"/>
  <c r="L144" i="1" s="1"/>
  <c r="H144" i="1"/>
  <c r="H143" i="1"/>
  <c r="J143" i="1" s="1"/>
  <c r="C143" i="1"/>
  <c r="K142" i="1"/>
  <c r="H142" i="1"/>
  <c r="K141" i="1"/>
  <c r="C141" i="1"/>
  <c r="C140" i="1"/>
  <c r="C138" i="1" s="1"/>
  <c r="C137" i="1" s="1"/>
  <c r="C134" i="1" s="1"/>
  <c r="H139" i="1"/>
  <c r="J139" i="1" s="1"/>
  <c r="L139" i="1" s="1"/>
  <c r="K138" i="1"/>
  <c r="H136" i="1"/>
  <c r="J136" i="1" s="1"/>
  <c r="L136" i="1" s="1"/>
  <c r="C136" i="1"/>
  <c r="H135" i="1"/>
  <c r="C135" i="1"/>
  <c r="H133" i="1"/>
  <c r="J133" i="1" s="1"/>
  <c r="L133" i="1" s="1"/>
  <c r="C133" i="1"/>
  <c r="H132" i="1"/>
  <c r="J132" i="1" s="1"/>
  <c r="C132" i="1"/>
  <c r="K131" i="1"/>
  <c r="C131" i="1"/>
  <c r="H131" i="1" s="1"/>
  <c r="M130" i="1"/>
  <c r="H130" i="1"/>
  <c r="J130" i="1" s="1"/>
  <c r="L130" i="1" s="1"/>
  <c r="C130" i="1"/>
  <c r="J129" i="1"/>
  <c r="H129" i="1"/>
  <c r="C129" i="1"/>
  <c r="K128" i="1"/>
  <c r="C128" i="1"/>
  <c r="H128" i="1" s="1"/>
  <c r="M127" i="1"/>
  <c r="H127" i="1"/>
  <c r="J127" i="1" s="1"/>
  <c r="L127" i="1" s="1"/>
  <c r="C127" i="1"/>
  <c r="A127" i="1"/>
  <c r="J126" i="1"/>
  <c r="M126" i="1" s="1"/>
  <c r="H126" i="1"/>
  <c r="C126" i="1"/>
  <c r="A126" i="1"/>
  <c r="C125" i="1"/>
  <c r="H125" i="1" s="1"/>
  <c r="J125" i="1" s="1"/>
  <c r="H124" i="1"/>
  <c r="J124" i="1" s="1"/>
  <c r="L124" i="1" s="1"/>
  <c r="C123" i="1"/>
  <c r="K122" i="1"/>
  <c r="J119" i="1"/>
  <c r="H119" i="1"/>
  <c r="G119" i="1"/>
  <c r="G118" i="1"/>
  <c r="G117" i="1" s="1"/>
  <c r="K117" i="1"/>
  <c r="J116" i="1"/>
  <c r="H116" i="1"/>
  <c r="G116" i="1"/>
  <c r="G115" i="1"/>
  <c r="H115" i="1" s="1"/>
  <c r="A115" i="1"/>
  <c r="K114" i="1"/>
  <c r="J113" i="1"/>
  <c r="M113" i="1" s="1"/>
  <c r="H113" i="1"/>
  <c r="G113" i="1"/>
  <c r="G112" i="1"/>
  <c r="K111" i="1"/>
  <c r="J110" i="1"/>
  <c r="M110" i="1" s="1"/>
  <c r="H110" i="1"/>
  <c r="G110" i="1"/>
  <c r="G109" i="1"/>
  <c r="H109" i="1" s="1"/>
  <c r="J109" i="1" s="1"/>
  <c r="L109" i="1" s="1"/>
  <c r="M108" i="1"/>
  <c r="H108" i="1"/>
  <c r="J108" i="1" s="1"/>
  <c r="L108" i="1" s="1"/>
  <c r="G108" i="1"/>
  <c r="H107" i="1"/>
  <c r="J107" i="1" s="1"/>
  <c r="G107" i="1"/>
  <c r="G106" i="1"/>
  <c r="H106" i="1" s="1"/>
  <c r="J106" i="1" s="1"/>
  <c r="M106" i="1" s="1"/>
  <c r="G105" i="1"/>
  <c r="K104" i="1"/>
  <c r="M101" i="1"/>
  <c r="H101" i="1"/>
  <c r="J101" i="1" s="1"/>
  <c r="L101" i="1" s="1"/>
  <c r="F101" i="1"/>
  <c r="H100" i="1"/>
  <c r="J100" i="1" s="1"/>
  <c r="F100" i="1"/>
  <c r="F99" i="1"/>
  <c r="H99" i="1" s="1"/>
  <c r="J99" i="1" s="1"/>
  <c r="M99" i="1" s="1"/>
  <c r="M98" i="1"/>
  <c r="F98" i="1"/>
  <c r="H98" i="1" s="1"/>
  <c r="J98" i="1" s="1"/>
  <c r="L98" i="1" s="1"/>
  <c r="F97" i="1"/>
  <c r="F94" i="1" s="1"/>
  <c r="H94" i="1" s="1"/>
  <c r="J94" i="1" s="1"/>
  <c r="J96" i="1"/>
  <c r="H96" i="1"/>
  <c r="F96" i="1"/>
  <c r="L95" i="1"/>
  <c r="J95" i="1"/>
  <c r="M95" i="1" s="1"/>
  <c r="H95" i="1"/>
  <c r="F95" i="1"/>
  <c r="K94" i="1"/>
  <c r="J93" i="1"/>
  <c r="H93" i="1"/>
  <c r="F93" i="1"/>
  <c r="J92" i="1"/>
  <c r="M92" i="1" s="1"/>
  <c r="H92" i="1"/>
  <c r="F92" i="1"/>
  <c r="F91" i="1"/>
  <c r="H90" i="1"/>
  <c r="J90" i="1" s="1"/>
  <c r="L90" i="1" s="1"/>
  <c r="F90" i="1"/>
  <c r="J89" i="1"/>
  <c r="H89" i="1"/>
  <c r="F89" i="1"/>
  <c r="J88" i="1"/>
  <c r="L88" i="1" s="1"/>
  <c r="H88" i="1"/>
  <c r="H87" i="1"/>
  <c r="J87" i="1" s="1"/>
  <c r="F87" i="1"/>
  <c r="L86" i="1"/>
  <c r="F86" i="1"/>
  <c r="H86" i="1" s="1"/>
  <c r="J86" i="1" s="1"/>
  <c r="K85" i="1"/>
  <c r="H84" i="1"/>
  <c r="J84" i="1" s="1"/>
  <c r="F84" i="1"/>
  <c r="L83" i="1"/>
  <c r="F83" i="1"/>
  <c r="H83" i="1" s="1"/>
  <c r="J83" i="1" s="1"/>
  <c r="M83" i="1" s="1"/>
  <c r="L82" i="1"/>
  <c r="J82" i="1"/>
  <c r="H82" i="1"/>
  <c r="J81" i="1"/>
  <c r="L81" i="1" s="1"/>
  <c r="H81" i="1"/>
  <c r="J80" i="1"/>
  <c r="H80" i="1"/>
  <c r="F80" i="1"/>
  <c r="L79" i="1"/>
  <c r="J79" i="1"/>
  <c r="M79" i="1" s="1"/>
  <c r="H79" i="1"/>
  <c r="F79" i="1"/>
  <c r="M78" i="1"/>
  <c r="L78" i="1"/>
  <c r="F78" i="1"/>
  <c r="H78" i="1" s="1"/>
  <c r="J78" i="1" s="1"/>
  <c r="L77" i="1"/>
  <c r="J77" i="1"/>
  <c r="H77" i="1"/>
  <c r="F76" i="1"/>
  <c r="H76" i="1" s="1"/>
  <c r="J76" i="1" s="1"/>
  <c r="M76" i="1" s="1"/>
  <c r="H75" i="1"/>
  <c r="J75" i="1" s="1"/>
  <c r="F75" i="1"/>
  <c r="J74" i="1"/>
  <c r="H74" i="1"/>
  <c r="F74" i="1"/>
  <c r="K73" i="1"/>
  <c r="L72" i="1"/>
  <c r="J72" i="1"/>
  <c r="H72" i="1"/>
  <c r="M71" i="1"/>
  <c r="L71" i="1"/>
  <c r="F71" i="1"/>
  <c r="H71" i="1" s="1"/>
  <c r="J71" i="1" s="1"/>
  <c r="F70" i="1"/>
  <c r="H70" i="1" s="1"/>
  <c r="J69" i="1"/>
  <c r="H69" i="1"/>
  <c r="F69" i="1"/>
  <c r="J68" i="1"/>
  <c r="L68" i="1" s="1"/>
  <c r="H68" i="1"/>
  <c r="H67" i="1"/>
  <c r="J67" i="1" s="1"/>
  <c r="L67" i="1" s="1"/>
  <c r="K66" i="1"/>
  <c r="M63" i="1"/>
  <c r="H63" i="1"/>
  <c r="J63" i="1" s="1"/>
  <c r="L63" i="1" s="1"/>
  <c r="B63" i="1"/>
  <c r="H62" i="1"/>
  <c r="J62" i="1" s="1"/>
  <c r="B62" i="1"/>
  <c r="L61" i="1"/>
  <c r="B61" i="1"/>
  <c r="H61" i="1" s="1"/>
  <c r="J61" i="1" s="1"/>
  <c r="K60" i="1"/>
  <c r="B60" i="1"/>
  <c r="H59" i="1"/>
  <c r="J59" i="1" s="1"/>
  <c r="L59" i="1" s="1"/>
  <c r="B59" i="1"/>
  <c r="B56" i="1" s="1"/>
  <c r="J58" i="1"/>
  <c r="H58" i="1"/>
  <c r="B58" i="1"/>
  <c r="J57" i="1"/>
  <c r="H57" i="1"/>
  <c r="B57" i="1"/>
  <c r="K56" i="1"/>
  <c r="J55" i="1"/>
  <c r="H55" i="1"/>
  <c r="H54" i="1" s="1"/>
  <c r="B55" i="1"/>
  <c r="K54" i="1"/>
  <c r="B54" i="1"/>
  <c r="J45" i="1"/>
  <c r="M45" i="1" s="1"/>
  <c r="I45" i="1"/>
  <c r="I44" i="1"/>
  <c r="J44" i="1" s="1"/>
  <c r="M44" i="1" s="1"/>
  <c r="L43" i="1"/>
  <c r="J43" i="1"/>
  <c r="I43" i="1"/>
  <c r="I42" i="1" s="1"/>
  <c r="K42" i="1"/>
  <c r="L41" i="1"/>
  <c r="J41" i="1"/>
  <c r="J40" i="1"/>
  <c r="I40" i="1"/>
  <c r="I39" i="1"/>
  <c r="I38" i="1" s="1"/>
  <c r="I47" i="1" s="1"/>
  <c r="K38" i="1"/>
  <c r="K36" i="1"/>
  <c r="I35" i="1"/>
  <c r="J35" i="1" s="1"/>
  <c r="M35" i="1" s="1"/>
  <c r="H35" i="1"/>
  <c r="L34" i="1"/>
  <c r="J34" i="1"/>
  <c r="I34" i="1"/>
  <c r="H34" i="1"/>
  <c r="I33" i="1"/>
  <c r="G33" i="1"/>
  <c r="H33" i="1" s="1"/>
  <c r="J33" i="1" s="1"/>
  <c r="F33" i="1"/>
  <c r="B33" i="1"/>
  <c r="I32" i="1"/>
  <c r="G32" i="1"/>
  <c r="F32" i="1"/>
  <c r="E32" i="1"/>
  <c r="D32" i="1"/>
  <c r="D36" i="1" s="1"/>
  <c r="D49" i="1" s="1"/>
  <c r="C32" i="1"/>
  <c r="B32" i="1"/>
  <c r="L31" i="1"/>
  <c r="J31" i="1"/>
  <c r="M31" i="1" s="1"/>
  <c r="I31" i="1"/>
  <c r="H31" i="1"/>
  <c r="M30" i="1"/>
  <c r="I30" i="1"/>
  <c r="H30" i="1"/>
  <c r="J30" i="1" s="1"/>
  <c r="L30" i="1" s="1"/>
  <c r="G30" i="1"/>
  <c r="F30" i="1"/>
  <c r="D30" i="1"/>
  <c r="C30" i="1"/>
  <c r="B30" i="1"/>
  <c r="I29" i="1"/>
  <c r="J29" i="1" s="1"/>
  <c r="H29" i="1"/>
  <c r="G29" i="1"/>
  <c r="I28" i="1"/>
  <c r="G28" i="1"/>
  <c r="E28" i="1"/>
  <c r="D28" i="1"/>
  <c r="C28" i="1"/>
  <c r="H28" i="1" s="1"/>
  <c r="J28" i="1" s="1"/>
  <c r="B28" i="1"/>
  <c r="I27" i="1"/>
  <c r="G27" i="1"/>
  <c r="F27" i="1"/>
  <c r="E27" i="1"/>
  <c r="D27" i="1"/>
  <c r="C27" i="1"/>
  <c r="B27" i="1"/>
  <c r="L26" i="1"/>
  <c r="I26" i="1"/>
  <c r="H26" i="1"/>
  <c r="J26" i="1" s="1"/>
  <c r="I25" i="1"/>
  <c r="H25" i="1"/>
  <c r="J25" i="1" s="1"/>
  <c r="G25" i="1"/>
  <c r="F25" i="1"/>
  <c r="D25" i="1"/>
  <c r="C25" i="1"/>
  <c r="B25" i="1"/>
  <c r="I24" i="1"/>
  <c r="G24" i="1"/>
  <c r="F24" i="1"/>
  <c r="E24" i="1"/>
  <c r="D24" i="1"/>
  <c r="C24" i="1"/>
  <c r="B24" i="1"/>
  <c r="J23" i="1"/>
  <c r="I23" i="1"/>
  <c r="H23" i="1"/>
  <c r="G23" i="1"/>
  <c r="I22" i="1"/>
  <c r="G22" i="1"/>
  <c r="F22" i="1"/>
  <c r="E22" i="1"/>
  <c r="E36" i="1" s="1"/>
  <c r="C22" i="1"/>
  <c r="H22" i="1" s="1"/>
  <c r="J22" i="1" s="1"/>
  <c r="B22" i="1"/>
  <c r="I21" i="1"/>
  <c r="G21" i="1"/>
  <c r="F21" i="1"/>
  <c r="F36" i="1" s="1"/>
  <c r="C21" i="1"/>
  <c r="C36" i="1" s="1"/>
  <c r="C49" i="1" s="1"/>
  <c r="B21" i="1"/>
  <c r="K19" i="1"/>
  <c r="I18" i="1"/>
  <c r="G18" i="1"/>
  <c r="F18" i="1"/>
  <c r="E18" i="1"/>
  <c r="D18" i="1"/>
  <c r="C18" i="1"/>
  <c r="B18" i="1"/>
  <c r="H18" i="1" s="1"/>
  <c r="J18" i="1" s="1"/>
  <c r="I17" i="1"/>
  <c r="G17" i="1"/>
  <c r="F17" i="1"/>
  <c r="E17" i="1"/>
  <c r="D17" i="1"/>
  <c r="C17" i="1"/>
  <c r="B17" i="1"/>
  <c r="H17" i="1" s="1"/>
  <c r="J17" i="1" s="1"/>
  <c r="I16" i="1"/>
  <c r="H16" i="1"/>
  <c r="J16" i="1" s="1"/>
  <c r="G16" i="1"/>
  <c r="F16" i="1"/>
  <c r="E16" i="1"/>
  <c r="D16" i="1"/>
  <c r="C16" i="1"/>
  <c r="B16" i="1"/>
  <c r="I15" i="1"/>
  <c r="G15" i="1"/>
  <c r="F15" i="1"/>
  <c r="E15" i="1"/>
  <c r="D15" i="1"/>
  <c r="C15" i="1"/>
  <c r="B15" i="1"/>
  <c r="H15" i="1" s="1"/>
  <c r="J15" i="1" s="1"/>
  <c r="I14" i="1"/>
  <c r="G14" i="1"/>
  <c r="F14" i="1"/>
  <c r="E14" i="1"/>
  <c r="D14" i="1"/>
  <c r="C14" i="1"/>
  <c r="B14" i="1"/>
  <c r="H14" i="1" s="1"/>
  <c r="J14" i="1" s="1"/>
  <c r="I13" i="1"/>
  <c r="G13" i="1"/>
  <c r="F13" i="1"/>
  <c r="E13" i="1"/>
  <c r="D13" i="1"/>
  <c r="C13" i="1"/>
  <c r="B13" i="1"/>
  <c r="H13" i="1" s="1"/>
  <c r="J13" i="1" s="1"/>
  <c r="I12" i="1"/>
  <c r="H12" i="1"/>
  <c r="J12" i="1" s="1"/>
  <c r="I11" i="1"/>
  <c r="G11" i="1"/>
  <c r="F11" i="1"/>
  <c r="E11" i="1"/>
  <c r="D11" i="1"/>
  <c r="C11" i="1"/>
  <c r="B11" i="1"/>
  <c r="H11" i="1" s="1"/>
  <c r="J11" i="1" s="1"/>
  <c r="I10" i="1"/>
  <c r="G10" i="1"/>
  <c r="F10" i="1"/>
  <c r="E10" i="1"/>
  <c r="E8" i="1" s="1"/>
  <c r="D10" i="1"/>
  <c r="D8" i="1" s="1"/>
  <c r="C10" i="1"/>
  <c r="H10" i="1" s="1"/>
  <c r="J10" i="1" s="1"/>
  <c r="B10" i="1"/>
  <c r="I9" i="1"/>
  <c r="G9" i="1"/>
  <c r="G8" i="1" s="1"/>
  <c r="F9" i="1"/>
  <c r="F19" i="1" s="1"/>
  <c r="E9" i="1"/>
  <c r="D9" i="1"/>
  <c r="D19" i="1" s="1"/>
  <c r="C9" i="1"/>
  <c r="C19" i="1" s="1"/>
  <c r="B9" i="1"/>
  <c r="K8" i="1"/>
  <c r="M18" i="1" l="1"/>
  <c r="L18" i="1"/>
  <c r="L28" i="1"/>
  <c r="M28" i="1"/>
  <c r="L94" i="1"/>
  <c r="M94" i="1"/>
  <c r="M125" i="1"/>
  <c r="L125" i="1"/>
  <c r="M17" i="1"/>
  <c r="L17" i="1"/>
  <c r="J70" i="1"/>
  <c r="H66" i="1"/>
  <c r="L12" i="1"/>
  <c r="M12" i="1"/>
  <c r="L15" i="1"/>
  <c r="M15" i="1"/>
  <c r="M11" i="1"/>
  <c r="L11" i="1"/>
  <c r="M14" i="1"/>
  <c r="L14" i="1"/>
  <c r="M143" i="1"/>
  <c r="L143" i="1"/>
  <c r="M13" i="1"/>
  <c r="L13" i="1"/>
  <c r="M84" i="1"/>
  <c r="L84" i="1"/>
  <c r="M132" i="1"/>
  <c r="J131" i="1"/>
  <c r="L131" i="1" s="1"/>
  <c r="L132" i="1"/>
  <c r="L10" i="1"/>
  <c r="M10" i="1"/>
  <c r="L33" i="1"/>
  <c r="M33" i="1"/>
  <c r="M100" i="1"/>
  <c r="L100" i="1"/>
  <c r="M107" i="1"/>
  <c r="L107" i="1"/>
  <c r="M156" i="1"/>
  <c r="L156" i="1"/>
  <c r="M87" i="1"/>
  <c r="L87" i="1"/>
  <c r="M22" i="1"/>
  <c r="L22" i="1"/>
  <c r="M62" i="1"/>
  <c r="L62" i="1"/>
  <c r="M16" i="1"/>
  <c r="L16" i="1"/>
  <c r="M29" i="1"/>
  <c r="L29" i="1"/>
  <c r="M145" i="1"/>
  <c r="L145" i="1"/>
  <c r="M80" i="1"/>
  <c r="L80" i="1"/>
  <c r="M25" i="1"/>
  <c r="L25" i="1"/>
  <c r="L45" i="1"/>
  <c r="M133" i="1"/>
  <c r="M136" i="1"/>
  <c r="H140" i="1"/>
  <c r="M170" i="1"/>
  <c r="L170" i="1"/>
  <c r="I19" i="1"/>
  <c r="F49" i="1"/>
  <c r="M23" i="1"/>
  <c r="L23" i="1"/>
  <c r="K47" i="1"/>
  <c r="K49" i="1" s="1"/>
  <c r="M57" i="1"/>
  <c r="J56" i="1"/>
  <c r="H60" i="1"/>
  <c r="K65" i="1"/>
  <c r="L76" i="1"/>
  <c r="G104" i="1"/>
  <c r="H105" i="1"/>
  <c r="L110" i="1"/>
  <c r="C122" i="1"/>
  <c r="H162" i="1"/>
  <c r="M176" i="1"/>
  <c r="L176" i="1"/>
  <c r="L180" i="1"/>
  <c r="J179" i="1"/>
  <c r="L179" i="1" s="1"/>
  <c r="M75" i="1"/>
  <c r="L75" i="1"/>
  <c r="H9" i="1"/>
  <c r="B19" i="1"/>
  <c r="F73" i="1"/>
  <c r="L92" i="1"/>
  <c r="M158" i="1"/>
  <c r="L158" i="1"/>
  <c r="M184" i="1"/>
  <c r="L184" i="1"/>
  <c r="F8" i="1"/>
  <c r="G36" i="1"/>
  <c r="G49" i="1" s="1"/>
  <c r="H24" i="1"/>
  <c r="J24" i="1" s="1"/>
  <c r="L35" i="1"/>
  <c r="J39" i="1"/>
  <c r="J42" i="1"/>
  <c r="L42" i="1" s="1"/>
  <c r="M43" i="1"/>
  <c r="M55" i="1"/>
  <c r="J54" i="1"/>
  <c r="L55" i="1"/>
  <c r="L57" i="1"/>
  <c r="M90" i="1"/>
  <c r="L113" i="1"/>
  <c r="H123" i="1"/>
  <c r="J123" i="1" s="1"/>
  <c r="L126" i="1"/>
  <c r="M141" i="1"/>
  <c r="H149" i="1"/>
  <c r="J163" i="1"/>
  <c r="M180" i="1"/>
  <c r="G19" i="1"/>
  <c r="I36" i="1"/>
  <c r="I49" i="1" s="1"/>
  <c r="H32" i="1"/>
  <c r="J32" i="1" s="1"/>
  <c r="F85" i="1"/>
  <c r="H91" i="1"/>
  <c r="J91" i="1" s="1"/>
  <c r="M93" i="1"/>
  <c r="L93" i="1"/>
  <c r="M116" i="1"/>
  <c r="L116" i="1"/>
  <c r="M160" i="1"/>
  <c r="L160" i="1"/>
  <c r="D166" i="1"/>
  <c r="M182" i="1"/>
  <c r="L182" i="1"/>
  <c r="M89" i="1"/>
  <c r="L89" i="1"/>
  <c r="H97" i="1"/>
  <c r="J97" i="1" s="1"/>
  <c r="M40" i="1"/>
  <c r="L40" i="1"/>
  <c r="H56" i="1"/>
  <c r="H53" i="1" s="1"/>
  <c r="H73" i="1"/>
  <c r="M119" i="1"/>
  <c r="L119" i="1"/>
  <c r="M129" i="1"/>
  <c r="J128" i="1"/>
  <c r="L128" i="1" s="1"/>
  <c r="L129" i="1"/>
  <c r="H141" i="1"/>
  <c r="J141" i="1" s="1"/>
  <c r="L141" i="1" s="1"/>
  <c r="J154" i="1"/>
  <c r="H153" i="1"/>
  <c r="H152" i="1" s="1"/>
  <c r="H167" i="1"/>
  <c r="J168" i="1"/>
  <c r="M174" i="1"/>
  <c r="L174" i="1"/>
  <c r="I8" i="1"/>
  <c r="E19" i="1"/>
  <c r="E49" i="1" s="1"/>
  <c r="E194" i="1" s="1"/>
  <c r="H27" i="1"/>
  <c r="J27" i="1" s="1"/>
  <c r="L44" i="1"/>
  <c r="B53" i="1"/>
  <c r="B51" i="1" s="1"/>
  <c r="M58" i="1"/>
  <c r="L58" i="1"/>
  <c r="M61" i="1"/>
  <c r="J60" i="1"/>
  <c r="F66" i="1"/>
  <c r="M74" i="1"/>
  <c r="J73" i="1"/>
  <c r="L73" i="1" s="1"/>
  <c r="L74" i="1"/>
  <c r="L99" i="1"/>
  <c r="L106" i="1"/>
  <c r="M109" i="1"/>
  <c r="G111" i="1"/>
  <c r="H112" i="1"/>
  <c r="J135" i="1"/>
  <c r="L142" i="1"/>
  <c r="M179" i="1"/>
  <c r="K178" i="1"/>
  <c r="K188" i="1"/>
  <c r="L188" i="1" s="1"/>
  <c r="C8" i="1"/>
  <c r="B36" i="1"/>
  <c r="B49" i="1" s="1"/>
  <c r="H21" i="1"/>
  <c r="M42" i="1"/>
  <c r="M69" i="1"/>
  <c r="L69" i="1"/>
  <c r="J115" i="1"/>
  <c r="H114" i="1"/>
  <c r="M155" i="1"/>
  <c r="L155" i="1"/>
  <c r="M165" i="1"/>
  <c r="L165" i="1"/>
  <c r="B8" i="1"/>
  <c r="M54" i="1"/>
  <c r="K53" i="1"/>
  <c r="M86" i="1"/>
  <c r="J85" i="1"/>
  <c r="M96" i="1"/>
  <c r="L96" i="1"/>
  <c r="I194" i="1"/>
  <c r="G114" i="1"/>
  <c r="H118" i="1"/>
  <c r="D153" i="1"/>
  <c r="D152" i="1" s="1"/>
  <c r="D147" i="1" s="1"/>
  <c r="D51" i="1" s="1"/>
  <c r="D194" i="1" s="1"/>
  <c r="K103" i="1"/>
  <c r="K137" i="1"/>
  <c r="J142" i="1"/>
  <c r="H172" i="1"/>
  <c r="H179" i="1"/>
  <c r="H178" i="1" s="1"/>
  <c r="J178" i="1" s="1"/>
  <c r="K147" i="1"/>
  <c r="K166" i="1"/>
  <c r="M24" i="1" l="1"/>
  <c r="L24" i="1"/>
  <c r="L91" i="1"/>
  <c r="M91" i="1"/>
  <c r="M97" i="1"/>
  <c r="L97" i="1"/>
  <c r="J140" i="1"/>
  <c r="H138" i="1"/>
  <c r="J118" i="1"/>
  <c r="H117" i="1"/>
  <c r="M53" i="1"/>
  <c r="H49" i="1"/>
  <c r="M135" i="1"/>
  <c r="L135" i="1"/>
  <c r="M27" i="1"/>
  <c r="L27" i="1"/>
  <c r="M168" i="1"/>
  <c r="J167" i="1"/>
  <c r="L168" i="1"/>
  <c r="L32" i="1"/>
  <c r="M32" i="1"/>
  <c r="L54" i="1"/>
  <c r="J53" i="1"/>
  <c r="L53" i="1" s="1"/>
  <c r="H19" i="1"/>
  <c r="G103" i="1"/>
  <c r="G51" i="1" s="1"/>
  <c r="G194" i="1" s="1"/>
  <c r="J172" i="1"/>
  <c r="H171" i="1"/>
  <c r="H111" i="1"/>
  <c r="J112" i="1"/>
  <c r="F65" i="1"/>
  <c r="F51" i="1" s="1"/>
  <c r="F194" i="1" s="1"/>
  <c r="H166" i="1"/>
  <c r="M123" i="1"/>
  <c r="J122" i="1"/>
  <c r="L123" i="1"/>
  <c r="H8" i="1"/>
  <c r="J9" i="1"/>
  <c r="M70" i="1"/>
  <c r="L70" i="1"/>
  <c r="J66" i="1"/>
  <c r="M73" i="1"/>
  <c r="M128" i="1"/>
  <c r="H36" i="1"/>
  <c r="J21" i="1"/>
  <c r="J105" i="1"/>
  <c r="H104" i="1"/>
  <c r="H103" i="1" s="1"/>
  <c r="M60" i="1"/>
  <c r="L60" i="1"/>
  <c r="K134" i="1"/>
  <c r="M115" i="1"/>
  <c r="J114" i="1"/>
  <c r="L115" i="1"/>
  <c r="M154" i="1"/>
  <c r="L154" i="1"/>
  <c r="J153" i="1"/>
  <c r="M85" i="1"/>
  <c r="L85" i="1"/>
  <c r="H148" i="1"/>
  <c r="J149" i="1"/>
  <c r="M178" i="1"/>
  <c r="L178" i="1"/>
  <c r="H85" i="1"/>
  <c r="H65" i="1" s="1"/>
  <c r="J38" i="1"/>
  <c r="M39" i="1"/>
  <c r="L39" i="1"/>
  <c r="M131" i="1"/>
  <c r="B194" i="1"/>
  <c r="M163" i="1"/>
  <c r="J162" i="1"/>
  <c r="L163" i="1"/>
  <c r="C121" i="1"/>
  <c r="C51" i="1" s="1"/>
  <c r="C194" i="1" s="1"/>
  <c r="H122" i="1"/>
  <c r="L56" i="1"/>
  <c r="M56" i="1"/>
  <c r="H51" i="1" l="1"/>
  <c r="J51" i="1" s="1"/>
  <c r="H147" i="1"/>
  <c r="J147" i="1" s="1"/>
  <c r="L112" i="1"/>
  <c r="M112" i="1"/>
  <c r="J111" i="1"/>
  <c r="M118" i="1"/>
  <c r="J117" i="1"/>
  <c r="L118" i="1"/>
  <c r="M66" i="1"/>
  <c r="L66" i="1"/>
  <c r="J65" i="1"/>
  <c r="J104" i="1"/>
  <c r="M105" i="1"/>
  <c r="L105" i="1"/>
  <c r="J19" i="1"/>
  <c r="J8" i="1"/>
  <c r="M9" i="1"/>
  <c r="L9" i="1"/>
  <c r="H137" i="1"/>
  <c r="J138" i="1"/>
  <c r="J36" i="1"/>
  <c r="M21" i="1"/>
  <c r="L21" i="1"/>
  <c r="M140" i="1"/>
  <c r="L140" i="1"/>
  <c r="M149" i="1"/>
  <c r="J148" i="1"/>
  <c r="L149" i="1"/>
  <c r="H194" i="1"/>
  <c r="J194" i="1" s="1"/>
  <c r="L114" i="1"/>
  <c r="M114" i="1"/>
  <c r="M172" i="1"/>
  <c r="L172" i="1"/>
  <c r="J171" i="1"/>
  <c r="L162" i="1"/>
  <c r="M162" i="1"/>
  <c r="J47" i="1"/>
  <c r="M38" i="1"/>
  <c r="L38" i="1"/>
  <c r="J152" i="1"/>
  <c r="M153" i="1"/>
  <c r="L153" i="1"/>
  <c r="K121" i="1"/>
  <c r="M122" i="1"/>
  <c r="L122" i="1"/>
  <c r="M167" i="1"/>
  <c r="L167" i="1"/>
  <c r="M186" i="1" l="1"/>
  <c r="M190" i="1"/>
  <c r="M191" i="1"/>
  <c r="M192" i="1"/>
  <c r="M188" i="1"/>
  <c r="J49" i="1"/>
  <c r="L36" i="1"/>
  <c r="M36" i="1"/>
  <c r="J103" i="1"/>
  <c r="M104" i="1"/>
  <c r="L104" i="1"/>
  <c r="L111" i="1"/>
  <c r="M111" i="1"/>
  <c r="L121" i="1"/>
  <c r="M121" i="1"/>
  <c r="K51" i="1"/>
  <c r="J137" i="1"/>
  <c r="H134" i="1"/>
  <c r="H121" i="1" s="1"/>
  <c r="J121" i="1" s="1"/>
  <c r="L19" i="1"/>
  <c r="M19" i="1"/>
  <c r="L47" i="1"/>
  <c r="M47" i="1"/>
  <c r="L138" i="1"/>
  <c r="M138" i="1"/>
  <c r="L171" i="1"/>
  <c r="M171" i="1"/>
  <c r="L65" i="1"/>
  <c r="M65" i="1"/>
  <c r="L117" i="1"/>
  <c r="M117" i="1"/>
  <c r="L147" i="1"/>
  <c r="M147" i="1"/>
  <c r="L148" i="1"/>
  <c r="M148" i="1"/>
  <c r="J166" i="1"/>
  <c r="L152" i="1"/>
  <c r="M152" i="1"/>
  <c r="M8" i="1"/>
  <c r="L8" i="1"/>
  <c r="M49" i="1" l="1"/>
  <c r="L49" i="1"/>
  <c r="M51" i="1"/>
  <c r="L51" i="1"/>
  <c r="K194" i="1"/>
  <c r="L166" i="1"/>
  <c r="M166" i="1"/>
  <c r="L137" i="1"/>
  <c r="M137" i="1"/>
  <c r="J134" i="1"/>
  <c r="M103" i="1"/>
  <c r="L103" i="1"/>
  <c r="M194" i="1" l="1"/>
  <c r="L194" i="1"/>
  <c r="M134" i="1"/>
  <c r="L1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Oscar Rubio</author>
  </authors>
  <commentList>
    <comment ref="M22" authorId="0" shapeId="0" xr:uid="{A5E6E869-3B76-4CC9-95B1-267B8F433CE6}">
      <text>
        <r>
          <rPr>
            <sz val="9"/>
            <color indexed="81"/>
            <rFont val="Tahoma"/>
            <family val="2"/>
          </rPr>
          <t xml:space="preserve">No se logro realizar el manual de exportacion de carne de cerdo y demas subprorductos, debido a que aún se encuentar en ajustes,  esta se realizara en el segundo semestre
</t>
        </r>
      </text>
    </comment>
    <comment ref="M25" authorId="0" shapeId="0" xr:uid="{D4DB6516-CA0A-4867-8CDD-521F48F81407}">
      <text>
        <r>
          <rPr>
            <sz val="9"/>
            <color indexed="81"/>
            <rFont val="Tahoma"/>
            <family val="2"/>
          </rPr>
          <t>Se optimizo el recurso para transportes de las diferentes reuniones ya que se efectuaron en las instalaciones de Porkcolombia</t>
        </r>
      </text>
    </comment>
    <comment ref="M28" authorId="0" shapeId="0" xr:uid="{70AFABFF-9B84-4F22-82DC-9CF222470D52}">
      <text>
        <r>
          <rPr>
            <sz val="9"/>
            <color indexed="81"/>
            <rFont val="Tahoma"/>
            <family val="2"/>
          </rPr>
          <t xml:space="preserve">Se efectuaron pagos menores a los proyectados en impuestos 
</t>
        </r>
      </text>
    </comment>
    <comment ref="M33" authorId="0" shapeId="0" xr:uid="{9AB79223-B12D-4717-B559-3C6C0E8877CD}">
      <text>
        <r>
          <rPr>
            <sz val="9"/>
            <color indexed="81"/>
            <rFont val="Tahoma"/>
            <family val="2"/>
          </rPr>
          <t>El cobro por almacenamiento y custodia de información fue menor a lo proyectado</t>
        </r>
      </text>
    </comment>
    <comment ref="M42" authorId="0" shapeId="0" xr:uid="{54DF17A0-F2E6-4AF3-94FE-686DAEB4E651}">
      <text>
        <r>
          <rPr>
            <sz val="9"/>
            <color indexed="81"/>
            <rFont val="Tahoma"/>
            <family val="2"/>
          </rPr>
          <t>Debido a compromisos a nivel central de la Policia Nacional, se ocasiono el aplazamiento de las actividades regionales</t>
        </r>
      </text>
    </comment>
    <comment ref="M66" authorId="0" shapeId="0" xr:uid="{85DB5F06-35FB-43E2-A5A4-56BC2EC9EB6E}">
      <text>
        <r>
          <rPr>
            <sz val="9"/>
            <color indexed="81"/>
            <rFont val="Tahoma"/>
            <family val="2"/>
          </rPr>
          <t>Se tenia contemplado realizar un  Estudio del consumidor , sin embargo  tomo mas tiempo a lo esperado, el recurso se traslada al III trimestre</t>
        </r>
      </text>
    </comment>
    <comment ref="M114" authorId="0" shapeId="0" xr:uid="{65E3337E-342C-46E5-AB50-85ADEE5A2BFE}">
      <text>
        <r>
          <rPr>
            <sz val="9"/>
            <color indexed="81"/>
            <rFont val="Tahoma"/>
            <family val="2"/>
          </rPr>
          <t xml:space="preserve">La compra de reactivos para diagnóstico rutinario se realizaran en el II semestre </t>
        </r>
      </text>
    </comment>
    <comment ref="M122" authorId="0" shapeId="0" xr:uid="{B6555337-B3FB-4A86-B057-42A502A554C0}">
      <text>
        <r>
          <rPr>
            <sz val="9"/>
            <color indexed="81"/>
            <rFont val="Tahoma"/>
            <family val="2"/>
          </rPr>
          <t xml:space="preserve">Iniicialmente, se tenia contemplado el pago del hotel para el evento de los premios Porks en el II trimestre, sin embargo, este se realizara hasta que se termine el evento por lo que se ejecutara el recurso en el III trimestre
</t>
        </r>
      </text>
    </comment>
    <comment ref="M134" authorId="0" shapeId="0" xr:uid="{73E84602-5E4B-4F53-9871-4E2615F641D9}">
      <text>
        <r>
          <rPr>
            <sz val="9"/>
            <color indexed="81"/>
            <rFont val="Tahoma"/>
            <family val="2"/>
          </rPr>
          <t xml:space="preserve">Se logro la firma del convenio con el municipio de Pereira finalizando el segundo trimestre, por tal rázon no se ejecuto el recurso contemplado inicialmente.  </t>
        </r>
      </text>
    </comment>
    <comment ref="M148" authorId="0" shapeId="0" xr:uid="{B658ECBB-5343-45EE-9DA1-37465F3C1886}">
      <text>
        <r>
          <rPr>
            <sz val="9"/>
            <color indexed="81"/>
            <rFont val="Tahoma"/>
            <family val="2"/>
          </rPr>
          <t xml:space="preserve">El proyecto de vinoculantes de control de moscas y aceleralidad de mortalidad comenzara hasta el mes de Julio </t>
        </r>
      </text>
    </comment>
    <comment ref="M152" authorId="0" shapeId="0" xr:uid="{415BFD07-8836-4264-92BD-3B646A1F2B50}">
      <text>
        <r>
          <rPr>
            <sz val="9"/>
            <color indexed="81"/>
            <rFont val="Tahoma"/>
            <family val="2"/>
          </rPr>
          <t>Se presentaron tardanzas en la tercerización de la gira técnica a Canada, sin embargo se  logró que la empresa Canexxion cuente con el respaldo de la empresa colombiana Aviatur para cumplir con las garantías requeridas para suscribir el contrato</t>
        </r>
      </text>
    </comment>
    <comment ref="M166" authorId="0" shapeId="0" xr:uid="{030D13D9-03EF-4DDD-893B-E468D64A51CC}">
      <text>
        <r>
          <rPr>
            <sz val="9"/>
            <color indexed="81"/>
            <rFont val="Tahoma"/>
            <family val="2"/>
          </rPr>
          <t>Se esta liquidando la carta 
de entendimiento No 11 con el ICA, por lo cual no se puede participar en nuevas convocatorias con la misma entidad.</t>
        </r>
      </text>
    </comment>
  </commentList>
</comments>
</file>

<file path=xl/sharedStrings.xml><?xml version="1.0" encoding="utf-8"?>
<sst xmlns="http://schemas.openxmlformats.org/spreadsheetml/2006/main" count="180" uniqueCount="180">
  <si>
    <t>MINISTERIO DE AGRICULTURA  Y DESARROLLO RURAL</t>
  </si>
  <si>
    <t>DIRECCIÓN DE PLANEACIÓN Y SEGUIMIENTO PRESUPUESTAL</t>
  </si>
  <si>
    <t>PRESUPUESTO DE GASTOS DE FUNCIONAMIENTO E INVERSIÓN ABRIL-JUNIO 2.019</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</si>
  <si>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</si>
  <si>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</si>
  <si>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</si>
  <si>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</si>
  <si>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</si>
  <si>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</si>
  <si>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</si>
  <si>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</si>
  <si>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</si>
  <si>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</si>
  <si>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</si>
  <si>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</si>
  <si>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11/19</t>
  </si>
  <si>
    <t>% 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</si>
  <si>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</si>
  <si>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</si>
  <si>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</si>
  <si>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</si>
  <si>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</si>
  <si>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</si>
  <si>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</si>
  <si>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</si>
  <si>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</si>
  <si>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</si>
  <si>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</si>
  <si>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</si>
  <si>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</si>
  <si>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</si>
  <si>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</si>
  <si>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</si>
  <si>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</si>
  <si>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</si>
  <si>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</si>
  <si>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</si>
  <si>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</si>
  <si>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</si>
  <si>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</si>
  <si>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</si>
  <si>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</si>
  <si>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</si>
  <si>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</si>
  <si>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</si>
  <si>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</si>
  <si>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</si>
  <si>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GASTOS ADMINISTRATIVOS DE RECAUDO</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</si>
  <si>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</si>
  <si>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</si>
  <si>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</si>
  <si>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</si>
  <si>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</si>
  <si>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</si>
  <si>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</si>
  <si>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</si>
  <si>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SUBTOTAL GASTOS ADMINISTRATIVOS DE RECAUDO</t>
  </si>
  <si>
    <t>TOTAL FUNCIONAMIENTO</t>
  </si>
  <si>
    <t>TOTAL PROGRAMAS Y PROYECTOS</t>
  </si>
  <si>
    <t>TOTAL ÁREA ECONÓMICA</t>
  </si>
  <si>
    <t>Fortalecimiento institucional</t>
  </si>
  <si>
    <t>Acceso a Mercados</t>
  </si>
  <si>
    <t>Sistemas de información de mercados</t>
  </si>
  <si>
    <t>Monitoreo Precios de la Carne al Consumidor</t>
  </si>
  <si>
    <t>Actualización Información Nacional</t>
  </si>
  <si>
    <t>Seguimiento Mercados Internacionales</t>
  </si>
  <si>
    <t>Aseguramiento de la calidad</t>
  </si>
  <si>
    <t>Asesorias BPM y HACCP</t>
  </si>
  <si>
    <t>Implementación medición de grasa</t>
  </si>
  <si>
    <t>Sello de producto en la cadena de transformación</t>
  </si>
  <si>
    <t>TOTAL ÁREA MERCADEO</t>
  </si>
  <si>
    <t>Investigación de mercados</t>
  </si>
  <si>
    <t xml:space="preserve">Home Panel </t>
  </si>
  <si>
    <t>Brand Equity Tracking</t>
  </si>
  <si>
    <t>Monitoreo de Medios</t>
  </si>
  <si>
    <t>Evaluación Neurologica de la  Campaña Vigente/Eye Tracking</t>
  </si>
  <si>
    <t>Estudio del Consumidor</t>
  </si>
  <si>
    <t>Estudio NSOP (Carnicerias)</t>
  </si>
  <si>
    <t>Campaña de fomento al consumo</t>
  </si>
  <si>
    <t>Campaña de publicidad</t>
  </si>
  <si>
    <t>Consultoría Mercado</t>
  </si>
  <si>
    <t>Pauta institucional</t>
  </si>
  <si>
    <t>Herramienta Branding y Marketing</t>
  </si>
  <si>
    <t>Seguimiento y gestion comunicación integral.</t>
  </si>
  <si>
    <t>Sostenimiento y Desarrollo Digital</t>
  </si>
  <si>
    <t>Free Press Influenciadores</t>
  </si>
  <si>
    <t>Kit Publicitario</t>
  </si>
  <si>
    <t>Desarrollo Digital (Concurso Sabor Porkcolombia)</t>
  </si>
  <si>
    <t>Pauta digital</t>
  </si>
  <si>
    <t>Producción Digital</t>
  </si>
  <si>
    <t>Activaciones de consumo</t>
  </si>
  <si>
    <t>Cocina PorkColombia</t>
  </si>
  <si>
    <t>Asesor Gastronómico Ejecutivo</t>
  </si>
  <si>
    <t>Capacitación anual contratistas</t>
  </si>
  <si>
    <t>Material de promocion al consumo</t>
  </si>
  <si>
    <t>Festival PorkColombia</t>
  </si>
  <si>
    <t>Seguimiento gestión a eventos de sensibilización de las bondades de la carne de cerdo</t>
  </si>
  <si>
    <t>Agroexpo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</si>
  <si>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</si>
  <si>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</si>
  <si>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</si>
  <si>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</si>
  <si>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</si>
  <si>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</si>
  <si>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Cerdificado PorkColombia (Expertos de carne de cerdo)</t>
  </si>
  <si>
    <t>ChefRegionales PorkColombia</t>
  </si>
  <si>
    <t>Viajes Gestión Regional</t>
  </si>
  <si>
    <t>TOTAL ÁREA ERRADICACIÓN PPC</t>
  </si>
  <si>
    <t>Vacunacion e identificacion de Porcinos</t>
  </si>
  <si>
    <t>Identificación</t>
  </si>
  <si>
    <t>Suministros clínicos y dotaciones</t>
  </si>
  <si>
    <t>Auxilios distribuidores</t>
  </si>
  <si>
    <t>Biológico</t>
  </si>
  <si>
    <t>Contratación de personal</t>
  </si>
  <si>
    <t>Disposición de residuos biológicos</t>
  </si>
  <si>
    <t>Capacitación y divulgación</t>
  </si>
  <si>
    <t>Capacitación</t>
  </si>
  <si>
    <t>Divulgación</t>
  </si>
  <si>
    <t>Vigilancia Epidemiológica</t>
  </si>
  <si>
    <t>Apoyo actividades de vigilancia activa</t>
  </si>
  <si>
    <t>Administración de la base de datos</t>
  </si>
  <si>
    <t>Mantenimiento y actualización plataforma</t>
  </si>
  <si>
    <t>Soporte operativo</t>
  </si>
  <si>
    <t>TOTAL ÁREA TÉCNICA</t>
  </si>
  <si>
    <t>Programa nacional de bioseguridad y productividad-PNBSP</t>
  </si>
  <si>
    <t>Acompañamiento (Certificación en granja y transporte)</t>
  </si>
  <si>
    <t>Taller técnico de bioseguridad, sanidad y productividad</t>
  </si>
  <si>
    <t>Premios PORKS Colombia 2019</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</si>
  <si>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</si>
  <si>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</si>
  <si>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</si>
  <si>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</si>
  <si>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</si>
  <si>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</si>
  <si>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Fortalecimiento Empresarial</t>
  </si>
  <si>
    <t>Gestión de servicios</t>
  </si>
  <si>
    <t>Fortalecimiento Asociativo</t>
  </si>
  <si>
    <t>Convenios</t>
  </si>
  <si>
    <t xml:space="preserve">   Contrapartidas Gobernaciones y/o Alcaldias</t>
  </si>
  <si>
    <t xml:space="preserve">     Convenio Gobernacion Cundinamarca</t>
  </si>
  <si>
    <t xml:space="preserve">     Convenio Pereira</t>
  </si>
  <si>
    <t xml:space="preserve">   Contrapartidas FNP</t>
  </si>
  <si>
    <t xml:space="preserve">     Convenio Gobernación FNP Cundinamarca</t>
  </si>
  <si>
    <t xml:space="preserve">     Convenio Pereira FNP</t>
  </si>
  <si>
    <t xml:space="preserve">     Carta Valle</t>
  </si>
  <si>
    <t>Apoyo autorización sanitaria</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</si>
  <si>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</si>
  <si>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</si>
  <si>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</si>
  <si>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</si>
  <si>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</si>
  <si>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</si>
  <si>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</si>
  <si>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curso de operarios en granja</t>
  </si>
  <si>
    <t>Curso virtual en productos innovadores</t>
  </si>
  <si>
    <t>Proyecto Convenio de Asociación-CVC</t>
  </si>
  <si>
    <t>Curso virtual en bienestar animal</t>
  </si>
  <si>
    <t xml:space="preserve">  Talleres y seminarios</t>
  </si>
  <si>
    <t>Buenas practicas en el manejo de medicamentos veterinarios</t>
  </si>
  <si>
    <t>Seminario en mejoramiento procesos administrativos y de calidad en la comercialización de carne</t>
  </si>
  <si>
    <t>Material de apoyo</t>
  </si>
  <si>
    <t>Diagnostico</t>
  </si>
  <si>
    <t>Diagnostico rutinario con laboratorios oficiales</t>
  </si>
  <si>
    <t>Diagnóstico rutinario, Integrado y PRRS</t>
  </si>
  <si>
    <t>Compras de insumos</t>
  </si>
  <si>
    <t>Diagnóstico importados</t>
  </si>
  <si>
    <t>Diagnostico rutinario con laboratorios privados</t>
  </si>
  <si>
    <t>Diagnóstico rutinario, Combos y PRRS</t>
  </si>
  <si>
    <t>Apoyo Diagnostico lineas base (ICA)</t>
  </si>
  <si>
    <t>TOTAL ÁREA SANIDAD</t>
  </si>
  <si>
    <t>Control y monitoreo de enfermedades en granjas de Colombia</t>
  </si>
  <si>
    <t>CUOTA DE ADMINISTRACIÓN</t>
  </si>
  <si>
    <t>Cuota de administración FNP</t>
  </si>
  <si>
    <t>Cuota de administración PPC</t>
  </si>
  <si>
    <t>FONDO DE EMERGENCIA FNP</t>
  </si>
  <si>
    <t>FONDO DE EMERGENCIA PPC</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</si>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</sst>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3" x14ac:knownFonts="1">
    <font>
      <sz val="10"/>
      <name val="Arial"/>
    </font>
    <font>
      <b/>
      <sz val="11"/>
      <name val="Arial"/>
      <family val="2"/>
      <charset val="186"/>
    </font>
    <font>
      <b/>
      <sz val="11"/>
      <color indexed="10"/>
      <name val="Arial"/>
      <family val="2"/>
      <charset val="186"/>
    </font>
    <font>
      <b/>
      <sz val="11"/>
      <color rgb="FFFF0000"/>
      <name val="Arial"/>
      <family val="2"/>
      <charset val="186"/>
    </font>
    <font>
      <sz val="11"/>
      <name val="Arial"/>
      <family val="2"/>
      <charset val="186"/>
    </font>
    <font>
      <b/>
      <sz val="11"/>
      <name val="Arial"/>
      <family val="2"/>
    </font>
    <font>
      <sz val="10"/>
      <name val="Arial"/>
      <family val="2"/>
    </font>
    <font>
      <sz val="11"/>
      <name val="Arial"/>
      <family val="2"/>
    </font>
    <font>
      <sz val="11"/>
      <color indexed="8"/>
      <name val="Arial"/>
      <family val="2"/>
    </font>
    <font>
      <b/>
      <sz val="10"/>
      <name val="Arial"/>
      <family val="2"/>
    </font>
    <font>
      <sz val="9"/>
      <name val="Times New Roman"/>
      <family val="1"/>
    </font>
    <font>
      <sz val="12"/>
      <name val="Times New Roman"/>
      <family val="1"/>
    </font>
    <font>
      <sz val="9"/>
      <color indexed="81"/>
      <name val="Tahoma"/>
      <family val="2"/>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66">
    <xf numFmtId="0" fontId="0" fillId="0" borderId="0" xfId="0"/>
    <xf numFmtId="0" fontId="1" fillId="2" borderId="0" xfId="0" applyFont="1" applyFill="1" applyAlignment="1">
      <alignment horizontal="center"/>
    </xf>
    <xf numFmtId="0" fontId="0" fillId="2" borderId="0" xfId="0" applyFill="1"/>
    <xf numFmtId="3" fontId="2" fillId="2" borderId="1" xfId="0" applyNumberFormat="1" applyFont="1" applyFill="1" applyBorder="1" applyAlignment="1">
      <alignment horizontal="centerContinuous"/>
    </xf>
    <xf numFmtId="3" fontId="1" fillId="2" borderId="1" xfId="0" applyNumberFormat="1" applyFont="1" applyFill="1" applyBorder="1" applyAlignment="1">
      <alignment horizontal="centerContinuous"/>
    </xf>
    <xf numFmtId="0" fontId="2" fillId="2" borderId="1" xfId="0" applyFont="1" applyFill="1" applyBorder="1" applyAlignment="1">
      <alignment horizontal="centerContinuous"/>
    </xf>
    <xf numFmtId="0" fontId="1" fillId="2" borderId="1" xfId="0" applyFont="1" applyFill="1" applyBorder="1" applyAlignment="1">
      <alignment horizontal="centerContinuous"/>
    </xf>
    <xf numFmtId="0" fontId="3" fillId="2" borderId="1" xfId="0" applyFont="1" applyFill="1" applyBorder="1" applyAlignment="1">
      <alignment horizontal="centerContinuous"/>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1" fillId="2" borderId="4" xfId="0" applyFont="1" applyFill="1" applyBorder="1" applyAlignment="1">
      <alignment horizontal="center" vertical="center" wrapText="1"/>
    </xf>
    <xf numFmtId="3" fontId="1" fillId="2" borderId="5" xfId="0" applyNumberFormat="1" applyFont="1" applyFill="1" applyBorder="1"/>
    <xf numFmtId="0" fontId="4" fillId="2" borderId="6" xfId="0" applyFont="1" applyFill="1" applyBorder="1"/>
    <xf numFmtId="0" fontId="4" fillId="2" borderId="7" xfId="0" applyFont="1" applyFill="1" applyBorder="1"/>
    <xf numFmtId="3" fontId="5" fillId="2" borderId="5" xfId="0" applyNumberFormat="1" applyFont="1" applyFill="1" applyBorder="1"/>
    <xf numFmtId="3" fontId="5" fillId="2" borderId="6" xfId="0" applyNumberFormat="1" applyFont="1" applyFill="1" applyBorder="1"/>
    <xf numFmtId="10" fontId="5" fillId="2" borderId="7" xfId="1" applyNumberFormat="1" applyFont="1" applyFill="1" applyBorder="1"/>
    <xf numFmtId="3" fontId="4" fillId="2" borderId="5" xfId="0" applyNumberFormat="1" applyFont="1" applyFill="1" applyBorder="1"/>
    <xf numFmtId="3" fontId="4" fillId="2" borderId="6" xfId="0" applyNumberFormat="1" applyFont="1" applyFill="1" applyBorder="1"/>
    <xf numFmtId="3" fontId="7" fillId="2" borderId="6" xfId="0" applyNumberFormat="1" applyFont="1" applyFill="1" applyBorder="1"/>
    <xf numFmtId="10" fontId="7" fillId="2" borderId="7" xfId="1" applyNumberFormat="1" applyFont="1" applyFill="1" applyBorder="1"/>
    <xf numFmtId="0" fontId="0" fillId="2" borderId="0" xfId="0" applyFill="1" applyAlignment="1">
      <alignment horizontal="center"/>
    </xf>
    <xf numFmtId="3" fontId="8" fillId="2" borderId="6" xfId="0" applyNumberFormat="1" applyFont="1" applyFill="1" applyBorder="1"/>
    <xf numFmtId="3" fontId="0" fillId="2" borderId="0" xfId="0" applyNumberFormat="1" applyFill="1"/>
    <xf numFmtId="0" fontId="1" fillId="2" borderId="5" xfId="0" applyFont="1" applyFill="1" applyBorder="1"/>
    <xf numFmtId="3" fontId="1" fillId="2" borderId="6" xfId="0" applyNumberFormat="1" applyFont="1" applyFill="1" applyBorder="1"/>
    <xf numFmtId="0" fontId="4" fillId="2" borderId="5" xfId="0" applyFont="1" applyFill="1" applyBorder="1"/>
    <xf numFmtId="3" fontId="4" fillId="2" borderId="6" xfId="2" applyNumberFormat="1" applyFont="1" applyFill="1" applyBorder="1"/>
    <xf numFmtId="3" fontId="5" fillId="2" borderId="6" xfId="2" applyNumberFormat="1" applyFont="1" applyFill="1" applyBorder="1"/>
    <xf numFmtId="0" fontId="5" fillId="2" borderId="5" xfId="0" applyFont="1" applyFill="1" applyBorder="1"/>
    <xf numFmtId="37" fontId="5" fillId="2" borderId="5" xfId="0" applyNumberFormat="1" applyFont="1" applyFill="1" applyBorder="1" applyAlignment="1">
      <alignment horizontal="left"/>
    </xf>
    <xf numFmtId="0" fontId="6" fillId="2" borderId="0" xfId="0" applyFont="1" applyFill="1"/>
    <xf numFmtId="37" fontId="7" fillId="2" borderId="5" xfId="0" applyNumberFormat="1" applyFont="1" applyFill="1" applyBorder="1" applyAlignment="1">
      <alignment horizontal="left"/>
    </xf>
    <xf numFmtId="0" fontId="9" fillId="2" borderId="0" xfId="0" applyFont="1" applyFill="1"/>
    <xf numFmtId="0" fontId="1" fillId="2" borderId="8" xfId="0" applyFont="1" applyFill="1" applyBorder="1"/>
    <xf numFmtId="3" fontId="1" fillId="2" borderId="9" xfId="0" applyNumberFormat="1" applyFont="1" applyFill="1" applyBorder="1"/>
    <xf numFmtId="10" fontId="5" fillId="2" borderId="10" xfId="1" applyNumberFormat="1" applyFont="1" applyFill="1" applyBorder="1"/>
    <xf numFmtId="37" fontId="1" fillId="2" borderId="5" xfId="0" applyNumberFormat="1" applyFont="1" applyFill="1" applyBorder="1"/>
    <xf numFmtId="164" fontId="1" fillId="2" borderId="6" xfId="2" applyFont="1" applyFill="1" applyBorder="1"/>
    <xf numFmtId="164" fontId="7" fillId="2" borderId="6" xfId="2" applyFont="1" applyFill="1" applyBorder="1"/>
    <xf numFmtId="164" fontId="9" fillId="2" borderId="0" xfId="2" applyFont="1" applyFill="1"/>
    <xf numFmtId="3" fontId="7" fillId="0" borderId="6" xfId="0" applyNumberFormat="1" applyFont="1" applyBorder="1"/>
    <xf numFmtId="37" fontId="7" fillId="2" borderId="5" xfId="0" applyNumberFormat="1" applyFont="1" applyFill="1" applyBorder="1" applyAlignment="1">
      <alignment horizontal="left" wrapText="1"/>
    </xf>
    <xf numFmtId="37" fontId="7" fillId="2" borderId="5" xfId="0" applyNumberFormat="1" applyFont="1" applyFill="1" applyBorder="1"/>
    <xf numFmtId="37" fontId="5" fillId="2" borderId="5" xfId="0" applyNumberFormat="1" applyFont="1" applyFill="1" applyBorder="1"/>
    <xf numFmtId="3" fontId="5" fillId="2" borderId="6" xfId="3" applyNumberFormat="1" applyFont="1" applyFill="1" applyBorder="1"/>
    <xf numFmtId="165" fontId="6" fillId="2" borderId="0" xfId="0" applyNumberFormat="1" applyFont="1" applyFill="1"/>
    <xf numFmtId="3" fontId="6" fillId="2" borderId="0" xfId="0" applyNumberFormat="1" applyFont="1" applyFill="1"/>
    <xf numFmtId="0" fontId="4" fillId="2" borderId="11" xfId="0" applyFont="1" applyFill="1" applyBorder="1"/>
    <xf numFmtId="3" fontId="1" fillId="2" borderId="12" xfId="0" applyNumberFormat="1" applyFont="1" applyFill="1" applyBorder="1"/>
    <xf numFmtId="0" fontId="4" fillId="2" borderId="12" xfId="0" applyFont="1" applyFill="1" applyBorder="1"/>
    <xf numFmtId="3" fontId="4" fillId="2" borderId="12" xfId="0" applyNumberFormat="1" applyFont="1" applyFill="1" applyBorder="1"/>
    <xf numFmtId="0" fontId="4" fillId="2" borderId="13" xfId="0" applyFont="1" applyFill="1" applyBorder="1"/>
    <xf numFmtId="10" fontId="6" fillId="2" borderId="0" xfId="1" applyNumberFormat="1" applyFill="1"/>
    <xf numFmtId="0" fontId="10" fillId="2" borderId="0" xfId="0" applyFont="1" applyFill="1"/>
    <xf numFmtId="3" fontId="10" fillId="2" borderId="0" xfId="0" applyNumberFormat="1" applyFont="1" applyFill="1"/>
    <xf numFmtId="37" fontId="10" fillId="2" borderId="0" xfId="0" applyNumberFormat="1" applyFont="1" applyFill="1"/>
    <xf numFmtId="10" fontId="10" fillId="2" borderId="0" xfId="0" applyNumberFormat="1" applyFont="1" applyFill="1"/>
    <xf numFmtId="37" fontId="0" fillId="2" borderId="0" xfId="0" applyNumberFormat="1" applyFill="1"/>
    <xf numFmtId="164" fontId="10" fillId="2" borderId="0" xfId="2" applyFont="1" applyFill="1"/>
    <xf numFmtId="9" fontId="10" fillId="2" borderId="0" xfId="1" applyFont="1" applyFill="1"/>
    <xf numFmtId="0" fontId="11" fillId="2" borderId="0" xfId="0" applyFont="1" applyFill="1"/>
    <xf numFmtId="3" fontId="11" fillId="2" borderId="0" xfId="0" applyNumberFormat="1" applyFont="1" applyFill="1"/>
    <xf numFmtId="164" fontId="11" fillId="2" borderId="0" xfId="2" applyFont="1" applyFill="1"/>
    <xf numFmtId="10" fontId="10" fillId="2" borderId="0" xfId="1" applyNumberFormat="1" applyFont="1" applyFill="1"/>
  </cellXfs>
  <cellStyles count="4">
    <cellStyle name="Millares 2 2" xfId="3" xr:uid="{56863DBA-9553-46EE-AA82-DFADDB2EA6E5}"/>
    <cellStyle name="Millares 23" xfId="2" xr:uid="{3B424004-6905-4A2C-B1CF-496AFE3CAA5A}"/>
    <cellStyle name="Normal" xfId="0" builtinId="0"/>
    <cellStyle name="Porcentaje 10" xfId="1" xr:uid="{6959C1DA-2CC1-4632-8A7C-046E1AC4A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9/cierre%20Abr-Ju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Z:\A&#241;o%202019\Acuerdos\Definitivo\Anexos\Presupuestos%20Investigaci&#243;n.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s%20Investigaci&#243;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Sanidad.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A&#241;o%202017\AJUSTE%20SALARIOSdef\Ajuste%20salariosdef.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A&#241;o%202015\PRESUPUESTO%202015\PRESUPUESTO%202015%20V.6\Presupuesto%202015%20version%20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ONTRATOS%20ACP%20FNP\MATRIZ%20DE%20CONTROL%20A&#209;O%202011(borrador).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Gastos%20administrativos%20de%20recaudo.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irectorppc\AppData\Local\Microsoft\Windows\Temporary%20Internet%20Files\Content.IE5\68SX2PI0\Desagregado%20&#193;rea%20201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A&#241;o%202017\Presupuesto%202017\Presupuesto%202017%203ra%20version\Anexos\Presupuesto%20PPC%20201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JorgeOrtiz\Desktop\PPC2013\PRESUPUESTO%202014\PRESUPUESTO%20DEFINITIVO%202014%20NOV\Desagregado%20PPC%202014%20%20definitiv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Econ&#243;mic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Mercade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PPC.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PPC%2020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T&#233;cnic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A&#241;o%202018\Presupuesto%202018\Presupuesto%202018%20v.2\Anexos\Presupuesto%20Sanida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A&#241;o%202019\Solicitud%20areas\II%20TRIMESTRE\Consolidado\Presupuesto%20investigac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Otros ingresos"/>
      <sheetName val="Anexo 2 "/>
      <sheetName val="Funcionamiento"/>
      <sheetName val="Nómina y honorarios 2019"/>
    </sheetNames>
    <sheetDataSet>
      <sheetData sheetId="0">
        <row r="15">
          <cell r="B15">
            <v>6544342097.875</v>
          </cell>
        </row>
        <row r="16">
          <cell r="B16">
            <v>3926605258.125</v>
          </cell>
        </row>
        <row r="19">
          <cell r="B19">
            <v>65843886</v>
          </cell>
        </row>
        <row r="20">
          <cell r="B20">
            <v>39506332</v>
          </cell>
        </row>
      </sheetData>
      <sheetData sheetId="1"/>
      <sheetData sheetId="2"/>
      <sheetData sheetId="3">
        <row r="8">
          <cell r="G8">
            <v>5000000</v>
          </cell>
        </row>
        <row r="10">
          <cell r="G10">
            <v>77804536.665800005</v>
          </cell>
          <cell r="H10">
            <v>2200000</v>
          </cell>
          <cell r="J10">
            <v>2256250</v>
          </cell>
        </row>
        <row r="12">
          <cell r="G12">
            <v>2080391.7711500002</v>
          </cell>
        </row>
        <row r="14">
          <cell r="G14">
            <v>5798905.8512000004</v>
          </cell>
          <cell r="H14">
            <v>3000000</v>
          </cell>
        </row>
        <row r="16">
          <cell r="G16">
            <v>6526638.0025000013</v>
          </cell>
          <cell r="H16">
            <v>2592326.3058000002</v>
          </cell>
          <cell r="I16">
            <v>2592326.3058000002</v>
          </cell>
          <cell r="J16">
            <v>2592326.3058000002</v>
          </cell>
          <cell r="K16">
            <v>2592326.3058000002</v>
          </cell>
          <cell r="L16">
            <v>2592326.3058000002</v>
          </cell>
          <cell r="M16">
            <v>2592326.3058000002</v>
          </cell>
        </row>
        <row r="18">
          <cell r="G18">
            <v>10542344.982500002</v>
          </cell>
          <cell r="H18">
            <v>8186950</v>
          </cell>
          <cell r="I18">
            <v>154111.25</v>
          </cell>
          <cell r="J18">
            <v>3611106</v>
          </cell>
          <cell r="K18">
            <v>1420151.25</v>
          </cell>
          <cell r="L18">
            <v>787512</v>
          </cell>
          <cell r="M18">
            <v>1343676.75</v>
          </cell>
        </row>
        <row r="20">
          <cell r="G20">
            <v>5920337</v>
          </cell>
          <cell r="H20">
            <v>2512194</v>
          </cell>
          <cell r="M20">
            <v>0</v>
          </cell>
        </row>
        <row r="22">
          <cell r="G22">
            <v>6673125</v>
          </cell>
          <cell r="H22">
            <v>82000000</v>
          </cell>
          <cell r="J22">
            <v>3903374.9999999995</v>
          </cell>
          <cell r="K22">
            <v>13816309</v>
          </cell>
          <cell r="L22">
            <v>2339937</v>
          </cell>
          <cell r="M22">
            <v>8500000</v>
          </cell>
        </row>
        <row r="24">
          <cell r="G24">
            <v>3434069.2616999997</v>
          </cell>
          <cell r="H24">
            <v>2000000</v>
          </cell>
          <cell r="J24">
            <v>1724485</v>
          </cell>
          <cell r="K24">
            <v>1200000</v>
          </cell>
        </row>
        <row r="26">
          <cell r="G26">
            <v>10340013.874513637</v>
          </cell>
          <cell r="H26">
            <v>70000000</v>
          </cell>
          <cell r="I26">
            <v>1500000</v>
          </cell>
          <cell r="J26">
            <v>1000000</v>
          </cell>
          <cell r="K26">
            <v>3500000</v>
          </cell>
          <cell r="L26">
            <v>1923257</v>
          </cell>
          <cell r="M26">
            <v>3031198.0271887486</v>
          </cell>
        </row>
        <row r="28">
          <cell r="G28">
            <v>1375245.7218500001</v>
          </cell>
          <cell r="H28">
            <v>600000</v>
          </cell>
          <cell r="J28">
            <v>500000</v>
          </cell>
          <cell r="K28">
            <v>800000</v>
          </cell>
          <cell r="L28">
            <v>567878</v>
          </cell>
          <cell r="M28">
            <v>617550.35649999999</v>
          </cell>
        </row>
        <row r="30">
          <cell r="G30">
            <v>5814604.2408499997</v>
          </cell>
          <cell r="H30">
            <v>10409000</v>
          </cell>
          <cell r="J30">
            <v>544518</v>
          </cell>
          <cell r="K30">
            <v>3969819.5775083802</v>
          </cell>
          <cell r="L30">
            <v>1419695</v>
          </cell>
        </row>
        <row r="32">
          <cell r="G32">
            <v>6362537.1771500008</v>
          </cell>
        </row>
        <row r="34">
          <cell r="G34">
            <v>32046250.324550003</v>
          </cell>
          <cell r="H34">
            <v>18822334.475000001</v>
          </cell>
        </row>
        <row r="36">
          <cell r="G36">
            <v>0</v>
          </cell>
        </row>
      </sheetData>
      <sheetData sheetId="4">
        <row r="13">
          <cell r="K13">
            <v>160252679.46360001</v>
          </cell>
          <cell r="L13">
            <v>12526273.435300002</v>
          </cell>
          <cell r="M13">
            <v>1503152.8122359999</v>
          </cell>
          <cell r="N13">
            <v>12526273.435300002</v>
          </cell>
          <cell r="O13">
            <v>6263136.7176500009</v>
          </cell>
          <cell r="S13">
            <v>33253097.848387025</v>
          </cell>
          <cell r="U13">
            <v>6376191.7108735982</v>
          </cell>
          <cell r="X13">
            <v>7970239.6385919992</v>
          </cell>
        </row>
        <row r="28">
          <cell r="K28">
            <v>103657948.78920001</v>
          </cell>
          <cell r="L28">
            <v>5884813.3853000002</v>
          </cell>
          <cell r="M28">
            <v>706177.60623599985</v>
          </cell>
          <cell r="N28">
            <v>5884813.3853000002</v>
          </cell>
          <cell r="O28">
            <v>4319081.19955</v>
          </cell>
          <cell r="S28">
            <v>19646067.28649389</v>
          </cell>
          <cell r="U28">
            <v>3987404.6438195202</v>
          </cell>
          <cell r="X28">
            <v>4984255.8047743998</v>
          </cell>
        </row>
        <row r="40">
          <cell r="K40">
            <v>95847257.870399997</v>
          </cell>
          <cell r="L40">
            <v>5233922.4753999999</v>
          </cell>
          <cell r="M40">
            <v>628070.69704800006</v>
          </cell>
          <cell r="N40">
            <v>5233922.4753999999</v>
          </cell>
          <cell r="O40">
            <v>3993635.7446000003</v>
          </cell>
          <cell r="S40">
            <v>18004103.841543756</v>
          </cell>
          <cell r="U40">
            <v>3654148.4979507206</v>
          </cell>
          <cell r="X40">
            <v>4567685.6224384001</v>
          </cell>
        </row>
        <row r="52">
          <cell r="K52">
            <v>125564877.72539999</v>
          </cell>
          <cell r="L52">
            <v>7710390.7966499999</v>
          </cell>
          <cell r="M52">
            <v>925246.89559799992</v>
          </cell>
          <cell r="N52">
            <v>7710390.7966499999</v>
          </cell>
          <cell r="O52">
            <v>5231869.9052250003</v>
          </cell>
          <cell r="S52">
            <v>24305509.684063237</v>
          </cell>
          <cell r="U52">
            <v>4922100.2784307189</v>
          </cell>
          <cell r="X52">
            <v>6152625.3480384005</v>
          </cell>
        </row>
        <row r="66">
          <cell r="K66">
            <v>80201648.337000012</v>
          </cell>
          <cell r="L66">
            <v>3930121.6809500004</v>
          </cell>
          <cell r="M66">
            <v>471614.60171400005</v>
          </cell>
          <cell r="N66">
            <v>3930121.6809500004</v>
          </cell>
          <cell r="O66">
            <v>3341735.3473750004</v>
          </cell>
          <cell r="S66">
            <v>14792646.769016977</v>
          </cell>
          <cell r="U66">
            <v>2986602.4911923208</v>
          </cell>
          <cell r="X66">
            <v>3733253.1139904</v>
          </cell>
        </row>
        <row r="75">
          <cell r="K75">
            <v>12205389.652800001</v>
          </cell>
          <cell r="L75">
            <v>1017115.8044</v>
          </cell>
          <cell r="M75">
            <v>122053.896528</v>
          </cell>
          <cell r="N75">
            <v>1017115.8044</v>
          </cell>
          <cell r="O75">
            <v>508557.90220000001</v>
          </cell>
          <cell r="S75">
            <v>2504622.8116916162</v>
          </cell>
          <cell r="U75">
            <v>508343.19585280004</v>
          </cell>
          <cell r="X75">
            <v>635428.99481600011</v>
          </cell>
        </row>
        <row r="80">
          <cell r="K80">
            <v>259547085.83880001</v>
          </cell>
          <cell r="L80">
            <v>18875574.806099996</v>
          </cell>
          <cell r="M80">
            <v>2265068.9767320002</v>
          </cell>
          <cell r="N80">
            <v>18875574.806099996</v>
          </cell>
          <cell r="O80">
            <v>10814461.909949997</v>
          </cell>
          <cell r="S80">
            <v>53313488.71514044</v>
          </cell>
          <cell r="U80">
            <v>10601414.20326912</v>
          </cell>
          <cell r="X80">
            <v>13251767.754086401</v>
          </cell>
        </row>
        <row r="110">
          <cell r="I110">
            <v>242529.74900000001</v>
          </cell>
          <cell r="K110">
            <v>242529.74900000001</v>
          </cell>
          <cell r="M110">
            <v>242529.74900000001</v>
          </cell>
          <cell r="O110">
            <v>242529.74900000001</v>
          </cell>
          <cell r="Q110">
            <v>242529.74900000001</v>
          </cell>
          <cell r="S110">
            <v>970118.99600000004</v>
          </cell>
          <cell r="U110">
            <v>727589.24699999997</v>
          </cell>
        </row>
        <row r="121">
          <cell r="I121">
            <v>39492282.961533338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s"/>
      <sheetName val="ingresos"/>
    </sheetNames>
    <sheetDataSet>
      <sheetData sheetId="0" refreshError="1">
        <row r="23">
          <cell r="A23" t="str">
            <v>Gira técnica</v>
          </cell>
        </row>
        <row r="24">
          <cell r="A24" t="str">
            <v>Capacitación en desposte y transformación de la carne de cerdo</v>
          </cell>
        </row>
        <row r="28">
          <cell r="A28" t="str">
            <v>Campus virtual</v>
          </cell>
        </row>
        <row r="30">
          <cell r="A30" t="str">
            <v>Encuentros regionales porcicolas</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nexos"/>
      <sheetName val="ingresos"/>
    </sheetNames>
    <sheetDataSet>
      <sheetData sheetId="0" refreshError="1">
        <row r="50">
          <cell r="A50" t="str">
            <v>Pruebas interlaboratorios</v>
          </cell>
        </row>
        <row r="51">
          <cell r="A51" t="str">
            <v>Promoción al diagnóstico</v>
          </cell>
        </row>
        <row r="52">
          <cell r="A52" t="str">
            <v>Inocuidad y ambiente</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Desagregado"/>
    </sheetNames>
    <sheetDataSet>
      <sheetData sheetId="0">
        <row r="6">
          <cell r="G6">
            <v>1500000</v>
          </cell>
        </row>
        <row r="14">
          <cell r="G14">
            <v>162626357</v>
          </cell>
        </row>
      </sheetData>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ómina y honorarios 2017"/>
      <sheetName val="Hoja1"/>
      <sheetName val="Vencimientos"/>
      <sheetName val="Hoja1 (2)"/>
      <sheetName val="Nómina anual"/>
    </sheetNames>
    <sheetDataSet>
      <sheetData sheetId="0"/>
      <sheetData sheetId="1"/>
      <sheetData sheetId="2"/>
      <sheetData sheetId="3"/>
      <sheetData sheetId="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ecutivo"/>
      <sheetName val="Vencimientos"/>
      <sheetName val="CONTROL CONTRATOS 2011"/>
      <sheetName val="Hoja1"/>
    </sheetNames>
    <sheetDataSet>
      <sheetData sheetId="0">
        <row r="9">
          <cell r="M9" t="str">
            <v>FUNCIONAMIENTO</v>
          </cell>
        </row>
        <row r="10">
          <cell r="M10" t="str">
            <v>MERCADEO</v>
          </cell>
        </row>
        <row r="11">
          <cell r="M11" t="str">
            <v>PPC</v>
          </cell>
        </row>
        <row r="12">
          <cell r="M12" t="str">
            <v>ECONOMICA</v>
          </cell>
        </row>
        <row r="13">
          <cell r="M13" t="str">
            <v>TECNICA</v>
          </cell>
        </row>
      </sheetData>
      <sheetData sheetId="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s>
    <sheetDataSet>
      <sheetData sheetId="0">
        <row r="6">
          <cell r="G6">
            <v>33052062</v>
          </cell>
        </row>
        <row r="22">
          <cell r="G22">
            <v>35930808</v>
          </cell>
        </row>
        <row r="23">
          <cell r="G23">
            <v>50418410</v>
          </cell>
        </row>
        <row r="26">
          <cell r="G26">
            <v>4700000</v>
          </cell>
        </row>
        <row r="27">
          <cell r="G27">
            <v>47000000</v>
          </cell>
        </row>
        <row r="28">
          <cell r="G28">
            <v>6021200</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paraPresupuesto"/>
      <sheetName val="Envioequipogastado"/>
      <sheetName val="Envío equiposolicitud"/>
      <sheetName val="Inversión-Presupuesto-SolIItrim"/>
      <sheetName val="Agregados"/>
      <sheetName val="Hoja4"/>
      <sheetName val="Generales-Presupues-SolIITrim"/>
      <sheetName val="Supuestos"/>
    </sheetNames>
    <sheetDataSet>
      <sheetData sheetId="0">
        <row r="6">
          <cell r="G6">
            <v>2256250</v>
          </cell>
        </row>
        <row r="26">
          <cell r="G26">
            <v>39269159</v>
          </cell>
        </row>
        <row r="28">
          <cell r="G28">
            <v>81844083</v>
          </cell>
        </row>
        <row r="29">
          <cell r="G29">
            <v>57138110</v>
          </cell>
        </row>
        <row r="30">
          <cell r="G30">
            <v>25624106</v>
          </cell>
        </row>
        <row r="32">
          <cell r="G32">
            <v>38634180</v>
          </cell>
        </row>
        <row r="33">
          <cell r="G33">
            <v>6426554</v>
          </cell>
        </row>
        <row r="34">
          <cell r="G34">
            <v>0</v>
          </cell>
        </row>
      </sheetData>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9"/>
      <sheetName val="Anexo 1 Honorarios Contratistas"/>
      <sheetName val="Anexo 2 Agencias"/>
    </sheetNames>
    <sheetDataSet>
      <sheetData sheetId="0">
        <row r="7">
          <cell r="J7">
            <v>3031198.0271887486</v>
          </cell>
        </row>
        <row r="20">
          <cell r="J20">
            <v>7245213</v>
          </cell>
        </row>
        <row r="21">
          <cell r="J21">
            <v>107251381.98284137</v>
          </cell>
        </row>
        <row r="22">
          <cell r="J22">
            <v>90711740.013716161</v>
          </cell>
        </row>
        <row r="26">
          <cell r="J26">
            <v>2699000000</v>
          </cell>
        </row>
        <row r="27">
          <cell r="J27">
            <v>16000000</v>
          </cell>
        </row>
        <row r="28">
          <cell r="J28">
            <v>6575511.5999999996</v>
          </cell>
        </row>
        <row r="30">
          <cell r="J30">
            <v>16988307.534200002</v>
          </cell>
        </row>
        <row r="31">
          <cell r="J31">
            <v>111993750</v>
          </cell>
        </row>
        <row r="32">
          <cell r="J32">
            <v>40000000</v>
          </cell>
        </row>
        <row r="35">
          <cell r="J35">
            <v>130000000</v>
          </cell>
        </row>
        <row r="36">
          <cell r="J36">
            <v>134000000</v>
          </cell>
        </row>
        <row r="39">
          <cell r="J39">
            <v>18000000</v>
          </cell>
        </row>
        <row r="40">
          <cell r="J40">
            <v>12595439.518200001</v>
          </cell>
        </row>
        <row r="43">
          <cell r="J43">
            <v>50000000</v>
          </cell>
        </row>
        <row r="44">
          <cell r="J44">
            <v>460700341</v>
          </cell>
        </row>
        <row r="45">
          <cell r="J45">
            <v>8000000</v>
          </cell>
        </row>
        <row r="46">
          <cell r="J46">
            <v>463188008</v>
          </cell>
        </row>
        <row r="47">
          <cell r="J47">
            <v>60000000</v>
          </cell>
        </row>
        <row r="50">
          <cell r="J50">
            <v>5000000</v>
          </cell>
        </row>
        <row r="51">
          <cell r="J51">
            <v>50381758.072800003</v>
          </cell>
        </row>
        <row r="52">
          <cell r="J52">
            <v>20000000</v>
          </cell>
        </row>
        <row r="53">
          <cell r="J53">
            <v>34000000</v>
          </cell>
        </row>
        <row r="54">
          <cell r="J54">
            <v>30000000</v>
          </cell>
        </row>
        <row r="55">
          <cell r="J55">
            <v>50689131.292799994</v>
          </cell>
        </row>
        <row r="56">
          <cell r="J56">
            <v>15750000</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EJECUC Y SOLICI "/>
    </sheetNames>
    <sheetDataSet>
      <sheetData sheetId="0">
        <row r="6">
          <cell r="G6">
            <v>2200000</v>
          </cell>
        </row>
        <row r="23">
          <cell r="G23">
            <v>1230000000</v>
          </cell>
        </row>
        <row r="24">
          <cell r="G24">
            <v>180000000</v>
          </cell>
        </row>
        <row r="25">
          <cell r="G25">
            <v>63000000</v>
          </cell>
        </row>
        <row r="26">
          <cell r="G26">
            <v>592644250</v>
          </cell>
        </row>
        <row r="27">
          <cell r="G27">
            <v>2350000000</v>
          </cell>
        </row>
        <row r="28">
          <cell r="G28">
            <v>7300000</v>
          </cell>
        </row>
        <row r="30">
          <cell r="G30">
            <v>100000000</v>
          </cell>
        </row>
        <row r="31">
          <cell r="G31">
            <v>48000000</v>
          </cell>
        </row>
        <row r="33">
          <cell r="G33">
            <v>47500000</v>
          </cell>
        </row>
        <row r="34">
          <cell r="G34">
            <v>32000000</v>
          </cell>
        </row>
        <row r="36">
          <cell r="G36">
            <v>24500000</v>
          </cell>
        </row>
        <row r="37">
          <cell r="G37">
            <v>186500000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7 vs 2018"/>
      <sheetName val="Presupuesto desagregado 2018"/>
      <sheetName val="Suministros clínic y dotaciones"/>
      <sheetName val="Contratación personal"/>
      <sheetName val="Diagnóstico rutinario"/>
      <sheetName val="Autoridades y puestos control"/>
      <sheetName val="Administración bases de datos"/>
    </sheetNames>
    <sheetDataSet>
      <sheetData sheetId="0" refreshError="1">
        <row r="37">
          <cell r="B37" t="str">
            <v>Diagnóstico Rutinario</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Anexo1"/>
      <sheetName val="Anexo"/>
    </sheetNames>
    <sheetDataSet>
      <sheetData sheetId="0">
        <row r="5">
          <cell r="G5">
            <v>1200000</v>
          </cell>
        </row>
        <row r="17">
          <cell r="G17">
            <v>94722970</v>
          </cell>
        </row>
        <row r="19">
          <cell r="G19">
            <v>116394250.04000001</v>
          </cell>
        </row>
        <row r="20">
          <cell r="G20">
            <v>9500000</v>
          </cell>
        </row>
        <row r="21">
          <cell r="G21">
            <v>9000000</v>
          </cell>
        </row>
        <row r="23">
          <cell r="G23">
            <v>237738962.62153465</v>
          </cell>
        </row>
        <row r="24">
          <cell r="G24">
            <v>133813028</v>
          </cell>
        </row>
        <row r="26">
          <cell r="G26">
            <v>8843223.4967999998</v>
          </cell>
        </row>
        <row r="27">
          <cell r="G27">
            <v>18610804</v>
          </cell>
        </row>
        <row r="29">
          <cell r="G29">
            <v>87673626.506400004</v>
          </cell>
        </row>
        <row r="30">
          <cell r="G30">
            <v>41738757.614399999</v>
          </cell>
        </row>
        <row r="31">
          <cell r="G31">
            <v>160083770</v>
          </cell>
        </row>
        <row r="33">
          <cell r="G33">
            <v>70000000</v>
          </cell>
        </row>
        <row r="34">
          <cell r="G34">
            <v>76000000</v>
          </cell>
        </row>
      </sheetData>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2018 vs 2017"/>
      <sheetName val="Presupuesto desagregado 2018"/>
      <sheetName val="PRRS"/>
    </sheetNames>
    <sheetDataSet>
      <sheetData sheetId="0" refreshError="1">
        <row r="16">
          <cell r="B16" t="str">
            <v>Control y monitoreo de PRRS</v>
          </cell>
        </row>
        <row r="18">
          <cell r="B18" t="str">
            <v>Programa Nacional de Sanidad Porcina</v>
          </cell>
        </row>
        <row r="19">
          <cell r="B19" t="str">
            <v>Divulgación sanitaria</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s>
    <sheetDataSet>
      <sheetData sheetId="0">
        <row r="9">
          <cell r="G9">
            <v>1923257</v>
          </cell>
        </row>
        <row r="22">
          <cell r="G22">
            <v>200000000</v>
          </cell>
        </row>
        <row r="23">
          <cell r="G23">
            <v>5000000</v>
          </cell>
        </row>
        <row r="26">
          <cell r="G26">
            <v>55000000</v>
          </cell>
        </row>
        <row r="27">
          <cell r="G27">
            <v>21000000</v>
          </cell>
        </row>
        <row r="28">
          <cell r="G28">
            <v>10200000</v>
          </cell>
        </row>
        <row r="29">
          <cell r="G29">
            <v>61000000</v>
          </cell>
        </row>
        <row r="30">
          <cell r="G30">
            <v>13000000</v>
          </cell>
        </row>
        <row r="32">
          <cell r="G32">
            <v>42000000</v>
          </cell>
        </row>
        <row r="35">
          <cell r="G35">
            <v>6700000</v>
          </cell>
        </row>
        <row r="37">
          <cell r="G37">
            <v>50300250</v>
          </cell>
        </row>
        <row r="40">
          <cell r="G40">
            <v>19200000</v>
          </cell>
        </row>
        <row r="41">
          <cell r="G41">
            <v>39200000</v>
          </cell>
        </row>
        <row r="42">
          <cell r="G42">
            <v>12100000</v>
          </cell>
        </row>
        <row r="44">
          <cell r="G44">
            <v>77800000</v>
          </cell>
        </row>
        <row r="45">
          <cell r="G45">
            <v>4000000</v>
          </cell>
        </row>
        <row r="47">
          <cell r="G47">
            <v>7300000</v>
          </cell>
        </row>
        <row r="48">
          <cell r="G48">
            <v>50000000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DCFA4-01D6-4195-B2A7-A861CBF5FD27}">
  <sheetPr>
    <pageSetUpPr fitToPage="1"/>
  </sheetPr>
  <dimension ref="A1:R269"/>
  <sheetViews>
    <sheetView tabSelected="1" topLeftCell="A2" zoomScale="85" zoomScaleNormal="85" zoomScaleSheetLayoutView="85" workbookViewId="0">
      <pane xSplit="1" ySplit="5" topLeftCell="E7" activePane="bottomRight" state="frozen"/>
      <selection activeCell="A2" sqref="A2"/>
      <selection pane="topRight" activeCell="B2" sqref="B2"/>
      <selection pane="bottomLeft" activeCell="A7" sqref="A7"/>
      <selection pane="bottomRight" activeCell="A7" sqref="A7"/>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4.42578125" style="2" customWidth="1"/>
    <col min="6" max="6" width="15.42578125" style="2" customWidth="1"/>
    <col min="7" max="7" width="17.5703125" style="2" customWidth="1"/>
    <col min="8" max="8" width="18.5703125" style="2" bestFit="1" customWidth="1"/>
    <col min="9" max="9" width="18.140625" style="2" customWidth="1"/>
    <col min="10" max="12" width="19.7109375" style="2" customWidth="1"/>
    <col min="13" max="13" width="9.42578125" style="2" customWidth="1"/>
    <col min="14" max="16" width="14.5703125" style="2" customWidth="1"/>
    <col min="17" max="256" width="11.42578125" style="2"/>
    <col min="257" max="257" width="57.7109375" style="2" customWidth="1"/>
    <col min="258" max="258" width="14.5703125" style="2" customWidth="1"/>
    <col min="259" max="259" width="14.7109375" style="2" customWidth="1"/>
    <col min="260" max="260" width="19.85546875" style="2" customWidth="1"/>
    <col min="261" max="261" width="14.42578125" style="2" customWidth="1"/>
    <col min="262" max="262" width="15.42578125" style="2" customWidth="1"/>
    <col min="263" max="263" width="17.5703125" style="2" customWidth="1"/>
    <col min="264" max="264" width="18.5703125" style="2" bestFit="1" customWidth="1"/>
    <col min="265" max="265" width="18.140625" style="2" customWidth="1"/>
    <col min="266" max="268" width="19.7109375" style="2" customWidth="1"/>
    <col min="269" max="269" width="9.42578125" style="2" customWidth="1"/>
    <col min="270" max="272" width="14.5703125" style="2" customWidth="1"/>
    <col min="273" max="512" width="11.42578125" style="2"/>
    <col min="513" max="513" width="57.7109375" style="2" customWidth="1"/>
    <col min="514" max="514" width="14.5703125" style="2" customWidth="1"/>
    <col min="515" max="515" width="14.7109375" style="2" customWidth="1"/>
    <col min="516" max="516" width="19.85546875" style="2" customWidth="1"/>
    <col min="517" max="517" width="14.42578125" style="2" customWidth="1"/>
    <col min="518" max="518" width="15.42578125" style="2" customWidth="1"/>
    <col min="519" max="519" width="17.5703125" style="2" customWidth="1"/>
    <col min="520" max="520" width="18.5703125" style="2" bestFit="1" customWidth="1"/>
    <col min="521" max="521" width="18.140625" style="2" customWidth="1"/>
    <col min="522" max="524" width="19.7109375" style="2" customWidth="1"/>
    <col min="525" max="525" width="9.42578125" style="2" customWidth="1"/>
    <col min="526" max="528" width="14.5703125" style="2" customWidth="1"/>
    <col min="529" max="768" width="11.42578125" style="2"/>
    <col min="769" max="769" width="57.7109375" style="2" customWidth="1"/>
    <col min="770" max="770" width="14.5703125" style="2" customWidth="1"/>
    <col min="771" max="771" width="14.7109375" style="2" customWidth="1"/>
    <col min="772" max="772" width="19.85546875" style="2" customWidth="1"/>
    <col min="773" max="773" width="14.42578125" style="2" customWidth="1"/>
    <col min="774" max="774" width="15.42578125" style="2" customWidth="1"/>
    <col min="775" max="775" width="17.5703125" style="2" customWidth="1"/>
    <col min="776" max="776" width="18.5703125" style="2" bestFit="1" customWidth="1"/>
    <col min="777" max="777" width="18.140625" style="2" customWidth="1"/>
    <col min="778" max="780" width="19.7109375" style="2" customWidth="1"/>
    <col min="781" max="781" width="9.42578125" style="2" customWidth="1"/>
    <col min="782" max="784" width="14.5703125" style="2" customWidth="1"/>
    <col min="785" max="1024" width="11.42578125" style="2"/>
    <col min="1025" max="1025" width="57.7109375" style="2" customWidth="1"/>
    <col min="1026" max="1026" width="14.5703125" style="2" customWidth="1"/>
    <col min="1027" max="1027" width="14.7109375" style="2" customWidth="1"/>
    <col min="1028" max="1028" width="19.85546875" style="2" customWidth="1"/>
    <col min="1029" max="1029" width="14.42578125" style="2" customWidth="1"/>
    <col min="1030" max="1030" width="15.42578125" style="2" customWidth="1"/>
    <col min="1031" max="1031" width="17.5703125" style="2" customWidth="1"/>
    <col min="1032" max="1032" width="18.5703125" style="2" bestFit="1" customWidth="1"/>
    <col min="1033" max="1033" width="18.140625" style="2" customWidth="1"/>
    <col min="1034" max="1036" width="19.7109375" style="2" customWidth="1"/>
    <col min="1037" max="1037" width="9.42578125" style="2" customWidth="1"/>
    <col min="1038" max="1040" width="14.5703125" style="2" customWidth="1"/>
    <col min="1041" max="1280" width="11.42578125" style="2"/>
    <col min="1281" max="1281" width="57.7109375" style="2" customWidth="1"/>
    <col min="1282" max="1282" width="14.5703125" style="2" customWidth="1"/>
    <col min="1283" max="1283" width="14.7109375" style="2" customWidth="1"/>
    <col min="1284" max="1284" width="19.85546875" style="2" customWidth="1"/>
    <col min="1285" max="1285" width="14.42578125" style="2" customWidth="1"/>
    <col min="1286" max="1286" width="15.42578125" style="2" customWidth="1"/>
    <col min="1287" max="1287" width="17.5703125" style="2" customWidth="1"/>
    <col min="1288" max="1288" width="18.5703125" style="2" bestFit="1" customWidth="1"/>
    <col min="1289" max="1289" width="18.140625" style="2" customWidth="1"/>
    <col min="1290" max="1292" width="19.7109375" style="2" customWidth="1"/>
    <col min="1293" max="1293" width="9.42578125" style="2" customWidth="1"/>
    <col min="1294" max="1296" width="14.5703125" style="2" customWidth="1"/>
    <col min="1297" max="1536" width="11.42578125" style="2"/>
    <col min="1537" max="1537" width="57.7109375" style="2" customWidth="1"/>
    <col min="1538" max="1538" width="14.5703125" style="2" customWidth="1"/>
    <col min="1539" max="1539" width="14.7109375" style="2" customWidth="1"/>
    <col min="1540" max="1540" width="19.85546875" style="2" customWidth="1"/>
    <col min="1541" max="1541" width="14.42578125" style="2" customWidth="1"/>
    <col min="1542" max="1542" width="15.42578125" style="2" customWidth="1"/>
    <col min="1543" max="1543" width="17.5703125" style="2" customWidth="1"/>
    <col min="1544" max="1544" width="18.5703125" style="2" bestFit="1" customWidth="1"/>
    <col min="1545" max="1545" width="18.140625" style="2" customWidth="1"/>
    <col min="1546" max="1548" width="19.7109375" style="2" customWidth="1"/>
    <col min="1549" max="1549" width="9.42578125" style="2" customWidth="1"/>
    <col min="1550" max="1552" width="14.5703125" style="2" customWidth="1"/>
    <col min="1553" max="1792" width="11.42578125" style="2"/>
    <col min="1793" max="1793" width="57.7109375" style="2" customWidth="1"/>
    <col min="1794" max="1794" width="14.5703125" style="2" customWidth="1"/>
    <col min="1795" max="1795" width="14.7109375" style="2" customWidth="1"/>
    <col min="1796" max="1796" width="19.85546875" style="2" customWidth="1"/>
    <col min="1797" max="1797" width="14.42578125" style="2" customWidth="1"/>
    <col min="1798" max="1798" width="15.42578125" style="2" customWidth="1"/>
    <col min="1799" max="1799" width="17.5703125" style="2" customWidth="1"/>
    <col min="1800" max="1800" width="18.5703125" style="2" bestFit="1" customWidth="1"/>
    <col min="1801" max="1801" width="18.140625" style="2" customWidth="1"/>
    <col min="1802" max="1804" width="19.7109375" style="2" customWidth="1"/>
    <col min="1805" max="1805" width="9.42578125" style="2" customWidth="1"/>
    <col min="1806" max="1808" width="14.5703125" style="2" customWidth="1"/>
    <col min="1809" max="2048" width="11.42578125" style="2"/>
    <col min="2049" max="2049" width="57.7109375" style="2" customWidth="1"/>
    <col min="2050" max="2050" width="14.5703125" style="2" customWidth="1"/>
    <col min="2051" max="2051" width="14.7109375" style="2" customWidth="1"/>
    <col min="2052" max="2052" width="19.85546875" style="2" customWidth="1"/>
    <col min="2053" max="2053" width="14.42578125" style="2" customWidth="1"/>
    <col min="2054" max="2054" width="15.42578125" style="2" customWidth="1"/>
    <col min="2055" max="2055" width="17.5703125" style="2" customWidth="1"/>
    <col min="2056" max="2056" width="18.5703125" style="2" bestFit="1" customWidth="1"/>
    <col min="2057" max="2057" width="18.140625" style="2" customWidth="1"/>
    <col min="2058" max="2060" width="19.7109375" style="2" customWidth="1"/>
    <col min="2061" max="2061" width="9.42578125" style="2" customWidth="1"/>
    <col min="2062" max="2064" width="14.5703125" style="2" customWidth="1"/>
    <col min="2065" max="2304" width="11.42578125" style="2"/>
    <col min="2305" max="2305" width="57.7109375" style="2" customWidth="1"/>
    <col min="2306" max="2306" width="14.5703125" style="2" customWidth="1"/>
    <col min="2307" max="2307" width="14.7109375" style="2" customWidth="1"/>
    <col min="2308" max="2308" width="19.85546875" style="2" customWidth="1"/>
    <col min="2309" max="2309" width="14.42578125" style="2" customWidth="1"/>
    <col min="2310" max="2310" width="15.42578125" style="2" customWidth="1"/>
    <col min="2311" max="2311" width="17.5703125" style="2" customWidth="1"/>
    <col min="2312" max="2312" width="18.5703125" style="2" bestFit="1" customWidth="1"/>
    <col min="2313" max="2313" width="18.140625" style="2" customWidth="1"/>
    <col min="2314" max="2316" width="19.7109375" style="2" customWidth="1"/>
    <col min="2317" max="2317" width="9.42578125" style="2" customWidth="1"/>
    <col min="2318" max="2320" width="14.5703125" style="2" customWidth="1"/>
    <col min="2321" max="2560" width="11.42578125" style="2"/>
    <col min="2561" max="2561" width="57.7109375" style="2" customWidth="1"/>
    <col min="2562" max="2562" width="14.5703125" style="2" customWidth="1"/>
    <col min="2563" max="2563" width="14.7109375" style="2" customWidth="1"/>
    <col min="2564" max="2564" width="19.85546875" style="2" customWidth="1"/>
    <col min="2565" max="2565" width="14.42578125" style="2" customWidth="1"/>
    <col min="2566" max="2566" width="15.42578125" style="2" customWidth="1"/>
    <col min="2567" max="2567" width="17.5703125" style="2" customWidth="1"/>
    <col min="2568" max="2568" width="18.5703125" style="2" bestFit="1" customWidth="1"/>
    <col min="2569" max="2569" width="18.140625" style="2" customWidth="1"/>
    <col min="2570" max="2572" width="19.7109375" style="2" customWidth="1"/>
    <col min="2573" max="2573" width="9.42578125" style="2" customWidth="1"/>
    <col min="2574" max="2576" width="14.5703125" style="2" customWidth="1"/>
    <col min="2577" max="2816" width="11.42578125" style="2"/>
    <col min="2817" max="2817" width="57.7109375" style="2" customWidth="1"/>
    <col min="2818" max="2818" width="14.5703125" style="2" customWidth="1"/>
    <col min="2819" max="2819" width="14.7109375" style="2" customWidth="1"/>
    <col min="2820" max="2820" width="19.85546875" style="2" customWidth="1"/>
    <col min="2821" max="2821" width="14.42578125" style="2" customWidth="1"/>
    <col min="2822" max="2822" width="15.42578125" style="2" customWidth="1"/>
    <col min="2823" max="2823" width="17.5703125" style="2" customWidth="1"/>
    <col min="2824" max="2824" width="18.5703125" style="2" bestFit="1" customWidth="1"/>
    <col min="2825" max="2825" width="18.140625" style="2" customWidth="1"/>
    <col min="2826" max="2828" width="19.7109375" style="2" customWidth="1"/>
    <col min="2829" max="2829" width="9.42578125" style="2" customWidth="1"/>
    <col min="2830" max="2832" width="14.5703125" style="2" customWidth="1"/>
    <col min="2833" max="3072" width="11.42578125" style="2"/>
    <col min="3073" max="3073" width="57.7109375" style="2" customWidth="1"/>
    <col min="3074" max="3074" width="14.5703125" style="2" customWidth="1"/>
    <col min="3075" max="3075" width="14.7109375" style="2" customWidth="1"/>
    <col min="3076" max="3076" width="19.85546875" style="2" customWidth="1"/>
    <col min="3077" max="3077" width="14.42578125" style="2" customWidth="1"/>
    <col min="3078" max="3078" width="15.42578125" style="2" customWidth="1"/>
    <col min="3079" max="3079" width="17.5703125" style="2" customWidth="1"/>
    <col min="3080" max="3080" width="18.5703125" style="2" bestFit="1" customWidth="1"/>
    <col min="3081" max="3081" width="18.140625" style="2" customWidth="1"/>
    <col min="3082" max="3084" width="19.7109375" style="2" customWidth="1"/>
    <col min="3085" max="3085" width="9.42578125" style="2" customWidth="1"/>
    <col min="3086" max="3088" width="14.5703125" style="2" customWidth="1"/>
    <col min="3089" max="3328" width="11.42578125" style="2"/>
    <col min="3329" max="3329" width="57.7109375" style="2" customWidth="1"/>
    <col min="3330" max="3330" width="14.5703125" style="2" customWidth="1"/>
    <col min="3331" max="3331" width="14.7109375" style="2" customWidth="1"/>
    <col min="3332" max="3332" width="19.85546875" style="2" customWidth="1"/>
    <col min="3333" max="3333" width="14.42578125" style="2" customWidth="1"/>
    <col min="3334" max="3334" width="15.42578125" style="2" customWidth="1"/>
    <col min="3335" max="3335" width="17.5703125" style="2" customWidth="1"/>
    <col min="3336" max="3336" width="18.5703125" style="2" bestFit="1" customWidth="1"/>
    <col min="3337" max="3337" width="18.140625" style="2" customWidth="1"/>
    <col min="3338" max="3340" width="19.7109375" style="2" customWidth="1"/>
    <col min="3341" max="3341" width="9.42578125" style="2" customWidth="1"/>
    <col min="3342" max="3344" width="14.5703125" style="2" customWidth="1"/>
    <col min="3345" max="3584" width="11.42578125" style="2"/>
    <col min="3585" max="3585" width="57.7109375" style="2" customWidth="1"/>
    <col min="3586" max="3586" width="14.5703125" style="2" customWidth="1"/>
    <col min="3587" max="3587" width="14.7109375" style="2" customWidth="1"/>
    <col min="3588" max="3588" width="19.85546875" style="2" customWidth="1"/>
    <col min="3589" max="3589" width="14.42578125" style="2" customWidth="1"/>
    <col min="3590" max="3590" width="15.42578125" style="2" customWidth="1"/>
    <col min="3591" max="3591" width="17.5703125" style="2" customWidth="1"/>
    <col min="3592" max="3592" width="18.5703125" style="2" bestFit="1" customWidth="1"/>
    <col min="3593" max="3593" width="18.140625" style="2" customWidth="1"/>
    <col min="3594" max="3596" width="19.7109375" style="2" customWidth="1"/>
    <col min="3597" max="3597" width="9.42578125" style="2" customWidth="1"/>
    <col min="3598" max="3600" width="14.5703125" style="2" customWidth="1"/>
    <col min="3601" max="3840" width="11.42578125" style="2"/>
    <col min="3841" max="3841" width="57.7109375" style="2" customWidth="1"/>
    <col min="3842" max="3842" width="14.5703125" style="2" customWidth="1"/>
    <col min="3843" max="3843" width="14.7109375" style="2" customWidth="1"/>
    <col min="3844" max="3844" width="19.85546875" style="2" customWidth="1"/>
    <col min="3845" max="3845" width="14.42578125" style="2" customWidth="1"/>
    <col min="3846" max="3846" width="15.42578125" style="2" customWidth="1"/>
    <col min="3847" max="3847" width="17.5703125" style="2" customWidth="1"/>
    <col min="3848" max="3848" width="18.5703125" style="2" bestFit="1" customWidth="1"/>
    <col min="3849" max="3849" width="18.140625" style="2" customWidth="1"/>
    <col min="3850" max="3852" width="19.7109375" style="2" customWidth="1"/>
    <col min="3853" max="3853" width="9.42578125" style="2" customWidth="1"/>
    <col min="3854" max="3856" width="14.5703125" style="2" customWidth="1"/>
    <col min="3857" max="4096" width="11.42578125" style="2"/>
    <col min="4097" max="4097" width="57.7109375" style="2" customWidth="1"/>
    <col min="4098" max="4098" width="14.5703125" style="2" customWidth="1"/>
    <col min="4099" max="4099" width="14.7109375" style="2" customWidth="1"/>
    <col min="4100" max="4100" width="19.85546875" style="2" customWidth="1"/>
    <col min="4101" max="4101" width="14.42578125" style="2" customWidth="1"/>
    <col min="4102" max="4102" width="15.42578125" style="2" customWidth="1"/>
    <col min="4103" max="4103" width="17.5703125" style="2" customWidth="1"/>
    <col min="4104" max="4104" width="18.5703125" style="2" bestFit="1" customWidth="1"/>
    <col min="4105" max="4105" width="18.140625" style="2" customWidth="1"/>
    <col min="4106" max="4108" width="19.7109375" style="2" customWidth="1"/>
    <col min="4109" max="4109" width="9.42578125" style="2" customWidth="1"/>
    <col min="4110" max="4112" width="14.5703125" style="2" customWidth="1"/>
    <col min="4113" max="4352" width="11.42578125" style="2"/>
    <col min="4353" max="4353" width="57.7109375" style="2" customWidth="1"/>
    <col min="4354" max="4354" width="14.5703125" style="2" customWidth="1"/>
    <col min="4355" max="4355" width="14.7109375" style="2" customWidth="1"/>
    <col min="4356" max="4356" width="19.85546875" style="2" customWidth="1"/>
    <col min="4357" max="4357" width="14.42578125" style="2" customWidth="1"/>
    <col min="4358" max="4358" width="15.42578125" style="2" customWidth="1"/>
    <col min="4359" max="4359" width="17.5703125" style="2" customWidth="1"/>
    <col min="4360" max="4360" width="18.5703125" style="2" bestFit="1" customWidth="1"/>
    <col min="4361" max="4361" width="18.140625" style="2" customWidth="1"/>
    <col min="4362" max="4364" width="19.7109375" style="2" customWidth="1"/>
    <col min="4365" max="4365" width="9.42578125" style="2" customWidth="1"/>
    <col min="4366" max="4368" width="14.5703125" style="2" customWidth="1"/>
    <col min="4369" max="4608" width="11.42578125" style="2"/>
    <col min="4609" max="4609" width="57.7109375" style="2" customWidth="1"/>
    <col min="4610" max="4610" width="14.5703125" style="2" customWidth="1"/>
    <col min="4611" max="4611" width="14.7109375" style="2" customWidth="1"/>
    <col min="4612" max="4612" width="19.85546875" style="2" customWidth="1"/>
    <col min="4613" max="4613" width="14.42578125" style="2" customWidth="1"/>
    <col min="4614" max="4614" width="15.42578125" style="2" customWidth="1"/>
    <col min="4615" max="4615" width="17.5703125" style="2" customWidth="1"/>
    <col min="4616" max="4616" width="18.5703125" style="2" bestFit="1" customWidth="1"/>
    <col min="4617" max="4617" width="18.140625" style="2" customWidth="1"/>
    <col min="4618" max="4620" width="19.7109375" style="2" customWidth="1"/>
    <col min="4621" max="4621" width="9.42578125" style="2" customWidth="1"/>
    <col min="4622" max="4624" width="14.5703125" style="2" customWidth="1"/>
    <col min="4625" max="4864" width="11.42578125" style="2"/>
    <col min="4865" max="4865" width="57.7109375" style="2" customWidth="1"/>
    <col min="4866" max="4866" width="14.5703125" style="2" customWidth="1"/>
    <col min="4867" max="4867" width="14.7109375" style="2" customWidth="1"/>
    <col min="4868" max="4868" width="19.85546875" style="2" customWidth="1"/>
    <col min="4869" max="4869" width="14.42578125" style="2" customWidth="1"/>
    <col min="4870" max="4870" width="15.42578125" style="2" customWidth="1"/>
    <col min="4871" max="4871" width="17.5703125" style="2" customWidth="1"/>
    <col min="4872" max="4872" width="18.5703125" style="2" bestFit="1" customWidth="1"/>
    <col min="4873" max="4873" width="18.140625" style="2" customWidth="1"/>
    <col min="4874" max="4876" width="19.7109375" style="2" customWidth="1"/>
    <col min="4877" max="4877" width="9.42578125" style="2" customWidth="1"/>
    <col min="4878" max="4880" width="14.5703125" style="2" customWidth="1"/>
    <col min="4881" max="5120" width="11.42578125" style="2"/>
    <col min="5121" max="5121" width="57.7109375" style="2" customWidth="1"/>
    <col min="5122" max="5122" width="14.5703125" style="2" customWidth="1"/>
    <col min="5123" max="5123" width="14.7109375" style="2" customWidth="1"/>
    <col min="5124" max="5124" width="19.85546875" style="2" customWidth="1"/>
    <col min="5125" max="5125" width="14.42578125" style="2" customWidth="1"/>
    <col min="5126" max="5126" width="15.42578125" style="2" customWidth="1"/>
    <col min="5127" max="5127" width="17.5703125" style="2" customWidth="1"/>
    <col min="5128" max="5128" width="18.5703125" style="2" bestFit="1" customWidth="1"/>
    <col min="5129" max="5129" width="18.140625" style="2" customWidth="1"/>
    <col min="5130" max="5132" width="19.7109375" style="2" customWidth="1"/>
    <col min="5133" max="5133" width="9.42578125" style="2" customWidth="1"/>
    <col min="5134" max="5136" width="14.5703125" style="2" customWidth="1"/>
    <col min="5137" max="5376" width="11.42578125" style="2"/>
    <col min="5377" max="5377" width="57.7109375" style="2" customWidth="1"/>
    <col min="5378" max="5378" width="14.5703125" style="2" customWidth="1"/>
    <col min="5379" max="5379" width="14.7109375" style="2" customWidth="1"/>
    <col min="5380" max="5380" width="19.85546875" style="2" customWidth="1"/>
    <col min="5381" max="5381" width="14.42578125" style="2" customWidth="1"/>
    <col min="5382" max="5382" width="15.42578125" style="2" customWidth="1"/>
    <col min="5383" max="5383" width="17.5703125" style="2" customWidth="1"/>
    <col min="5384" max="5384" width="18.5703125" style="2" bestFit="1" customWidth="1"/>
    <col min="5385" max="5385" width="18.140625" style="2" customWidth="1"/>
    <col min="5386" max="5388" width="19.7109375" style="2" customWidth="1"/>
    <col min="5389" max="5389" width="9.42578125" style="2" customWidth="1"/>
    <col min="5390" max="5392" width="14.5703125" style="2" customWidth="1"/>
    <col min="5393" max="5632" width="11.42578125" style="2"/>
    <col min="5633" max="5633" width="57.7109375" style="2" customWidth="1"/>
    <col min="5634" max="5634" width="14.5703125" style="2" customWidth="1"/>
    <col min="5635" max="5635" width="14.7109375" style="2" customWidth="1"/>
    <col min="5636" max="5636" width="19.85546875" style="2" customWidth="1"/>
    <col min="5637" max="5637" width="14.42578125" style="2" customWidth="1"/>
    <col min="5638" max="5638" width="15.42578125" style="2" customWidth="1"/>
    <col min="5639" max="5639" width="17.5703125" style="2" customWidth="1"/>
    <col min="5640" max="5640" width="18.5703125" style="2" bestFit="1" customWidth="1"/>
    <col min="5641" max="5641" width="18.140625" style="2" customWidth="1"/>
    <col min="5642" max="5644" width="19.7109375" style="2" customWidth="1"/>
    <col min="5645" max="5645" width="9.42578125" style="2" customWidth="1"/>
    <col min="5646" max="5648" width="14.5703125" style="2" customWidth="1"/>
    <col min="5649" max="5888" width="11.42578125" style="2"/>
    <col min="5889" max="5889" width="57.7109375" style="2" customWidth="1"/>
    <col min="5890" max="5890" width="14.5703125" style="2" customWidth="1"/>
    <col min="5891" max="5891" width="14.7109375" style="2" customWidth="1"/>
    <col min="5892" max="5892" width="19.85546875" style="2" customWidth="1"/>
    <col min="5893" max="5893" width="14.42578125" style="2" customWidth="1"/>
    <col min="5894" max="5894" width="15.42578125" style="2" customWidth="1"/>
    <col min="5895" max="5895" width="17.5703125" style="2" customWidth="1"/>
    <col min="5896" max="5896" width="18.5703125" style="2" bestFit="1" customWidth="1"/>
    <col min="5897" max="5897" width="18.140625" style="2" customWidth="1"/>
    <col min="5898" max="5900" width="19.7109375" style="2" customWidth="1"/>
    <col min="5901" max="5901" width="9.42578125" style="2" customWidth="1"/>
    <col min="5902" max="5904" width="14.5703125" style="2" customWidth="1"/>
    <col min="5905" max="6144" width="11.42578125" style="2"/>
    <col min="6145" max="6145" width="57.7109375" style="2" customWidth="1"/>
    <col min="6146" max="6146" width="14.5703125" style="2" customWidth="1"/>
    <col min="6147" max="6147" width="14.7109375" style="2" customWidth="1"/>
    <col min="6148" max="6148" width="19.85546875" style="2" customWidth="1"/>
    <col min="6149" max="6149" width="14.42578125" style="2" customWidth="1"/>
    <col min="6150" max="6150" width="15.42578125" style="2" customWidth="1"/>
    <col min="6151" max="6151" width="17.5703125" style="2" customWidth="1"/>
    <col min="6152" max="6152" width="18.5703125" style="2" bestFit="1" customWidth="1"/>
    <col min="6153" max="6153" width="18.140625" style="2" customWidth="1"/>
    <col min="6154" max="6156" width="19.7109375" style="2" customWidth="1"/>
    <col min="6157" max="6157" width="9.42578125" style="2" customWidth="1"/>
    <col min="6158" max="6160" width="14.5703125" style="2" customWidth="1"/>
    <col min="6161" max="6400" width="11.42578125" style="2"/>
    <col min="6401" max="6401" width="57.7109375" style="2" customWidth="1"/>
    <col min="6402" max="6402" width="14.5703125" style="2" customWidth="1"/>
    <col min="6403" max="6403" width="14.7109375" style="2" customWidth="1"/>
    <col min="6404" max="6404" width="19.85546875" style="2" customWidth="1"/>
    <col min="6405" max="6405" width="14.42578125" style="2" customWidth="1"/>
    <col min="6406" max="6406" width="15.42578125" style="2" customWidth="1"/>
    <col min="6407" max="6407" width="17.5703125" style="2" customWidth="1"/>
    <col min="6408" max="6408" width="18.5703125" style="2" bestFit="1" customWidth="1"/>
    <col min="6409" max="6409" width="18.140625" style="2" customWidth="1"/>
    <col min="6410" max="6412" width="19.7109375" style="2" customWidth="1"/>
    <col min="6413" max="6413" width="9.42578125" style="2" customWidth="1"/>
    <col min="6414" max="6416" width="14.5703125" style="2" customWidth="1"/>
    <col min="6417" max="6656" width="11.42578125" style="2"/>
    <col min="6657" max="6657" width="57.7109375" style="2" customWidth="1"/>
    <col min="6658" max="6658" width="14.5703125" style="2" customWidth="1"/>
    <col min="6659" max="6659" width="14.7109375" style="2" customWidth="1"/>
    <col min="6660" max="6660" width="19.85546875" style="2" customWidth="1"/>
    <col min="6661" max="6661" width="14.42578125" style="2" customWidth="1"/>
    <col min="6662" max="6662" width="15.42578125" style="2" customWidth="1"/>
    <col min="6663" max="6663" width="17.5703125" style="2" customWidth="1"/>
    <col min="6664" max="6664" width="18.5703125" style="2" bestFit="1" customWidth="1"/>
    <col min="6665" max="6665" width="18.140625" style="2" customWidth="1"/>
    <col min="6666" max="6668" width="19.7109375" style="2" customWidth="1"/>
    <col min="6669" max="6669" width="9.42578125" style="2" customWidth="1"/>
    <col min="6670" max="6672" width="14.5703125" style="2" customWidth="1"/>
    <col min="6673" max="6912" width="11.42578125" style="2"/>
    <col min="6913" max="6913" width="57.7109375" style="2" customWidth="1"/>
    <col min="6914" max="6914" width="14.5703125" style="2" customWidth="1"/>
    <col min="6915" max="6915" width="14.7109375" style="2" customWidth="1"/>
    <col min="6916" max="6916" width="19.85546875" style="2" customWidth="1"/>
    <col min="6917" max="6917" width="14.42578125" style="2" customWidth="1"/>
    <col min="6918" max="6918" width="15.42578125" style="2" customWidth="1"/>
    <col min="6919" max="6919" width="17.5703125" style="2" customWidth="1"/>
    <col min="6920" max="6920" width="18.5703125" style="2" bestFit="1" customWidth="1"/>
    <col min="6921" max="6921" width="18.140625" style="2" customWidth="1"/>
    <col min="6922" max="6924" width="19.7109375" style="2" customWidth="1"/>
    <col min="6925" max="6925" width="9.42578125" style="2" customWidth="1"/>
    <col min="6926" max="6928" width="14.5703125" style="2" customWidth="1"/>
    <col min="6929" max="7168" width="11.42578125" style="2"/>
    <col min="7169" max="7169" width="57.7109375" style="2" customWidth="1"/>
    <col min="7170" max="7170" width="14.5703125" style="2" customWidth="1"/>
    <col min="7171" max="7171" width="14.7109375" style="2" customWidth="1"/>
    <col min="7172" max="7172" width="19.85546875" style="2" customWidth="1"/>
    <col min="7173" max="7173" width="14.42578125" style="2" customWidth="1"/>
    <col min="7174" max="7174" width="15.42578125" style="2" customWidth="1"/>
    <col min="7175" max="7175" width="17.5703125" style="2" customWidth="1"/>
    <col min="7176" max="7176" width="18.5703125" style="2" bestFit="1" customWidth="1"/>
    <col min="7177" max="7177" width="18.140625" style="2" customWidth="1"/>
    <col min="7178" max="7180" width="19.7109375" style="2" customWidth="1"/>
    <col min="7181" max="7181" width="9.42578125" style="2" customWidth="1"/>
    <col min="7182" max="7184" width="14.5703125" style="2" customWidth="1"/>
    <col min="7185" max="7424" width="11.42578125" style="2"/>
    <col min="7425" max="7425" width="57.7109375" style="2" customWidth="1"/>
    <col min="7426" max="7426" width="14.5703125" style="2" customWidth="1"/>
    <col min="7427" max="7427" width="14.7109375" style="2" customWidth="1"/>
    <col min="7428" max="7428" width="19.85546875" style="2" customWidth="1"/>
    <col min="7429" max="7429" width="14.42578125" style="2" customWidth="1"/>
    <col min="7430" max="7430" width="15.42578125" style="2" customWidth="1"/>
    <col min="7431" max="7431" width="17.5703125" style="2" customWidth="1"/>
    <col min="7432" max="7432" width="18.5703125" style="2" bestFit="1" customWidth="1"/>
    <col min="7433" max="7433" width="18.140625" style="2" customWidth="1"/>
    <col min="7434" max="7436" width="19.7109375" style="2" customWidth="1"/>
    <col min="7437" max="7437" width="9.42578125" style="2" customWidth="1"/>
    <col min="7438" max="7440" width="14.5703125" style="2" customWidth="1"/>
    <col min="7441" max="7680" width="11.42578125" style="2"/>
    <col min="7681" max="7681" width="57.7109375" style="2" customWidth="1"/>
    <col min="7682" max="7682" width="14.5703125" style="2" customWidth="1"/>
    <col min="7683" max="7683" width="14.7109375" style="2" customWidth="1"/>
    <col min="7684" max="7684" width="19.85546875" style="2" customWidth="1"/>
    <col min="7685" max="7685" width="14.42578125" style="2" customWidth="1"/>
    <col min="7686" max="7686" width="15.42578125" style="2" customWidth="1"/>
    <col min="7687" max="7687" width="17.5703125" style="2" customWidth="1"/>
    <col min="7688" max="7688" width="18.5703125" style="2" bestFit="1" customWidth="1"/>
    <col min="7689" max="7689" width="18.140625" style="2" customWidth="1"/>
    <col min="7690" max="7692" width="19.7109375" style="2" customWidth="1"/>
    <col min="7693" max="7693" width="9.42578125" style="2" customWidth="1"/>
    <col min="7694" max="7696" width="14.5703125" style="2" customWidth="1"/>
    <col min="7697" max="7936" width="11.42578125" style="2"/>
    <col min="7937" max="7937" width="57.7109375" style="2" customWidth="1"/>
    <col min="7938" max="7938" width="14.5703125" style="2" customWidth="1"/>
    <col min="7939" max="7939" width="14.7109375" style="2" customWidth="1"/>
    <col min="7940" max="7940" width="19.85546875" style="2" customWidth="1"/>
    <col min="7941" max="7941" width="14.42578125" style="2" customWidth="1"/>
    <col min="7942" max="7942" width="15.42578125" style="2" customWidth="1"/>
    <col min="7943" max="7943" width="17.5703125" style="2" customWidth="1"/>
    <col min="7944" max="7944" width="18.5703125" style="2" bestFit="1" customWidth="1"/>
    <col min="7945" max="7945" width="18.140625" style="2" customWidth="1"/>
    <col min="7946" max="7948" width="19.7109375" style="2" customWidth="1"/>
    <col min="7949" max="7949" width="9.42578125" style="2" customWidth="1"/>
    <col min="7950" max="7952" width="14.5703125" style="2" customWidth="1"/>
    <col min="7953" max="8192" width="11.42578125" style="2"/>
    <col min="8193" max="8193" width="57.7109375" style="2" customWidth="1"/>
    <col min="8194" max="8194" width="14.5703125" style="2" customWidth="1"/>
    <col min="8195" max="8195" width="14.7109375" style="2" customWidth="1"/>
    <col min="8196" max="8196" width="19.85546875" style="2" customWidth="1"/>
    <col min="8197" max="8197" width="14.42578125" style="2" customWidth="1"/>
    <col min="8198" max="8198" width="15.42578125" style="2" customWidth="1"/>
    <col min="8199" max="8199" width="17.5703125" style="2" customWidth="1"/>
    <col min="8200" max="8200" width="18.5703125" style="2" bestFit="1" customWidth="1"/>
    <col min="8201" max="8201" width="18.140625" style="2" customWidth="1"/>
    <col min="8202" max="8204" width="19.7109375" style="2" customWidth="1"/>
    <col min="8205" max="8205" width="9.42578125" style="2" customWidth="1"/>
    <col min="8206" max="8208" width="14.5703125" style="2" customWidth="1"/>
    <col min="8209" max="8448" width="11.42578125" style="2"/>
    <col min="8449" max="8449" width="57.7109375" style="2" customWidth="1"/>
    <col min="8450" max="8450" width="14.5703125" style="2" customWidth="1"/>
    <col min="8451" max="8451" width="14.7109375" style="2" customWidth="1"/>
    <col min="8452" max="8452" width="19.85546875" style="2" customWidth="1"/>
    <col min="8453" max="8453" width="14.42578125" style="2" customWidth="1"/>
    <col min="8454" max="8454" width="15.42578125" style="2" customWidth="1"/>
    <col min="8455" max="8455" width="17.5703125" style="2" customWidth="1"/>
    <col min="8456" max="8456" width="18.5703125" style="2" bestFit="1" customWidth="1"/>
    <col min="8457" max="8457" width="18.140625" style="2" customWidth="1"/>
    <col min="8458" max="8460" width="19.7109375" style="2" customWidth="1"/>
    <col min="8461" max="8461" width="9.42578125" style="2" customWidth="1"/>
    <col min="8462" max="8464" width="14.5703125" style="2" customWidth="1"/>
    <col min="8465" max="8704" width="11.42578125" style="2"/>
    <col min="8705" max="8705" width="57.7109375" style="2" customWidth="1"/>
    <col min="8706" max="8706" width="14.5703125" style="2" customWidth="1"/>
    <col min="8707" max="8707" width="14.7109375" style="2" customWidth="1"/>
    <col min="8708" max="8708" width="19.85546875" style="2" customWidth="1"/>
    <col min="8709" max="8709" width="14.42578125" style="2" customWidth="1"/>
    <col min="8710" max="8710" width="15.42578125" style="2" customWidth="1"/>
    <col min="8711" max="8711" width="17.5703125" style="2" customWidth="1"/>
    <col min="8712" max="8712" width="18.5703125" style="2" bestFit="1" customWidth="1"/>
    <col min="8713" max="8713" width="18.140625" style="2" customWidth="1"/>
    <col min="8714" max="8716" width="19.7109375" style="2" customWidth="1"/>
    <col min="8717" max="8717" width="9.42578125" style="2" customWidth="1"/>
    <col min="8718" max="8720" width="14.5703125" style="2" customWidth="1"/>
    <col min="8721" max="8960" width="11.42578125" style="2"/>
    <col min="8961" max="8961" width="57.7109375" style="2" customWidth="1"/>
    <col min="8962" max="8962" width="14.5703125" style="2" customWidth="1"/>
    <col min="8963" max="8963" width="14.7109375" style="2" customWidth="1"/>
    <col min="8964" max="8964" width="19.85546875" style="2" customWidth="1"/>
    <col min="8965" max="8965" width="14.42578125" style="2" customWidth="1"/>
    <col min="8966" max="8966" width="15.42578125" style="2" customWidth="1"/>
    <col min="8967" max="8967" width="17.5703125" style="2" customWidth="1"/>
    <col min="8968" max="8968" width="18.5703125" style="2" bestFit="1" customWidth="1"/>
    <col min="8969" max="8969" width="18.140625" style="2" customWidth="1"/>
    <col min="8970" max="8972" width="19.7109375" style="2" customWidth="1"/>
    <col min="8973" max="8973" width="9.42578125" style="2" customWidth="1"/>
    <col min="8974" max="8976" width="14.5703125" style="2" customWidth="1"/>
    <col min="8977" max="9216" width="11.42578125" style="2"/>
    <col min="9217" max="9217" width="57.7109375" style="2" customWidth="1"/>
    <col min="9218" max="9218" width="14.5703125" style="2" customWidth="1"/>
    <col min="9219" max="9219" width="14.7109375" style="2" customWidth="1"/>
    <col min="9220" max="9220" width="19.85546875" style="2" customWidth="1"/>
    <col min="9221" max="9221" width="14.42578125" style="2" customWidth="1"/>
    <col min="9222" max="9222" width="15.42578125" style="2" customWidth="1"/>
    <col min="9223" max="9223" width="17.5703125" style="2" customWidth="1"/>
    <col min="9224" max="9224" width="18.5703125" style="2" bestFit="1" customWidth="1"/>
    <col min="9225" max="9225" width="18.140625" style="2" customWidth="1"/>
    <col min="9226" max="9228" width="19.7109375" style="2" customWidth="1"/>
    <col min="9229" max="9229" width="9.42578125" style="2" customWidth="1"/>
    <col min="9230" max="9232" width="14.5703125" style="2" customWidth="1"/>
    <col min="9233" max="9472" width="11.42578125" style="2"/>
    <col min="9473" max="9473" width="57.7109375" style="2" customWidth="1"/>
    <col min="9474" max="9474" width="14.5703125" style="2" customWidth="1"/>
    <col min="9475" max="9475" width="14.7109375" style="2" customWidth="1"/>
    <col min="9476" max="9476" width="19.85546875" style="2" customWidth="1"/>
    <col min="9477" max="9477" width="14.42578125" style="2" customWidth="1"/>
    <col min="9478" max="9478" width="15.42578125" style="2" customWidth="1"/>
    <col min="9479" max="9479" width="17.5703125" style="2" customWidth="1"/>
    <col min="9480" max="9480" width="18.5703125" style="2" bestFit="1" customWidth="1"/>
    <col min="9481" max="9481" width="18.140625" style="2" customWidth="1"/>
    <col min="9482" max="9484" width="19.7109375" style="2" customWidth="1"/>
    <col min="9485" max="9485" width="9.42578125" style="2" customWidth="1"/>
    <col min="9486" max="9488" width="14.5703125" style="2" customWidth="1"/>
    <col min="9489" max="9728" width="11.42578125" style="2"/>
    <col min="9729" max="9729" width="57.7109375" style="2" customWidth="1"/>
    <col min="9730" max="9730" width="14.5703125" style="2" customWidth="1"/>
    <col min="9731" max="9731" width="14.7109375" style="2" customWidth="1"/>
    <col min="9732" max="9732" width="19.85546875" style="2" customWidth="1"/>
    <col min="9733" max="9733" width="14.42578125" style="2" customWidth="1"/>
    <col min="9734" max="9734" width="15.42578125" style="2" customWidth="1"/>
    <col min="9735" max="9735" width="17.5703125" style="2" customWidth="1"/>
    <col min="9736" max="9736" width="18.5703125" style="2" bestFit="1" customWidth="1"/>
    <col min="9737" max="9737" width="18.140625" style="2" customWidth="1"/>
    <col min="9738" max="9740" width="19.7109375" style="2" customWidth="1"/>
    <col min="9741" max="9741" width="9.42578125" style="2" customWidth="1"/>
    <col min="9742" max="9744" width="14.5703125" style="2" customWidth="1"/>
    <col min="9745" max="9984" width="11.42578125" style="2"/>
    <col min="9985" max="9985" width="57.7109375" style="2" customWidth="1"/>
    <col min="9986" max="9986" width="14.5703125" style="2" customWidth="1"/>
    <col min="9987" max="9987" width="14.7109375" style="2" customWidth="1"/>
    <col min="9988" max="9988" width="19.85546875" style="2" customWidth="1"/>
    <col min="9989" max="9989" width="14.42578125" style="2" customWidth="1"/>
    <col min="9990" max="9990" width="15.42578125" style="2" customWidth="1"/>
    <col min="9991" max="9991" width="17.5703125" style="2" customWidth="1"/>
    <col min="9992" max="9992" width="18.5703125" style="2" bestFit="1" customWidth="1"/>
    <col min="9993" max="9993" width="18.140625" style="2" customWidth="1"/>
    <col min="9994" max="9996" width="19.7109375" style="2" customWidth="1"/>
    <col min="9997" max="9997" width="9.42578125" style="2" customWidth="1"/>
    <col min="9998" max="10000" width="14.5703125" style="2" customWidth="1"/>
    <col min="10001" max="10240" width="11.42578125" style="2"/>
    <col min="10241" max="10241" width="57.7109375" style="2" customWidth="1"/>
    <col min="10242" max="10242" width="14.5703125" style="2" customWidth="1"/>
    <col min="10243" max="10243" width="14.7109375" style="2" customWidth="1"/>
    <col min="10244" max="10244" width="19.85546875" style="2" customWidth="1"/>
    <col min="10245" max="10245" width="14.42578125" style="2" customWidth="1"/>
    <col min="10246" max="10246" width="15.42578125" style="2" customWidth="1"/>
    <col min="10247" max="10247" width="17.5703125" style="2" customWidth="1"/>
    <col min="10248" max="10248" width="18.5703125" style="2" bestFit="1" customWidth="1"/>
    <col min="10249" max="10249" width="18.140625" style="2" customWidth="1"/>
    <col min="10250" max="10252" width="19.7109375" style="2" customWidth="1"/>
    <col min="10253" max="10253" width="9.42578125" style="2" customWidth="1"/>
    <col min="10254" max="10256" width="14.5703125" style="2" customWidth="1"/>
    <col min="10257" max="10496" width="11.42578125" style="2"/>
    <col min="10497" max="10497" width="57.7109375" style="2" customWidth="1"/>
    <col min="10498" max="10498" width="14.5703125" style="2" customWidth="1"/>
    <col min="10499" max="10499" width="14.7109375" style="2" customWidth="1"/>
    <col min="10500" max="10500" width="19.85546875" style="2" customWidth="1"/>
    <col min="10501" max="10501" width="14.42578125" style="2" customWidth="1"/>
    <col min="10502" max="10502" width="15.42578125" style="2" customWidth="1"/>
    <col min="10503" max="10503" width="17.5703125" style="2" customWidth="1"/>
    <col min="10504" max="10504" width="18.5703125" style="2" bestFit="1" customWidth="1"/>
    <col min="10505" max="10505" width="18.140625" style="2" customWidth="1"/>
    <col min="10506" max="10508" width="19.7109375" style="2" customWidth="1"/>
    <col min="10509" max="10509" width="9.42578125" style="2" customWidth="1"/>
    <col min="10510" max="10512" width="14.5703125" style="2" customWidth="1"/>
    <col min="10513" max="10752" width="11.42578125" style="2"/>
    <col min="10753" max="10753" width="57.7109375" style="2" customWidth="1"/>
    <col min="10754" max="10754" width="14.5703125" style="2" customWidth="1"/>
    <col min="10755" max="10755" width="14.7109375" style="2" customWidth="1"/>
    <col min="10756" max="10756" width="19.85546875" style="2" customWidth="1"/>
    <col min="10757" max="10757" width="14.42578125" style="2" customWidth="1"/>
    <col min="10758" max="10758" width="15.42578125" style="2" customWidth="1"/>
    <col min="10759" max="10759" width="17.5703125" style="2" customWidth="1"/>
    <col min="10760" max="10760" width="18.5703125" style="2" bestFit="1" customWidth="1"/>
    <col min="10761" max="10761" width="18.140625" style="2" customWidth="1"/>
    <col min="10762" max="10764" width="19.7109375" style="2" customWidth="1"/>
    <col min="10765" max="10765" width="9.42578125" style="2" customWidth="1"/>
    <col min="10766" max="10768" width="14.5703125" style="2" customWidth="1"/>
    <col min="10769" max="11008" width="11.42578125" style="2"/>
    <col min="11009" max="11009" width="57.7109375" style="2" customWidth="1"/>
    <col min="11010" max="11010" width="14.5703125" style="2" customWidth="1"/>
    <col min="11011" max="11011" width="14.7109375" style="2" customWidth="1"/>
    <col min="11012" max="11012" width="19.85546875" style="2" customWidth="1"/>
    <col min="11013" max="11013" width="14.42578125" style="2" customWidth="1"/>
    <col min="11014" max="11014" width="15.42578125" style="2" customWidth="1"/>
    <col min="11015" max="11015" width="17.5703125" style="2" customWidth="1"/>
    <col min="11016" max="11016" width="18.5703125" style="2" bestFit="1" customWidth="1"/>
    <col min="11017" max="11017" width="18.140625" style="2" customWidth="1"/>
    <col min="11018" max="11020" width="19.7109375" style="2" customWidth="1"/>
    <col min="11021" max="11021" width="9.42578125" style="2" customWidth="1"/>
    <col min="11022" max="11024" width="14.5703125" style="2" customWidth="1"/>
    <col min="11025" max="11264" width="11.42578125" style="2"/>
    <col min="11265" max="11265" width="57.7109375" style="2" customWidth="1"/>
    <col min="11266" max="11266" width="14.5703125" style="2" customWidth="1"/>
    <col min="11267" max="11267" width="14.7109375" style="2" customWidth="1"/>
    <col min="11268" max="11268" width="19.85546875" style="2" customWidth="1"/>
    <col min="11269" max="11269" width="14.42578125" style="2" customWidth="1"/>
    <col min="11270" max="11270" width="15.42578125" style="2" customWidth="1"/>
    <col min="11271" max="11271" width="17.5703125" style="2" customWidth="1"/>
    <col min="11272" max="11272" width="18.5703125" style="2" bestFit="1" customWidth="1"/>
    <col min="11273" max="11273" width="18.140625" style="2" customWidth="1"/>
    <col min="11274" max="11276" width="19.7109375" style="2" customWidth="1"/>
    <col min="11277" max="11277" width="9.42578125" style="2" customWidth="1"/>
    <col min="11278" max="11280" width="14.5703125" style="2" customWidth="1"/>
    <col min="11281" max="11520" width="11.42578125" style="2"/>
    <col min="11521" max="11521" width="57.7109375" style="2" customWidth="1"/>
    <col min="11522" max="11522" width="14.5703125" style="2" customWidth="1"/>
    <col min="11523" max="11523" width="14.7109375" style="2" customWidth="1"/>
    <col min="11524" max="11524" width="19.85546875" style="2" customWidth="1"/>
    <col min="11525" max="11525" width="14.42578125" style="2" customWidth="1"/>
    <col min="11526" max="11526" width="15.42578125" style="2" customWidth="1"/>
    <col min="11527" max="11527" width="17.5703125" style="2" customWidth="1"/>
    <col min="11528" max="11528" width="18.5703125" style="2" bestFit="1" customWidth="1"/>
    <col min="11529" max="11529" width="18.140625" style="2" customWidth="1"/>
    <col min="11530" max="11532" width="19.7109375" style="2" customWidth="1"/>
    <col min="11533" max="11533" width="9.42578125" style="2" customWidth="1"/>
    <col min="11534" max="11536" width="14.5703125" style="2" customWidth="1"/>
    <col min="11537" max="11776" width="11.42578125" style="2"/>
    <col min="11777" max="11777" width="57.7109375" style="2" customWidth="1"/>
    <col min="11778" max="11778" width="14.5703125" style="2" customWidth="1"/>
    <col min="11779" max="11779" width="14.7109375" style="2" customWidth="1"/>
    <col min="11780" max="11780" width="19.85546875" style="2" customWidth="1"/>
    <col min="11781" max="11781" width="14.42578125" style="2" customWidth="1"/>
    <col min="11782" max="11782" width="15.42578125" style="2" customWidth="1"/>
    <col min="11783" max="11783" width="17.5703125" style="2" customWidth="1"/>
    <col min="11784" max="11784" width="18.5703125" style="2" bestFit="1" customWidth="1"/>
    <col min="11785" max="11785" width="18.140625" style="2" customWidth="1"/>
    <col min="11786" max="11788" width="19.7109375" style="2" customWidth="1"/>
    <col min="11789" max="11789" width="9.42578125" style="2" customWidth="1"/>
    <col min="11790" max="11792" width="14.5703125" style="2" customWidth="1"/>
    <col min="11793" max="12032" width="11.42578125" style="2"/>
    <col min="12033" max="12033" width="57.7109375" style="2" customWidth="1"/>
    <col min="12034" max="12034" width="14.5703125" style="2" customWidth="1"/>
    <col min="12035" max="12035" width="14.7109375" style="2" customWidth="1"/>
    <col min="12036" max="12036" width="19.85546875" style="2" customWidth="1"/>
    <col min="12037" max="12037" width="14.42578125" style="2" customWidth="1"/>
    <col min="12038" max="12038" width="15.42578125" style="2" customWidth="1"/>
    <col min="12039" max="12039" width="17.5703125" style="2" customWidth="1"/>
    <col min="12040" max="12040" width="18.5703125" style="2" bestFit="1" customWidth="1"/>
    <col min="12041" max="12041" width="18.140625" style="2" customWidth="1"/>
    <col min="12042" max="12044" width="19.7109375" style="2" customWidth="1"/>
    <col min="12045" max="12045" width="9.42578125" style="2" customWidth="1"/>
    <col min="12046" max="12048" width="14.5703125" style="2" customWidth="1"/>
    <col min="12049" max="12288" width="11.42578125" style="2"/>
    <col min="12289" max="12289" width="57.7109375" style="2" customWidth="1"/>
    <col min="12290" max="12290" width="14.5703125" style="2" customWidth="1"/>
    <col min="12291" max="12291" width="14.7109375" style="2" customWidth="1"/>
    <col min="12292" max="12292" width="19.85546875" style="2" customWidth="1"/>
    <col min="12293" max="12293" width="14.42578125" style="2" customWidth="1"/>
    <col min="12294" max="12294" width="15.42578125" style="2" customWidth="1"/>
    <col min="12295" max="12295" width="17.5703125" style="2" customWidth="1"/>
    <col min="12296" max="12296" width="18.5703125" style="2" bestFit="1" customWidth="1"/>
    <col min="12297" max="12297" width="18.140625" style="2" customWidth="1"/>
    <col min="12298" max="12300" width="19.7109375" style="2" customWidth="1"/>
    <col min="12301" max="12301" width="9.42578125" style="2" customWidth="1"/>
    <col min="12302" max="12304" width="14.5703125" style="2" customWidth="1"/>
    <col min="12305" max="12544" width="11.42578125" style="2"/>
    <col min="12545" max="12545" width="57.7109375" style="2" customWidth="1"/>
    <col min="12546" max="12546" width="14.5703125" style="2" customWidth="1"/>
    <col min="12547" max="12547" width="14.7109375" style="2" customWidth="1"/>
    <col min="12548" max="12548" width="19.85546875" style="2" customWidth="1"/>
    <col min="12549" max="12549" width="14.42578125" style="2" customWidth="1"/>
    <col min="12550" max="12550" width="15.42578125" style="2" customWidth="1"/>
    <col min="12551" max="12551" width="17.5703125" style="2" customWidth="1"/>
    <col min="12552" max="12552" width="18.5703125" style="2" bestFit="1" customWidth="1"/>
    <col min="12553" max="12553" width="18.140625" style="2" customWidth="1"/>
    <col min="12554" max="12556" width="19.7109375" style="2" customWidth="1"/>
    <col min="12557" max="12557" width="9.42578125" style="2" customWidth="1"/>
    <col min="12558" max="12560" width="14.5703125" style="2" customWidth="1"/>
    <col min="12561" max="12800" width="11.42578125" style="2"/>
    <col min="12801" max="12801" width="57.7109375" style="2" customWidth="1"/>
    <col min="12802" max="12802" width="14.5703125" style="2" customWidth="1"/>
    <col min="12803" max="12803" width="14.7109375" style="2" customWidth="1"/>
    <col min="12804" max="12804" width="19.85546875" style="2" customWidth="1"/>
    <col min="12805" max="12805" width="14.42578125" style="2" customWidth="1"/>
    <col min="12806" max="12806" width="15.42578125" style="2" customWidth="1"/>
    <col min="12807" max="12807" width="17.5703125" style="2" customWidth="1"/>
    <col min="12808" max="12808" width="18.5703125" style="2" bestFit="1" customWidth="1"/>
    <col min="12809" max="12809" width="18.140625" style="2" customWidth="1"/>
    <col min="12810" max="12812" width="19.7109375" style="2" customWidth="1"/>
    <col min="12813" max="12813" width="9.42578125" style="2" customWidth="1"/>
    <col min="12814" max="12816" width="14.5703125" style="2" customWidth="1"/>
    <col min="12817" max="13056" width="11.42578125" style="2"/>
    <col min="13057" max="13057" width="57.7109375" style="2" customWidth="1"/>
    <col min="13058" max="13058" width="14.5703125" style="2" customWidth="1"/>
    <col min="13059" max="13059" width="14.7109375" style="2" customWidth="1"/>
    <col min="13060" max="13060" width="19.85546875" style="2" customWidth="1"/>
    <col min="13061" max="13061" width="14.42578125" style="2" customWidth="1"/>
    <col min="13062" max="13062" width="15.42578125" style="2" customWidth="1"/>
    <col min="13063" max="13063" width="17.5703125" style="2" customWidth="1"/>
    <col min="13064" max="13064" width="18.5703125" style="2" bestFit="1" customWidth="1"/>
    <col min="13065" max="13065" width="18.140625" style="2" customWidth="1"/>
    <col min="13066" max="13068" width="19.7109375" style="2" customWidth="1"/>
    <col min="13069" max="13069" width="9.42578125" style="2" customWidth="1"/>
    <col min="13070" max="13072" width="14.5703125" style="2" customWidth="1"/>
    <col min="13073" max="13312" width="11.42578125" style="2"/>
    <col min="13313" max="13313" width="57.7109375" style="2" customWidth="1"/>
    <col min="13314" max="13314" width="14.5703125" style="2" customWidth="1"/>
    <col min="13315" max="13315" width="14.7109375" style="2" customWidth="1"/>
    <col min="13316" max="13316" width="19.85546875" style="2" customWidth="1"/>
    <col min="13317" max="13317" width="14.42578125" style="2" customWidth="1"/>
    <col min="13318" max="13318" width="15.42578125" style="2" customWidth="1"/>
    <col min="13319" max="13319" width="17.5703125" style="2" customWidth="1"/>
    <col min="13320" max="13320" width="18.5703125" style="2" bestFit="1" customWidth="1"/>
    <col min="13321" max="13321" width="18.140625" style="2" customWidth="1"/>
    <col min="13322" max="13324" width="19.7109375" style="2" customWidth="1"/>
    <col min="13325" max="13325" width="9.42578125" style="2" customWidth="1"/>
    <col min="13326" max="13328" width="14.5703125" style="2" customWidth="1"/>
    <col min="13329" max="13568" width="11.42578125" style="2"/>
    <col min="13569" max="13569" width="57.7109375" style="2" customWidth="1"/>
    <col min="13570" max="13570" width="14.5703125" style="2" customWidth="1"/>
    <col min="13571" max="13571" width="14.7109375" style="2" customWidth="1"/>
    <col min="13572" max="13572" width="19.85546875" style="2" customWidth="1"/>
    <col min="13573" max="13573" width="14.42578125" style="2" customWidth="1"/>
    <col min="13574" max="13574" width="15.42578125" style="2" customWidth="1"/>
    <col min="13575" max="13575" width="17.5703125" style="2" customWidth="1"/>
    <col min="13576" max="13576" width="18.5703125" style="2" bestFit="1" customWidth="1"/>
    <col min="13577" max="13577" width="18.140625" style="2" customWidth="1"/>
    <col min="13578" max="13580" width="19.7109375" style="2" customWidth="1"/>
    <col min="13581" max="13581" width="9.42578125" style="2" customWidth="1"/>
    <col min="13582" max="13584" width="14.5703125" style="2" customWidth="1"/>
    <col min="13585" max="13824" width="11.42578125" style="2"/>
    <col min="13825" max="13825" width="57.7109375" style="2" customWidth="1"/>
    <col min="13826" max="13826" width="14.5703125" style="2" customWidth="1"/>
    <col min="13827" max="13827" width="14.7109375" style="2" customWidth="1"/>
    <col min="13828" max="13828" width="19.85546875" style="2" customWidth="1"/>
    <col min="13829" max="13829" width="14.42578125" style="2" customWidth="1"/>
    <col min="13830" max="13830" width="15.42578125" style="2" customWidth="1"/>
    <col min="13831" max="13831" width="17.5703125" style="2" customWidth="1"/>
    <col min="13832" max="13832" width="18.5703125" style="2" bestFit="1" customWidth="1"/>
    <col min="13833" max="13833" width="18.140625" style="2" customWidth="1"/>
    <col min="13834" max="13836" width="19.7109375" style="2" customWidth="1"/>
    <col min="13837" max="13837" width="9.42578125" style="2" customWidth="1"/>
    <col min="13838" max="13840" width="14.5703125" style="2" customWidth="1"/>
    <col min="13841" max="14080" width="11.42578125" style="2"/>
    <col min="14081" max="14081" width="57.7109375" style="2" customWidth="1"/>
    <col min="14082" max="14082" width="14.5703125" style="2" customWidth="1"/>
    <col min="14083" max="14083" width="14.7109375" style="2" customWidth="1"/>
    <col min="14084" max="14084" width="19.85546875" style="2" customWidth="1"/>
    <col min="14085" max="14085" width="14.42578125" style="2" customWidth="1"/>
    <col min="14086" max="14086" width="15.42578125" style="2" customWidth="1"/>
    <col min="14087" max="14087" width="17.5703125" style="2" customWidth="1"/>
    <col min="14088" max="14088" width="18.5703125" style="2" bestFit="1" customWidth="1"/>
    <col min="14089" max="14089" width="18.140625" style="2" customWidth="1"/>
    <col min="14090" max="14092" width="19.7109375" style="2" customWidth="1"/>
    <col min="14093" max="14093" width="9.42578125" style="2" customWidth="1"/>
    <col min="14094" max="14096" width="14.5703125" style="2" customWidth="1"/>
    <col min="14097" max="14336" width="11.42578125" style="2"/>
    <col min="14337" max="14337" width="57.7109375" style="2" customWidth="1"/>
    <col min="14338" max="14338" width="14.5703125" style="2" customWidth="1"/>
    <col min="14339" max="14339" width="14.7109375" style="2" customWidth="1"/>
    <col min="14340" max="14340" width="19.85546875" style="2" customWidth="1"/>
    <col min="14341" max="14341" width="14.42578125" style="2" customWidth="1"/>
    <col min="14342" max="14342" width="15.42578125" style="2" customWidth="1"/>
    <col min="14343" max="14343" width="17.5703125" style="2" customWidth="1"/>
    <col min="14344" max="14344" width="18.5703125" style="2" bestFit="1" customWidth="1"/>
    <col min="14345" max="14345" width="18.140625" style="2" customWidth="1"/>
    <col min="14346" max="14348" width="19.7109375" style="2" customWidth="1"/>
    <col min="14349" max="14349" width="9.42578125" style="2" customWidth="1"/>
    <col min="14350" max="14352" width="14.5703125" style="2" customWidth="1"/>
    <col min="14353" max="14592" width="11.42578125" style="2"/>
    <col min="14593" max="14593" width="57.7109375" style="2" customWidth="1"/>
    <col min="14594" max="14594" width="14.5703125" style="2" customWidth="1"/>
    <col min="14595" max="14595" width="14.7109375" style="2" customWidth="1"/>
    <col min="14596" max="14596" width="19.85546875" style="2" customWidth="1"/>
    <col min="14597" max="14597" width="14.42578125" style="2" customWidth="1"/>
    <col min="14598" max="14598" width="15.42578125" style="2" customWidth="1"/>
    <col min="14599" max="14599" width="17.5703125" style="2" customWidth="1"/>
    <col min="14600" max="14600" width="18.5703125" style="2" bestFit="1" customWidth="1"/>
    <col min="14601" max="14601" width="18.140625" style="2" customWidth="1"/>
    <col min="14602" max="14604" width="19.7109375" style="2" customWidth="1"/>
    <col min="14605" max="14605" width="9.42578125" style="2" customWidth="1"/>
    <col min="14606" max="14608" width="14.5703125" style="2" customWidth="1"/>
    <col min="14609" max="14848" width="11.42578125" style="2"/>
    <col min="14849" max="14849" width="57.7109375" style="2" customWidth="1"/>
    <col min="14850" max="14850" width="14.5703125" style="2" customWidth="1"/>
    <col min="14851" max="14851" width="14.7109375" style="2" customWidth="1"/>
    <col min="14852" max="14852" width="19.85546875" style="2" customWidth="1"/>
    <col min="14853" max="14853" width="14.42578125" style="2" customWidth="1"/>
    <col min="14854" max="14854" width="15.42578125" style="2" customWidth="1"/>
    <col min="14855" max="14855" width="17.5703125" style="2" customWidth="1"/>
    <col min="14856" max="14856" width="18.5703125" style="2" bestFit="1" customWidth="1"/>
    <col min="14857" max="14857" width="18.140625" style="2" customWidth="1"/>
    <col min="14858" max="14860" width="19.7109375" style="2" customWidth="1"/>
    <col min="14861" max="14861" width="9.42578125" style="2" customWidth="1"/>
    <col min="14862" max="14864" width="14.5703125" style="2" customWidth="1"/>
    <col min="14865" max="15104" width="11.42578125" style="2"/>
    <col min="15105" max="15105" width="57.7109375" style="2" customWidth="1"/>
    <col min="15106" max="15106" width="14.5703125" style="2" customWidth="1"/>
    <col min="15107" max="15107" width="14.7109375" style="2" customWidth="1"/>
    <col min="15108" max="15108" width="19.85546875" style="2" customWidth="1"/>
    <col min="15109" max="15109" width="14.42578125" style="2" customWidth="1"/>
    <col min="15110" max="15110" width="15.42578125" style="2" customWidth="1"/>
    <col min="15111" max="15111" width="17.5703125" style="2" customWidth="1"/>
    <col min="15112" max="15112" width="18.5703125" style="2" bestFit="1" customWidth="1"/>
    <col min="15113" max="15113" width="18.140625" style="2" customWidth="1"/>
    <col min="15114" max="15116" width="19.7109375" style="2" customWidth="1"/>
    <col min="15117" max="15117" width="9.42578125" style="2" customWidth="1"/>
    <col min="15118" max="15120" width="14.5703125" style="2" customWidth="1"/>
    <col min="15121" max="15360" width="11.42578125" style="2"/>
    <col min="15361" max="15361" width="57.7109375" style="2" customWidth="1"/>
    <col min="15362" max="15362" width="14.5703125" style="2" customWidth="1"/>
    <col min="15363" max="15363" width="14.7109375" style="2" customWidth="1"/>
    <col min="15364" max="15364" width="19.85546875" style="2" customWidth="1"/>
    <col min="15365" max="15365" width="14.42578125" style="2" customWidth="1"/>
    <col min="15366" max="15366" width="15.42578125" style="2" customWidth="1"/>
    <col min="15367" max="15367" width="17.5703125" style="2" customWidth="1"/>
    <col min="15368" max="15368" width="18.5703125" style="2" bestFit="1" customWidth="1"/>
    <col min="15369" max="15369" width="18.140625" style="2" customWidth="1"/>
    <col min="15370" max="15372" width="19.7109375" style="2" customWidth="1"/>
    <col min="15373" max="15373" width="9.42578125" style="2" customWidth="1"/>
    <col min="15374" max="15376" width="14.5703125" style="2" customWidth="1"/>
    <col min="15377" max="15616" width="11.42578125" style="2"/>
    <col min="15617" max="15617" width="57.7109375" style="2" customWidth="1"/>
    <col min="15618" max="15618" width="14.5703125" style="2" customWidth="1"/>
    <col min="15619" max="15619" width="14.7109375" style="2" customWidth="1"/>
    <col min="15620" max="15620" width="19.85546875" style="2" customWidth="1"/>
    <col min="15621" max="15621" width="14.42578125" style="2" customWidth="1"/>
    <col min="15622" max="15622" width="15.42578125" style="2" customWidth="1"/>
    <col min="15623" max="15623" width="17.5703125" style="2" customWidth="1"/>
    <col min="15624" max="15624" width="18.5703125" style="2" bestFit="1" customWidth="1"/>
    <col min="15625" max="15625" width="18.140625" style="2" customWidth="1"/>
    <col min="15626" max="15628" width="19.7109375" style="2" customWidth="1"/>
    <col min="15629" max="15629" width="9.42578125" style="2" customWidth="1"/>
    <col min="15630" max="15632" width="14.5703125" style="2" customWidth="1"/>
    <col min="15633" max="15872" width="11.42578125" style="2"/>
    <col min="15873" max="15873" width="57.7109375" style="2" customWidth="1"/>
    <col min="15874" max="15874" width="14.5703125" style="2" customWidth="1"/>
    <col min="15875" max="15875" width="14.7109375" style="2" customWidth="1"/>
    <col min="15876" max="15876" width="19.85546875" style="2" customWidth="1"/>
    <col min="15877" max="15877" width="14.42578125" style="2" customWidth="1"/>
    <col min="15878" max="15878" width="15.42578125" style="2" customWidth="1"/>
    <col min="15879" max="15879" width="17.5703125" style="2" customWidth="1"/>
    <col min="15880" max="15880" width="18.5703125" style="2" bestFit="1" customWidth="1"/>
    <col min="15881" max="15881" width="18.140625" style="2" customWidth="1"/>
    <col min="15882" max="15884" width="19.7109375" style="2" customWidth="1"/>
    <col min="15885" max="15885" width="9.42578125" style="2" customWidth="1"/>
    <col min="15886" max="15888" width="14.5703125" style="2" customWidth="1"/>
    <col min="15889" max="16128" width="11.42578125" style="2"/>
    <col min="16129" max="16129" width="57.7109375" style="2" customWidth="1"/>
    <col min="16130" max="16130" width="14.5703125" style="2" customWidth="1"/>
    <col min="16131" max="16131" width="14.7109375" style="2" customWidth="1"/>
    <col min="16132" max="16132" width="19.85546875" style="2" customWidth="1"/>
    <col min="16133" max="16133" width="14.42578125" style="2" customWidth="1"/>
    <col min="16134" max="16134" width="15.42578125" style="2" customWidth="1"/>
    <col min="16135" max="16135" width="17.5703125" style="2" customWidth="1"/>
    <col min="16136" max="16136" width="18.5703125" style="2" bestFit="1" customWidth="1"/>
    <col min="16137" max="16137" width="18.140625" style="2" customWidth="1"/>
    <col min="16138" max="16140" width="19.7109375" style="2" customWidth="1"/>
    <col min="16141" max="16141" width="9.42578125" style="2" customWidth="1"/>
    <col min="16142" max="16144" width="14.5703125" style="2" customWidth="1"/>
    <col min="16145" max="16384" width="11.42578125" style="2"/>
  </cols>
  <sheetData>
    <row r="1" spans="1:15" ht="15" x14ac:dyDescent="0.25">
      <c r="A1" s="1" t="s">
        <v>0</v>
      </c>
      <c r="B1" s="1"/>
      <c r="C1" s="1"/>
      <c r="D1" s="1"/>
      <c r="E1" s="1"/>
      <c r="F1" s="1"/>
      <c r="G1" s="1"/>
      <c r="H1" s="1"/>
      <c r="I1" s="1"/>
      <c r="J1" s="1"/>
      <c r="K1" s="1"/>
      <c r="L1" s="1"/>
      <c r="M1" s="1"/>
    </row>
    <row r="2" spans="1:15" ht="15" x14ac:dyDescent="0.25">
      <c r="A2" s="1" t="s">
        <v>1</v>
      </c>
      <c r="B2" s="1"/>
      <c r="C2" s="1"/>
      <c r="D2" s="1"/>
      <c r="E2" s="1"/>
      <c r="F2" s="1"/>
      <c r="G2" s="1"/>
      <c r="H2" s="1"/>
      <c r="I2" s="1"/>
      <c r="J2" s="1"/>
      <c r="K2" s="1"/>
      <c r="L2" s="1"/>
      <c r="M2" s="1"/>
    </row>
    <row r="3" spans="1:15" ht="15" x14ac:dyDescent="0.25">
      <c r="A3" s="1" t="s">
        <v>2</v>
      </c>
      <c r="B3" s="1"/>
      <c r="C3" s="1"/>
      <c r="D3" s="1"/>
      <c r="E3" s="1"/>
      <c r="F3" s="1"/>
      <c r="G3" s="1"/>
      <c r="H3" s="1"/>
      <c r="I3" s="1"/>
      <c r="J3" s="1"/>
      <c r="K3" s="1"/>
      <c r="L3" s="1"/>
      <c r="M3" s="1"/>
    </row>
    <row r="4" spans="1:15" ht="15" x14ac:dyDescent="0.25">
      <c r="A4" s="1" t="s">
        <v>3</v>
      </c>
      <c r="B4" s="1"/>
      <c r="C4" s="1"/>
      <c r="D4" s="1"/>
      <c r="E4" s="1"/>
      <c r="F4" s="1"/>
      <c r="G4" s="1"/>
      <c r="H4" s="1"/>
      <c r="I4" s="1"/>
      <c r="J4" s="1"/>
      <c r="K4" s="1"/>
      <c r="L4" s="1"/>
      <c r="M4" s="1"/>
    </row>
    <row r="5" spans="1:15" ht="15.75" thickBot="1" x14ac:dyDescent="0.3">
      <c r="A5" s="3"/>
      <c r="B5" s="4"/>
      <c r="C5" s="5"/>
      <c r="D5" s="5"/>
      <c r="E5" s="6"/>
      <c r="F5" s="6"/>
      <c r="G5" s="6"/>
      <c r="H5" s="7"/>
      <c r="I5" s="6"/>
    </row>
    <row r="6" spans="1:15" ht="73.5" customHeight="1" thickTop="1" x14ac:dyDescent="0.2">
      <c r="A6" s="8" t="s">
        <v>4</v>
      </c>
      <c r="B6" s="9" t="s">
        <v>5</v>
      </c>
      <c r="C6" s="9" t="s">
        <v>6</v>
      </c>
      <c r="D6" s="9" t="s">
        <v>7</v>
      </c>
      <c r="E6" s="9" t="s">
        <v>8</v>
      </c>
      <c r="F6" s="9" t="s">
        <v>9</v>
      </c>
      <c r="G6" s="9" t="s">
        <v>10</v>
      </c>
      <c r="H6" s="9" t="s">
        <v>11</v>
      </c>
      <c r="I6" s="9" t="s">
        <v>12</v>
      </c>
      <c r="J6" s="9" t="s">
        <v>13</v>
      </c>
      <c r="K6" s="10" t="s">
        <v>14</v>
      </c>
      <c r="L6" s="10" t="s">
        <v>15</v>
      </c>
      <c r="M6" s="11" t="s">
        <v>16</v>
      </c>
    </row>
    <row r="7" spans="1:15" ht="15" x14ac:dyDescent="0.25">
      <c r="A7" s="12" t="s">
        <v>17</v>
      </c>
      <c r="B7" s="13"/>
      <c r="C7" s="13"/>
      <c r="D7" s="13"/>
      <c r="E7" s="13"/>
      <c r="F7" s="13"/>
      <c r="G7" s="13"/>
      <c r="H7" s="13"/>
      <c r="I7" s="13"/>
      <c r="J7" s="13"/>
      <c r="K7" s="13"/>
      <c r="L7" s="13"/>
      <c r="M7" s="14"/>
    </row>
    <row r="8" spans="1:15" ht="15" x14ac:dyDescent="0.25">
      <c r="A8" s="15" t="s">
        <v>18</v>
      </c>
      <c r="B8" s="16">
        <f>SUM(B9:B18)</f>
        <v>166458694.84967384</v>
      </c>
      <c r="C8" s="16">
        <f t="shared" ref="C8:J8" si="0">SUM(C9:C18)</f>
        <v>188478541.17905533</v>
      </c>
      <c r="D8" s="16">
        <f t="shared" si="0"/>
        <v>113630273.77118872</v>
      </c>
      <c r="E8" s="16">
        <f>SUM(E9:E18)</f>
        <v>18761157.811688423</v>
      </c>
      <c r="F8" s="16">
        <f t="shared" si="0"/>
        <v>137405276.97378084</v>
      </c>
      <c r="G8" s="16">
        <f>SUM(G9:G18)</f>
        <v>388514556.00617802</v>
      </c>
      <c r="H8" s="16">
        <f>SUM(H9:H18)</f>
        <v>1013248500.5915651</v>
      </c>
      <c r="I8" s="16">
        <f>SUM(I9:I18)</f>
        <v>280890917.77047199</v>
      </c>
      <c r="J8" s="16">
        <f t="shared" si="0"/>
        <v>1294139418.3620369</v>
      </c>
      <c r="K8" s="16">
        <f>SUM(K9:K18)</f>
        <v>1227887916.8000002</v>
      </c>
      <c r="L8" s="16">
        <f>+K8-J8</f>
        <v>-66251501.562036753</v>
      </c>
      <c r="M8" s="17">
        <f>+K8/J8</f>
        <v>0.94880651912613112</v>
      </c>
    </row>
    <row r="9" spans="1:15" ht="14.25" x14ac:dyDescent="0.2">
      <c r="A9" s="18" t="s">
        <v>19</v>
      </c>
      <c r="B9" s="19">
        <f>+'[1]Nómina y honorarios 2019'!K28</f>
        <v>103657948.78920001</v>
      </c>
      <c r="C9" s="19">
        <f>+'[1]Nómina y honorarios 2019'!K52</f>
        <v>125564877.72539999</v>
      </c>
      <c r="D9" s="19">
        <f>+'[1]Nómina y honorarios 2019'!K66</f>
        <v>80201648.337000012</v>
      </c>
      <c r="E9" s="19">
        <f>+'[1]Nómina y honorarios 2019'!K75</f>
        <v>12205389.652800001</v>
      </c>
      <c r="F9" s="19">
        <f>+'[1]Nómina y honorarios 2019'!K40</f>
        <v>95847257.870399997</v>
      </c>
      <c r="G9" s="19">
        <f>+'[1]Nómina y honorarios 2019'!K80</f>
        <v>259547085.83880001</v>
      </c>
      <c r="H9" s="20">
        <f t="shared" ref="H9:H19" si="1">+B9+C9+D9+G9+E9+F9</f>
        <v>677024208.21359992</v>
      </c>
      <c r="I9" s="19">
        <f>+'[1]Nómina y honorarios 2019'!K13</f>
        <v>160252679.46360001</v>
      </c>
      <c r="J9" s="19">
        <f t="shared" ref="J9:J18" si="2">+H9+I9</f>
        <v>837276887.67719996</v>
      </c>
      <c r="K9" s="19">
        <v>791681116</v>
      </c>
      <c r="L9" s="19">
        <f t="shared" ref="L9:L19" si="3">+K9-J9</f>
        <v>-45595771.67719996</v>
      </c>
      <c r="M9" s="21">
        <f t="shared" ref="M9:M19" si="4">+K9/J9</f>
        <v>0.94554277999516601</v>
      </c>
      <c r="O9" s="22"/>
    </row>
    <row r="10" spans="1:15" ht="14.25" x14ac:dyDescent="0.2">
      <c r="A10" s="18" t="s">
        <v>20</v>
      </c>
      <c r="B10" s="19">
        <f>+'[1]Nómina y honorarios 2019'!O28</f>
        <v>4319081.19955</v>
      </c>
      <c r="C10" s="19">
        <f>+'[1]Nómina y honorarios 2019'!O52</f>
        <v>5231869.9052250003</v>
      </c>
      <c r="D10" s="19">
        <f>+'[1]Nómina y honorarios 2019'!O66</f>
        <v>3341735.3473750004</v>
      </c>
      <c r="E10" s="19">
        <f>+'[1]Nómina y honorarios 2019'!O75</f>
        <v>508557.90220000001</v>
      </c>
      <c r="F10" s="19">
        <f>+'[1]Nómina y honorarios 2019'!O40</f>
        <v>3993635.7446000003</v>
      </c>
      <c r="G10" s="19">
        <f>+'[1]Nómina y honorarios 2019'!O80</f>
        <v>10814461.909949997</v>
      </c>
      <c r="H10" s="20">
        <f t="shared" si="1"/>
        <v>28209342.008899998</v>
      </c>
      <c r="I10" s="19">
        <f>+'[1]Nómina y honorarios 2019'!O13</f>
        <v>6263136.7176500009</v>
      </c>
      <c r="J10" s="19">
        <f t="shared" si="2"/>
        <v>34472478.726549998</v>
      </c>
      <c r="K10" s="19">
        <v>33266600</v>
      </c>
      <c r="L10" s="19">
        <f t="shared" si="3"/>
        <v>-1205878.7265499979</v>
      </c>
      <c r="M10" s="21">
        <f t="shared" si="4"/>
        <v>0.96501908852811169</v>
      </c>
    </row>
    <row r="11" spans="1:15" ht="14.25" x14ac:dyDescent="0.2">
      <c r="A11" s="18" t="s">
        <v>21</v>
      </c>
      <c r="B11" s="19">
        <f>+'[1]Nómina y honorarios 2019'!N28</f>
        <v>5884813.3853000002</v>
      </c>
      <c r="C11" s="19">
        <f>+'[1]Nómina y honorarios 2019'!N52</f>
        <v>7710390.7966499999</v>
      </c>
      <c r="D11" s="19">
        <f>+'[1]Nómina y honorarios 2019'!N66</f>
        <v>3930121.6809500004</v>
      </c>
      <c r="E11" s="19">
        <f>+'[1]Nómina y honorarios 2019'!N75</f>
        <v>1017115.8044</v>
      </c>
      <c r="F11" s="19">
        <f>+'[1]Nómina y honorarios 2019'!N40</f>
        <v>5233922.4753999999</v>
      </c>
      <c r="G11" s="19">
        <f>+'[1]Nómina y honorarios 2019'!N80</f>
        <v>18875574.806099996</v>
      </c>
      <c r="H11" s="20">
        <f t="shared" si="1"/>
        <v>42651938.948799998</v>
      </c>
      <c r="I11" s="19">
        <f>+'[1]Nómina y honorarios 2019'!N13</f>
        <v>12526273.435300002</v>
      </c>
      <c r="J11" s="19">
        <f t="shared" si="2"/>
        <v>55178212.384099998</v>
      </c>
      <c r="K11" s="19">
        <v>54466083</v>
      </c>
      <c r="L11" s="19">
        <f t="shared" si="3"/>
        <v>-712129.38409999758</v>
      </c>
      <c r="M11" s="21">
        <f t="shared" si="4"/>
        <v>0.98709401132565133</v>
      </c>
    </row>
    <row r="12" spans="1:15" ht="14.25" x14ac:dyDescent="0.2">
      <c r="A12" s="18" t="s">
        <v>22</v>
      </c>
      <c r="B12" s="23">
        <v>17145603</v>
      </c>
      <c r="C12" s="23">
        <v>5713000</v>
      </c>
      <c r="D12" s="23">
        <v>0</v>
      </c>
      <c r="E12" s="19">
        <v>0</v>
      </c>
      <c r="F12" s="20">
        <v>0</v>
      </c>
      <c r="G12" s="20">
        <v>0</v>
      </c>
      <c r="H12" s="20">
        <f t="shared" si="1"/>
        <v>22858603</v>
      </c>
      <c r="I12" s="19">
        <f>+'[1]Nómina y honorarios 2019'!I121</f>
        <v>39492282.961533338</v>
      </c>
      <c r="J12" s="19">
        <f>+H12+I12</f>
        <v>62350885.961533338</v>
      </c>
      <c r="K12" s="19">
        <v>57099576</v>
      </c>
      <c r="L12" s="19">
        <f t="shared" si="3"/>
        <v>-5251309.9615333378</v>
      </c>
      <c r="M12" s="21">
        <f t="shared" si="4"/>
        <v>0.91577810193790876</v>
      </c>
    </row>
    <row r="13" spans="1:15" ht="14.25" x14ac:dyDescent="0.2">
      <c r="A13" s="18" t="s">
        <v>23</v>
      </c>
      <c r="B13" s="19">
        <f>+'[1]Nómina y honorarios 2019'!K110</f>
        <v>242529.74900000001</v>
      </c>
      <c r="C13" s="19">
        <f>+'[1]Nómina y honorarios 2019'!O110</f>
        <v>242529.74900000001</v>
      </c>
      <c r="D13" s="19">
        <f>+'[1]Nómina y honorarios 2019'!Q110</f>
        <v>242529.74900000001</v>
      </c>
      <c r="E13" s="19">
        <f>+'[1]Nómina y honorarios 2019'!I110</f>
        <v>242529.74900000001</v>
      </c>
      <c r="F13" s="19">
        <f>+'[1]Nómina y honorarios 2019'!M110</f>
        <v>242529.74900000001</v>
      </c>
      <c r="G13" s="19">
        <f>+'[1]Nómina y honorarios 2019'!S110</f>
        <v>970118.99600000004</v>
      </c>
      <c r="H13" s="20">
        <f t="shared" si="1"/>
        <v>2182767.7409999999</v>
      </c>
      <c r="I13" s="19">
        <f>+'[1]Nómina y honorarios 2019'!U110</f>
        <v>727589.24699999997</v>
      </c>
      <c r="J13" s="19">
        <f>+H13+I13</f>
        <v>2910356.9879999999</v>
      </c>
      <c r="K13" s="19">
        <v>2910357</v>
      </c>
      <c r="L13" s="19">
        <f t="shared" si="3"/>
        <v>1.2000000104308128E-2</v>
      </c>
      <c r="M13" s="21">
        <f t="shared" si="4"/>
        <v>1.0000000041232056</v>
      </c>
    </row>
    <row r="14" spans="1:15" ht="14.25" x14ac:dyDescent="0.2">
      <c r="A14" s="18" t="s">
        <v>24</v>
      </c>
      <c r="B14" s="19">
        <f>+'[1]Nómina y honorarios 2019'!L28</f>
        <v>5884813.3853000002</v>
      </c>
      <c r="C14" s="19">
        <f>+'[1]Nómina y honorarios 2019'!L52</f>
        <v>7710390.7966499999</v>
      </c>
      <c r="D14" s="19">
        <f>+'[1]Nómina y honorarios 2019'!L66</f>
        <v>3930121.6809500004</v>
      </c>
      <c r="E14" s="19">
        <f>+'[1]Nómina y honorarios 2019'!L75</f>
        <v>1017115.8044</v>
      </c>
      <c r="F14" s="19">
        <f>+'[1]Nómina y honorarios 2019'!L40</f>
        <v>5233922.4753999999</v>
      </c>
      <c r="G14" s="19">
        <f>+'[1]Nómina y honorarios 2019'!L80</f>
        <v>18875574.806099996</v>
      </c>
      <c r="H14" s="20">
        <f t="shared" si="1"/>
        <v>42651938.948799998</v>
      </c>
      <c r="I14" s="19">
        <f>+'[1]Nómina y honorarios 2019'!L13-0.5</f>
        <v>12526272.935300002</v>
      </c>
      <c r="J14" s="19">
        <f t="shared" si="2"/>
        <v>55178211.884099998</v>
      </c>
      <c r="K14" s="19">
        <v>54466083</v>
      </c>
      <c r="L14" s="19">
        <f t="shared" si="3"/>
        <v>-712128.88409999758</v>
      </c>
      <c r="M14" s="21">
        <f t="shared" si="4"/>
        <v>0.98709402027025084</v>
      </c>
      <c r="N14" s="24"/>
      <c r="O14" s="24"/>
    </row>
    <row r="15" spans="1:15" ht="14.25" x14ac:dyDescent="0.2">
      <c r="A15" s="18" t="s">
        <v>25</v>
      </c>
      <c r="B15" s="19">
        <f>+'[1]Nómina y honorarios 2019'!M28</f>
        <v>706177.60623599985</v>
      </c>
      <c r="C15" s="19">
        <f>+'[1]Nómina y honorarios 2019'!M52</f>
        <v>925246.89559799992</v>
      </c>
      <c r="D15" s="19">
        <f>+'[1]Nómina y honorarios 2019'!M66</f>
        <v>471614.60171400005</v>
      </c>
      <c r="E15" s="19">
        <f>+'[1]Nómina y honorarios 2019'!M75</f>
        <v>122053.896528</v>
      </c>
      <c r="F15" s="19">
        <f>+'[1]Nómina y honorarios 2019'!M40</f>
        <v>628070.69704800006</v>
      </c>
      <c r="G15" s="19">
        <f>+'[1]Nómina y honorarios 2019'!M80</f>
        <v>2265068.9767320002</v>
      </c>
      <c r="H15" s="20">
        <f t="shared" si="1"/>
        <v>5118232.6738560004</v>
      </c>
      <c r="I15" s="19">
        <f>+'[1]Nómina y honorarios 2019'!M13</f>
        <v>1503152.8122359999</v>
      </c>
      <c r="J15" s="19">
        <f t="shared" si="2"/>
        <v>6621385.4860920003</v>
      </c>
      <c r="K15" s="19">
        <v>6393856</v>
      </c>
      <c r="L15" s="19">
        <f t="shared" si="3"/>
        <v>-227529.48609200027</v>
      </c>
      <c r="M15" s="21">
        <f t="shared" si="4"/>
        <v>0.96563717871887711</v>
      </c>
      <c r="N15" s="24"/>
      <c r="O15" s="24"/>
    </row>
    <row r="16" spans="1:15" ht="14.25" x14ac:dyDescent="0.2">
      <c r="A16" s="18" t="s">
        <v>26</v>
      </c>
      <c r="B16" s="19">
        <f>+'[1]Nómina y honorarios 2019'!S28</f>
        <v>19646067.28649389</v>
      </c>
      <c r="C16" s="19">
        <f>+'[1]Nómina y honorarios 2019'!S52</f>
        <v>24305509.684063237</v>
      </c>
      <c r="D16" s="19">
        <f>+'[1]Nómina y honorarios 2019'!S66</f>
        <v>14792646.769016977</v>
      </c>
      <c r="E16" s="19">
        <f>+'[1]Nómina y honorarios 2019'!S75</f>
        <v>2504622.8116916162</v>
      </c>
      <c r="F16" s="19">
        <f>+'[1]Nómina y honorarios 2019'!S40</f>
        <v>18004103.841543756</v>
      </c>
      <c r="G16" s="19">
        <f>+'[1]Nómina y honorarios 2019'!S80</f>
        <v>53313488.71514044</v>
      </c>
      <c r="H16" s="20">
        <f t="shared" si="1"/>
        <v>132566439.10794991</v>
      </c>
      <c r="I16" s="19">
        <f>+'[1]Nómina y honorarios 2019'!S13</f>
        <v>33253097.848387025</v>
      </c>
      <c r="J16" s="19">
        <f t="shared" si="2"/>
        <v>165819536.95633695</v>
      </c>
      <c r="K16" s="19">
        <v>160396545</v>
      </c>
      <c r="L16" s="19">
        <f t="shared" si="3"/>
        <v>-5422991.9563369453</v>
      </c>
      <c r="M16" s="21">
        <f t="shared" si="4"/>
        <v>0.96729582016765059</v>
      </c>
    </row>
    <row r="17" spans="1:14" ht="14.25" x14ac:dyDescent="0.2">
      <c r="A17" s="18" t="s">
        <v>27</v>
      </c>
      <c r="B17" s="19">
        <f>+'[1]Nómina y honorarios 2019'!U28</f>
        <v>3987404.6438195202</v>
      </c>
      <c r="C17" s="19">
        <f>+'[1]Nómina y honorarios 2019'!U52</f>
        <v>4922100.2784307189</v>
      </c>
      <c r="D17" s="19">
        <f>+'[1]Nómina y honorarios 2019'!U66</f>
        <v>2986602.4911923208</v>
      </c>
      <c r="E17" s="19">
        <f>+'[1]Nómina y honorarios 2019'!U75</f>
        <v>508343.19585280004</v>
      </c>
      <c r="F17" s="19">
        <f>+'[1]Nómina y honorarios 2019'!U40</f>
        <v>3654148.4979507206</v>
      </c>
      <c r="G17" s="19">
        <f>+'[1]Nómina y honorarios 2019'!U80</f>
        <v>10601414.20326912</v>
      </c>
      <c r="H17" s="20">
        <f t="shared" si="1"/>
        <v>26660013.310515203</v>
      </c>
      <c r="I17" s="19">
        <f>+'[1]Nómina y honorarios 2019'!U13</f>
        <v>6376191.7108735982</v>
      </c>
      <c r="J17" s="19">
        <f t="shared" si="2"/>
        <v>33036205.021388799</v>
      </c>
      <c r="K17" s="19">
        <v>29866100.399999999</v>
      </c>
      <c r="L17" s="19">
        <f t="shared" si="3"/>
        <v>-3170104.6213888004</v>
      </c>
      <c r="M17" s="21">
        <f t="shared" si="4"/>
        <v>0.90404150176037579</v>
      </c>
    </row>
    <row r="18" spans="1:14" ht="14.25" x14ac:dyDescent="0.2">
      <c r="A18" s="18" t="s">
        <v>28</v>
      </c>
      <c r="B18" s="19">
        <f>+'[1]Nómina y honorarios 2019'!X28</f>
        <v>4984255.8047743998</v>
      </c>
      <c r="C18" s="19">
        <f>+'[1]Nómina y honorarios 2019'!X52</f>
        <v>6152625.3480384005</v>
      </c>
      <c r="D18" s="19">
        <f>+'[1]Nómina y honorarios 2019'!X66</f>
        <v>3733253.1139904</v>
      </c>
      <c r="E18" s="19">
        <f>+'[1]Nómina y honorarios 2019'!X75</f>
        <v>635428.99481600011</v>
      </c>
      <c r="F18" s="19">
        <f>+'[1]Nómina y honorarios 2019'!X40</f>
        <v>4567685.6224384001</v>
      </c>
      <c r="G18" s="19">
        <f>+'[1]Nómina y honorarios 2019'!X80</f>
        <v>13251767.754086401</v>
      </c>
      <c r="H18" s="20">
        <f t="shared" si="1"/>
        <v>33325016.638144005</v>
      </c>
      <c r="I18" s="19">
        <f>+'[1]Nómina y honorarios 2019'!X13+1</f>
        <v>7970240.6385919992</v>
      </c>
      <c r="J18" s="19">
        <f t="shared" si="2"/>
        <v>41295257.276736006</v>
      </c>
      <c r="K18" s="19">
        <v>37341600.399999999</v>
      </c>
      <c r="L18" s="19">
        <f t="shared" si="3"/>
        <v>-3953656.8767360076</v>
      </c>
      <c r="M18" s="21">
        <f t="shared" si="4"/>
        <v>0.90425881475344794</v>
      </c>
    </row>
    <row r="19" spans="1:14" ht="15" x14ac:dyDescent="0.25">
      <c r="A19" s="25" t="s">
        <v>29</v>
      </c>
      <c r="B19" s="26">
        <f t="shared" ref="B19:G19" si="5">SUM(B9:B18)</f>
        <v>166458694.84967384</v>
      </c>
      <c r="C19" s="26">
        <f t="shared" si="5"/>
        <v>188478541.17905533</v>
      </c>
      <c r="D19" s="26">
        <f t="shared" si="5"/>
        <v>113630273.77118872</v>
      </c>
      <c r="E19" s="26">
        <f t="shared" si="5"/>
        <v>18761157.811688423</v>
      </c>
      <c r="F19" s="26">
        <f t="shared" si="5"/>
        <v>137405276.97378084</v>
      </c>
      <c r="G19" s="26">
        <f t="shared" si="5"/>
        <v>388514556.00617802</v>
      </c>
      <c r="H19" s="26">
        <f t="shared" si="1"/>
        <v>1013248500.5915653</v>
      </c>
      <c r="I19" s="26">
        <f>SUM(I9:I18)</f>
        <v>280890917.77047199</v>
      </c>
      <c r="J19" s="26">
        <f>SUM(J9:J18)</f>
        <v>1294139418.3620369</v>
      </c>
      <c r="K19" s="26">
        <f>SUM(K9:K18)</f>
        <v>1227887916.8000002</v>
      </c>
      <c r="L19" s="26">
        <f t="shared" si="3"/>
        <v>-66251501.562036753</v>
      </c>
      <c r="M19" s="17">
        <f t="shared" si="4"/>
        <v>0.94880651912613112</v>
      </c>
      <c r="N19" s="24"/>
    </row>
    <row r="20" spans="1:14" ht="15" x14ac:dyDescent="0.25">
      <c r="A20" s="12" t="s">
        <v>30</v>
      </c>
      <c r="B20" s="19"/>
      <c r="C20" s="19"/>
      <c r="D20" s="19"/>
      <c r="E20" s="19"/>
      <c r="F20" s="19"/>
      <c r="G20" s="19"/>
      <c r="H20" s="19"/>
      <c r="I20" s="26"/>
      <c r="J20" s="19"/>
      <c r="K20" s="19"/>
      <c r="L20" s="19"/>
      <c r="M20" s="17"/>
    </row>
    <row r="21" spans="1:14" ht="14.25" x14ac:dyDescent="0.2">
      <c r="A21" s="27" t="s">
        <v>31</v>
      </c>
      <c r="B21" s="28">
        <f>+[1]Funcionamiento!J10</f>
        <v>2256250</v>
      </c>
      <c r="C21" s="28">
        <f>+[1]Funcionamiento!K10</f>
        <v>0</v>
      </c>
      <c r="D21" s="28">
        <v>0</v>
      </c>
      <c r="E21" s="28">
        <v>0</v>
      </c>
      <c r="F21" s="28">
        <f>+[1]Funcionamiento!M10</f>
        <v>0</v>
      </c>
      <c r="G21" s="28">
        <f>+[1]Funcionamiento!H10</f>
        <v>2200000</v>
      </c>
      <c r="H21" s="28">
        <f t="shared" ref="H21:H35" si="6">+B21+C21+D21+G21+E21+F21</f>
        <v>4456250</v>
      </c>
      <c r="I21" s="19">
        <f>+[1]Funcionamiento!G10</f>
        <v>77804536.665800005</v>
      </c>
      <c r="J21" s="19">
        <f>+I21+H21</f>
        <v>82260786.665800005</v>
      </c>
      <c r="K21" s="19">
        <v>69170728</v>
      </c>
      <c r="L21" s="19">
        <f t="shared" ref="L21:L36" si="7">+K21-J21</f>
        <v>-13090058.665800005</v>
      </c>
      <c r="M21" s="21">
        <f t="shared" ref="M21:M36" si="8">+K21/J21</f>
        <v>0.84087121949148336</v>
      </c>
    </row>
    <row r="22" spans="1:14" ht="14.25" x14ac:dyDescent="0.2">
      <c r="A22" s="27" t="s">
        <v>32</v>
      </c>
      <c r="B22" s="19">
        <f>+[1]Funcionamiento!J24</f>
        <v>1724485</v>
      </c>
      <c r="C22" s="28">
        <f>+[1]Funcionamiento!K24</f>
        <v>1200000</v>
      </c>
      <c r="D22" s="28">
        <v>0</v>
      </c>
      <c r="E22" s="19">
        <f>+[1]Funcionamiento!I24</f>
        <v>0</v>
      </c>
      <c r="F22" s="28">
        <f>+[1]Funcionamiento!M24</f>
        <v>0</v>
      </c>
      <c r="G22" s="19">
        <f>+[1]Funcionamiento!H24</f>
        <v>2000000</v>
      </c>
      <c r="H22" s="28">
        <f t="shared" si="6"/>
        <v>4924485</v>
      </c>
      <c r="I22" s="19">
        <f>+[1]Funcionamiento!G24</f>
        <v>3434069.2616999997</v>
      </c>
      <c r="J22" s="19">
        <f t="shared" ref="J22:J35" si="9">+H22+I22</f>
        <v>8358554.2616999997</v>
      </c>
      <c r="K22" s="19">
        <v>2214262</v>
      </c>
      <c r="L22" s="19">
        <f t="shared" si="7"/>
        <v>-6144292.2616999997</v>
      </c>
      <c r="M22" s="21">
        <f t="shared" si="8"/>
        <v>0.26490968780881657</v>
      </c>
    </row>
    <row r="23" spans="1:14" ht="14.25" x14ac:dyDescent="0.2">
      <c r="A23" s="27" t="s">
        <v>33</v>
      </c>
      <c r="B23" s="28">
        <v>0</v>
      </c>
      <c r="C23" s="28">
        <v>0</v>
      </c>
      <c r="D23" s="28">
        <v>0</v>
      </c>
      <c r="E23" s="28">
        <v>0</v>
      </c>
      <c r="F23" s="28">
        <v>0</v>
      </c>
      <c r="G23" s="28">
        <f>+[1]Funcionamiento!H14</f>
        <v>3000000</v>
      </c>
      <c r="H23" s="28">
        <f t="shared" si="6"/>
        <v>3000000</v>
      </c>
      <c r="I23" s="19">
        <f>+[1]Funcionamiento!G14</f>
        <v>5798905.8512000004</v>
      </c>
      <c r="J23" s="19">
        <f t="shared" si="9"/>
        <v>8798905.8511999995</v>
      </c>
      <c r="K23" s="19">
        <v>8197144</v>
      </c>
      <c r="L23" s="19">
        <f t="shared" si="7"/>
        <v>-601761.85119999945</v>
      </c>
      <c r="M23" s="21">
        <f t="shared" si="8"/>
        <v>0.93160946811154588</v>
      </c>
    </row>
    <row r="24" spans="1:14" ht="14.25" x14ac:dyDescent="0.2">
      <c r="A24" s="27" t="s">
        <v>34</v>
      </c>
      <c r="B24" s="19">
        <f>+[1]Funcionamiento!J26</f>
        <v>1000000</v>
      </c>
      <c r="C24" s="28">
        <f>+[1]Funcionamiento!K26</f>
        <v>3500000</v>
      </c>
      <c r="D24" s="28">
        <f>+[1]Funcionamiento!L26</f>
        <v>1923257</v>
      </c>
      <c r="E24" s="28">
        <f>+[1]Funcionamiento!I26</f>
        <v>1500000</v>
      </c>
      <c r="F24" s="28">
        <f>+[1]Funcionamiento!M26</f>
        <v>3031198.0271887486</v>
      </c>
      <c r="G24" s="28">
        <f>+[1]Funcionamiento!H26</f>
        <v>70000000</v>
      </c>
      <c r="H24" s="28">
        <f t="shared" si="6"/>
        <v>80954455.027188748</v>
      </c>
      <c r="I24" s="19">
        <f>+[1]Funcionamiento!G26</f>
        <v>10340013.874513637</v>
      </c>
      <c r="J24" s="19">
        <f t="shared" si="9"/>
        <v>91294468.901702389</v>
      </c>
      <c r="K24" s="19">
        <v>89910482</v>
      </c>
      <c r="L24" s="19">
        <f t="shared" si="7"/>
        <v>-1383986.9017023891</v>
      </c>
      <c r="M24" s="21">
        <f t="shared" si="8"/>
        <v>0.9848404079858053</v>
      </c>
    </row>
    <row r="25" spans="1:14" ht="14.25" x14ac:dyDescent="0.2">
      <c r="A25" s="27" t="s">
        <v>35</v>
      </c>
      <c r="B25" s="28">
        <f>+[1]Funcionamiento!J28</f>
        <v>500000</v>
      </c>
      <c r="C25" s="28">
        <f>+[1]Funcionamiento!K28</f>
        <v>800000</v>
      </c>
      <c r="D25" s="28">
        <f>+[1]Funcionamiento!L28</f>
        <v>567878</v>
      </c>
      <c r="E25" s="28">
        <v>0</v>
      </c>
      <c r="F25" s="28">
        <f>+[1]Funcionamiento!M28</f>
        <v>617550.35649999999</v>
      </c>
      <c r="G25" s="28">
        <f>+[1]Funcionamiento!H28</f>
        <v>600000</v>
      </c>
      <c r="H25" s="28">
        <f t="shared" si="6"/>
        <v>3085428.3564999998</v>
      </c>
      <c r="I25" s="19">
        <f>+[1]Funcionamiento!G28</f>
        <v>1375245.7218500001</v>
      </c>
      <c r="J25" s="19">
        <f t="shared" si="9"/>
        <v>4460674.0783500001</v>
      </c>
      <c r="K25" s="19">
        <v>2723424</v>
      </c>
      <c r="L25" s="19">
        <f t="shared" si="7"/>
        <v>-1737250.0783500001</v>
      </c>
      <c r="M25" s="21">
        <f t="shared" si="8"/>
        <v>0.61054090753193802</v>
      </c>
    </row>
    <row r="26" spans="1:14" ht="14.25" x14ac:dyDescent="0.2">
      <c r="A26" s="18" t="s">
        <v>36</v>
      </c>
      <c r="B26" s="28">
        <v>0</v>
      </c>
      <c r="C26" s="28">
        <v>0</v>
      </c>
      <c r="D26" s="28">
        <v>0</v>
      </c>
      <c r="E26" s="28">
        <v>0</v>
      </c>
      <c r="F26" s="28">
        <v>0</v>
      </c>
      <c r="G26" s="28">
        <v>0</v>
      </c>
      <c r="H26" s="28">
        <f t="shared" si="6"/>
        <v>0</v>
      </c>
      <c r="I26" s="19">
        <f>+[1]Funcionamiento!G8-5000000</f>
        <v>0</v>
      </c>
      <c r="J26" s="19">
        <f t="shared" si="9"/>
        <v>0</v>
      </c>
      <c r="K26" s="19">
        <v>0</v>
      </c>
      <c r="L26" s="19">
        <f t="shared" si="7"/>
        <v>0</v>
      </c>
      <c r="M26" s="21">
        <v>0</v>
      </c>
    </row>
    <row r="27" spans="1:14" ht="14.25" x14ac:dyDescent="0.2">
      <c r="A27" s="27" t="s">
        <v>37</v>
      </c>
      <c r="B27" s="28">
        <f>+[1]Funcionamiento!J16</f>
        <v>2592326.3058000002</v>
      </c>
      <c r="C27" s="28">
        <f>+[1]Funcionamiento!K16</f>
        <v>2592326.3058000002</v>
      </c>
      <c r="D27" s="28">
        <f>+[1]Funcionamiento!L16</f>
        <v>2592326.3058000002</v>
      </c>
      <c r="E27" s="28">
        <f>+[1]Funcionamiento!I16</f>
        <v>2592326.3058000002</v>
      </c>
      <c r="F27" s="28">
        <f>+[1]Funcionamiento!M16</f>
        <v>2592326.3058000002</v>
      </c>
      <c r="G27" s="28">
        <f>+[1]Funcionamiento!H16</f>
        <v>2592326.3058000002</v>
      </c>
      <c r="H27" s="28">
        <f>+B27+C27+D27+G27+E27+F27</f>
        <v>15553957.834800001</v>
      </c>
      <c r="I27" s="19">
        <f>+[1]Funcionamiento!G16</f>
        <v>6526638.0025000013</v>
      </c>
      <c r="J27" s="19">
        <f>+H27+I27</f>
        <v>22080595.837300003</v>
      </c>
      <c r="K27" s="19">
        <v>20023684</v>
      </c>
      <c r="L27" s="19">
        <f t="shared" si="7"/>
        <v>-2056911.8373000026</v>
      </c>
      <c r="M27" s="21">
        <f t="shared" si="8"/>
        <v>0.90684527480796817</v>
      </c>
    </row>
    <row r="28" spans="1:14" ht="14.25" x14ac:dyDescent="0.2">
      <c r="A28" s="27" t="s">
        <v>38</v>
      </c>
      <c r="B28" s="28">
        <f>+[1]Funcionamiento!J30</f>
        <v>544518</v>
      </c>
      <c r="C28" s="28">
        <f>+[1]Funcionamiento!K30</f>
        <v>3969819.5775083802</v>
      </c>
      <c r="D28" s="28">
        <f>+[1]Funcionamiento!L30</f>
        <v>1419695</v>
      </c>
      <c r="E28" s="28">
        <f>+[1]Funcionamiento!I30</f>
        <v>0</v>
      </c>
      <c r="F28" s="28">
        <v>0</v>
      </c>
      <c r="G28" s="28">
        <f>+[1]Funcionamiento!H30</f>
        <v>10409000</v>
      </c>
      <c r="H28" s="28">
        <f t="shared" si="6"/>
        <v>16343032.577508381</v>
      </c>
      <c r="I28" s="19">
        <f>+[1]Funcionamiento!G30+0.5</f>
        <v>5814604.7408499997</v>
      </c>
      <c r="J28" s="19">
        <f t="shared" si="9"/>
        <v>22157637.31835838</v>
      </c>
      <c r="K28" s="19">
        <v>14106661</v>
      </c>
      <c r="L28" s="19">
        <f t="shared" si="7"/>
        <v>-8050976.3183583803</v>
      </c>
      <c r="M28" s="21">
        <f t="shared" si="8"/>
        <v>0.63665005421458609</v>
      </c>
    </row>
    <row r="29" spans="1:14" ht="14.25" x14ac:dyDescent="0.2">
      <c r="A29" s="27" t="s">
        <v>39</v>
      </c>
      <c r="B29" s="28">
        <v>0</v>
      </c>
      <c r="C29" s="28">
        <v>0</v>
      </c>
      <c r="D29" s="28">
        <v>0</v>
      </c>
      <c r="E29" s="28">
        <v>0</v>
      </c>
      <c r="F29" s="28">
        <v>0</v>
      </c>
      <c r="G29" s="28">
        <f>+[1]Funcionamiento!H34</f>
        <v>18822334.475000001</v>
      </c>
      <c r="H29" s="28">
        <f t="shared" si="6"/>
        <v>18822334.475000001</v>
      </c>
      <c r="I29" s="19">
        <f>+[1]Funcionamiento!G34</f>
        <v>32046250.324550003</v>
      </c>
      <c r="J29" s="19">
        <f t="shared" si="9"/>
        <v>50868584.799550004</v>
      </c>
      <c r="K29" s="19">
        <v>47266327</v>
      </c>
      <c r="L29" s="19">
        <f t="shared" si="7"/>
        <v>-3602257.7995500043</v>
      </c>
      <c r="M29" s="21">
        <f t="shared" si="8"/>
        <v>0.92918502030782124</v>
      </c>
    </row>
    <row r="30" spans="1:14" ht="14.25" x14ac:dyDescent="0.2">
      <c r="A30" s="27" t="s">
        <v>40</v>
      </c>
      <c r="B30" s="19">
        <f>+[1]Funcionamiento!J22</f>
        <v>3903374.9999999995</v>
      </c>
      <c r="C30" s="19">
        <f>+[1]Funcionamiento!K22</f>
        <v>13816309</v>
      </c>
      <c r="D30" s="19">
        <f>+[1]Funcionamiento!L22-1</f>
        <v>2339936</v>
      </c>
      <c r="E30" s="19">
        <v>0</v>
      </c>
      <c r="F30" s="28">
        <f>+[1]Funcionamiento!M22</f>
        <v>8500000</v>
      </c>
      <c r="G30" s="19">
        <f>+[1]Funcionamiento!H22</f>
        <v>82000000</v>
      </c>
      <c r="H30" s="28">
        <f t="shared" si="6"/>
        <v>110559620</v>
      </c>
      <c r="I30" s="19">
        <f>+[1]Funcionamiento!G22</f>
        <v>6673125</v>
      </c>
      <c r="J30" s="19">
        <f t="shared" si="9"/>
        <v>117232745</v>
      </c>
      <c r="K30" s="19">
        <v>109028059</v>
      </c>
      <c r="L30" s="19">
        <f t="shared" si="7"/>
        <v>-8204686</v>
      </c>
      <c r="M30" s="21">
        <f t="shared" si="8"/>
        <v>0.93001370052368904</v>
      </c>
    </row>
    <row r="31" spans="1:14" ht="14.25" x14ac:dyDescent="0.2">
      <c r="A31" s="27" t="s">
        <v>41</v>
      </c>
      <c r="B31" s="28">
        <v>0</v>
      </c>
      <c r="C31" s="28">
        <v>0</v>
      </c>
      <c r="D31" s="28">
        <v>0</v>
      </c>
      <c r="E31" s="28">
        <v>0</v>
      </c>
      <c r="F31" s="28">
        <v>0</v>
      </c>
      <c r="G31" s="28"/>
      <c r="H31" s="28">
        <f t="shared" si="6"/>
        <v>0</v>
      </c>
      <c r="I31" s="19">
        <f>+[1]Funcionamiento!G12</f>
        <v>2080391.7711500002</v>
      </c>
      <c r="J31" s="19">
        <f t="shared" si="9"/>
        <v>2080391.7711500002</v>
      </c>
      <c r="K31" s="19">
        <v>2067030</v>
      </c>
      <c r="L31" s="19">
        <f t="shared" si="7"/>
        <v>-13361.771150000161</v>
      </c>
      <c r="M31" s="21">
        <f t="shared" si="8"/>
        <v>0.99357728129129541</v>
      </c>
    </row>
    <row r="32" spans="1:14" ht="14.25" x14ac:dyDescent="0.2">
      <c r="A32" s="27" t="s">
        <v>42</v>
      </c>
      <c r="B32" s="19">
        <f>+[1]Funcionamiento!J18</f>
        <v>3611106</v>
      </c>
      <c r="C32" s="19">
        <f>+[1]Funcionamiento!K18</f>
        <v>1420151.25</v>
      </c>
      <c r="D32" s="19">
        <f>+[1]Funcionamiento!L18</f>
        <v>787512</v>
      </c>
      <c r="E32" s="19">
        <f>+[1]Funcionamiento!I18</f>
        <v>154111.25</v>
      </c>
      <c r="F32" s="19">
        <f>+[1]Funcionamiento!M18</f>
        <v>1343676.75</v>
      </c>
      <c r="G32" s="19">
        <f>+[1]Funcionamiento!H18</f>
        <v>8186950</v>
      </c>
      <c r="H32" s="28">
        <f t="shared" si="6"/>
        <v>15503507.25</v>
      </c>
      <c r="I32" s="19">
        <f>+[1]Funcionamiento!G18</f>
        <v>10542344.982500002</v>
      </c>
      <c r="J32" s="19">
        <f t="shared" si="9"/>
        <v>26045852.232500002</v>
      </c>
      <c r="K32" s="19">
        <v>24378792</v>
      </c>
      <c r="L32" s="19">
        <f t="shared" si="7"/>
        <v>-1667060.2325000018</v>
      </c>
      <c r="M32" s="21">
        <f t="shared" si="8"/>
        <v>0.93599517429420698</v>
      </c>
    </row>
    <row r="33" spans="1:13" ht="14.25" x14ac:dyDescent="0.2">
      <c r="A33" s="27" t="s">
        <v>43</v>
      </c>
      <c r="B33" s="28">
        <f>+[1]Funcionamiento!J20</f>
        <v>0</v>
      </c>
      <c r="C33" s="28">
        <v>0</v>
      </c>
      <c r="D33" s="28">
        <v>0</v>
      </c>
      <c r="E33" s="28">
        <v>0</v>
      </c>
      <c r="F33" s="28">
        <f>+[1]Funcionamiento!M20</f>
        <v>0</v>
      </c>
      <c r="G33" s="28">
        <f>+[1]Funcionamiento!H20</f>
        <v>2512194</v>
      </c>
      <c r="H33" s="28">
        <f t="shared" si="6"/>
        <v>2512194</v>
      </c>
      <c r="I33" s="19">
        <f>+[1]Funcionamiento!G20-2840000</f>
        <v>3080337</v>
      </c>
      <c r="J33" s="19">
        <f>+H33+I33</f>
        <v>5592531</v>
      </c>
      <c r="K33" s="19">
        <v>4488722</v>
      </c>
      <c r="L33" s="19">
        <f t="shared" si="7"/>
        <v>-1103809</v>
      </c>
      <c r="M33" s="21">
        <f t="shared" si="8"/>
        <v>0.80262800510180454</v>
      </c>
    </row>
    <row r="34" spans="1:13" ht="14.25" x14ac:dyDescent="0.2">
      <c r="A34" s="27" t="s">
        <v>44</v>
      </c>
      <c r="B34" s="28">
        <v>0</v>
      </c>
      <c r="C34" s="28">
        <v>0</v>
      </c>
      <c r="D34" s="28">
        <v>0</v>
      </c>
      <c r="E34" s="28">
        <v>0</v>
      </c>
      <c r="F34" s="28">
        <v>0</v>
      </c>
      <c r="G34" s="28">
        <v>0</v>
      </c>
      <c r="H34" s="28">
        <f t="shared" si="6"/>
        <v>0</v>
      </c>
      <c r="I34" s="19">
        <f>+[1]Funcionamiento!G36</f>
        <v>0</v>
      </c>
      <c r="J34" s="19">
        <f t="shared" si="9"/>
        <v>0</v>
      </c>
      <c r="K34" s="19">
        <v>0</v>
      </c>
      <c r="L34" s="19">
        <f t="shared" si="7"/>
        <v>0</v>
      </c>
      <c r="M34" s="21">
        <v>0</v>
      </c>
    </row>
    <row r="35" spans="1:13" ht="14.25" x14ac:dyDescent="0.2">
      <c r="A35" s="27" t="s">
        <v>45</v>
      </c>
      <c r="B35" s="28">
        <v>0</v>
      </c>
      <c r="C35" s="28">
        <v>0</v>
      </c>
      <c r="D35" s="28">
        <v>0</v>
      </c>
      <c r="E35" s="28">
        <v>0</v>
      </c>
      <c r="F35" s="28">
        <v>0</v>
      </c>
      <c r="G35" s="28">
        <v>0</v>
      </c>
      <c r="H35" s="28">
        <f t="shared" si="6"/>
        <v>0</v>
      </c>
      <c r="I35" s="19">
        <f>+[1]Funcionamiento!G32+7840000</f>
        <v>14202537.17715</v>
      </c>
      <c r="J35" s="19">
        <f t="shared" si="9"/>
        <v>14202537.17715</v>
      </c>
      <c r="K35" s="19">
        <v>14195280</v>
      </c>
      <c r="L35" s="19">
        <f t="shared" si="7"/>
        <v>-7257.1771499998868</v>
      </c>
      <c r="M35" s="21">
        <f t="shared" si="8"/>
        <v>0.99948902248524474</v>
      </c>
    </row>
    <row r="36" spans="1:13" ht="15" x14ac:dyDescent="0.25">
      <c r="A36" s="25" t="s">
        <v>46</v>
      </c>
      <c r="B36" s="26">
        <f t="shared" ref="B36:J36" si="10">SUM(B21:B35)</f>
        <v>16132060.3058</v>
      </c>
      <c r="C36" s="26">
        <f t="shared" si="10"/>
        <v>27298606.133308381</v>
      </c>
      <c r="D36" s="26">
        <f t="shared" si="10"/>
        <v>9630604.3058000002</v>
      </c>
      <c r="E36" s="26">
        <f t="shared" si="10"/>
        <v>4246437.5558000002</v>
      </c>
      <c r="F36" s="26">
        <f t="shared" si="10"/>
        <v>16084751.43948875</v>
      </c>
      <c r="G36" s="26">
        <f t="shared" si="10"/>
        <v>202322804.78080001</v>
      </c>
      <c r="H36" s="29">
        <f t="shared" si="10"/>
        <v>275715264.52099717</v>
      </c>
      <c r="I36" s="26">
        <f>SUM(I21:I35)</f>
        <v>179719000.37376368</v>
      </c>
      <c r="J36" s="26">
        <f t="shared" si="10"/>
        <v>455434264.89476085</v>
      </c>
      <c r="K36" s="26">
        <f>SUM(K21:K35)</f>
        <v>407770595</v>
      </c>
      <c r="L36" s="26">
        <f t="shared" si="7"/>
        <v>-47663669.894760847</v>
      </c>
      <c r="M36" s="17">
        <f t="shared" si="8"/>
        <v>0.89534456766054993</v>
      </c>
    </row>
    <row r="37" spans="1:13" ht="15" x14ac:dyDescent="0.25">
      <c r="A37" s="30" t="s">
        <v>47</v>
      </c>
      <c r="B37" s="26"/>
      <c r="C37" s="26"/>
      <c r="D37" s="26"/>
      <c r="E37" s="26"/>
      <c r="F37" s="26"/>
      <c r="G37" s="26"/>
      <c r="H37" s="29"/>
      <c r="I37" s="26"/>
      <c r="J37" s="26"/>
      <c r="K37" s="26"/>
      <c r="L37" s="26"/>
      <c r="M37" s="17"/>
    </row>
    <row r="38" spans="1:13" s="32" customFormat="1" ht="15" x14ac:dyDescent="0.25">
      <c r="A38" s="31" t="s">
        <v>48</v>
      </c>
      <c r="B38" s="16"/>
      <c r="C38" s="16"/>
      <c r="D38" s="16"/>
      <c r="E38" s="16"/>
      <c r="F38" s="16"/>
      <c r="G38" s="16"/>
      <c r="H38" s="16"/>
      <c r="I38" s="16">
        <f>SUM(I39:I41)</f>
        <v>86349218</v>
      </c>
      <c r="J38" s="16">
        <f>SUM(J39:J41)</f>
        <v>86349218</v>
      </c>
      <c r="K38" s="16">
        <f>SUM(K39:K41)</f>
        <v>77945706</v>
      </c>
      <c r="L38" s="16">
        <f t="shared" ref="L38:L47" si="11">+K38-J38</f>
        <v>-8403512</v>
      </c>
      <c r="M38" s="17">
        <f t="shared" ref="M38:M47" si="12">+K38/J38</f>
        <v>0.90267992930752428</v>
      </c>
    </row>
    <row r="39" spans="1:13" s="34" customFormat="1" ht="15" hidden="1" outlineLevel="1" x14ac:dyDescent="0.25">
      <c r="A39" s="33" t="s">
        <v>49</v>
      </c>
      <c r="B39" s="19"/>
      <c r="C39" s="26"/>
      <c r="D39" s="26"/>
      <c r="E39" s="26"/>
      <c r="F39" s="26"/>
      <c r="G39" s="26"/>
      <c r="H39" s="19"/>
      <c r="I39" s="19">
        <f>+[2]General!$G$22</f>
        <v>35930808</v>
      </c>
      <c r="J39" s="20">
        <f>+H39+I39</f>
        <v>35930808</v>
      </c>
      <c r="K39" s="20">
        <v>33192548</v>
      </c>
      <c r="L39" s="20">
        <f t="shared" si="11"/>
        <v>-2738260</v>
      </c>
      <c r="M39" s="21">
        <f t="shared" si="12"/>
        <v>0.92379074803995498</v>
      </c>
    </row>
    <row r="40" spans="1:13" s="34" customFormat="1" ht="15" hidden="1" outlineLevel="1" x14ac:dyDescent="0.25">
      <c r="A40" s="33" t="s">
        <v>50</v>
      </c>
      <c r="B40" s="19"/>
      <c r="C40" s="26"/>
      <c r="D40" s="26"/>
      <c r="E40" s="26"/>
      <c r="F40" s="26"/>
      <c r="G40" s="26"/>
      <c r="H40" s="19"/>
      <c r="I40" s="19">
        <f>+[2]General!$G$23</f>
        <v>50418410</v>
      </c>
      <c r="J40" s="20">
        <f>+H40+I40</f>
        <v>50418410</v>
      </c>
      <c r="K40" s="20">
        <v>44753158</v>
      </c>
      <c r="L40" s="20">
        <f t="shared" si="11"/>
        <v>-5665252</v>
      </c>
      <c r="M40" s="21">
        <f t="shared" si="12"/>
        <v>0.88763525069513294</v>
      </c>
    </row>
    <row r="41" spans="1:13" s="34" customFormat="1" ht="15" hidden="1" outlineLevel="1" x14ac:dyDescent="0.25">
      <c r="A41" s="33" t="s">
        <v>51</v>
      </c>
      <c r="B41" s="19"/>
      <c r="C41" s="26"/>
      <c r="D41" s="26"/>
      <c r="E41" s="26"/>
      <c r="F41" s="26"/>
      <c r="G41" s="26"/>
      <c r="H41" s="19"/>
      <c r="I41" s="19"/>
      <c r="J41" s="20">
        <f>+H41+I41</f>
        <v>0</v>
      </c>
      <c r="K41" s="20"/>
      <c r="L41" s="20">
        <f t="shared" si="11"/>
        <v>0</v>
      </c>
      <c r="M41" s="21">
        <v>0</v>
      </c>
    </row>
    <row r="42" spans="1:13" s="32" customFormat="1" ht="15" collapsed="1" x14ac:dyDescent="0.25">
      <c r="A42" s="31" t="s">
        <v>52</v>
      </c>
      <c r="B42" s="16"/>
      <c r="C42" s="16"/>
      <c r="D42" s="16"/>
      <c r="E42" s="16"/>
      <c r="F42" s="16"/>
      <c r="G42" s="16"/>
      <c r="H42" s="16"/>
      <c r="I42" s="16">
        <f>SUM(I43:I45)</f>
        <v>57721200</v>
      </c>
      <c r="J42" s="16">
        <f>SUM(J43:J45)</f>
        <v>57721200</v>
      </c>
      <c r="K42" s="16">
        <f>SUM(K43:K45)</f>
        <v>40518707</v>
      </c>
      <c r="L42" s="16">
        <f t="shared" si="11"/>
        <v>-17202493</v>
      </c>
      <c r="M42" s="17">
        <f t="shared" si="12"/>
        <v>0.70197270673513368</v>
      </c>
    </row>
    <row r="43" spans="1:13" s="34" customFormat="1" ht="15" hidden="1" outlineLevel="1" x14ac:dyDescent="0.25">
      <c r="A43" s="33" t="s">
        <v>53</v>
      </c>
      <c r="B43" s="19"/>
      <c r="C43" s="26"/>
      <c r="D43" s="26"/>
      <c r="E43" s="26"/>
      <c r="F43" s="26"/>
      <c r="G43" s="26"/>
      <c r="H43" s="19"/>
      <c r="I43" s="19">
        <f>+[2]General!$G$26</f>
        <v>4700000</v>
      </c>
      <c r="J43" s="20">
        <f>+H43+I43</f>
        <v>4700000</v>
      </c>
      <c r="K43" s="20">
        <v>3638090</v>
      </c>
      <c r="L43" s="20">
        <f t="shared" si="11"/>
        <v>-1061910</v>
      </c>
      <c r="M43" s="21">
        <f t="shared" si="12"/>
        <v>0.77406170212765957</v>
      </c>
    </row>
    <row r="44" spans="1:13" s="34" customFormat="1" ht="15" hidden="1" outlineLevel="1" x14ac:dyDescent="0.25">
      <c r="A44" s="33" t="s">
        <v>54</v>
      </c>
      <c r="B44" s="19"/>
      <c r="C44" s="26"/>
      <c r="D44" s="26"/>
      <c r="E44" s="26"/>
      <c r="F44" s="26"/>
      <c r="G44" s="26"/>
      <c r="H44" s="19"/>
      <c r="I44" s="19">
        <f>+[2]General!$G$27</f>
        <v>47000000</v>
      </c>
      <c r="J44" s="20">
        <f>+H44+I44</f>
        <v>47000000</v>
      </c>
      <c r="K44" s="20">
        <v>31027387</v>
      </c>
      <c r="L44" s="20">
        <f t="shared" si="11"/>
        <v>-15972613</v>
      </c>
      <c r="M44" s="21">
        <f t="shared" si="12"/>
        <v>0.66015717021276599</v>
      </c>
    </row>
    <row r="45" spans="1:13" s="34" customFormat="1" ht="15" hidden="1" outlineLevel="1" x14ac:dyDescent="0.25">
      <c r="A45" s="33" t="s">
        <v>55</v>
      </c>
      <c r="B45" s="19"/>
      <c r="C45" s="26"/>
      <c r="D45" s="26"/>
      <c r="E45" s="26"/>
      <c r="F45" s="26"/>
      <c r="G45" s="26"/>
      <c r="H45" s="19"/>
      <c r="I45" s="19">
        <f>+[2]General!$G$28</f>
        <v>6021200</v>
      </c>
      <c r="J45" s="20">
        <f>+H45+I45</f>
        <v>6021200</v>
      </c>
      <c r="K45" s="20">
        <v>5853230</v>
      </c>
      <c r="L45" s="20">
        <f t="shared" si="11"/>
        <v>-167970</v>
      </c>
      <c r="M45" s="21">
        <f t="shared" si="12"/>
        <v>0.97210356739520365</v>
      </c>
    </row>
    <row r="46" spans="1:13" s="34" customFormat="1" ht="15" hidden="1" outlineLevel="1" x14ac:dyDescent="0.25">
      <c r="A46" s="33"/>
      <c r="B46" s="19"/>
      <c r="C46" s="26"/>
      <c r="D46" s="26"/>
      <c r="E46" s="26"/>
      <c r="F46" s="26"/>
      <c r="G46" s="26"/>
      <c r="H46" s="19"/>
      <c r="I46" s="19"/>
      <c r="J46" s="20"/>
      <c r="K46" s="20"/>
      <c r="L46" s="20"/>
      <c r="M46" s="21"/>
    </row>
    <row r="47" spans="1:13" ht="15" collapsed="1" x14ac:dyDescent="0.25">
      <c r="A47" s="30" t="s">
        <v>56</v>
      </c>
      <c r="B47" s="26"/>
      <c r="C47" s="26"/>
      <c r="D47" s="26"/>
      <c r="E47" s="26"/>
      <c r="F47" s="26"/>
      <c r="G47" s="26"/>
      <c r="H47" s="29"/>
      <c r="I47" s="26">
        <f>+I38+I42</f>
        <v>144070418</v>
      </c>
      <c r="J47" s="26">
        <f>+J38+J42</f>
        <v>144070418</v>
      </c>
      <c r="K47" s="26">
        <f>+K38+K42</f>
        <v>118464413</v>
      </c>
      <c r="L47" s="26">
        <f t="shared" si="11"/>
        <v>-25606005</v>
      </c>
      <c r="M47" s="17">
        <f t="shared" si="12"/>
        <v>0.82226743452635775</v>
      </c>
    </row>
    <row r="48" spans="1:13" ht="15" x14ac:dyDescent="0.25">
      <c r="A48" s="25"/>
      <c r="B48" s="26"/>
      <c r="C48" s="26"/>
      <c r="D48" s="26"/>
      <c r="E48" s="26"/>
      <c r="F48" s="26"/>
      <c r="G48" s="26"/>
      <c r="H48" s="29"/>
      <c r="I48" s="26"/>
      <c r="J48" s="26"/>
      <c r="K48" s="26"/>
      <c r="L48" s="26"/>
      <c r="M48" s="17"/>
    </row>
    <row r="49" spans="1:13" ht="15" x14ac:dyDescent="0.25">
      <c r="A49" s="25" t="s">
        <v>57</v>
      </c>
      <c r="B49" s="26">
        <f t="shared" ref="B49:G49" si="13">+B36+B19</f>
        <v>182590755.15547383</v>
      </c>
      <c r="C49" s="26">
        <f t="shared" si="13"/>
        <v>215777147.31236371</v>
      </c>
      <c r="D49" s="26">
        <f t="shared" si="13"/>
        <v>123260878.07698873</v>
      </c>
      <c r="E49" s="26">
        <f t="shared" si="13"/>
        <v>23007595.367488421</v>
      </c>
      <c r="F49" s="26">
        <f t="shared" si="13"/>
        <v>153490028.41326958</v>
      </c>
      <c r="G49" s="26">
        <f t="shared" si="13"/>
        <v>590837360.78697801</v>
      </c>
      <c r="H49" s="29">
        <f>+B49+C49+D49+G49+E49+F49</f>
        <v>1288963765.1125622</v>
      </c>
      <c r="I49" s="26">
        <f>+I36+I19+I47</f>
        <v>604680336.14423561</v>
      </c>
      <c r="J49" s="26">
        <f>+J36+J19+J47</f>
        <v>1893644101.2567978</v>
      </c>
      <c r="K49" s="26">
        <f>+K36+K19+K47</f>
        <v>1754122924.8000002</v>
      </c>
      <c r="L49" s="26">
        <f>+K49-J49</f>
        <v>-139521176.4567976</v>
      </c>
      <c r="M49" s="17">
        <f>+K49/J49</f>
        <v>0.92632133125533023</v>
      </c>
    </row>
    <row r="50" spans="1:13" ht="15" x14ac:dyDescent="0.25">
      <c r="A50" s="25"/>
      <c r="B50" s="26"/>
      <c r="C50" s="26"/>
      <c r="D50" s="26"/>
      <c r="E50" s="26"/>
      <c r="F50" s="26"/>
      <c r="G50" s="26"/>
      <c r="H50" s="29"/>
      <c r="I50" s="26"/>
      <c r="J50" s="26"/>
      <c r="K50" s="26"/>
      <c r="L50" s="26"/>
      <c r="M50" s="17"/>
    </row>
    <row r="51" spans="1:13" ht="15" x14ac:dyDescent="0.25">
      <c r="A51" s="35" t="s">
        <v>58</v>
      </c>
      <c r="B51" s="36">
        <f>+B53</f>
        <v>248936192</v>
      </c>
      <c r="C51" s="36">
        <f>+C121</f>
        <v>1064119392.2791346</v>
      </c>
      <c r="D51" s="36">
        <f>+D147</f>
        <v>673800250</v>
      </c>
      <c r="E51" s="36">
        <f>+E178</f>
        <v>162626357</v>
      </c>
      <c r="F51" s="36">
        <f>+F65</f>
        <v>4638070582.0145578</v>
      </c>
      <c r="G51" s="36">
        <f>+G103</f>
        <v>4983444250</v>
      </c>
      <c r="H51" s="36">
        <f>+B51+C51+D51+G51+E51+F51</f>
        <v>11770997023.293694</v>
      </c>
      <c r="I51" s="36">
        <v>0</v>
      </c>
      <c r="J51" s="36">
        <f>+I51+H51</f>
        <v>11770997023.293694</v>
      </c>
      <c r="K51" s="36">
        <f>+K53+K65+K103+K121+K147+K178</f>
        <v>10876118554</v>
      </c>
      <c r="L51" s="36">
        <f>+K51-J51</f>
        <v>-894878469.29369354</v>
      </c>
      <c r="M51" s="37">
        <f>+K51/J51</f>
        <v>0.92397598372314482</v>
      </c>
    </row>
    <row r="52" spans="1:13" ht="15" x14ac:dyDescent="0.25">
      <c r="A52" s="35"/>
      <c r="B52" s="36"/>
      <c r="C52" s="36"/>
      <c r="D52" s="36"/>
      <c r="E52" s="36"/>
      <c r="F52" s="36"/>
      <c r="G52" s="36"/>
      <c r="H52" s="36"/>
      <c r="I52" s="36"/>
      <c r="J52" s="36"/>
      <c r="K52" s="36"/>
      <c r="L52" s="36"/>
      <c r="M52" s="37"/>
    </row>
    <row r="53" spans="1:13" ht="15" x14ac:dyDescent="0.25">
      <c r="A53" s="35" t="s">
        <v>59</v>
      </c>
      <c r="B53" s="36">
        <f>+B54+B56+B60</f>
        <v>248936192</v>
      </c>
      <c r="C53" s="36"/>
      <c r="D53" s="36"/>
      <c r="E53" s="36"/>
      <c r="F53" s="36"/>
      <c r="G53" s="36"/>
      <c r="H53" s="36">
        <f>+H54+H56+H60</f>
        <v>248936192</v>
      </c>
      <c r="I53" s="36"/>
      <c r="J53" s="36">
        <f>+J54+J56+J60</f>
        <v>248936192</v>
      </c>
      <c r="K53" s="36">
        <f>+K54+K56+K60</f>
        <v>248114426</v>
      </c>
      <c r="L53" s="36">
        <f t="shared" ref="L53:L63" si="14">+K53-J53</f>
        <v>-821766</v>
      </c>
      <c r="M53" s="17">
        <f t="shared" ref="M53:M63" si="15">+K53/J53</f>
        <v>0.99669888900686643</v>
      </c>
    </row>
    <row r="54" spans="1:13" s="34" customFormat="1" ht="15" x14ac:dyDescent="0.25">
      <c r="A54" s="38" t="s">
        <v>60</v>
      </c>
      <c r="B54" s="26">
        <f>+SUM(B55:B55)</f>
        <v>39269159</v>
      </c>
      <c r="C54" s="26"/>
      <c r="D54" s="26"/>
      <c r="E54" s="26"/>
      <c r="F54" s="26"/>
      <c r="G54" s="26"/>
      <c r="H54" s="26">
        <f>+SUM(H55:H55)</f>
        <v>39269159</v>
      </c>
      <c r="I54" s="26"/>
      <c r="J54" s="26">
        <f>+SUM(J55:J55)</f>
        <v>39269159</v>
      </c>
      <c r="K54" s="26">
        <f>+SUM(K55:K55)</f>
        <v>38777488</v>
      </c>
      <c r="L54" s="26">
        <f t="shared" si="14"/>
        <v>-491671</v>
      </c>
      <c r="M54" s="17">
        <f t="shared" si="15"/>
        <v>0.98747946193601954</v>
      </c>
    </row>
    <row r="55" spans="1:13" s="34" customFormat="1" ht="15" hidden="1" outlineLevel="1" x14ac:dyDescent="0.25">
      <c r="A55" s="33" t="s">
        <v>61</v>
      </c>
      <c r="B55" s="19">
        <f>+[3]CuadroparaPresupuesto!$G$26</f>
        <v>39269159</v>
      </c>
      <c r="C55" s="26"/>
      <c r="D55" s="26"/>
      <c r="E55" s="26"/>
      <c r="F55" s="26"/>
      <c r="G55" s="26"/>
      <c r="H55" s="19">
        <f>+B55+C55+D55+G55+E55+F55</f>
        <v>39269159</v>
      </c>
      <c r="I55" s="26"/>
      <c r="J55" s="20">
        <f>+H55+I55</f>
        <v>39269159</v>
      </c>
      <c r="K55" s="20">
        <v>38777488</v>
      </c>
      <c r="L55" s="20">
        <f t="shared" si="14"/>
        <v>-491671</v>
      </c>
      <c r="M55" s="21">
        <f t="shared" si="15"/>
        <v>0.98747946193601954</v>
      </c>
    </row>
    <row r="56" spans="1:13" s="34" customFormat="1" ht="15" collapsed="1" x14ac:dyDescent="0.25">
      <c r="A56" s="31" t="s">
        <v>62</v>
      </c>
      <c r="B56" s="16">
        <f>SUM(B57:B59)</f>
        <v>45060734</v>
      </c>
      <c r="C56" s="26"/>
      <c r="D56" s="26"/>
      <c r="E56" s="26"/>
      <c r="F56" s="26"/>
      <c r="G56" s="26"/>
      <c r="H56" s="16">
        <f>SUM(H57:H59)</f>
        <v>45060734</v>
      </c>
      <c r="I56" s="26"/>
      <c r="J56" s="16">
        <f>SUM(J57:J59)</f>
        <v>45060734</v>
      </c>
      <c r="K56" s="16">
        <f>SUM(K57:K59)</f>
        <v>44834542</v>
      </c>
      <c r="L56" s="16">
        <f t="shared" si="14"/>
        <v>-226192</v>
      </c>
      <c r="M56" s="17">
        <f t="shared" si="15"/>
        <v>0.99498028594030452</v>
      </c>
    </row>
    <row r="57" spans="1:13" s="34" customFormat="1" ht="15" hidden="1" outlineLevel="1" x14ac:dyDescent="0.25">
      <c r="A57" s="33" t="s">
        <v>63</v>
      </c>
      <c r="B57" s="19">
        <f>+[3]CuadroparaPresupuesto!$G$32-3300000</f>
        <v>35334180</v>
      </c>
      <c r="C57" s="26"/>
      <c r="D57" s="26"/>
      <c r="E57" s="26"/>
      <c r="F57" s="26"/>
      <c r="G57" s="26"/>
      <c r="H57" s="19">
        <f>+B57+C57+D57+G57+E57+F57</f>
        <v>35334180</v>
      </c>
      <c r="I57" s="26"/>
      <c r="J57" s="20">
        <f>+H57+I57</f>
        <v>35334180</v>
      </c>
      <c r="K57" s="20">
        <v>35126020</v>
      </c>
      <c r="L57" s="20">
        <f t="shared" si="14"/>
        <v>-208160</v>
      </c>
      <c r="M57" s="21">
        <f t="shared" si="15"/>
        <v>0.99410882041128446</v>
      </c>
    </row>
    <row r="58" spans="1:13" s="34" customFormat="1" ht="15" hidden="1" outlineLevel="1" x14ac:dyDescent="0.25">
      <c r="A58" s="33" t="s">
        <v>64</v>
      </c>
      <c r="B58" s="19">
        <f>+[3]CuadroparaPresupuesto!$G$33+3300000</f>
        <v>9726554</v>
      </c>
      <c r="C58" s="26"/>
      <c r="D58" s="26"/>
      <c r="E58" s="26"/>
      <c r="F58" s="26"/>
      <c r="G58" s="26"/>
      <c r="H58" s="19">
        <f>+B58+C58+D58+G58+E58+F58</f>
        <v>9726554</v>
      </c>
      <c r="I58" s="26"/>
      <c r="J58" s="20">
        <f>+H58+I58</f>
        <v>9726554</v>
      </c>
      <c r="K58" s="20">
        <v>9708522</v>
      </c>
      <c r="L58" s="20">
        <f t="shared" si="14"/>
        <v>-18032</v>
      </c>
      <c r="M58" s="21">
        <f t="shared" si="15"/>
        <v>0.99814610601041232</v>
      </c>
    </row>
    <row r="59" spans="1:13" s="34" customFormat="1" ht="15" hidden="1" outlineLevel="1" x14ac:dyDescent="0.25">
      <c r="A59" s="33" t="s">
        <v>65</v>
      </c>
      <c r="B59" s="19">
        <f>+[3]CuadroparaPresupuesto!$G$34</f>
        <v>0</v>
      </c>
      <c r="C59" s="26"/>
      <c r="D59" s="26"/>
      <c r="E59" s="26"/>
      <c r="F59" s="26"/>
      <c r="G59" s="26"/>
      <c r="H59" s="19">
        <f>+B59+C59+D59+G59+E59+F59</f>
        <v>0</v>
      </c>
      <c r="I59" s="26"/>
      <c r="J59" s="20">
        <f>+H59+I59</f>
        <v>0</v>
      </c>
      <c r="K59" s="20"/>
      <c r="L59" s="20">
        <f t="shared" si="14"/>
        <v>0</v>
      </c>
      <c r="M59" s="21">
        <v>0</v>
      </c>
    </row>
    <row r="60" spans="1:13" s="34" customFormat="1" ht="15" collapsed="1" x14ac:dyDescent="0.25">
      <c r="A60" s="31" t="s">
        <v>66</v>
      </c>
      <c r="B60" s="16">
        <f>SUM(B61:B63)</f>
        <v>164606299</v>
      </c>
      <c r="C60" s="26"/>
      <c r="D60" s="26"/>
      <c r="E60" s="26"/>
      <c r="F60" s="26"/>
      <c r="G60" s="26"/>
      <c r="H60" s="16">
        <f>SUM(H61:H63)</f>
        <v>164606299</v>
      </c>
      <c r="I60" s="26"/>
      <c r="J60" s="16">
        <f>SUM(J61:J63)</f>
        <v>164606299</v>
      </c>
      <c r="K60" s="16">
        <f>SUM(K61:K63)</f>
        <v>164502396</v>
      </c>
      <c r="L60" s="16">
        <f t="shared" si="14"/>
        <v>-103903</v>
      </c>
      <c r="M60" s="17">
        <f t="shared" si="15"/>
        <v>0.99936877871241125</v>
      </c>
    </row>
    <row r="61" spans="1:13" s="34" customFormat="1" ht="15" hidden="1" outlineLevel="1" x14ac:dyDescent="0.25">
      <c r="A61" s="33" t="s">
        <v>67</v>
      </c>
      <c r="B61" s="19">
        <f>+[3]CuadroparaPresupuesto!$G$28+7500000+279783</f>
        <v>89623866</v>
      </c>
      <c r="C61" s="26"/>
      <c r="D61" s="26"/>
      <c r="E61" s="26"/>
      <c r="F61" s="26"/>
      <c r="G61" s="26"/>
      <c r="H61" s="19">
        <f>+B61+C61+D61+G61+E61+F61</f>
        <v>89623866</v>
      </c>
      <c r="I61" s="26"/>
      <c r="J61" s="20">
        <f>+H61+I61</f>
        <v>89623866</v>
      </c>
      <c r="K61" s="20">
        <v>89623866</v>
      </c>
      <c r="L61" s="20">
        <f t="shared" si="14"/>
        <v>0</v>
      </c>
      <c r="M61" s="21">
        <f t="shared" si="15"/>
        <v>1</v>
      </c>
    </row>
    <row r="62" spans="1:13" s="34" customFormat="1" ht="15" hidden="1" outlineLevel="1" x14ac:dyDescent="0.25">
      <c r="A62" s="33" t="s">
        <v>68</v>
      </c>
      <c r="B62" s="19">
        <f>+[3]CuadroparaPresupuesto!$G$29-2190855</f>
        <v>54947255</v>
      </c>
      <c r="C62" s="26"/>
      <c r="D62" s="26"/>
      <c r="E62" s="26"/>
      <c r="F62" s="26"/>
      <c r="G62" s="26"/>
      <c r="H62" s="19">
        <f>+B62+C62+D62+G62+E62+F62</f>
        <v>54947255</v>
      </c>
      <c r="I62" s="26"/>
      <c r="J62" s="20">
        <f>+H62+I62</f>
        <v>54947255</v>
      </c>
      <c r="K62" s="20">
        <v>54843352</v>
      </c>
      <c r="L62" s="20">
        <f t="shared" si="14"/>
        <v>-103903</v>
      </c>
      <c r="M62" s="21">
        <f t="shared" si="15"/>
        <v>0.99810904111588472</v>
      </c>
    </row>
    <row r="63" spans="1:13" s="34" customFormat="1" ht="15" hidden="1" outlineLevel="1" x14ac:dyDescent="0.25">
      <c r="A63" s="33" t="s">
        <v>69</v>
      </c>
      <c r="B63" s="19">
        <f>+[3]CuadroparaPresupuesto!$G$30-7500000+1911072</f>
        <v>20035178</v>
      </c>
      <c r="C63" s="26"/>
      <c r="D63" s="26"/>
      <c r="E63" s="26"/>
      <c r="F63" s="26"/>
      <c r="G63" s="26"/>
      <c r="H63" s="19">
        <f>+B63+C63+D63+G63+E63+F63</f>
        <v>20035178</v>
      </c>
      <c r="I63" s="26"/>
      <c r="J63" s="20">
        <f>+H63+I63</f>
        <v>20035178</v>
      </c>
      <c r="K63" s="20">
        <v>20035178</v>
      </c>
      <c r="L63" s="20">
        <f t="shared" si="14"/>
        <v>0</v>
      </c>
      <c r="M63" s="21">
        <f t="shared" si="15"/>
        <v>1</v>
      </c>
    </row>
    <row r="64" spans="1:13" s="34" customFormat="1" ht="15" collapsed="1" x14ac:dyDescent="0.25">
      <c r="A64" s="33"/>
      <c r="B64" s="19"/>
      <c r="C64" s="26"/>
      <c r="D64" s="26"/>
      <c r="E64" s="26"/>
      <c r="F64" s="26"/>
      <c r="G64" s="26"/>
      <c r="H64" s="19"/>
      <c r="I64" s="26"/>
      <c r="J64" s="20"/>
      <c r="K64" s="20"/>
      <c r="L64" s="20"/>
      <c r="M64" s="21"/>
    </row>
    <row r="65" spans="1:13" s="34" customFormat="1" ht="15" x14ac:dyDescent="0.25">
      <c r="A65" s="31" t="s">
        <v>70</v>
      </c>
      <c r="B65" s="19"/>
      <c r="C65" s="26"/>
      <c r="D65" s="26"/>
      <c r="E65" s="26"/>
      <c r="F65" s="26">
        <f>+F66+F73+F85+F94</f>
        <v>4638070582.0145578</v>
      </c>
      <c r="G65" s="26"/>
      <c r="H65" s="26">
        <f>+H66+H73+H85+H94</f>
        <v>4638070582.0145578</v>
      </c>
      <c r="I65" s="26"/>
      <c r="J65" s="26">
        <f>+J66+J73+J85+J94</f>
        <v>4638070582.0145578</v>
      </c>
      <c r="K65" s="26">
        <f>+K66+K73+K85+K94</f>
        <v>4465354781</v>
      </c>
      <c r="L65" s="26">
        <f t="shared" ref="L65:L101" si="16">+K65-J65</f>
        <v>-172715801.01455784</v>
      </c>
      <c r="M65" s="17">
        <f t="shared" ref="M65:M101" si="17">+K65/J65</f>
        <v>0.96276128231331526</v>
      </c>
    </row>
    <row r="66" spans="1:13" s="34" customFormat="1" ht="15" x14ac:dyDescent="0.25">
      <c r="A66" s="31" t="s">
        <v>71</v>
      </c>
      <c r="B66" s="19"/>
      <c r="C66" s="26"/>
      <c r="D66" s="26"/>
      <c r="E66" s="26"/>
      <c r="F66" s="26">
        <f>SUM(F67:F72)</f>
        <v>205208334.99655753</v>
      </c>
      <c r="G66" s="26"/>
      <c r="H66" s="26">
        <f>SUM(H67:H72)</f>
        <v>205208334.99655753</v>
      </c>
      <c r="I66" s="26"/>
      <c r="J66" s="26">
        <f>SUM(J67:J72)</f>
        <v>205208334.99655753</v>
      </c>
      <c r="K66" s="26">
        <f>SUM(K67:K72)</f>
        <v>113556326</v>
      </c>
      <c r="L66" s="26">
        <f t="shared" si="16"/>
        <v>-91652008.996557534</v>
      </c>
      <c r="M66" s="17">
        <f t="shared" si="17"/>
        <v>0.55337092424586443</v>
      </c>
    </row>
    <row r="67" spans="1:13" s="34" customFormat="1" ht="15" hidden="1" outlineLevel="1" x14ac:dyDescent="0.25">
      <c r="A67" s="33" t="s">
        <v>72</v>
      </c>
      <c r="B67" s="19"/>
      <c r="C67" s="26"/>
      <c r="D67" s="26"/>
      <c r="E67" s="26"/>
      <c r="F67" s="20"/>
      <c r="G67" s="26"/>
      <c r="H67" s="19">
        <f t="shared" ref="H67:H72" si="18">+B67+C67+D67+G67+E67+F67</f>
        <v>0</v>
      </c>
      <c r="I67" s="26"/>
      <c r="J67" s="20">
        <f t="shared" ref="J67:J72" si="19">+H67+I67</f>
        <v>0</v>
      </c>
      <c r="K67" s="20"/>
      <c r="L67" s="20">
        <f t="shared" si="16"/>
        <v>0</v>
      </c>
      <c r="M67" s="21">
        <v>0</v>
      </c>
    </row>
    <row r="68" spans="1:13" s="34" customFormat="1" ht="15" hidden="1" outlineLevel="1" x14ac:dyDescent="0.25">
      <c r="A68" s="33" t="s">
        <v>73</v>
      </c>
      <c r="B68" s="19"/>
      <c r="C68" s="26"/>
      <c r="D68" s="26"/>
      <c r="E68" s="26"/>
      <c r="F68" s="20"/>
      <c r="G68" s="26"/>
      <c r="H68" s="19">
        <f t="shared" si="18"/>
        <v>0</v>
      </c>
      <c r="I68" s="26"/>
      <c r="J68" s="20">
        <f t="shared" si="19"/>
        <v>0</v>
      </c>
      <c r="K68" s="20"/>
      <c r="L68" s="20">
        <f t="shared" si="16"/>
        <v>0</v>
      </c>
      <c r="M68" s="21">
        <v>0</v>
      </c>
    </row>
    <row r="69" spans="1:13" s="34" customFormat="1" ht="15" hidden="1" outlineLevel="1" x14ac:dyDescent="0.25">
      <c r="A69" s="33" t="s">
        <v>74</v>
      </c>
      <c r="B69" s="19"/>
      <c r="C69" s="26"/>
      <c r="D69" s="26"/>
      <c r="E69" s="26"/>
      <c r="F69" s="20">
        <f>+'[4]Presupuesto 2019'!$J$20</f>
        <v>7245213</v>
      </c>
      <c r="G69" s="26"/>
      <c r="H69" s="19">
        <f t="shared" si="18"/>
        <v>7245213</v>
      </c>
      <c r="I69" s="26"/>
      <c r="J69" s="20">
        <f t="shared" si="19"/>
        <v>7245213</v>
      </c>
      <c r="K69" s="20">
        <v>6423175</v>
      </c>
      <c r="L69" s="20">
        <f t="shared" si="16"/>
        <v>-822038</v>
      </c>
      <c r="M69" s="21">
        <f t="shared" si="17"/>
        <v>0.88654053372896002</v>
      </c>
    </row>
    <row r="70" spans="1:13" s="34" customFormat="1" ht="15" hidden="1" outlineLevel="1" x14ac:dyDescent="0.25">
      <c r="A70" s="33" t="s">
        <v>75</v>
      </c>
      <c r="B70" s="19"/>
      <c r="C70" s="26"/>
      <c r="D70" s="26"/>
      <c r="E70" s="26"/>
      <c r="F70" s="20">
        <f>+'[4]Presupuesto 2019'!$J$21</f>
        <v>107251381.98284137</v>
      </c>
      <c r="G70" s="26"/>
      <c r="H70" s="19">
        <f t="shared" si="18"/>
        <v>107251381.98284137</v>
      </c>
      <c r="I70" s="26"/>
      <c r="J70" s="20">
        <f t="shared" si="19"/>
        <v>107251381.98284137</v>
      </c>
      <c r="K70" s="20">
        <v>107133151</v>
      </c>
      <c r="L70" s="20">
        <f t="shared" si="16"/>
        <v>-118230.98284137249</v>
      </c>
      <c r="M70" s="21">
        <f t="shared" si="17"/>
        <v>0.99889762741835542</v>
      </c>
    </row>
    <row r="71" spans="1:13" s="34" customFormat="1" ht="15" hidden="1" outlineLevel="1" x14ac:dyDescent="0.25">
      <c r="A71" s="33" t="s">
        <v>76</v>
      </c>
      <c r="B71" s="19"/>
      <c r="C71" s="26"/>
      <c r="D71" s="26"/>
      <c r="E71" s="26"/>
      <c r="F71" s="20">
        <f>+'[4]Presupuesto 2019'!$J$22</f>
        <v>90711740.013716161</v>
      </c>
      <c r="G71" s="26"/>
      <c r="H71" s="19">
        <f t="shared" si="18"/>
        <v>90711740.013716161</v>
      </c>
      <c r="I71" s="26"/>
      <c r="J71" s="20">
        <f t="shared" si="19"/>
        <v>90711740.013716161</v>
      </c>
      <c r="K71" s="20">
        <v>0</v>
      </c>
      <c r="L71" s="20">
        <f t="shared" si="16"/>
        <v>-90711740.013716161</v>
      </c>
      <c r="M71" s="21">
        <f t="shared" si="17"/>
        <v>0</v>
      </c>
    </row>
    <row r="72" spans="1:13" s="34" customFormat="1" ht="15" hidden="1" outlineLevel="1" x14ac:dyDescent="0.25">
      <c r="A72" s="33" t="s">
        <v>77</v>
      </c>
      <c r="B72" s="19"/>
      <c r="C72" s="26"/>
      <c r="D72" s="26"/>
      <c r="E72" s="26"/>
      <c r="F72" s="20"/>
      <c r="G72" s="26"/>
      <c r="H72" s="19">
        <f t="shared" si="18"/>
        <v>0</v>
      </c>
      <c r="I72" s="26"/>
      <c r="J72" s="20">
        <f t="shared" si="19"/>
        <v>0</v>
      </c>
      <c r="K72" s="20"/>
      <c r="L72" s="20">
        <f t="shared" si="16"/>
        <v>0</v>
      </c>
      <c r="M72" s="21">
        <v>0</v>
      </c>
    </row>
    <row r="73" spans="1:13" s="34" customFormat="1" ht="15" collapsed="1" x14ac:dyDescent="0.25">
      <c r="A73" s="31" t="s">
        <v>78</v>
      </c>
      <c r="B73" s="19"/>
      <c r="C73" s="26"/>
      <c r="D73" s="26"/>
      <c r="E73" s="26"/>
      <c r="F73" s="26">
        <f>SUM(F74:F84)</f>
        <v>3154557569.1342001</v>
      </c>
      <c r="G73" s="26"/>
      <c r="H73" s="26">
        <f>SUM(H74:H84)</f>
        <v>3154557569.1342001</v>
      </c>
      <c r="I73" s="26"/>
      <c r="J73" s="26">
        <f>SUM(J74:J84)</f>
        <v>3154557569.1342001</v>
      </c>
      <c r="K73" s="26">
        <f>SUM(K74:K84)</f>
        <v>3082101467</v>
      </c>
      <c r="L73" s="26">
        <f t="shared" si="16"/>
        <v>-72456102.134200096</v>
      </c>
      <c r="M73" s="17">
        <f t="shared" si="17"/>
        <v>0.97703129502433317</v>
      </c>
    </row>
    <row r="74" spans="1:13" s="34" customFormat="1" ht="15" hidden="1" outlineLevel="1" x14ac:dyDescent="0.25">
      <c r="A74" s="33" t="s">
        <v>79</v>
      </c>
      <c r="B74" s="19"/>
      <c r="C74" s="26"/>
      <c r="D74" s="26"/>
      <c r="E74" s="26"/>
      <c r="F74" s="20">
        <f>+'[4]Presupuesto 2019'!$J$26</f>
        <v>2699000000</v>
      </c>
      <c r="G74" s="26"/>
      <c r="H74" s="19">
        <f>+B74+C74+D74+G74+E74+F74</f>
        <v>2699000000</v>
      </c>
      <c r="I74" s="26"/>
      <c r="J74" s="20">
        <f>+H74+I74</f>
        <v>2699000000</v>
      </c>
      <c r="K74" s="20">
        <v>2660253315</v>
      </c>
      <c r="L74" s="20">
        <f t="shared" si="16"/>
        <v>-38746685</v>
      </c>
      <c r="M74" s="21">
        <f t="shared" si="17"/>
        <v>0.98564405891070772</v>
      </c>
    </row>
    <row r="75" spans="1:13" s="34" customFormat="1" ht="15" hidden="1" outlineLevel="1" x14ac:dyDescent="0.25">
      <c r="A75" s="33" t="s">
        <v>80</v>
      </c>
      <c r="B75" s="19"/>
      <c r="C75" s="26"/>
      <c r="D75" s="26"/>
      <c r="E75" s="26"/>
      <c r="F75" s="20">
        <f>+'[4]Presupuesto 2019'!$J$27</f>
        <v>16000000</v>
      </c>
      <c r="G75" s="26"/>
      <c r="H75" s="19">
        <f>+B75+C75+D75+G75+E75+F75</f>
        <v>16000000</v>
      </c>
      <c r="I75" s="26"/>
      <c r="J75" s="20">
        <f>+H75+I75</f>
        <v>16000000</v>
      </c>
      <c r="K75" s="20">
        <v>15305221</v>
      </c>
      <c r="L75" s="20">
        <f t="shared" si="16"/>
        <v>-694779</v>
      </c>
      <c r="M75" s="21">
        <f t="shared" si="17"/>
        <v>0.95657631249999997</v>
      </c>
    </row>
    <row r="76" spans="1:13" s="34" customFormat="1" ht="15" hidden="1" outlineLevel="1" x14ac:dyDescent="0.25">
      <c r="A76" s="33" t="s">
        <v>81</v>
      </c>
      <c r="B76" s="19"/>
      <c r="C76" s="26"/>
      <c r="D76" s="26"/>
      <c r="E76" s="26"/>
      <c r="F76" s="20">
        <f>+'[4]Presupuesto 2019'!$J$28</f>
        <v>6575511.5999999996</v>
      </c>
      <c r="G76" s="26"/>
      <c r="H76" s="19">
        <f>+B76+C76+D76+G76+E76+F76</f>
        <v>6575511.5999999996</v>
      </c>
      <c r="I76" s="26"/>
      <c r="J76" s="20">
        <f>+H76+I76</f>
        <v>6575511.5999999996</v>
      </c>
      <c r="K76" s="20">
        <v>6575512</v>
      </c>
      <c r="L76" s="20">
        <f t="shared" si="16"/>
        <v>0.40000000037252903</v>
      </c>
      <c r="M76" s="21">
        <f t="shared" si="17"/>
        <v>1.0000000608317687</v>
      </c>
    </row>
    <row r="77" spans="1:13" s="34" customFormat="1" ht="15" hidden="1" outlineLevel="1" x14ac:dyDescent="0.25">
      <c r="A77" s="33" t="s">
        <v>82</v>
      </c>
      <c r="B77" s="19"/>
      <c r="C77" s="26"/>
      <c r="D77" s="26"/>
      <c r="E77" s="26"/>
      <c r="F77" s="20"/>
      <c r="G77" s="26"/>
      <c r="H77" s="19">
        <f t="shared" ref="H77:H84" si="20">+B77+C77+D77+G77+E77+F77</f>
        <v>0</v>
      </c>
      <c r="I77" s="26"/>
      <c r="J77" s="20">
        <f t="shared" ref="J77:J84" si="21">+H77+I77</f>
        <v>0</v>
      </c>
      <c r="K77" s="20">
        <v>0</v>
      </c>
      <c r="L77" s="20">
        <f t="shared" si="16"/>
        <v>0</v>
      </c>
      <c r="M77" s="21">
        <v>0</v>
      </c>
    </row>
    <row r="78" spans="1:13" s="34" customFormat="1" ht="15" hidden="1" outlineLevel="1" x14ac:dyDescent="0.25">
      <c r="A78" s="33" t="s">
        <v>83</v>
      </c>
      <c r="B78" s="19"/>
      <c r="C78" s="26"/>
      <c r="D78" s="26"/>
      <c r="E78" s="26"/>
      <c r="F78" s="20">
        <f>+'[4]Presupuesto 2019'!$J$30</f>
        <v>16988307.534200002</v>
      </c>
      <c r="G78" s="26"/>
      <c r="H78" s="19">
        <f t="shared" si="20"/>
        <v>16988307.534200002</v>
      </c>
      <c r="I78" s="26"/>
      <c r="J78" s="20">
        <f t="shared" si="21"/>
        <v>16988307.534200002</v>
      </c>
      <c r="K78" s="20">
        <v>15611758</v>
      </c>
      <c r="L78" s="20">
        <f t="shared" si="16"/>
        <v>-1376549.5342000015</v>
      </c>
      <c r="M78" s="21">
        <f t="shared" si="17"/>
        <v>0.91897076672124034</v>
      </c>
    </row>
    <row r="79" spans="1:13" s="34" customFormat="1" ht="15" hidden="1" outlineLevel="1" x14ac:dyDescent="0.25">
      <c r="A79" s="33" t="s">
        <v>84</v>
      </c>
      <c r="B79" s="19"/>
      <c r="C79" s="26"/>
      <c r="D79" s="26"/>
      <c r="E79" s="26"/>
      <c r="F79" s="20">
        <f>+'[4]Presupuesto 2019'!$J$31</f>
        <v>111993750</v>
      </c>
      <c r="G79" s="26"/>
      <c r="H79" s="19">
        <f t="shared" si="20"/>
        <v>111993750</v>
      </c>
      <c r="I79" s="26"/>
      <c r="J79" s="20">
        <f t="shared" si="21"/>
        <v>111993750</v>
      </c>
      <c r="K79" s="20">
        <v>109621332</v>
      </c>
      <c r="L79" s="20">
        <f t="shared" si="16"/>
        <v>-2372418</v>
      </c>
      <c r="M79" s="21">
        <f t="shared" si="17"/>
        <v>0.97881651431441485</v>
      </c>
    </row>
    <row r="80" spans="1:13" s="34" customFormat="1" ht="15" hidden="1" outlineLevel="1" x14ac:dyDescent="0.25">
      <c r="A80" s="33" t="s">
        <v>85</v>
      </c>
      <c r="B80" s="19"/>
      <c r="C80" s="26"/>
      <c r="D80" s="26"/>
      <c r="E80" s="26"/>
      <c r="F80" s="20">
        <f>+'[4]Presupuesto 2019'!$J$32</f>
        <v>40000000</v>
      </c>
      <c r="G80" s="26"/>
      <c r="H80" s="19">
        <f t="shared" si="20"/>
        <v>40000000</v>
      </c>
      <c r="I80" s="26"/>
      <c r="J80" s="20">
        <f t="shared" si="21"/>
        <v>40000000</v>
      </c>
      <c r="K80" s="20">
        <v>12000079</v>
      </c>
      <c r="L80" s="20">
        <f t="shared" si="16"/>
        <v>-27999921</v>
      </c>
      <c r="M80" s="21">
        <f t="shared" si="17"/>
        <v>0.30000197499999998</v>
      </c>
    </row>
    <row r="81" spans="1:13" s="34" customFormat="1" ht="15" hidden="1" outlineLevel="1" x14ac:dyDescent="0.25">
      <c r="A81" s="33" t="s">
        <v>86</v>
      </c>
      <c r="B81" s="19"/>
      <c r="C81" s="26"/>
      <c r="D81" s="26"/>
      <c r="E81" s="26"/>
      <c r="F81" s="20"/>
      <c r="G81" s="26"/>
      <c r="H81" s="19">
        <f>+B81+C81+D81+G81+E81+F81</f>
        <v>0</v>
      </c>
      <c r="I81" s="26"/>
      <c r="J81" s="20">
        <f>+H81+I81</f>
        <v>0</v>
      </c>
      <c r="K81" s="20">
        <v>0</v>
      </c>
      <c r="L81" s="20">
        <f t="shared" si="16"/>
        <v>0</v>
      </c>
      <c r="M81" s="21">
        <v>0</v>
      </c>
    </row>
    <row r="82" spans="1:13" s="34" customFormat="1" ht="15" hidden="1" outlineLevel="1" x14ac:dyDescent="0.25">
      <c r="A82" s="33" t="s">
        <v>87</v>
      </c>
      <c r="B82" s="19"/>
      <c r="C82" s="26"/>
      <c r="D82" s="26"/>
      <c r="E82" s="26"/>
      <c r="F82" s="20"/>
      <c r="G82" s="26"/>
      <c r="H82" s="19">
        <f t="shared" si="20"/>
        <v>0</v>
      </c>
      <c r="I82" s="26"/>
      <c r="J82" s="20">
        <f t="shared" si="21"/>
        <v>0</v>
      </c>
      <c r="K82" s="20">
        <v>0</v>
      </c>
      <c r="L82" s="20">
        <f t="shared" si="16"/>
        <v>0</v>
      </c>
      <c r="M82" s="21">
        <v>0</v>
      </c>
    </row>
    <row r="83" spans="1:13" s="34" customFormat="1" ht="15" hidden="1" outlineLevel="1" x14ac:dyDescent="0.25">
      <c r="A83" s="33" t="s">
        <v>88</v>
      </c>
      <c r="B83" s="19"/>
      <c r="C83" s="26"/>
      <c r="D83" s="26"/>
      <c r="E83" s="26"/>
      <c r="F83" s="20">
        <f>+'[4]Presupuesto 2019'!$J$35</f>
        <v>130000000</v>
      </c>
      <c r="G83" s="26"/>
      <c r="H83" s="19">
        <f>+B83+C83+D83+G83+E83+F83</f>
        <v>130000000</v>
      </c>
      <c r="I83" s="26"/>
      <c r="J83" s="20">
        <f>+H83+I83</f>
        <v>130000000</v>
      </c>
      <c r="K83" s="20">
        <v>128734250</v>
      </c>
      <c r="L83" s="20">
        <f t="shared" si="16"/>
        <v>-1265750</v>
      </c>
      <c r="M83" s="21">
        <f t="shared" si="17"/>
        <v>0.99026346153846156</v>
      </c>
    </row>
    <row r="84" spans="1:13" s="34" customFormat="1" ht="15" hidden="1" outlineLevel="1" x14ac:dyDescent="0.25">
      <c r="A84" s="33" t="s">
        <v>89</v>
      </c>
      <c r="B84" s="19"/>
      <c r="C84" s="26"/>
      <c r="D84" s="26"/>
      <c r="E84" s="26"/>
      <c r="F84" s="20">
        <f>+'[4]Presupuesto 2019'!$J$36</f>
        <v>134000000</v>
      </c>
      <c r="G84" s="26"/>
      <c r="H84" s="19">
        <f t="shared" si="20"/>
        <v>134000000</v>
      </c>
      <c r="I84" s="26"/>
      <c r="J84" s="20">
        <f t="shared" si="21"/>
        <v>134000000</v>
      </c>
      <c r="K84" s="20">
        <v>134000000</v>
      </c>
      <c r="L84" s="20">
        <f t="shared" si="16"/>
        <v>0</v>
      </c>
      <c r="M84" s="21">
        <f t="shared" si="17"/>
        <v>1</v>
      </c>
    </row>
    <row r="85" spans="1:13" s="34" customFormat="1" ht="15" collapsed="1" x14ac:dyDescent="0.25">
      <c r="A85" s="31" t="s">
        <v>90</v>
      </c>
      <c r="B85" s="19"/>
      <c r="C85" s="26"/>
      <c r="D85" s="26"/>
      <c r="E85" s="26"/>
      <c r="F85" s="26">
        <f>SUM(F86:F93)</f>
        <v>1072483788.5182</v>
      </c>
      <c r="G85" s="26"/>
      <c r="H85" s="26">
        <f>SUM(H86:H93)</f>
        <v>1072483788.5182</v>
      </c>
      <c r="I85" s="26"/>
      <c r="J85" s="26">
        <f>SUM(J86:J93)</f>
        <v>1072483788.5182</v>
      </c>
      <c r="K85" s="26">
        <f>SUM(K86:K93)</f>
        <v>1068193041</v>
      </c>
      <c r="L85" s="26">
        <f t="shared" si="16"/>
        <v>-4290747.5182000399</v>
      </c>
      <c r="M85" s="17">
        <f t="shared" si="17"/>
        <v>0.9959992425394808</v>
      </c>
    </row>
    <row r="86" spans="1:13" s="34" customFormat="1" ht="15" hidden="1" outlineLevel="1" x14ac:dyDescent="0.25">
      <c r="A86" s="33" t="s">
        <v>91</v>
      </c>
      <c r="B86" s="19"/>
      <c r="C86" s="26"/>
      <c r="D86" s="26"/>
      <c r="E86" s="26"/>
      <c r="F86" s="20">
        <f>+'[4]Presupuesto 2019'!$J$39</f>
        <v>18000000</v>
      </c>
      <c r="G86" s="26"/>
      <c r="H86" s="19">
        <f>+B86+C86+D86+G86+E86+F86</f>
        <v>18000000</v>
      </c>
      <c r="I86" s="26"/>
      <c r="J86" s="20">
        <f>+H86+I86</f>
        <v>18000000</v>
      </c>
      <c r="K86" s="20">
        <v>17930356</v>
      </c>
      <c r="L86" s="20">
        <f t="shared" si="16"/>
        <v>-69644</v>
      </c>
      <c r="M86" s="21">
        <f t="shared" si="17"/>
        <v>0.9961308888888889</v>
      </c>
    </row>
    <row r="87" spans="1:13" s="34" customFormat="1" ht="15" hidden="1" outlineLevel="1" x14ac:dyDescent="0.25">
      <c r="A87" s="33" t="s">
        <v>92</v>
      </c>
      <c r="B87" s="19"/>
      <c r="C87" s="26"/>
      <c r="D87" s="26"/>
      <c r="E87" s="26"/>
      <c r="F87" s="20">
        <f>+'[4]Presupuesto 2019'!$J$40</f>
        <v>12595439.518200001</v>
      </c>
      <c r="G87" s="26"/>
      <c r="H87" s="19">
        <f>+B87+C87+D87+G87+E87+F87</f>
        <v>12595439.518200001</v>
      </c>
      <c r="I87" s="26"/>
      <c r="J87" s="20">
        <f>+H87+I87</f>
        <v>12595439.518200001</v>
      </c>
      <c r="K87" s="20">
        <v>12595440</v>
      </c>
      <c r="L87" s="20">
        <f t="shared" si="16"/>
        <v>0.48179999925196171</v>
      </c>
      <c r="M87" s="21">
        <f t="shared" si="17"/>
        <v>1.0000000382519403</v>
      </c>
    </row>
    <row r="88" spans="1:13" s="34" customFormat="1" ht="15" hidden="1" outlineLevel="1" x14ac:dyDescent="0.25">
      <c r="A88" s="33" t="s">
        <v>93</v>
      </c>
      <c r="B88" s="19"/>
      <c r="C88" s="26"/>
      <c r="D88" s="26"/>
      <c r="E88" s="26"/>
      <c r="F88" s="20"/>
      <c r="G88" s="26"/>
      <c r="H88" s="19">
        <f>+B88+C88+D88+G88+E88+F88</f>
        <v>0</v>
      </c>
      <c r="I88" s="26"/>
      <c r="J88" s="20">
        <f>+H88+I88</f>
        <v>0</v>
      </c>
      <c r="K88" s="20">
        <v>0</v>
      </c>
      <c r="L88" s="20">
        <f t="shared" si="16"/>
        <v>0</v>
      </c>
      <c r="M88" s="21">
        <v>0</v>
      </c>
    </row>
    <row r="89" spans="1:13" s="34" customFormat="1" ht="15" hidden="1" outlineLevel="1" x14ac:dyDescent="0.25">
      <c r="A89" s="33" t="s">
        <v>94</v>
      </c>
      <c r="B89" s="19"/>
      <c r="C89" s="26"/>
      <c r="D89" s="26"/>
      <c r="E89" s="26"/>
      <c r="F89" s="20">
        <f>+'[4]Presupuesto 2019'!$J$43</f>
        <v>50000000</v>
      </c>
      <c r="G89" s="26"/>
      <c r="H89" s="19">
        <f>+B89+C89+D89+G89+E89+F89</f>
        <v>50000000</v>
      </c>
      <c r="I89" s="26"/>
      <c r="J89" s="20">
        <f>+H89+I89</f>
        <v>50000000</v>
      </c>
      <c r="K89" s="20">
        <v>49999999</v>
      </c>
      <c r="L89" s="20">
        <f t="shared" si="16"/>
        <v>-1</v>
      </c>
      <c r="M89" s="21">
        <f t="shared" si="17"/>
        <v>0.99999998000000001</v>
      </c>
    </row>
    <row r="90" spans="1:13" s="34" customFormat="1" ht="15" hidden="1" outlineLevel="1" x14ac:dyDescent="0.25">
      <c r="A90" s="33" t="s">
        <v>95</v>
      </c>
      <c r="B90" s="19"/>
      <c r="C90" s="26"/>
      <c r="D90" s="26"/>
      <c r="E90" s="26"/>
      <c r="F90" s="20">
        <f>+'[4]Presupuesto 2019'!$J$44</f>
        <v>460700341</v>
      </c>
      <c r="G90" s="26"/>
      <c r="H90" s="19">
        <f>+B90+C90+D90+G90+E90+F90</f>
        <v>460700341</v>
      </c>
      <c r="I90" s="26"/>
      <c r="J90" s="20">
        <f>+H90+I90</f>
        <v>460700341</v>
      </c>
      <c r="K90" s="20">
        <v>459611846</v>
      </c>
      <c r="L90" s="20">
        <f t="shared" si="16"/>
        <v>-1088495</v>
      </c>
      <c r="M90" s="21">
        <f t="shared" si="17"/>
        <v>0.99763730368065862</v>
      </c>
    </row>
    <row r="91" spans="1:13" s="34" customFormat="1" ht="15" hidden="1" outlineLevel="1" x14ac:dyDescent="0.25">
      <c r="A91" s="33" t="s">
        <v>96</v>
      </c>
      <c r="B91" s="19"/>
      <c r="C91" s="26"/>
      <c r="D91" s="26"/>
      <c r="E91" s="26"/>
      <c r="F91" s="20">
        <f>+'[4]Presupuesto 2019'!$J$45</f>
        <v>8000000</v>
      </c>
      <c r="G91" s="26"/>
      <c r="H91" s="19">
        <f t="shared" ref="H91:H101" si="22">+B91+C91+D91+G91+E91+F91</f>
        <v>8000000</v>
      </c>
      <c r="I91" s="26"/>
      <c r="J91" s="20">
        <f t="shared" ref="J91:J101" si="23">+H91+I91</f>
        <v>8000000</v>
      </c>
      <c r="K91" s="20">
        <v>7978788</v>
      </c>
      <c r="L91" s="20">
        <f t="shared" si="16"/>
        <v>-21212</v>
      </c>
      <c r="M91" s="21">
        <f t="shared" si="17"/>
        <v>0.99734849999999997</v>
      </c>
    </row>
    <row r="92" spans="1:13" s="34" customFormat="1" ht="15" hidden="1" outlineLevel="1" x14ac:dyDescent="0.25">
      <c r="A92" s="33" t="s">
        <v>97</v>
      </c>
      <c r="B92" s="19"/>
      <c r="C92" s="26"/>
      <c r="D92" s="26"/>
      <c r="E92" s="26"/>
      <c r="F92" s="20">
        <f>+'[4]Presupuesto 2019'!$J$46</f>
        <v>463188008</v>
      </c>
      <c r="G92" s="26"/>
      <c r="H92" s="19">
        <f>+B92+C92+D92+G92+E92+F92</f>
        <v>463188008</v>
      </c>
      <c r="I92" s="26"/>
      <c r="J92" s="20">
        <f t="shared" si="23"/>
        <v>463188008</v>
      </c>
      <c r="K92" s="20">
        <v>463188008</v>
      </c>
      <c r="L92" s="20">
        <f t="shared" si="16"/>
        <v>0</v>
      </c>
      <c r="M92" s="21">
        <f t="shared" si="17"/>
        <v>1</v>
      </c>
    </row>
    <row r="93" spans="1:13" s="34" customFormat="1" ht="15" hidden="1" outlineLevel="1" x14ac:dyDescent="0.25">
      <c r="A93" s="33" t="s">
        <v>98</v>
      </c>
      <c r="B93" s="19"/>
      <c r="C93" s="26"/>
      <c r="D93" s="26"/>
      <c r="E93" s="26"/>
      <c r="F93" s="20">
        <f>+'[4]Presupuesto 2019'!$J$47</f>
        <v>60000000</v>
      </c>
      <c r="G93" s="26"/>
      <c r="H93" s="19">
        <f>+B93+C93+D93+G93+E93+F93</f>
        <v>60000000</v>
      </c>
      <c r="I93" s="26"/>
      <c r="J93" s="20">
        <f t="shared" si="23"/>
        <v>60000000</v>
      </c>
      <c r="K93" s="20">
        <v>56888604</v>
      </c>
      <c r="L93" s="20">
        <f t="shared" si="16"/>
        <v>-3111396</v>
      </c>
      <c r="M93" s="21">
        <f t="shared" si="17"/>
        <v>0.94814339999999997</v>
      </c>
    </row>
    <row r="94" spans="1:13" s="34" customFormat="1" ht="15" collapsed="1" x14ac:dyDescent="0.25">
      <c r="A94" s="31" t="s">
        <v>99</v>
      </c>
      <c r="B94" s="16"/>
      <c r="C94" s="16"/>
      <c r="D94" s="16"/>
      <c r="E94" s="16"/>
      <c r="F94" s="16">
        <f>SUM(F95:F101)</f>
        <v>205820889.36559999</v>
      </c>
      <c r="G94" s="16"/>
      <c r="H94" s="16">
        <f t="shared" si="22"/>
        <v>205820889.36559999</v>
      </c>
      <c r="I94" s="16"/>
      <c r="J94" s="16">
        <f t="shared" si="23"/>
        <v>205820889.36559999</v>
      </c>
      <c r="K94" s="16">
        <f>SUM(K95:K101)</f>
        <v>201503947</v>
      </c>
      <c r="L94" s="16">
        <f t="shared" si="16"/>
        <v>-4316942.3655999899</v>
      </c>
      <c r="M94" s="17">
        <f t="shared" si="17"/>
        <v>0.97902573262166892</v>
      </c>
    </row>
    <row r="95" spans="1:13" s="34" customFormat="1" ht="15" hidden="1" outlineLevel="1" x14ac:dyDescent="0.25">
      <c r="A95" s="33" t="s">
        <v>100</v>
      </c>
      <c r="B95" s="19"/>
      <c r="C95" s="26"/>
      <c r="D95" s="26"/>
      <c r="E95" s="26"/>
      <c r="F95" s="20">
        <f>+'[4]Presupuesto 2019'!$J$50</f>
        <v>5000000</v>
      </c>
      <c r="G95" s="26"/>
      <c r="H95" s="19">
        <f t="shared" si="22"/>
        <v>5000000</v>
      </c>
      <c r="I95" s="26"/>
      <c r="J95" s="20">
        <f t="shared" si="23"/>
        <v>5000000</v>
      </c>
      <c r="K95" s="20">
        <v>4914889</v>
      </c>
      <c r="L95" s="20">
        <f t="shared" si="16"/>
        <v>-85111</v>
      </c>
      <c r="M95" s="21">
        <f t="shared" si="17"/>
        <v>0.98297780000000001</v>
      </c>
    </row>
    <row r="96" spans="1:13" s="34" customFormat="1" ht="15" hidden="1" outlineLevel="1" x14ac:dyDescent="0.25">
      <c r="A96" s="33" t="s">
        <v>101</v>
      </c>
      <c r="B96" s="19"/>
      <c r="C96" s="26"/>
      <c r="D96" s="26"/>
      <c r="E96" s="26"/>
      <c r="F96" s="20">
        <f>+'[4]Presupuesto 2019'!$J$51+8400000</f>
        <v>58781758.072800003</v>
      </c>
      <c r="G96" s="26"/>
      <c r="H96" s="19">
        <f t="shared" si="22"/>
        <v>58781758.072800003</v>
      </c>
      <c r="I96" s="26"/>
      <c r="J96" s="20">
        <f t="shared" si="23"/>
        <v>58781758.072800003</v>
      </c>
      <c r="K96" s="20">
        <v>58778720</v>
      </c>
      <c r="L96" s="20">
        <f t="shared" si="16"/>
        <v>-3038.0728000029922</v>
      </c>
      <c r="M96" s="21">
        <f t="shared" si="17"/>
        <v>0.99994831606097523</v>
      </c>
    </row>
    <row r="97" spans="1:13" s="34" customFormat="1" ht="15" hidden="1" outlineLevel="1" x14ac:dyDescent="0.25">
      <c r="A97" s="33" t="s">
        <v>102</v>
      </c>
      <c r="B97" s="19"/>
      <c r="C97" s="26"/>
      <c r="D97" s="26"/>
      <c r="E97" s="26"/>
      <c r="F97" s="20">
        <f>+'[4]Presupuesto 2019'!$J$52</f>
        <v>20000000</v>
      </c>
      <c r="G97" s="26"/>
      <c r="H97" s="19">
        <f t="shared" si="22"/>
        <v>20000000</v>
      </c>
      <c r="I97" s="26"/>
      <c r="J97" s="20">
        <f t="shared" si="23"/>
        <v>20000000</v>
      </c>
      <c r="K97" s="20">
        <v>18236385</v>
      </c>
      <c r="L97" s="20">
        <f t="shared" si="16"/>
        <v>-1763615</v>
      </c>
      <c r="M97" s="21">
        <f t="shared" si="17"/>
        <v>0.91181924999999997</v>
      </c>
    </row>
    <row r="98" spans="1:13" s="34" customFormat="1" ht="15" hidden="1" outlineLevel="1" x14ac:dyDescent="0.25">
      <c r="A98" s="33" t="s">
        <v>103</v>
      </c>
      <c r="B98" s="19"/>
      <c r="C98" s="26"/>
      <c r="D98" s="26"/>
      <c r="E98" s="26"/>
      <c r="F98" s="20">
        <f>+'[4]Presupuesto 2019'!$J$53-3</f>
        <v>33999997</v>
      </c>
      <c r="G98" s="26"/>
      <c r="H98" s="19">
        <f>+B98+C98+D98+G98+E98+F98</f>
        <v>33999997</v>
      </c>
      <c r="I98" s="26"/>
      <c r="J98" s="20">
        <f>+H98+I98</f>
        <v>33999997</v>
      </c>
      <c r="K98" s="20">
        <v>32438334</v>
      </c>
      <c r="L98" s="20">
        <f t="shared" si="16"/>
        <v>-1561663</v>
      </c>
      <c r="M98" s="21">
        <f t="shared" si="17"/>
        <v>0.9540687312413586</v>
      </c>
    </row>
    <row r="99" spans="1:13" s="34" customFormat="1" ht="15" hidden="1" outlineLevel="1" x14ac:dyDescent="0.25">
      <c r="A99" s="33" t="s">
        <v>104</v>
      </c>
      <c r="B99" s="19"/>
      <c r="C99" s="26"/>
      <c r="D99" s="26"/>
      <c r="E99" s="26"/>
      <c r="F99" s="20">
        <f>+'[4]Presupuesto 2019'!$J$54-8400000</f>
        <v>21600000</v>
      </c>
      <c r="G99" s="26"/>
      <c r="H99" s="19">
        <f>+B99+C99+D99+G99+E99+F99</f>
        <v>21600000</v>
      </c>
      <c r="I99" s="26"/>
      <c r="J99" s="20">
        <f>+H99+I99</f>
        <v>21600000</v>
      </c>
      <c r="K99" s="20">
        <v>21578023</v>
      </c>
      <c r="L99" s="20">
        <f t="shared" si="16"/>
        <v>-21977</v>
      </c>
      <c r="M99" s="21">
        <f t="shared" si="17"/>
        <v>0.99898254629629635</v>
      </c>
    </row>
    <row r="100" spans="1:13" s="34" customFormat="1" ht="15" hidden="1" outlineLevel="1" x14ac:dyDescent="0.25">
      <c r="A100" s="33" t="s">
        <v>105</v>
      </c>
      <c r="B100" s="19"/>
      <c r="C100" s="26"/>
      <c r="D100" s="26"/>
      <c r="E100" s="26"/>
      <c r="F100" s="20">
        <f>+'[4]Presupuesto 2019'!$J$55+3</f>
        <v>50689134.292799994</v>
      </c>
      <c r="G100" s="26"/>
      <c r="H100" s="19">
        <f>+B100+C100+D100+G100+E100+F100</f>
        <v>50689134.292799994</v>
      </c>
      <c r="I100" s="26"/>
      <c r="J100" s="20">
        <f>+H100+I100</f>
        <v>50689134.292799994</v>
      </c>
      <c r="K100" s="20">
        <v>50689134</v>
      </c>
      <c r="L100" s="20">
        <f t="shared" si="16"/>
        <v>-0.29279999434947968</v>
      </c>
      <c r="M100" s="21">
        <f t="shared" si="17"/>
        <v>0.99999999422361419</v>
      </c>
    </row>
    <row r="101" spans="1:13" s="34" customFormat="1" ht="15" hidden="1" outlineLevel="1" x14ac:dyDescent="0.25">
      <c r="A101" s="33" t="s">
        <v>106</v>
      </c>
      <c r="B101" s="19"/>
      <c r="C101" s="26"/>
      <c r="D101" s="26"/>
      <c r="E101" s="26"/>
      <c r="F101" s="20">
        <f>+'[4]Presupuesto 2019'!$J$56</f>
        <v>15750000</v>
      </c>
      <c r="G101" s="26"/>
      <c r="H101" s="19">
        <f t="shared" si="22"/>
        <v>15750000</v>
      </c>
      <c r="I101" s="26"/>
      <c r="J101" s="20">
        <f t="shared" si="23"/>
        <v>15750000</v>
      </c>
      <c r="K101" s="20">
        <v>14868462</v>
      </c>
      <c r="L101" s="20">
        <f t="shared" si="16"/>
        <v>-881538</v>
      </c>
      <c r="M101" s="21">
        <f t="shared" si="17"/>
        <v>0.94402933333333339</v>
      </c>
    </row>
    <row r="102" spans="1:13" s="34" customFormat="1" ht="15" collapsed="1" x14ac:dyDescent="0.25">
      <c r="A102" s="33"/>
      <c r="B102" s="19"/>
      <c r="C102" s="26"/>
      <c r="D102" s="26"/>
      <c r="E102" s="26"/>
      <c r="F102" s="20"/>
      <c r="G102" s="26"/>
      <c r="H102" s="19"/>
      <c r="I102" s="26"/>
      <c r="J102" s="20"/>
      <c r="K102" s="20"/>
      <c r="L102" s="20"/>
      <c r="M102" s="21"/>
    </row>
    <row r="103" spans="1:13" s="34" customFormat="1" ht="15" x14ac:dyDescent="0.25">
      <c r="A103" s="31" t="s">
        <v>107</v>
      </c>
      <c r="B103" s="26"/>
      <c r="C103" s="26"/>
      <c r="D103" s="26"/>
      <c r="E103" s="26"/>
      <c r="F103" s="26"/>
      <c r="G103" s="26">
        <f>+G104+G111+G114+G117</f>
        <v>4983444250</v>
      </c>
      <c r="H103" s="26">
        <f>+H104+H111+H114+H117</f>
        <v>4983444250</v>
      </c>
      <c r="I103" s="26"/>
      <c r="J103" s="26">
        <f>+J104+J111+J114+J117</f>
        <v>4983444250</v>
      </c>
      <c r="K103" s="26">
        <f>+K104+K111+K114+K117</f>
        <v>4741977960</v>
      </c>
      <c r="L103" s="26">
        <f t="shared" ref="L103:L119" si="24">+K103-J103</f>
        <v>-241466290</v>
      </c>
      <c r="M103" s="17">
        <f t="shared" ref="M103:M119" si="25">+K103/J103</f>
        <v>0.95154630454629852</v>
      </c>
    </row>
    <row r="104" spans="1:13" s="34" customFormat="1" ht="15" x14ac:dyDescent="0.25">
      <c r="A104" s="31" t="s">
        <v>108</v>
      </c>
      <c r="B104" s="26"/>
      <c r="C104" s="26"/>
      <c r="D104" s="26"/>
      <c r="E104" s="16"/>
      <c r="F104" s="26"/>
      <c r="G104" s="16">
        <f>SUM(G105:G110)</f>
        <v>4422944250</v>
      </c>
      <c r="H104" s="16">
        <f>SUM(H105:H110)</f>
        <v>4422944250</v>
      </c>
      <c r="I104" s="26"/>
      <c r="J104" s="16">
        <f>SUM(J105:J110)</f>
        <v>4422944250</v>
      </c>
      <c r="K104" s="16">
        <f>SUM(K105:K110)</f>
        <v>4259502633</v>
      </c>
      <c r="L104" s="16">
        <f t="shared" si="24"/>
        <v>-163441617</v>
      </c>
      <c r="M104" s="17">
        <f t="shared" si="25"/>
        <v>0.96304687381035836</v>
      </c>
    </row>
    <row r="105" spans="1:13" s="34" customFormat="1" ht="15" hidden="1" outlineLevel="1" x14ac:dyDescent="0.25">
      <c r="A105" s="33" t="s">
        <v>109</v>
      </c>
      <c r="B105" s="26"/>
      <c r="C105" s="26"/>
      <c r="D105" s="26"/>
      <c r="E105" s="19"/>
      <c r="F105" s="26"/>
      <c r="G105" s="19">
        <f>+'[5]General EJECUC Y SOLICI '!$G$23+13500000</f>
        <v>1243500000</v>
      </c>
      <c r="H105" s="19">
        <f t="shared" ref="H105:H110" si="26">+B105+C105+D105+G105+E105+F105</f>
        <v>1243500000</v>
      </c>
      <c r="I105" s="26"/>
      <c r="J105" s="20">
        <f t="shared" ref="J105:J110" si="27">+H105+I105</f>
        <v>1243500000</v>
      </c>
      <c r="K105" s="20">
        <v>1238256185</v>
      </c>
      <c r="L105" s="20">
        <f t="shared" si="24"/>
        <v>-5243815</v>
      </c>
      <c r="M105" s="21">
        <f t="shared" si="25"/>
        <v>0.99578301970245275</v>
      </c>
    </row>
    <row r="106" spans="1:13" s="34" customFormat="1" ht="15" hidden="1" outlineLevel="1" x14ac:dyDescent="0.25">
      <c r="A106" s="33" t="s">
        <v>110</v>
      </c>
      <c r="B106" s="26"/>
      <c r="C106" s="26"/>
      <c r="D106" s="26"/>
      <c r="E106" s="19"/>
      <c r="F106" s="26"/>
      <c r="G106" s="19">
        <f>+'[5]General EJECUC Y SOLICI '!$G$24</f>
        <v>180000000</v>
      </c>
      <c r="H106" s="19">
        <f t="shared" si="26"/>
        <v>180000000</v>
      </c>
      <c r="I106" s="26"/>
      <c r="J106" s="20">
        <f t="shared" si="27"/>
        <v>180000000</v>
      </c>
      <c r="K106" s="20">
        <v>173493576</v>
      </c>
      <c r="L106" s="20">
        <f t="shared" si="24"/>
        <v>-6506424</v>
      </c>
      <c r="M106" s="21">
        <f t="shared" si="25"/>
        <v>0.96385319999999997</v>
      </c>
    </row>
    <row r="107" spans="1:13" s="34" customFormat="1" ht="15" hidden="1" outlineLevel="1" x14ac:dyDescent="0.25">
      <c r="A107" s="33" t="s">
        <v>111</v>
      </c>
      <c r="B107" s="26"/>
      <c r="C107" s="26"/>
      <c r="D107" s="26"/>
      <c r="E107" s="19"/>
      <c r="F107" s="26"/>
      <c r="G107" s="19">
        <f>+'[5]General EJECUC Y SOLICI '!$G$25</f>
        <v>63000000</v>
      </c>
      <c r="H107" s="19">
        <f t="shared" si="26"/>
        <v>63000000</v>
      </c>
      <c r="I107" s="26"/>
      <c r="J107" s="20">
        <f t="shared" si="27"/>
        <v>63000000</v>
      </c>
      <c r="K107" s="20">
        <v>51397000</v>
      </c>
      <c r="L107" s="20">
        <f t="shared" si="24"/>
        <v>-11603000</v>
      </c>
      <c r="M107" s="21">
        <f t="shared" si="25"/>
        <v>0.81582539682539679</v>
      </c>
    </row>
    <row r="108" spans="1:13" s="34" customFormat="1" ht="15" hidden="1" outlineLevel="1" x14ac:dyDescent="0.25">
      <c r="A108" s="33" t="s">
        <v>112</v>
      </c>
      <c r="B108" s="26"/>
      <c r="C108" s="26"/>
      <c r="D108" s="26"/>
      <c r="E108" s="19"/>
      <c r="F108" s="26"/>
      <c r="G108" s="19">
        <f>+'[5]General EJECUC Y SOLICI '!$G$26</f>
        <v>592644250</v>
      </c>
      <c r="H108" s="19">
        <f t="shared" si="26"/>
        <v>592644250</v>
      </c>
      <c r="I108" s="26"/>
      <c r="J108" s="20">
        <f t="shared" si="27"/>
        <v>592644250</v>
      </c>
      <c r="K108" s="20">
        <v>585720958</v>
      </c>
      <c r="L108" s="20">
        <f t="shared" si="24"/>
        <v>-6923292</v>
      </c>
      <c r="M108" s="21">
        <f t="shared" si="25"/>
        <v>0.98831796309506081</v>
      </c>
    </row>
    <row r="109" spans="1:13" s="34" customFormat="1" ht="15" hidden="1" outlineLevel="1" x14ac:dyDescent="0.25">
      <c r="A109" s="33" t="s">
        <v>113</v>
      </c>
      <c r="B109" s="26"/>
      <c r="C109" s="26"/>
      <c r="D109" s="26"/>
      <c r="E109" s="19"/>
      <c r="F109" s="26"/>
      <c r="G109" s="19">
        <f>+'[5]General EJECUC Y SOLICI '!$G$27-13500000</f>
        <v>2336500000</v>
      </c>
      <c r="H109" s="19">
        <f t="shared" si="26"/>
        <v>2336500000</v>
      </c>
      <c r="I109" s="26"/>
      <c r="J109" s="20">
        <f t="shared" si="27"/>
        <v>2336500000</v>
      </c>
      <c r="K109" s="20">
        <v>2203430959</v>
      </c>
      <c r="L109" s="20">
        <f t="shared" si="24"/>
        <v>-133069041</v>
      </c>
      <c r="M109" s="21">
        <f t="shared" si="25"/>
        <v>0.94304770340252519</v>
      </c>
    </row>
    <row r="110" spans="1:13" s="34" customFormat="1" ht="15" hidden="1" outlineLevel="1" x14ac:dyDescent="0.25">
      <c r="A110" s="33" t="s">
        <v>114</v>
      </c>
      <c r="B110" s="26"/>
      <c r="C110" s="26"/>
      <c r="D110" s="26"/>
      <c r="E110" s="19"/>
      <c r="F110" s="26"/>
      <c r="G110" s="19">
        <f>+'[5]General EJECUC Y SOLICI '!$G$28</f>
        <v>7300000</v>
      </c>
      <c r="H110" s="19">
        <f t="shared" si="26"/>
        <v>7300000</v>
      </c>
      <c r="I110" s="26"/>
      <c r="J110" s="20">
        <f t="shared" si="27"/>
        <v>7300000</v>
      </c>
      <c r="K110" s="20">
        <v>7203955</v>
      </c>
      <c r="L110" s="20">
        <f t="shared" si="24"/>
        <v>-96045</v>
      </c>
      <c r="M110" s="21">
        <f t="shared" si="25"/>
        <v>0.98684315068493156</v>
      </c>
    </row>
    <row r="111" spans="1:13" s="34" customFormat="1" ht="15" collapsed="1" x14ac:dyDescent="0.25">
      <c r="A111" s="31" t="s">
        <v>115</v>
      </c>
      <c r="B111" s="26"/>
      <c r="C111" s="26"/>
      <c r="D111" s="26"/>
      <c r="E111" s="16"/>
      <c r="F111" s="26"/>
      <c r="G111" s="16">
        <f>SUM(G112:G113)</f>
        <v>79500000</v>
      </c>
      <c r="H111" s="16">
        <f>SUM(H112:H113)</f>
        <v>79500000</v>
      </c>
      <c r="I111" s="26"/>
      <c r="J111" s="16">
        <f>SUM(J112:J113)</f>
        <v>79500000</v>
      </c>
      <c r="K111" s="16">
        <f>SUM(K112:K113)</f>
        <v>72989519</v>
      </c>
      <c r="L111" s="16">
        <f t="shared" si="24"/>
        <v>-6510481</v>
      </c>
      <c r="M111" s="17">
        <f t="shared" si="25"/>
        <v>0.91810715723270442</v>
      </c>
    </row>
    <row r="112" spans="1:13" s="34" customFormat="1" ht="15" hidden="1" outlineLevel="1" x14ac:dyDescent="0.25">
      <c r="A112" s="33" t="s">
        <v>116</v>
      </c>
      <c r="B112" s="26"/>
      <c r="C112" s="26"/>
      <c r="D112" s="26"/>
      <c r="E112" s="19"/>
      <c r="F112" s="26"/>
      <c r="G112" s="19">
        <f>+'[5]General EJECUC Y SOLICI '!$G$33</f>
        <v>47500000</v>
      </c>
      <c r="H112" s="19">
        <f>+B112+C112+D112+G112+E112+F112</f>
        <v>47500000</v>
      </c>
      <c r="I112" s="26"/>
      <c r="J112" s="20">
        <f>+H112+I112</f>
        <v>47500000</v>
      </c>
      <c r="K112" s="20">
        <v>42183029</v>
      </c>
      <c r="L112" s="20">
        <f t="shared" si="24"/>
        <v>-5316971</v>
      </c>
      <c r="M112" s="21">
        <f t="shared" si="25"/>
        <v>0.88806376842105261</v>
      </c>
    </row>
    <row r="113" spans="1:13" s="34" customFormat="1" ht="15" hidden="1" outlineLevel="1" x14ac:dyDescent="0.25">
      <c r="A113" s="33" t="s">
        <v>117</v>
      </c>
      <c r="B113" s="26"/>
      <c r="C113" s="26"/>
      <c r="D113" s="26"/>
      <c r="E113" s="19"/>
      <c r="F113" s="26"/>
      <c r="G113" s="19">
        <f>+'[5]General EJECUC Y SOLICI '!$G$34</f>
        <v>32000000</v>
      </c>
      <c r="H113" s="19">
        <f>+B113+C113+D113+G113+E113+F113</f>
        <v>32000000</v>
      </c>
      <c r="I113" s="26"/>
      <c r="J113" s="20">
        <f>+H113+I113</f>
        <v>32000000</v>
      </c>
      <c r="K113" s="20">
        <v>30806490</v>
      </c>
      <c r="L113" s="20">
        <f t="shared" si="24"/>
        <v>-1193510</v>
      </c>
      <c r="M113" s="21">
        <f t="shared" si="25"/>
        <v>0.9627028125</v>
      </c>
    </row>
    <row r="114" spans="1:13" s="34" customFormat="1" ht="15" collapsed="1" x14ac:dyDescent="0.25">
      <c r="A114" s="31" t="s">
        <v>118</v>
      </c>
      <c r="B114" s="26"/>
      <c r="C114" s="26"/>
      <c r="D114" s="26"/>
      <c r="E114" s="16"/>
      <c r="F114" s="26"/>
      <c r="G114" s="16">
        <f>SUM(G115:G116)</f>
        <v>148000000</v>
      </c>
      <c r="H114" s="16">
        <f>SUM(H115:H116)</f>
        <v>148000000</v>
      </c>
      <c r="I114" s="26"/>
      <c r="J114" s="16">
        <f>SUM(J115:J116)</f>
        <v>148000000</v>
      </c>
      <c r="K114" s="16">
        <f>SUM(K115:K116)</f>
        <v>112924511</v>
      </c>
      <c r="L114" s="16">
        <f t="shared" si="24"/>
        <v>-35075489</v>
      </c>
      <c r="M114" s="17">
        <f t="shared" si="25"/>
        <v>0.76300345270270276</v>
      </c>
    </row>
    <row r="115" spans="1:13" s="34" customFormat="1" ht="15" hidden="1" outlineLevel="1" x14ac:dyDescent="0.25">
      <c r="A115" s="33" t="str">
        <f>+'[6]Presupuesto 2017 vs 2018'!$B$37</f>
        <v>Diagnóstico Rutinario</v>
      </c>
      <c r="B115" s="26"/>
      <c r="C115" s="26"/>
      <c r="D115" s="26"/>
      <c r="E115" s="19"/>
      <c r="F115" s="26"/>
      <c r="G115" s="19">
        <f>+'[5]General EJECUC Y SOLICI '!$G$30</f>
        <v>100000000</v>
      </c>
      <c r="H115" s="19">
        <f>+B115+C115+D115+G115+E115+F115</f>
        <v>100000000</v>
      </c>
      <c r="I115" s="26"/>
      <c r="J115" s="20">
        <f>+H115+I115</f>
        <v>100000000</v>
      </c>
      <c r="K115" s="20">
        <v>70832894</v>
      </c>
      <c r="L115" s="20">
        <f t="shared" si="24"/>
        <v>-29167106</v>
      </c>
      <c r="M115" s="21">
        <f t="shared" si="25"/>
        <v>0.70832894000000002</v>
      </c>
    </row>
    <row r="116" spans="1:13" s="34" customFormat="1" ht="15" hidden="1" outlineLevel="1" x14ac:dyDescent="0.25">
      <c r="A116" s="33" t="s">
        <v>119</v>
      </c>
      <c r="B116" s="26"/>
      <c r="C116" s="26"/>
      <c r="D116" s="26"/>
      <c r="E116" s="19"/>
      <c r="F116" s="26"/>
      <c r="G116" s="19">
        <f>+'[5]General EJECUC Y SOLICI '!$G$31</f>
        <v>48000000</v>
      </c>
      <c r="H116" s="19">
        <f>+B116+C116+D116+G116+E116+F116</f>
        <v>48000000</v>
      </c>
      <c r="I116" s="26"/>
      <c r="J116" s="20">
        <f>+H116+I116</f>
        <v>48000000</v>
      </c>
      <c r="K116" s="20">
        <v>42091617</v>
      </c>
      <c r="L116" s="20">
        <f t="shared" si="24"/>
        <v>-5908383</v>
      </c>
      <c r="M116" s="21">
        <f t="shared" si="25"/>
        <v>0.87690868749999995</v>
      </c>
    </row>
    <row r="117" spans="1:13" s="34" customFormat="1" ht="15" collapsed="1" x14ac:dyDescent="0.25">
      <c r="A117" s="31" t="s">
        <v>120</v>
      </c>
      <c r="B117" s="26"/>
      <c r="C117" s="26"/>
      <c r="D117" s="26"/>
      <c r="E117" s="16"/>
      <c r="F117" s="26"/>
      <c r="G117" s="16">
        <f>SUM(G118:G119)</f>
        <v>333000000</v>
      </c>
      <c r="H117" s="16">
        <f>SUM(H118:H119)</f>
        <v>333000000</v>
      </c>
      <c r="I117" s="16"/>
      <c r="J117" s="16">
        <f>SUM(J118:J119)</f>
        <v>333000000</v>
      </c>
      <c r="K117" s="16">
        <f>SUM(K118:K119)</f>
        <v>296561297</v>
      </c>
      <c r="L117" s="16">
        <f t="shared" si="24"/>
        <v>-36438703</v>
      </c>
      <c r="M117" s="17">
        <f t="shared" si="25"/>
        <v>0.89057446546546548</v>
      </c>
    </row>
    <row r="118" spans="1:13" s="34" customFormat="1" ht="15" hidden="1" outlineLevel="1" x14ac:dyDescent="0.25">
      <c r="A118" s="33" t="s">
        <v>121</v>
      </c>
      <c r="B118" s="26"/>
      <c r="C118" s="26"/>
      <c r="D118" s="26"/>
      <c r="E118" s="19"/>
      <c r="F118" s="26"/>
      <c r="G118" s="19">
        <f>+'[5]General EJECUC Y SOLICI '!$G$36+75500000</f>
        <v>100000000</v>
      </c>
      <c r="H118" s="19">
        <f>+B118+C118+D118+G118+E118+F118</f>
        <v>100000000</v>
      </c>
      <c r="I118" s="26"/>
      <c r="J118" s="20">
        <f>+H118+I118</f>
        <v>100000000</v>
      </c>
      <c r="K118" s="20">
        <v>95173776</v>
      </c>
      <c r="L118" s="20">
        <f t="shared" si="24"/>
        <v>-4826224</v>
      </c>
      <c r="M118" s="21">
        <f t="shared" si="25"/>
        <v>0.95173775999999999</v>
      </c>
    </row>
    <row r="119" spans="1:13" s="34" customFormat="1" ht="15" hidden="1" outlineLevel="1" x14ac:dyDescent="0.25">
      <c r="A119" s="33" t="s">
        <v>122</v>
      </c>
      <c r="B119" s="26"/>
      <c r="C119" s="26"/>
      <c r="D119" s="26"/>
      <c r="E119" s="19"/>
      <c r="F119" s="26"/>
      <c r="G119" s="19">
        <f>+'[5]General EJECUC Y SOLICI '!$G$37+46500000</f>
        <v>233000000</v>
      </c>
      <c r="H119" s="19">
        <f>+B119+C119+D119+G119+E119+F119</f>
        <v>233000000</v>
      </c>
      <c r="I119" s="26"/>
      <c r="J119" s="20">
        <f>+H119+I119</f>
        <v>233000000</v>
      </c>
      <c r="K119" s="20">
        <v>201387521</v>
      </c>
      <c r="L119" s="20">
        <f t="shared" si="24"/>
        <v>-31612479</v>
      </c>
      <c r="M119" s="21">
        <f t="shared" si="25"/>
        <v>0.86432412446351936</v>
      </c>
    </row>
    <row r="120" spans="1:13" s="34" customFormat="1" ht="15" collapsed="1" x14ac:dyDescent="0.25">
      <c r="A120" s="33"/>
      <c r="B120" s="26"/>
      <c r="C120" s="26"/>
      <c r="D120" s="26"/>
      <c r="E120" s="20"/>
      <c r="F120" s="26"/>
      <c r="G120" s="20"/>
      <c r="H120" s="19"/>
      <c r="I120" s="26"/>
      <c r="J120" s="20"/>
      <c r="K120" s="20"/>
      <c r="L120" s="20"/>
      <c r="M120" s="21"/>
    </row>
    <row r="121" spans="1:13" s="41" customFormat="1" ht="15" x14ac:dyDescent="0.25">
      <c r="A121" s="31" t="s">
        <v>123</v>
      </c>
      <c r="B121" s="39"/>
      <c r="C121" s="16">
        <f>+C122+C128+C131+C134</f>
        <v>1064119392.2791346</v>
      </c>
      <c r="D121" s="39"/>
      <c r="E121" s="40"/>
      <c r="F121" s="39"/>
      <c r="G121" s="40"/>
      <c r="H121" s="16">
        <f>+H122+H128+H131+H134</f>
        <v>1064119392.2791346</v>
      </c>
      <c r="I121" s="39"/>
      <c r="J121" s="16">
        <f>+H121+I121</f>
        <v>1064119392.2791346</v>
      </c>
      <c r="K121" s="16">
        <f>+K122+K128+K131+K134</f>
        <v>766748948</v>
      </c>
      <c r="L121" s="16">
        <f t="shared" ref="L121:L145" si="28">+K121-J121</f>
        <v>-297370444.27913463</v>
      </c>
      <c r="M121" s="17">
        <f t="shared" ref="M121:M145" si="29">+K121/J121</f>
        <v>0.72054785728298254</v>
      </c>
    </row>
    <row r="122" spans="1:13" s="34" customFormat="1" ht="15" x14ac:dyDescent="0.25">
      <c r="A122" s="31" t="s">
        <v>124</v>
      </c>
      <c r="B122" s="39"/>
      <c r="C122" s="26">
        <f>SUM(C123:C127)</f>
        <v>229617220.04000002</v>
      </c>
      <c r="D122" s="26"/>
      <c r="E122" s="26"/>
      <c r="F122" s="26"/>
      <c r="G122" s="26"/>
      <c r="H122" s="26">
        <f>+B122+C122+D122+G122+E122+F122</f>
        <v>229617220.04000002</v>
      </c>
      <c r="I122" s="16"/>
      <c r="J122" s="26">
        <f>SUM(J123:J127)</f>
        <v>229617220.04000002</v>
      </c>
      <c r="K122" s="26">
        <f>SUM(K123:K127)</f>
        <v>183576523</v>
      </c>
      <c r="L122" s="26">
        <f t="shared" si="28"/>
        <v>-46040697.040000021</v>
      </c>
      <c r="M122" s="17">
        <f t="shared" si="29"/>
        <v>0.79948935436122959</v>
      </c>
    </row>
    <row r="123" spans="1:13" s="34" customFormat="1" ht="15" hidden="1" outlineLevel="1" x14ac:dyDescent="0.25">
      <c r="A123" s="33" t="s">
        <v>125</v>
      </c>
      <c r="B123" s="39"/>
      <c r="C123" s="20">
        <f>+[7]General!$G$17</f>
        <v>94722970</v>
      </c>
      <c r="D123" s="26"/>
      <c r="E123" s="26"/>
      <c r="F123" s="26"/>
      <c r="G123" s="26"/>
      <c r="H123" s="20">
        <f>+B123+C123+D123+G123+E123+F123</f>
        <v>94722970</v>
      </c>
      <c r="I123" s="16"/>
      <c r="J123" s="20">
        <f t="shared" ref="J123:J132" si="30">+H123+I123</f>
        <v>94722970</v>
      </c>
      <c r="K123" s="20">
        <v>93301318</v>
      </c>
      <c r="L123" s="20">
        <f t="shared" si="28"/>
        <v>-1421652</v>
      </c>
      <c r="M123" s="21">
        <f t="shared" si="29"/>
        <v>0.98499147566846779</v>
      </c>
    </row>
    <row r="124" spans="1:13" s="34" customFormat="1" ht="15" hidden="1" outlineLevel="1" x14ac:dyDescent="0.25">
      <c r="A124" s="33" t="s">
        <v>126</v>
      </c>
      <c r="B124" s="39"/>
      <c r="C124" s="20"/>
      <c r="D124" s="26"/>
      <c r="E124" s="26"/>
      <c r="F124" s="26"/>
      <c r="G124" s="26"/>
      <c r="H124" s="20">
        <f t="shared" ref="H124:H132" si="31">+B124+C124+D124+G124+E124+F124</f>
        <v>0</v>
      </c>
      <c r="I124" s="16"/>
      <c r="J124" s="20">
        <f t="shared" si="30"/>
        <v>0</v>
      </c>
      <c r="K124" s="20">
        <v>0</v>
      </c>
      <c r="L124" s="20">
        <f t="shared" si="28"/>
        <v>0</v>
      </c>
      <c r="M124" s="21">
        <v>0</v>
      </c>
    </row>
    <row r="125" spans="1:13" s="34" customFormat="1" ht="15" hidden="1" outlineLevel="1" x14ac:dyDescent="0.25">
      <c r="A125" s="33" t="s">
        <v>127</v>
      </c>
      <c r="B125" s="39"/>
      <c r="C125" s="20">
        <f>+[7]General!$G$19</f>
        <v>116394250.04000001</v>
      </c>
      <c r="D125" s="26"/>
      <c r="E125" s="26"/>
      <c r="F125" s="26"/>
      <c r="G125" s="26"/>
      <c r="H125" s="20">
        <f t="shared" si="31"/>
        <v>116394250.04000001</v>
      </c>
      <c r="I125" s="16"/>
      <c r="J125" s="20">
        <f t="shared" si="30"/>
        <v>116394250.04000001</v>
      </c>
      <c r="K125" s="20">
        <v>82134238</v>
      </c>
      <c r="L125" s="20">
        <f t="shared" si="28"/>
        <v>-34260012.040000007</v>
      </c>
      <c r="M125" s="21">
        <f t="shared" si="29"/>
        <v>0.70565545954180531</v>
      </c>
    </row>
    <row r="126" spans="1:13" s="34" customFormat="1" ht="15" hidden="1" outlineLevel="2" x14ac:dyDescent="0.25">
      <c r="A126" s="33" t="str">
        <f>+'[8]Presupuesto 2018 vs 2017'!$B$16</f>
        <v>Control y monitoreo de PRRS</v>
      </c>
      <c r="B126" s="26"/>
      <c r="C126" s="20">
        <f>+[7]General!$G$20</f>
        <v>9500000</v>
      </c>
      <c r="D126" s="26"/>
      <c r="F126" s="26"/>
      <c r="G126" s="26"/>
      <c r="H126" s="20">
        <f t="shared" si="31"/>
        <v>9500000</v>
      </c>
      <c r="I126" s="26"/>
      <c r="J126" s="20">
        <f>+H126+I126</f>
        <v>9500000</v>
      </c>
      <c r="K126" s="20">
        <v>3419227</v>
      </c>
      <c r="L126" s="20">
        <f t="shared" si="28"/>
        <v>-6080773</v>
      </c>
      <c r="M126" s="21">
        <f t="shared" si="29"/>
        <v>0.35991863157894738</v>
      </c>
    </row>
    <row r="127" spans="1:13" s="34" customFormat="1" ht="15" hidden="1" outlineLevel="2" x14ac:dyDescent="0.25">
      <c r="A127" s="33" t="str">
        <f>+'[8]Presupuesto 2018 vs 2017'!$B$19</f>
        <v>Divulgación sanitaria</v>
      </c>
      <c r="B127" s="26"/>
      <c r="C127" s="20">
        <f>+[7]General!$G$21</f>
        <v>9000000</v>
      </c>
      <c r="D127" s="26"/>
      <c r="F127" s="26"/>
      <c r="G127" s="26"/>
      <c r="H127" s="20">
        <f t="shared" si="31"/>
        <v>9000000</v>
      </c>
      <c r="I127" s="26"/>
      <c r="J127" s="20">
        <f>+H127+I127</f>
        <v>9000000</v>
      </c>
      <c r="K127" s="20">
        <v>4721740</v>
      </c>
      <c r="L127" s="20">
        <f t="shared" si="28"/>
        <v>-4278260</v>
      </c>
      <c r="M127" s="21">
        <f t="shared" si="29"/>
        <v>0.52463777777777776</v>
      </c>
    </row>
    <row r="128" spans="1:13" s="34" customFormat="1" ht="15" collapsed="1" x14ac:dyDescent="0.25">
      <c r="A128" s="31" t="s">
        <v>128</v>
      </c>
      <c r="B128" s="39"/>
      <c r="C128" s="26">
        <f>SUM(C129:C130)</f>
        <v>371551990.62153465</v>
      </c>
      <c r="D128" s="26"/>
      <c r="E128" s="26"/>
      <c r="F128" s="26"/>
      <c r="G128" s="26"/>
      <c r="H128" s="16">
        <f>+B128+C128+D128+G128+E128+F128</f>
        <v>371551990.62153465</v>
      </c>
      <c r="I128" s="16"/>
      <c r="J128" s="26">
        <f>SUM(J129:J130)</f>
        <v>371551990.62153465</v>
      </c>
      <c r="K128" s="26">
        <f>SUM(K129:K130)</f>
        <v>345160500</v>
      </c>
      <c r="L128" s="26">
        <f t="shared" si="28"/>
        <v>-26391490.621534646</v>
      </c>
      <c r="M128" s="17">
        <f t="shared" si="29"/>
        <v>0.92896958894665915</v>
      </c>
    </row>
    <row r="129" spans="1:13" s="34" customFormat="1" ht="15" hidden="1" outlineLevel="1" x14ac:dyDescent="0.25">
      <c r="A129" s="33" t="s">
        <v>129</v>
      </c>
      <c r="B129" s="39"/>
      <c r="C129" s="20">
        <f>+[7]General!$G$23</f>
        <v>237738962.62153465</v>
      </c>
      <c r="D129" s="26"/>
      <c r="E129" s="26"/>
      <c r="F129" s="26"/>
      <c r="G129" s="26"/>
      <c r="H129" s="20">
        <f t="shared" si="31"/>
        <v>237738962.62153465</v>
      </c>
      <c r="I129" s="16"/>
      <c r="J129" s="20">
        <f t="shared" si="30"/>
        <v>237738962.62153465</v>
      </c>
      <c r="K129" s="20">
        <v>232933880</v>
      </c>
      <c r="L129" s="20">
        <f t="shared" si="28"/>
        <v>-4805082.6215346456</v>
      </c>
      <c r="M129" s="21">
        <f t="shared" si="29"/>
        <v>0.97978840923444244</v>
      </c>
    </row>
    <row r="130" spans="1:13" s="34" customFormat="1" ht="15" hidden="1" outlineLevel="1" x14ac:dyDescent="0.25">
      <c r="A130" s="33" t="s">
        <v>130</v>
      </c>
      <c r="B130" s="39"/>
      <c r="C130" s="20">
        <f>+[7]General!$G$24</f>
        <v>133813028</v>
      </c>
      <c r="D130" s="26"/>
      <c r="E130" s="26"/>
      <c r="F130" s="26"/>
      <c r="G130" s="26"/>
      <c r="H130" s="20">
        <f t="shared" si="31"/>
        <v>133813028</v>
      </c>
      <c r="I130" s="16"/>
      <c r="J130" s="20">
        <f t="shared" si="30"/>
        <v>133813028</v>
      </c>
      <c r="K130" s="20">
        <v>112226620</v>
      </c>
      <c r="L130" s="20">
        <f t="shared" si="28"/>
        <v>-21586408</v>
      </c>
      <c r="M130" s="21">
        <f t="shared" si="29"/>
        <v>0.83868231425119533</v>
      </c>
    </row>
    <row r="131" spans="1:13" s="34" customFormat="1" ht="15" collapsed="1" x14ac:dyDescent="0.25">
      <c r="A131" s="31" t="s">
        <v>131</v>
      </c>
      <c r="B131" s="39"/>
      <c r="C131" s="26">
        <f>SUM(C132:C133)</f>
        <v>27454027.496799998</v>
      </c>
      <c r="D131" s="26"/>
      <c r="E131" s="26"/>
      <c r="F131" s="26"/>
      <c r="G131" s="26"/>
      <c r="H131" s="16">
        <f>+B131+C131+D131+G131+E131+F131</f>
        <v>27454027.496799998</v>
      </c>
      <c r="I131" s="16"/>
      <c r="J131" s="26">
        <f>SUM(J132:J133)</f>
        <v>27454027.496799998</v>
      </c>
      <c r="K131" s="26">
        <f>SUM(K132:K133)</f>
        <v>26256460</v>
      </c>
      <c r="L131" s="26">
        <f t="shared" si="28"/>
        <v>-1197567.496799998</v>
      </c>
      <c r="M131" s="17">
        <f t="shared" si="29"/>
        <v>0.95637916888734864</v>
      </c>
    </row>
    <row r="132" spans="1:13" s="34" customFormat="1" ht="15" hidden="1" outlineLevel="1" x14ac:dyDescent="0.25">
      <c r="A132" s="33" t="s">
        <v>132</v>
      </c>
      <c r="B132" s="39"/>
      <c r="C132" s="20">
        <f>+[7]General!$G$26</f>
        <v>8843223.4967999998</v>
      </c>
      <c r="D132" s="26"/>
      <c r="E132" s="26"/>
      <c r="F132" s="26"/>
      <c r="G132" s="26"/>
      <c r="H132" s="20">
        <f t="shared" si="31"/>
        <v>8843223.4967999998</v>
      </c>
      <c r="I132" s="16"/>
      <c r="J132" s="20">
        <f t="shared" si="30"/>
        <v>8843223.4967999998</v>
      </c>
      <c r="K132" s="20">
        <v>8300308</v>
      </c>
      <c r="L132" s="20">
        <f t="shared" si="28"/>
        <v>-542915.49679999985</v>
      </c>
      <c r="M132" s="21">
        <f t="shared" si="29"/>
        <v>0.9386066068559209</v>
      </c>
    </row>
    <row r="133" spans="1:13" s="34" customFormat="1" ht="15" hidden="1" outlineLevel="1" x14ac:dyDescent="0.25">
      <c r="A133" s="33" t="s">
        <v>133</v>
      </c>
      <c r="B133" s="39"/>
      <c r="C133" s="20">
        <f>+[7]General!$G$27</f>
        <v>18610804</v>
      </c>
      <c r="D133" s="26"/>
      <c r="E133" s="26"/>
      <c r="F133" s="26"/>
      <c r="G133" s="26"/>
      <c r="H133" s="20">
        <f>+B133+C133+D133+G133+E133+F133</f>
        <v>18610804</v>
      </c>
      <c r="I133" s="16"/>
      <c r="J133" s="20">
        <f>+H133+I133</f>
        <v>18610804</v>
      </c>
      <c r="K133" s="20">
        <v>17956152</v>
      </c>
      <c r="L133" s="20">
        <f t="shared" si="28"/>
        <v>-654652</v>
      </c>
      <c r="M133" s="21">
        <f t="shared" si="29"/>
        <v>0.96482408820167043</v>
      </c>
    </row>
    <row r="134" spans="1:13" s="34" customFormat="1" ht="15" collapsed="1" x14ac:dyDescent="0.25">
      <c r="A134" s="31" t="s">
        <v>134</v>
      </c>
      <c r="B134" s="39"/>
      <c r="C134" s="16">
        <f>+C135+C136+C137+C145</f>
        <v>435496154.12080002</v>
      </c>
      <c r="D134" s="26"/>
      <c r="E134" s="26"/>
      <c r="F134" s="26"/>
      <c r="G134" s="26"/>
      <c r="H134" s="16">
        <f>+H135+H136+H137+H145</f>
        <v>435496154.12080002</v>
      </c>
      <c r="I134" s="26"/>
      <c r="J134" s="16">
        <f>+J135+J137+J145+J136</f>
        <v>435496154.12080002</v>
      </c>
      <c r="K134" s="16">
        <f>+K135+K137+K145+K136</f>
        <v>211755465</v>
      </c>
      <c r="L134" s="16">
        <f t="shared" si="28"/>
        <v>-223740689.12080002</v>
      </c>
      <c r="M134" s="17">
        <f t="shared" si="29"/>
        <v>0.48623957524378564</v>
      </c>
    </row>
    <row r="135" spans="1:13" s="34" customFormat="1" ht="15" hidden="1" outlineLevel="1" x14ac:dyDescent="0.25">
      <c r="A135" s="33" t="s">
        <v>135</v>
      </c>
      <c r="B135" s="39"/>
      <c r="C135" s="19">
        <f>+[7]General!$G$29</f>
        <v>87673626.506400004</v>
      </c>
      <c r="D135" s="26"/>
      <c r="E135" s="26"/>
      <c r="F135" s="26"/>
      <c r="G135" s="26"/>
      <c r="H135" s="20">
        <f>+B135+C135+D135+G135+E135+F135</f>
        <v>87673626.506400004</v>
      </c>
      <c r="I135" s="26"/>
      <c r="J135" s="20">
        <f t="shared" ref="J135:J145" si="32">+H135+I135</f>
        <v>87673626.506400004</v>
      </c>
      <c r="K135" s="20">
        <v>39762344.000000007</v>
      </c>
      <c r="L135" s="20">
        <f t="shared" si="28"/>
        <v>-47911282.506399997</v>
      </c>
      <c r="M135" s="21">
        <f t="shared" si="29"/>
        <v>0.45352685390625919</v>
      </c>
    </row>
    <row r="136" spans="1:13" s="34" customFormat="1" ht="15" hidden="1" outlineLevel="1" x14ac:dyDescent="0.25">
      <c r="A136" s="33" t="s">
        <v>136</v>
      </c>
      <c r="B136" s="39"/>
      <c r="C136" s="19">
        <f>+[7]General!$G$30</f>
        <v>41738757.614399999</v>
      </c>
      <c r="D136" s="26"/>
      <c r="E136" s="26"/>
      <c r="F136" s="26"/>
      <c r="G136" s="26"/>
      <c r="H136" s="20">
        <f>+B136+C136+D136+G136+E136+F136</f>
        <v>41738757.614399999</v>
      </c>
      <c r="I136" s="26"/>
      <c r="J136" s="20">
        <f t="shared" si="32"/>
        <v>41738757.614399999</v>
      </c>
      <c r="K136" s="20">
        <v>18960987</v>
      </c>
      <c r="L136" s="20">
        <f t="shared" si="28"/>
        <v>-22777770.614399999</v>
      </c>
      <c r="M136" s="21">
        <f t="shared" si="29"/>
        <v>0.45427770455387012</v>
      </c>
    </row>
    <row r="137" spans="1:13" s="34" customFormat="1" ht="15" hidden="1" outlineLevel="1" x14ac:dyDescent="0.25">
      <c r="A137" s="33" t="s">
        <v>137</v>
      </c>
      <c r="B137" s="39"/>
      <c r="C137" s="16">
        <f>+C138+C141</f>
        <v>146000000</v>
      </c>
      <c r="D137" s="26"/>
      <c r="E137" s="26"/>
      <c r="F137" s="26"/>
      <c r="G137" s="26"/>
      <c r="H137" s="16">
        <f>+H138+H141</f>
        <v>146000000</v>
      </c>
      <c r="I137" s="16"/>
      <c r="J137" s="16">
        <f t="shared" si="32"/>
        <v>146000000</v>
      </c>
      <c r="K137" s="16">
        <f>+K138+K141</f>
        <v>610240</v>
      </c>
      <c r="L137" s="16">
        <f t="shared" si="28"/>
        <v>-145389760</v>
      </c>
      <c r="M137" s="17">
        <f t="shared" si="29"/>
        <v>4.1797260273972606E-3</v>
      </c>
    </row>
    <row r="138" spans="1:13" s="34" customFormat="1" ht="15" hidden="1" outlineLevel="2" x14ac:dyDescent="0.25">
      <c r="A138" s="33" t="s">
        <v>138</v>
      </c>
      <c r="B138" s="39"/>
      <c r="C138" s="16">
        <f>SUM(C139:C140)</f>
        <v>70000000</v>
      </c>
      <c r="D138" s="26"/>
      <c r="E138" s="26"/>
      <c r="F138" s="26"/>
      <c r="G138" s="26"/>
      <c r="H138" s="16">
        <f>SUM(H139:H140)</f>
        <v>70000000</v>
      </c>
      <c r="I138" s="16"/>
      <c r="J138" s="16">
        <f t="shared" si="32"/>
        <v>70000000</v>
      </c>
      <c r="K138" s="16">
        <f>+K139+K140</f>
        <v>0</v>
      </c>
      <c r="L138" s="16">
        <f t="shared" si="28"/>
        <v>-70000000</v>
      </c>
      <c r="M138" s="17">
        <f t="shared" si="29"/>
        <v>0</v>
      </c>
    </row>
    <row r="139" spans="1:13" s="34" customFormat="1" ht="15" hidden="1" outlineLevel="2" x14ac:dyDescent="0.25">
      <c r="A139" s="33" t="s">
        <v>139</v>
      </c>
      <c r="B139" s="39"/>
      <c r="C139" s="19"/>
      <c r="D139" s="26"/>
      <c r="E139" s="26"/>
      <c r="F139" s="26"/>
      <c r="G139" s="26"/>
      <c r="H139" s="20">
        <f>+B139+C139+D139+G139+E139+F139</f>
        <v>0</v>
      </c>
      <c r="I139" s="26"/>
      <c r="J139" s="20">
        <f>+H139+I139</f>
        <v>0</v>
      </c>
      <c r="K139" s="20"/>
      <c r="L139" s="20">
        <f t="shared" si="28"/>
        <v>0</v>
      </c>
      <c r="M139" s="21">
        <v>0</v>
      </c>
    </row>
    <row r="140" spans="1:13" s="34" customFormat="1" ht="15" hidden="1" outlineLevel="2" x14ac:dyDescent="0.25">
      <c r="A140" s="33" t="s">
        <v>140</v>
      </c>
      <c r="B140" s="39"/>
      <c r="C140" s="19">
        <f>+[7]General!$G$33</f>
        <v>70000000</v>
      </c>
      <c r="D140" s="26"/>
      <c r="E140" s="26"/>
      <c r="F140" s="26"/>
      <c r="G140" s="26"/>
      <c r="H140" s="20">
        <f>+B140+C140+D140+G140+E140+F140</f>
        <v>70000000</v>
      </c>
      <c r="I140" s="26"/>
      <c r="J140" s="20">
        <f>+H140+I140</f>
        <v>70000000</v>
      </c>
      <c r="K140" s="20">
        <v>0</v>
      </c>
      <c r="L140" s="20">
        <f t="shared" si="28"/>
        <v>-70000000</v>
      </c>
      <c r="M140" s="21">
        <f t="shared" si="29"/>
        <v>0</v>
      </c>
    </row>
    <row r="141" spans="1:13" s="34" customFormat="1" ht="15" hidden="1" outlineLevel="2" x14ac:dyDescent="0.25">
      <c r="A141" s="33" t="s">
        <v>141</v>
      </c>
      <c r="B141" s="39"/>
      <c r="C141" s="16">
        <f>SUM(C142:C144)</f>
        <v>76000000</v>
      </c>
      <c r="D141" s="26"/>
      <c r="E141" s="26"/>
      <c r="F141" s="26"/>
      <c r="G141" s="26"/>
      <c r="H141" s="16">
        <f>SUM(H142:H144)</f>
        <v>76000000</v>
      </c>
      <c r="I141" s="16"/>
      <c r="J141" s="16">
        <f>+H141+I141</f>
        <v>76000000</v>
      </c>
      <c r="K141" s="16">
        <f>+K142</f>
        <v>610240</v>
      </c>
      <c r="L141" s="16">
        <f t="shared" si="28"/>
        <v>-75389760</v>
      </c>
      <c r="M141" s="17">
        <f t="shared" si="29"/>
        <v>8.0294736842105256E-3</v>
      </c>
    </row>
    <row r="142" spans="1:13" s="34" customFormat="1" ht="15" hidden="1" outlineLevel="2" x14ac:dyDescent="0.25">
      <c r="A142" s="33" t="s">
        <v>142</v>
      </c>
      <c r="B142" s="39"/>
      <c r="C142" s="19"/>
      <c r="D142" s="26"/>
      <c r="E142" s="26"/>
      <c r="F142" s="26"/>
      <c r="G142" s="26"/>
      <c r="H142" s="20">
        <f>+B142+C142+D142+G142+E142+F142</f>
        <v>0</v>
      </c>
      <c r="I142" s="26"/>
      <c r="J142" s="20">
        <f>+H142+I142</f>
        <v>0</v>
      </c>
      <c r="K142" s="20">
        <f>+K143+K144</f>
        <v>610240</v>
      </c>
      <c r="L142" s="20">
        <f t="shared" si="28"/>
        <v>610240</v>
      </c>
      <c r="M142" s="21">
        <v>0</v>
      </c>
    </row>
    <row r="143" spans="1:13" s="34" customFormat="1" ht="15" hidden="1" outlineLevel="2" x14ac:dyDescent="0.25">
      <c r="A143" s="33" t="s">
        <v>143</v>
      </c>
      <c r="B143" s="39"/>
      <c r="C143" s="19">
        <f>+[7]General!$G$34</f>
        <v>76000000</v>
      </c>
      <c r="D143" s="26"/>
      <c r="E143" s="26"/>
      <c r="F143" s="26"/>
      <c r="G143" s="26"/>
      <c r="H143" s="20">
        <f>+B143+C143+D143+G143+E143+F143</f>
        <v>76000000</v>
      </c>
      <c r="I143" s="26"/>
      <c r="J143" s="20">
        <f t="shared" si="32"/>
        <v>76000000</v>
      </c>
      <c r="K143" s="20">
        <v>610240</v>
      </c>
      <c r="L143" s="20">
        <f t="shared" si="28"/>
        <v>-75389760</v>
      </c>
      <c r="M143" s="21">
        <f t="shared" si="29"/>
        <v>8.0294736842105256E-3</v>
      </c>
    </row>
    <row r="144" spans="1:13" s="34" customFormat="1" ht="15" hidden="1" outlineLevel="2" x14ac:dyDescent="0.25">
      <c r="A144" s="33" t="s">
        <v>144</v>
      </c>
      <c r="B144" s="39"/>
      <c r="C144" s="19"/>
      <c r="D144" s="26"/>
      <c r="E144" s="26"/>
      <c r="F144" s="26"/>
      <c r="G144" s="26"/>
      <c r="H144" s="20">
        <f>+B144+C144+D144+G144+E144+F144</f>
        <v>0</v>
      </c>
      <c r="I144" s="26"/>
      <c r="J144" s="20">
        <f>+H144+I144</f>
        <v>0</v>
      </c>
      <c r="K144" s="20"/>
      <c r="L144" s="20">
        <f t="shared" si="28"/>
        <v>0</v>
      </c>
      <c r="M144" s="21">
        <v>0</v>
      </c>
    </row>
    <row r="145" spans="1:13" s="34" customFormat="1" ht="15" hidden="1" outlineLevel="1" x14ac:dyDescent="0.25">
      <c r="A145" s="33" t="s">
        <v>145</v>
      </c>
      <c r="B145" s="39"/>
      <c r="C145" s="20">
        <f>+[7]General!$G$31</f>
        <v>160083770</v>
      </c>
      <c r="D145" s="26"/>
      <c r="E145" s="26"/>
      <c r="F145" s="26"/>
      <c r="G145" s="26"/>
      <c r="H145" s="20">
        <f>+B145+C145+D145+G145+E145+F145</f>
        <v>160083770</v>
      </c>
      <c r="I145" s="26"/>
      <c r="J145" s="20">
        <f t="shared" si="32"/>
        <v>160083770</v>
      </c>
      <c r="K145" s="20">
        <v>152421894</v>
      </c>
      <c r="L145" s="20">
        <f t="shared" si="28"/>
        <v>-7661876</v>
      </c>
      <c r="M145" s="21">
        <f t="shared" si="29"/>
        <v>0.95213833357372835</v>
      </c>
    </row>
    <row r="146" spans="1:13" s="34" customFormat="1" ht="15" collapsed="1" x14ac:dyDescent="0.25">
      <c r="A146" s="33"/>
      <c r="B146" s="39"/>
      <c r="C146" s="26"/>
      <c r="D146" s="26"/>
      <c r="E146" s="26"/>
      <c r="F146" s="26"/>
      <c r="G146" s="26"/>
      <c r="H146" s="20"/>
      <c r="I146" s="26"/>
      <c r="J146" s="20"/>
      <c r="K146" s="20"/>
      <c r="L146" s="20"/>
      <c r="M146" s="21"/>
    </row>
    <row r="147" spans="1:13" s="34" customFormat="1" ht="15" x14ac:dyDescent="0.25">
      <c r="A147" s="31" t="s">
        <v>146</v>
      </c>
      <c r="B147" s="39"/>
      <c r="C147" s="26"/>
      <c r="D147" s="26">
        <f>+D148+D152+D166</f>
        <v>673800250</v>
      </c>
      <c r="E147" s="26"/>
      <c r="F147" s="26"/>
      <c r="G147" s="26"/>
      <c r="H147" s="26">
        <f>+H148+H152+H166</f>
        <v>673800250</v>
      </c>
      <c r="I147" s="26"/>
      <c r="J147" s="16">
        <f>+H147+I147</f>
        <v>673800250</v>
      </c>
      <c r="K147" s="16">
        <f>+K148+K152+K166</f>
        <v>499574075</v>
      </c>
      <c r="L147" s="16">
        <f t="shared" ref="L147:L176" si="33">+K147-J147</f>
        <v>-174226175</v>
      </c>
      <c r="M147" s="17">
        <f t="shared" ref="M147:M176" si="34">+K147/J147</f>
        <v>0.7414275595771892</v>
      </c>
    </row>
    <row r="148" spans="1:13" s="34" customFormat="1" ht="15" x14ac:dyDescent="0.25">
      <c r="A148" s="31" t="s">
        <v>147</v>
      </c>
      <c r="B148" s="26"/>
      <c r="C148" s="26"/>
      <c r="D148" s="26">
        <f>SUM(D149:D151)</f>
        <v>205000000</v>
      </c>
      <c r="E148" s="26"/>
      <c r="F148" s="26"/>
      <c r="G148" s="26"/>
      <c r="H148" s="26">
        <f>SUM(H149:H151)</f>
        <v>205000000</v>
      </c>
      <c r="I148" s="26"/>
      <c r="J148" s="26">
        <f>SUM(J149:J151)</f>
        <v>205000000</v>
      </c>
      <c r="K148" s="26">
        <f>SUM(K149:K151)</f>
        <v>164562124</v>
      </c>
      <c r="L148" s="26">
        <f t="shared" si="33"/>
        <v>-40437876</v>
      </c>
      <c r="M148" s="17">
        <f t="shared" si="34"/>
        <v>0.80274206829268291</v>
      </c>
    </row>
    <row r="149" spans="1:13" s="34" customFormat="1" ht="15" hidden="1" outlineLevel="1" x14ac:dyDescent="0.25">
      <c r="A149" s="33" t="s">
        <v>148</v>
      </c>
      <c r="B149" s="26"/>
      <c r="C149" s="26"/>
      <c r="D149" s="20">
        <f>+[9]General!$G$22</f>
        <v>200000000</v>
      </c>
      <c r="E149" s="26"/>
      <c r="F149" s="26"/>
      <c r="G149" s="26"/>
      <c r="H149" s="19">
        <f>+B149+C149+D149+G149+E149+F149</f>
        <v>200000000</v>
      </c>
      <c r="I149" s="26"/>
      <c r="J149" s="20">
        <f>+H149+I149</f>
        <v>200000000</v>
      </c>
      <c r="K149" s="20">
        <v>159649355</v>
      </c>
      <c r="L149" s="20">
        <f t="shared" si="33"/>
        <v>-40350645</v>
      </c>
      <c r="M149" s="21">
        <f t="shared" si="34"/>
        <v>0.79824677499999996</v>
      </c>
    </row>
    <row r="150" spans="1:13" s="34" customFormat="1" ht="15" hidden="1" outlineLevel="1" x14ac:dyDescent="0.25">
      <c r="A150" s="33" t="s">
        <v>149</v>
      </c>
      <c r="B150" s="26"/>
      <c r="C150" s="26"/>
      <c r="D150" s="20">
        <f>+[9]General!$G$23</f>
        <v>5000000</v>
      </c>
      <c r="E150" s="26"/>
      <c r="F150" s="26"/>
      <c r="G150" s="26"/>
      <c r="H150" s="19">
        <f>+B150+C150+D150+G150+E150+F150</f>
        <v>5000000</v>
      </c>
      <c r="I150" s="26"/>
      <c r="J150" s="20">
        <f>+H150+I150</f>
        <v>5000000</v>
      </c>
      <c r="K150" s="20">
        <v>4912769</v>
      </c>
      <c r="L150" s="20">
        <f t="shared" si="33"/>
        <v>-87231</v>
      </c>
      <c r="M150" s="21">
        <f t="shared" si="34"/>
        <v>0.98255380000000003</v>
      </c>
    </row>
    <row r="151" spans="1:13" s="34" customFormat="1" ht="15" hidden="1" outlineLevel="1" x14ac:dyDescent="0.25">
      <c r="A151" s="33" t="s">
        <v>150</v>
      </c>
      <c r="B151" s="26"/>
      <c r="C151" s="26"/>
      <c r="D151" s="20"/>
      <c r="E151" s="26"/>
      <c r="F151" s="26"/>
      <c r="G151" s="26"/>
      <c r="H151" s="19">
        <f>+B151+C151+D151+G151+E151+F151</f>
        <v>0</v>
      </c>
      <c r="I151" s="26"/>
      <c r="J151" s="20">
        <f>+H151+I151</f>
        <v>0</v>
      </c>
      <c r="K151" s="20">
        <v>0</v>
      </c>
      <c r="L151" s="20">
        <f t="shared" si="33"/>
        <v>0</v>
      </c>
      <c r="M151" s="21">
        <v>0</v>
      </c>
    </row>
    <row r="152" spans="1:13" s="34" customFormat="1" ht="15" collapsed="1" x14ac:dyDescent="0.25">
      <c r="A152" s="31" t="s">
        <v>151</v>
      </c>
      <c r="B152" s="26"/>
      <c r="C152" s="26"/>
      <c r="D152" s="26">
        <f>+D153+D162</f>
        <v>259200250</v>
      </c>
      <c r="E152" s="26"/>
      <c r="F152" s="26"/>
      <c r="G152" s="26"/>
      <c r="H152" s="26">
        <f>+H153+H162</f>
        <v>259200250</v>
      </c>
      <c r="I152" s="26"/>
      <c r="J152" s="26">
        <f>+J153+J162</f>
        <v>259200250</v>
      </c>
      <c r="K152" s="26">
        <f>+K153+K162</f>
        <v>175372973</v>
      </c>
      <c r="L152" s="26">
        <f t="shared" si="33"/>
        <v>-83827277</v>
      </c>
      <c r="M152" s="17">
        <f t="shared" si="34"/>
        <v>0.67659260745311778</v>
      </c>
    </row>
    <row r="153" spans="1:13" s="34" customFormat="1" ht="15" hidden="1" outlineLevel="1" x14ac:dyDescent="0.25">
      <c r="A153" s="31" t="s">
        <v>152</v>
      </c>
      <c r="B153" s="26"/>
      <c r="C153" s="26"/>
      <c r="D153" s="26">
        <f>SUM(D154:D161)</f>
        <v>202200000</v>
      </c>
      <c r="E153" s="26"/>
      <c r="F153" s="26"/>
      <c r="G153" s="26"/>
      <c r="H153" s="26">
        <f>SUM(H154:H161)</f>
        <v>202200000</v>
      </c>
      <c r="I153" s="26"/>
      <c r="J153" s="26">
        <f>SUM(J154:J161)</f>
        <v>202200000</v>
      </c>
      <c r="K153" s="26">
        <f>SUM(K154:K161)</f>
        <v>119469463</v>
      </c>
      <c r="L153" s="26">
        <f t="shared" si="33"/>
        <v>-82730537</v>
      </c>
      <c r="M153" s="17">
        <f t="shared" si="34"/>
        <v>0.59084798714144415</v>
      </c>
    </row>
    <row r="154" spans="1:13" s="34" customFormat="1" ht="15" hidden="1" outlineLevel="2" x14ac:dyDescent="0.25">
      <c r="A154" s="33" t="str">
        <f>+[10]Hoja1!$A$23</f>
        <v>Gira técnica</v>
      </c>
      <c r="B154" s="26"/>
      <c r="C154" s="26"/>
      <c r="D154" s="42">
        <f>+[9]General!$G$26-20500000</f>
        <v>34500000</v>
      </c>
      <c r="E154" s="26"/>
      <c r="F154" s="26"/>
      <c r="G154" s="26"/>
      <c r="H154" s="19">
        <f t="shared" ref="H154:H161" si="35">+B154+C154+D154+G154+E154+F154</f>
        <v>34500000</v>
      </c>
      <c r="I154" s="26"/>
      <c r="J154" s="20">
        <f t="shared" ref="J154:J161" si="36">+H154+I154</f>
        <v>34500000</v>
      </c>
      <c r="K154" s="20">
        <v>0</v>
      </c>
      <c r="L154" s="20">
        <f t="shared" si="33"/>
        <v>-34500000</v>
      </c>
      <c r="M154" s="21">
        <f t="shared" si="34"/>
        <v>0</v>
      </c>
    </row>
    <row r="155" spans="1:13" s="34" customFormat="1" ht="15" hidden="1" outlineLevel="2" x14ac:dyDescent="0.25">
      <c r="A155" s="33" t="str">
        <f>+[10]Hoja1!$A$24</f>
        <v>Capacitación en desposte y transformación de la carne de cerdo</v>
      </c>
      <c r="B155" s="26"/>
      <c r="C155" s="26"/>
      <c r="D155" s="42">
        <f>+[9]General!$G$27</f>
        <v>21000000</v>
      </c>
      <c r="E155" s="26"/>
      <c r="F155" s="26"/>
      <c r="G155" s="26"/>
      <c r="H155" s="19">
        <f t="shared" si="35"/>
        <v>21000000</v>
      </c>
      <c r="I155" s="26"/>
      <c r="J155" s="20">
        <f t="shared" si="36"/>
        <v>21000000</v>
      </c>
      <c r="K155" s="20">
        <v>20561588</v>
      </c>
      <c r="L155" s="20">
        <f t="shared" si="33"/>
        <v>-438412</v>
      </c>
      <c r="M155" s="21">
        <f t="shared" si="34"/>
        <v>0.97912323809523805</v>
      </c>
    </row>
    <row r="156" spans="1:13" s="34" customFormat="1" ht="15" hidden="1" outlineLevel="2" x14ac:dyDescent="0.25">
      <c r="A156" s="33" t="str">
        <f>+[10]Hoja1!$A$28</f>
        <v>Campus virtual</v>
      </c>
      <c r="B156" s="26"/>
      <c r="C156" s="26"/>
      <c r="D156" s="42">
        <f>+[9]General!$G$28</f>
        <v>10200000</v>
      </c>
      <c r="E156" s="26"/>
      <c r="F156" s="26"/>
      <c r="G156" s="26"/>
      <c r="H156" s="19">
        <f t="shared" si="35"/>
        <v>10200000</v>
      </c>
      <c r="I156" s="26"/>
      <c r="J156" s="20">
        <f t="shared" si="36"/>
        <v>10200000</v>
      </c>
      <c r="K156" s="20">
        <v>10200000</v>
      </c>
      <c r="L156" s="20">
        <f t="shared" si="33"/>
        <v>0</v>
      </c>
      <c r="M156" s="21">
        <f t="shared" si="34"/>
        <v>1</v>
      </c>
    </row>
    <row r="157" spans="1:13" s="34" customFormat="1" ht="15" hidden="1" outlineLevel="2" x14ac:dyDescent="0.25">
      <c r="A157" s="33" t="str">
        <f>+[10]Hoja1!$A$30</f>
        <v>Encuentros regionales porcicolas</v>
      </c>
      <c r="B157" s="26"/>
      <c r="C157" s="26"/>
      <c r="D157" s="20">
        <f>+[9]General!$G$29+20500000</f>
        <v>81500000</v>
      </c>
      <c r="E157" s="26"/>
      <c r="F157" s="26"/>
      <c r="G157" s="26"/>
      <c r="H157" s="19">
        <f>+B157+C157+D157+G157+E157+F157</f>
        <v>81500000</v>
      </c>
      <c r="I157" s="26"/>
      <c r="J157" s="20">
        <f>+H157+I157</f>
        <v>81500000</v>
      </c>
      <c r="K157" s="20">
        <v>76949150</v>
      </c>
      <c r="L157" s="20">
        <f t="shared" si="33"/>
        <v>-4550850</v>
      </c>
      <c r="M157" s="21">
        <f t="shared" si="34"/>
        <v>0.94416134969325149</v>
      </c>
    </row>
    <row r="158" spans="1:13" s="34" customFormat="1" ht="15" hidden="1" outlineLevel="2" x14ac:dyDescent="0.25">
      <c r="A158" s="33" t="s">
        <v>153</v>
      </c>
      <c r="B158" s="26"/>
      <c r="C158" s="26"/>
      <c r="D158" s="20">
        <f>+[9]General!$G$30</f>
        <v>13000000</v>
      </c>
      <c r="E158" s="26"/>
      <c r="F158" s="26"/>
      <c r="G158" s="26"/>
      <c r="H158" s="19">
        <f t="shared" si="35"/>
        <v>13000000</v>
      </c>
      <c r="I158" s="26"/>
      <c r="J158" s="20">
        <f t="shared" si="36"/>
        <v>13000000</v>
      </c>
      <c r="K158" s="20">
        <v>11758725</v>
      </c>
      <c r="L158" s="20">
        <f t="shared" si="33"/>
        <v>-1241275</v>
      </c>
      <c r="M158" s="21">
        <f t="shared" si="34"/>
        <v>0.90451730769230765</v>
      </c>
    </row>
    <row r="159" spans="1:13" s="34" customFormat="1" ht="15" hidden="1" outlineLevel="2" x14ac:dyDescent="0.25">
      <c r="A159" s="33" t="s">
        <v>154</v>
      </c>
      <c r="B159" s="26"/>
      <c r="C159" s="26"/>
      <c r="D159" s="20"/>
      <c r="E159" s="26"/>
      <c r="F159" s="26"/>
      <c r="G159" s="26"/>
      <c r="H159" s="19">
        <f t="shared" si="35"/>
        <v>0</v>
      </c>
      <c r="I159" s="26"/>
      <c r="J159" s="20">
        <f t="shared" si="36"/>
        <v>0</v>
      </c>
      <c r="K159" s="20">
        <v>0</v>
      </c>
      <c r="L159" s="20">
        <f t="shared" si="33"/>
        <v>0</v>
      </c>
      <c r="M159" s="21">
        <v>0</v>
      </c>
    </row>
    <row r="160" spans="1:13" s="34" customFormat="1" ht="15" hidden="1" outlineLevel="2" x14ac:dyDescent="0.25">
      <c r="A160" s="33" t="s">
        <v>155</v>
      </c>
      <c r="B160" s="26"/>
      <c r="C160" s="26"/>
      <c r="D160" s="20">
        <f>+[9]General!$G$32</f>
        <v>42000000</v>
      </c>
      <c r="E160" s="26"/>
      <c r="F160" s="26"/>
      <c r="G160" s="26"/>
      <c r="H160" s="19">
        <f>+B160+C160+D160+G160+E160+F160</f>
        <v>42000000</v>
      </c>
      <c r="I160" s="26"/>
      <c r="J160" s="20">
        <f>+H160+I160</f>
        <v>42000000</v>
      </c>
      <c r="K160" s="20">
        <v>0</v>
      </c>
      <c r="L160" s="20">
        <f t="shared" si="33"/>
        <v>-42000000</v>
      </c>
      <c r="M160" s="21">
        <f t="shared" si="34"/>
        <v>0</v>
      </c>
    </row>
    <row r="161" spans="1:13" s="34" customFormat="1" ht="15" hidden="1" outlineLevel="2" x14ac:dyDescent="0.25">
      <c r="A161" s="33" t="s">
        <v>156</v>
      </c>
      <c r="B161" s="26"/>
      <c r="C161" s="26"/>
      <c r="D161" s="20"/>
      <c r="E161" s="26"/>
      <c r="F161" s="26"/>
      <c r="G161" s="26"/>
      <c r="H161" s="19">
        <f t="shared" si="35"/>
        <v>0</v>
      </c>
      <c r="I161" s="26"/>
      <c r="J161" s="20">
        <f t="shared" si="36"/>
        <v>0</v>
      </c>
      <c r="K161" s="20">
        <v>0</v>
      </c>
      <c r="L161" s="20">
        <f t="shared" si="33"/>
        <v>0</v>
      </c>
      <c r="M161" s="21">
        <v>0</v>
      </c>
    </row>
    <row r="162" spans="1:13" s="34" customFormat="1" ht="15" hidden="1" outlineLevel="1" x14ac:dyDescent="0.25">
      <c r="A162" s="31" t="s">
        <v>157</v>
      </c>
      <c r="B162" s="26"/>
      <c r="C162" s="26"/>
      <c r="D162" s="26">
        <f>SUM(D163:D165)</f>
        <v>57000250</v>
      </c>
      <c r="E162" s="26"/>
      <c r="F162" s="26"/>
      <c r="G162" s="26"/>
      <c r="H162" s="26">
        <f>SUM(H163:H165)</f>
        <v>57000250</v>
      </c>
      <c r="I162" s="26"/>
      <c r="J162" s="26">
        <f>SUM(J163:J165)</f>
        <v>57000250</v>
      </c>
      <c r="K162" s="26">
        <f>SUM(K163:K165)</f>
        <v>55903510</v>
      </c>
      <c r="L162" s="26">
        <f t="shared" si="33"/>
        <v>-1096740</v>
      </c>
      <c r="M162" s="17">
        <f t="shared" si="34"/>
        <v>0.98075903175863266</v>
      </c>
    </row>
    <row r="163" spans="1:13" s="34" customFormat="1" ht="15" hidden="1" outlineLevel="2" x14ac:dyDescent="0.25">
      <c r="A163" s="33" t="s">
        <v>158</v>
      </c>
      <c r="B163" s="26"/>
      <c r="C163" s="26"/>
      <c r="D163" s="20">
        <f>+[9]General!$G$35</f>
        <v>6700000</v>
      </c>
      <c r="E163" s="26"/>
      <c r="F163" s="26"/>
      <c r="G163" s="26"/>
      <c r="H163" s="19">
        <f>+B163+C163+D163+G163+E163+F163</f>
        <v>6700000</v>
      </c>
      <c r="I163" s="26"/>
      <c r="J163" s="20">
        <f>+H163+I163</f>
        <v>6700000</v>
      </c>
      <c r="K163" s="20">
        <v>5796410</v>
      </c>
      <c r="L163" s="20">
        <f t="shared" si="33"/>
        <v>-903590</v>
      </c>
      <c r="M163" s="21">
        <f t="shared" si="34"/>
        <v>0.86513582089552243</v>
      </c>
    </row>
    <row r="164" spans="1:13" s="34" customFormat="1" ht="29.25" hidden="1" outlineLevel="2" x14ac:dyDescent="0.25">
      <c r="A164" s="43" t="s">
        <v>159</v>
      </c>
      <c r="B164" s="26"/>
      <c r="C164" s="26"/>
      <c r="D164" s="20"/>
      <c r="E164" s="26"/>
      <c r="F164" s="26"/>
      <c r="G164" s="26"/>
      <c r="H164" s="19">
        <f>+B164+C164+D164+G164+E164+F164</f>
        <v>0</v>
      </c>
      <c r="I164" s="26"/>
      <c r="J164" s="20">
        <f>+H164+I164</f>
        <v>0</v>
      </c>
      <c r="K164" s="20">
        <v>0</v>
      </c>
      <c r="L164" s="20">
        <f t="shared" si="33"/>
        <v>0</v>
      </c>
      <c r="M164" s="21">
        <v>0</v>
      </c>
    </row>
    <row r="165" spans="1:13" s="34" customFormat="1" ht="15" hidden="1" outlineLevel="2" x14ac:dyDescent="0.25">
      <c r="A165" s="33" t="s">
        <v>160</v>
      </c>
      <c r="B165" s="26"/>
      <c r="C165" s="26"/>
      <c r="D165" s="20">
        <f>+[9]General!$G$37</f>
        <v>50300250</v>
      </c>
      <c r="E165" s="26"/>
      <c r="F165" s="26"/>
      <c r="G165" s="26"/>
      <c r="H165" s="19">
        <f>+B165+C165+D165+G165+E165+F165</f>
        <v>50300250</v>
      </c>
      <c r="I165" s="26"/>
      <c r="J165" s="20">
        <f>+H165+I165</f>
        <v>50300250</v>
      </c>
      <c r="K165" s="20">
        <v>50107100</v>
      </c>
      <c r="L165" s="20">
        <f t="shared" si="33"/>
        <v>-193150</v>
      </c>
      <c r="M165" s="21">
        <f t="shared" si="34"/>
        <v>0.99616005884662606</v>
      </c>
    </row>
    <row r="166" spans="1:13" s="34" customFormat="1" ht="15" collapsed="1" x14ac:dyDescent="0.25">
      <c r="A166" s="31" t="s">
        <v>161</v>
      </c>
      <c r="B166" s="26"/>
      <c r="C166" s="26"/>
      <c r="D166" s="26">
        <f>+D167+D171+D175+D176</f>
        <v>209600000</v>
      </c>
      <c r="E166" s="26"/>
      <c r="F166" s="26"/>
      <c r="G166" s="26"/>
      <c r="H166" s="26">
        <f>+H167+H171+H175+H176</f>
        <v>209600000</v>
      </c>
      <c r="I166" s="26"/>
      <c r="J166" s="26">
        <f>+J167+J171+J175+J176</f>
        <v>209600000</v>
      </c>
      <c r="K166" s="26">
        <f>+K167+K171+K175+K176</f>
        <v>159638978</v>
      </c>
      <c r="L166" s="26">
        <f t="shared" si="33"/>
        <v>-49961022</v>
      </c>
      <c r="M166" s="17">
        <f t="shared" si="34"/>
        <v>0.76163634541984737</v>
      </c>
    </row>
    <row r="167" spans="1:13" s="34" customFormat="1" ht="15" hidden="1" outlineLevel="1" x14ac:dyDescent="0.25">
      <c r="A167" s="31" t="s">
        <v>162</v>
      </c>
      <c r="B167" s="26"/>
      <c r="C167" s="26"/>
      <c r="D167" s="26">
        <f>SUM(D168:D170)</f>
        <v>70500000</v>
      </c>
      <c r="E167" s="26"/>
      <c r="F167" s="26"/>
      <c r="G167" s="26"/>
      <c r="H167" s="26">
        <f>SUM(H168:H170)</f>
        <v>70500000</v>
      </c>
      <c r="I167" s="26"/>
      <c r="J167" s="26">
        <f>SUM(J168:J170)</f>
        <v>70500000</v>
      </c>
      <c r="K167" s="26">
        <f>SUM(K168:K170)</f>
        <v>76863944</v>
      </c>
      <c r="L167" s="26">
        <f t="shared" si="33"/>
        <v>6363944</v>
      </c>
      <c r="M167" s="17">
        <f t="shared" si="34"/>
        <v>1.0902687092198582</v>
      </c>
    </row>
    <row r="168" spans="1:13" s="34" customFormat="1" ht="15" hidden="1" outlineLevel="2" x14ac:dyDescent="0.25">
      <c r="A168" s="33" t="s">
        <v>163</v>
      </c>
      <c r="B168" s="26"/>
      <c r="C168" s="26"/>
      <c r="D168" s="19">
        <f>+[9]General!$G$40</f>
        <v>19200000</v>
      </c>
      <c r="E168" s="26"/>
      <c r="F168" s="26"/>
      <c r="G168" s="26"/>
      <c r="H168" s="19">
        <f>+B168+C168+D168+G168+E168+F168</f>
        <v>19200000</v>
      </c>
      <c r="I168" s="26"/>
      <c r="J168" s="20">
        <f>+H168+I168</f>
        <v>19200000</v>
      </c>
      <c r="K168" s="20">
        <v>26102348</v>
      </c>
      <c r="L168" s="20">
        <f t="shared" si="33"/>
        <v>6902348</v>
      </c>
      <c r="M168" s="21">
        <f t="shared" si="34"/>
        <v>1.3594972916666668</v>
      </c>
    </row>
    <row r="169" spans="1:13" s="34" customFormat="1" ht="15" hidden="1" outlineLevel="2" x14ac:dyDescent="0.25">
      <c r="A169" s="33" t="s">
        <v>164</v>
      </c>
      <c r="B169" s="26"/>
      <c r="C169" s="26"/>
      <c r="D169" s="19">
        <f>+[9]General!$G$41</f>
        <v>39200000</v>
      </c>
      <c r="E169" s="26"/>
      <c r="F169" s="26"/>
      <c r="G169" s="26"/>
      <c r="H169" s="19">
        <f>+B169+C169+D169+G169+E169+F169</f>
        <v>39200000</v>
      </c>
      <c r="I169" s="26"/>
      <c r="J169" s="20">
        <f>+H169+I169</f>
        <v>39200000</v>
      </c>
      <c r="K169" s="20">
        <v>38919600</v>
      </c>
      <c r="L169" s="20">
        <f t="shared" si="33"/>
        <v>-280400</v>
      </c>
      <c r="M169" s="21">
        <f t="shared" si="34"/>
        <v>0.99284693877551022</v>
      </c>
    </row>
    <row r="170" spans="1:13" s="34" customFormat="1" ht="15" hidden="1" outlineLevel="2" x14ac:dyDescent="0.25">
      <c r="A170" s="33" t="s">
        <v>165</v>
      </c>
      <c r="B170" s="26"/>
      <c r="C170" s="26"/>
      <c r="D170" s="19">
        <f>+[9]General!$G$42</f>
        <v>12100000</v>
      </c>
      <c r="E170" s="26"/>
      <c r="F170" s="26"/>
      <c r="G170" s="26"/>
      <c r="H170" s="19">
        <f>+B170+C170+D170+G170+E170+F170</f>
        <v>12100000</v>
      </c>
      <c r="I170" s="26"/>
      <c r="J170" s="20">
        <f>+H170+I170</f>
        <v>12100000</v>
      </c>
      <c r="K170" s="20">
        <v>11841996</v>
      </c>
      <c r="L170" s="20">
        <f t="shared" si="33"/>
        <v>-258004</v>
      </c>
      <c r="M170" s="21">
        <f t="shared" si="34"/>
        <v>0.97867735537190081</v>
      </c>
    </row>
    <row r="171" spans="1:13" s="34" customFormat="1" ht="15" hidden="1" outlineLevel="1" x14ac:dyDescent="0.25">
      <c r="A171" s="31" t="s">
        <v>166</v>
      </c>
      <c r="B171" s="26"/>
      <c r="C171" s="26"/>
      <c r="D171" s="26">
        <f>SUM(D172:D174)</f>
        <v>81800000</v>
      </c>
      <c r="E171" s="26"/>
      <c r="F171" s="26"/>
      <c r="G171" s="26"/>
      <c r="H171" s="26">
        <f>SUM(H172:H174)</f>
        <v>81800000</v>
      </c>
      <c r="I171" s="26"/>
      <c r="J171" s="26">
        <f>SUM(J172:J174)</f>
        <v>81800000</v>
      </c>
      <c r="K171" s="26">
        <f>SUM(K172:K174)</f>
        <v>75839183</v>
      </c>
      <c r="L171" s="26">
        <f t="shared" si="33"/>
        <v>-5960817</v>
      </c>
      <c r="M171" s="17">
        <f t="shared" si="34"/>
        <v>0.92712937652811733</v>
      </c>
    </row>
    <row r="172" spans="1:13" s="34" customFormat="1" ht="15" hidden="1" outlineLevel="2" x14ac:dyDescent="0.25">
      <c r="A172" s="33" t="s">
        <v>167</v>
      </c>
      <c r="B172" s="26"/>
      <c r="C172" s="26"/>
      <c r="D172" s="19">
        <f>+[9]General!$G$44</f>
        <v>77800000</v>
      </c>
      <c r="E172" s="26"/>
      <c r="F172" s="26"/>
      <c r="G172" s="26"/>
      <c r="H172" s="19">
        <f>+B172+C172+D172+G172+E172+F172</f>
        <v>77800000</v>
      </c>
      <c r="I172" s="26"/>
      <c r="J172" s="20">
        <f>+H172+I172</f>
        <v>77800000</v>
      </c>
      <c r="K172" s="20">
        <v>72012941</v>
      </c>
      <c r="L172" s="20">
        <f t="shared" si="33"/>
        <v>-5787059</v>
      </c>
      <c r="M172" s="21">
        <f t="shared" si="34"/>
        <v>0.92561620822622104</v>
      </c>
    </row>
    <row r="173" spans="1:13" s="34" customFormat="1" ht="15" hidden="1" outlineLevel="1" x14ac:dyDescent="0.25">
      <c r="A173" s="33" t="str">
        <f>+[11]Hoja1!$A$50</f>
        <v>Pruebas interlaboratorios</v>
      </c>
      <c r="B173" s="26"/>
      <c r="C173" s="26"/>
      <c r="D173" s="20"/>
      <c r="E173" s="20"/>
      <c r="F173" s="20"/>
      <c r="G173" s="20"/>
      <c r="H173" s="20">
        <f>+B173+C173+D173+G173+E173+F173</f>
        <v>0</v>
      </c>
      <c r="I173" s="20"/>
      <c r="J173" s="20">
        <f>+H173+I173</f>
        <v>0</v>
      </c>
      <c r="K173" s="20"/>
      <c r="L173" s="20">
        <f t="shared" si="33"/>
        <v>0</v>
      </c>
      <c r="M173" s="21">
        <v>0</v>
      </c>
    </row>
    <row r="174" spans="1:13" s="34" customFormat="1" ht="15" hidden="1" outlineLevel="1" x14ac:dyDescent="0.25">
      <c r="A174" s="33" t="str">
        <f>+[11]Hoja1!$A$51</f>
        <v>Promoción al diagnóstico</v>
      </c>
      <c r="B174" s="26"/>
      <c r="C174" s="26"/>
      <c r="D174" s="20">
        <f>+[9]General!$G$45</f>
        <v>4000000</v>
      </c>
      <c r="E174" s="20"/>
      <c r="F174" s="20"/>
      <c r="G174" s="20"/>
      <c r="H174" s="20">
        <f>+B174+C174+D174+G174+E174+F174</f>
        <v>4000000</v>
      </c>
      <c r="I174" s="20"/>
      <c r="J174" s="20">
        <f>+H174+I174</f>
        <v>4000000</v>
      </c>
      <c r="K174" s="20">
        <v>3826242</v>
      </c>
      <c r="L174" s="20">
        <f t="shared" si="33"/>
        <v>-173758</v>
      </c>
      <c r="M174" s="21">
        <f t="shared" si="34"/>
        <v>0.95656050000000004</v>
      </c>
    </row>
    <row r="175" spans="1:13" s="34" customFormat="1" ht="15" hidden="1" outlineLevel="1" x14ac:dyDescent="0.25">
      <c r="A175" s="31" t="str">
        <f>+[11]Hoja1!$A$52</f>
        <v>Inocuidad y ambiente</v>
      </c>
      <c r="B175" s="26"/>
      <c r="C175" s="26"/>
      <c r="D175" s="26">
        <f>+[9]General!$G$47</f>
        <v>7300000</v>
      </c>
      <c r="E175" s="26"/>
      <c r="F175" s="26"/>
      <c r="G175" s="26"/>
      <c r="H175" s="16">
        <f>+B175+C175+D175+G175+E175+F175</f>
        <v>7300000</v>
      </c>
      <c r="I175" s="16"/>
      <c r="J175" s="16">
        <f>+H175+I175</f>
        <v>7300000</v>
      </c>
      <c r="K175" s="16">
        <v>6900151</v>
      </c>
      <c r="L175" s="16">
        <f t="shared" si="33"/>
        <v>-399849</v>
      </c>
      <c r="M175" s="17">
        <f t="shared" si="34"/>
        <v>0.94522616438356166</v>
      </c>
    </row>
    <row r="176" spans="1:13" s="34" customFormat="1" ht="15" hidden="1" outlineLevel="1" x14ac:dyDescent="0.25">
      <c r="A176" s="31" t="s">
        <v>168</v>
      </c>
      <c r="B176" s="26"/>
      <c r="C176" s="26"/>
      <c r="D176" s="26">
        <f>+[9]General!$G$48</f>
        <v>50000000</v>
      </c>
      <c r="E176" s="26"/>
      <c r="F176" s="26"/>
      <c r="G176" s="26"/>
      <c r="H176" s="16">
        <f>+B176+C176+D176+G176+E176+F176</f>
        <v>50000000</v>
      </c>
      <c r="I176" s="16"/>
      <c r="J176" s="16">
        <f>+H176+I176</f>
        <v>50000000</v>
      </c>
      <c r="K176" s="16">
        <v>35700</v>
      </c>
      <c r="L176" s="16">
        <f t="shared" si="33"/>
        <v>-49964300</v>
      </c>
      <c r="M176" s="17">
        <f t="shared" si="34"/>
        <v>7.1400000000000001E-4</v>
      </c>
    </row>
    <row r="177" spans="1:14" s="34" customFormat="1" ht="15" collapsed="1" x14ac:dyDescent="0.25">
      <c r="A177" s="33"/>
      <c r="B177" s="26"/>
      <c r="C177" s="26"/>
      <c r="D177" s="26"/>
      <c r="E177" s="26"/>
      <c r="F177" s="26"/>
      <c r="G177" s="26"/>
      <c r="H177" s="19"/>
      <c r="I177" s="26"/>
      <c r="J177" s="20"/>
      <c r="K177" s="20"/>
      <c r="L177" s="20"/>
      <c r="M177" s="21"/>
    </row>
    <row r="178" spans="1:14" s="34" customFormat="1" ht="15" x14ac:dyDescent="0.25">
      <c r="A178" s="31" t="s">
        <v>169</v>
      </c>
      <c r="B178" s="26"/>
      <c r="C178" s="26"/>
      <c r="D178" s="26"/>
      <c r="E178" s="16">
        <f>+E179</f>
        <v>162626357</v>
      </c>
      <c r="F178" s="16"/>
      <c r="G178" s="16"/>
      <c r="H178" s="16">
        <f>+H179</f>
        <v>162626357</v>
      </c>
      <c r="I178" s="16"/>
      <c r="J178" s="16">
        <f>+H178+I178</f>
        <v>162626357</v>
      </c>
      <c r="K178" s="16">
        <f>+K179</f>
        <v>154348364</v>
      </c>
      <c r="L178" s="16">
        <f>+K178-J178</f>
        <v>-8277993</v>
      </c>
      <c r="M178" s="17">
        <f>+K178/J178</f>
        <v>0.94909808500475723</v>
      </c>
    </row>
    <row r="179" spans="1:14" s="34" customFormat="1" ht="15" x14ac:dyDescent="0.25">
      <c r="A179" s="31" t="s">
        <v>170</v>
      </c>
      <c r="B179" s="26"/>
      <c r="C179" s="26"/>
      <c r="D179" s="26"/>
      <c r="E179" s="26">
        <f>+E180</f>
        <v>162626357</v>
      </c>
      <c r="F179" s="26"/>
      <c r="G179" s="26"/>
      <c r="H179" s="26">
        <f>+H180</f>
        <v>162626357</v>
      </c>
      <c r="I179" s="26"/>
      <c r="J179" s="26">
        <f>+J180</f>
        <v>162626357</v>
      </c>
      <c r="K179" s="26">
        <f>+K180</f>
        <v>154348364</v>
      </c>
      <c r="L179" s="26">
        <f>+K179-J179</f>
        <v>-8277993</v>
      </c>
      <c r="M179" s="17">
        <f>+K179/J179</f>
        <v>0.94909808500475723</v>
      </c>
    </row>
    <row r="180" spans="1:14" s="34" customFormat="1" ht="15" hidden="1" outlineLevel="2" x14ac:dyDescent="0.25">
      <c r="A180" s="33" t="str">
        <f>+'[8]Presupuesto 2018 vs 2017'!$B$18</f>
        <v>Programa Nacional de Sanidad Porcina</v>
      </c>
      <c r="B180" s="26"/>
      <c r="C180" s="26"/>
      <c r="D180" s="26"/>
      <c r="E180" s="20">
        <f>+[12]General!$G$14</f>
        <v>162626357</v>
      </c>
      <c r="F180" s="26"/>
      <c r="G180" s="26"/>
      <c r="H180" s="19">
        <f>+B180+C180+D180+G180+E180+F180</f>
        <v>162626357</v>
      </c>
      <c r="I180" s="26"/>
      <c r="J180" s="20">
        <f>+H180+I180</f>
        <v>162626357</v>
      </c>
      <c r="K180" s="20">
        <v>154348364</v>
      </c>
      <c r="L180" s="20">
        <f>+K180-J180</f>
        <v>-8277993</v>
      </c>
      <c r="M180" s="21">
        <f>+K180/J180</f>
        <v>0.94909808500475723</v>
      </c>
    </row>
    <row r="181" spans="1:14" s="34" customFormat="1" ht="15" collapsed="1" x14ac:dyDescent="0.25">
      <c r="A181" s="33"/>
      <c r="B181" s="19"/>
      <c r="C181" s="26"/>
      <c r="D181" s="26"/>
      <c r="E181" s="26"/>
      <c r="F181" s="26"/>
      <c r="G181" s="26"/>
      <c r="H181" s="19"/>
      <c r="I181" s="26"/>
      <c r="J181" s="20"/>
      <c r="K181" s="20"/>
      <c r="L181" s="20"/>
      <c r="M181" s="21"/>
    </row>
    <row r="182" spans="1:14" ht="15" x14ac:dyDescent="0.25">
      <c r="A182" s="38" t="s">
        <v>171</v>
      </c>
      <c r="B182" s="19"/>
      <c r="C182" s="19"/>
      <c r="D182" s="19"/>
      <c r="E182" s="19"/>
      <c r="F182" s="19"/>
      <c r="G182" s="19"/>
      <c r="H182" s="19"/>
      <c r="I182" s="26">
        <f>+I183+I184</f>
        <v>1057629757.4000001</v>
      </c>
      <c r="J182" s="26">
        <f>+I182+H182</f>
        <v>1057629757.4000001</v>
      </c>
      <c r="K182" s="26">
        <f>+K183+K184</f>
        <v>1017649617</v>
      </c>
      <c r="L182" s="26">
        <f>+K182-J182</f>
        <v>-39980140.400000095</v>
      </c>
      <c r="M182" s="17">
        <f>+K182/J182</f>
        <v>0.9621983590001435</v>
      </c>
      <c r="N182" s="24"/>
    </row>
    <row r="183" spans="1:14" ht="14.25" outlineLevel="1" x14ac:dyDescent="0.2">
      <c r="A183" s="44" t="s">
        <v>172</v>
      </c>
      <c r="B183" s="19"/>
      <c r="C183" s="19"/>
      <c r="D183" s="19"/>
      <c r="E183" s="19"/>
      <c r="F183" s="19"/>
      <c r="G183" s="19"/>
      <c r="H183" s="19"/>
      <c r="I183" s="20">
        <f>+('[1]Anexo 1'!B15+'[1]Anexo 1'!B19)*0.1</f>
        <v>661018598.38750005</v>
      </c>
      <c r="J183" s="20">
        <f>+I183+H183</f>
        <v>661018598.38750005</v>
      </c>
      <c r="K183" s="20">
        <v>636031011</v>
      </c>
      <c r="L183" s="20">
        <f>+K183-J183</f>
        <v>-24987587.387500048</v>
      </c>
      <c r="M183" s="21">
        <f>+K183/J183</f>
        <v>0.96219835954925448</v>
      </c>
    </row>
    <row r="184" spans="1:14" ht="14.25" outlineLevel="1" x14ac:dyDescent="0.2">
      <c r="A184" s="44" t="s">
        <v>173</v>
      </c>
      <c r="B184" s="19"/>
      <c r="C184" s="19"/>
      <c r="D184" s="19"/>
      <c r="E184" s="19"/>
      <c r="F184" s="19"/>
      <c r="G184" s="19"/>
      <c r="H184" s="19"/>
      <c r="I184" s="20">
        <f>(ppc+'[1]Anexo 1'!B20)*0.1</f>
        <v>396611159.01250005</v>
      </c>
      <c r="J184" s="20">
        <f>+I184+H184</f>
        <v>396611159.01250005</v>
      </c>
      <c r="K184" s="20">
        <v>381618606</v>
      </c>
      <c r="L184" s="20">
        <f>+K184-J184</f>
        <v>-14992553.012500048</v>
      </c>
      <c r="M184" s="21">
        <f>+K184/J184</f>
        <v>0.96219835808495868</v>
      </c>
    </row>
    <row r="185" spans="1:14" ht="15" x14ac:dyDescent="0.25">
      <c r="A185" s="25"/>
      <c r="B185" s="19"/>
      <c r="C185" s="19"/>
      <c r="D185" s="19"/>
      <c r="E185" s="19"/>
      <c r="F185" s="19"/>
      <c r="G185" s="19"/>
      <c r="H185" s="19"/>
      <c r="I185" s="19"/>
      <c r="J185" s="19"/>
      <c r="K185" s="19"/>
      <c r="L185" s="19"/>
      <c r="M185" s="17"/>
    </row>
    <row r="186" spans="1:14" ht="15" x14ac:dyDescent="0.25">
      <c r="A186" s="45" t="s">
        <v>174</v>
      </c>
      <c r="B186" s="16"/>
      <c r="C186" s="16"/>
      <c r="D186" s="16"/>
      <c r="E186" s="16"/>
      <c r="F186" s="16"/>
      <c r="G186" s="16"/>
      <c r="H186" s="16"/>
      <c r="I186" s="16">
        <v>0</v>
      </c>
      <c r="J186" s="46">
        <f>+I186+H186</f>
        <v>0</v>
      </c>
      <c r="K186" s="46">
        <f>+J186+I186</f>
        <v>0</v>
      </c>
      <c r="L186" s="46">
        <f>+K186-J186</f>
        <v>0</v>
      </c>
      <c r="M186" s="17">
        <f>+J186/$J$194</f>
        <v>0</v>
      </c>
    </row>
    <row r="187" spans="1:14" ht="15" x14ac:dyDescent="0.25">
      <c r="A187" s="45"/>
      <c r="B187" s="16"/>
      <c r="C187" s="16"/>
      <c r="D187" s="16"/>
      <c r="E187" s="16"/>
      <c r="F187" s="16"/>
      <c r="G187" s="16"/>
      <c r="H187" s="16"/>
      <c r="I187" s="16"/>
      <c r="J187" s="46"/>
      <c r="K187" s="46"/>
      <c r="L187" s="46"/>
      <c r="M187" s="17"/>
    </row>
    <row r="188" spans="1:14" ht="15" x14ac:dyDescent="0.25">
      <c r="A188" s="45" t="s">
        <v>175</v>
      </c>
      <c r="B188" s="16"/>
      <c r="C188" s="16"/>
      <c r="D188" s="16"/>
      <c r="E188" s="16"/>
      <c r="F188" s="16"/>
      <c r="G188" s="16">
        <v>0</v>
      </c>
      <c r="H188" s="16">
        <f>+B188+C188+D188+G188+F188</f>
        <v>0</v>
      </c>
      <c r="I188" s="16"/>
      <c r="J188" s="46">
        <f>+I188+H188</f>
        <v>0</v>
      </c>
      <c r="K188" s="46">
        <f>+J188+I188</f>
        <v>0</v>
      </c>
      <c r="L188" s="46">
        <f>+K188-J188</f>
        <v>0</v>
      </c>
      <c r="M188" s="17">
        <f>+J188/$J$194</f>
        <v>0</v>
      </c>
    </row>
    <row r="189" spans="1:14" ht="15" x14ac:dyDescent="0.25">
      <c r="A189" s="25"/>
      <c r="B189" s="19"/>
      <c r="C189" s="19"/>
      <c r="D189" s="19"/>
      <c r="E189" s="19"/>
      <c r="F189" s="19"/>
      <c r="G189" s="19"/>
      <c r="H189" s="19"/>
      <c r="I189" s="19"/>
      <c r="J189" s="19"/>
      <c r="K189" s="19"/>
      <c r="L189" s="19"/>
      <c r="M189" s="17"/>
    </row>
    <row r="190" spans="1:14" ht="15" x14ac:dyDescent="0.25">
      <c r="A190" s="38" t="s">
        <v>176</v>
      </c>
      <c r="B190" s="19"/>
      <c r="C190" s="19"/>
      <c r="D190" s="19"/>
      <c r="E190" s="19"/>
      <c r="F190" s="19"/>
      <c r="G190" s="19"/>
      <c r="H190" s="26"/>
      <c r="I190" s="26">
        <f>+I191+I192</f>
        <v>0</v>
      </c>
      <c r="J190" s="26">
        <f t="shared" ref="J190:K192" si="37">+I190+H190</f>
        <v>0</v>
      </c>
      <c r="K190" s="26">
        <f t="shared" si="37"/>
        <v>0</v>
      </c>
      <c r="L190" s="26">
        <f>+K190-J190</f>
        <v>0</v>
      </c>
      <c r="M190" s="17">
        <f>+J190/$J$194</f>
        <v>0</v>
      </c>
    </row>
    <row r="191" spans="1:14" s="32" customFormat="1" ht="14.25" hidden="1" outlineLevel="1" x14ac:dyDescent="0.2">
      <c r="A191" s="27" t="s">
        <v>177</v>
      </c>
      <c r="B191" s="19"/>
      <c r="C191" s="19"/>
      <c r="D191" s="19"/>
      <c r="E191" s="19"/>
      <c r="F191" s="19"/>
      <c r="G191" s="19"/>
      <c r="H191" s="19"/>
      <c r="I191" s="19"/>
      <c r="J191" s="19">
        <f t="shared" si="37"/>
        <v>0</v>
      </c>
      <c r="K191" s="19">
        <f t="shared" si="37"/>
        <v>0</v>
      </c>
      <c r="L191" s="19">
        <f>+K191-J191</f>
        <v>0</v>
      </c>
      <c r="M191" s="21">
        <f>+J191/$J$194</f>
        <v>0</v>
      </c>
      <c r="N191" s="47"/>
    </row>
    <row r="192" spans="1:14" s="32" customFormat="1" ht="14.25" hidden="1" outlineLevel="1" x14ac:dyDescent="0.2">
      <c r="A192" s="27" t="s">
        <v>178</v>
      </c>
      <c r="B192" s="19"/>
      <c r="C192" s="19"/>
      <c r="D192" s="19"/>
      <c r="E192" s="19"/>
      <c r="F192" s="19"/>
      <c r="G192" s="19"/>
      <c r="H192" s="19"/>
      <c r="I192" s="19"/>
      <c r="J192" s="19">
        <f t="shared" si="37"/>
        <v>0</v>
      </c>
      <c r="K192" s="19">
        <f t="shared" si="37"/>
        <v>0</v>
      </c>
      <c r="L192" s="19">
        <f>+K192-J192</f>
        <v>0</v>
      </c>
      <c r="M192" s="21">
        <f>+J192/$J$194</f>
        <v>0</v>
      </c>
      <c r="N192" s="48"/>
    </row>
    <row r="193" spans="1:18" ht="15" collapsed="1" x14ac:dyDescent="0.25">
      <c r="A193" s="25"/>
      <c r="B193" s="19"/>
      <c r="C193" s="19"/>
      <c r="D193" s="19"/>
      <c r="E193" s="19"/>
      <c r="F193" s="19"/>
      <c r="G193" s="19"/>
      <c r="H193" s="19"/>
      <c r="I193" s="19"/>
      <c r="J193" s="19"/>
      <c r="K193" s="19"/>
      <c r="L193" s="19"/>
      <c r="M193" s="17"/>
    </row>
    <row r="194" spans="1:18" ht="15" x14ac:dyDescent="0.25">
      <c r="A194" s="25" t="s">
        <v>179</v>
      </c>
      <c r="B194" s="26">
        <f>+B51+B49</f>
        <v>431526947.15547383</v>
      </c>
      <c r="C194" s="26">
        <f>+C49+C51</f>
        <v>1279896539.5914984</v>
      </c>
      <c r="D194" s="26">
        <f>+D51+D49</f>
        <v>797061128.0769887</v>
      </c>
      <c r="E194" s="26">
        <f>+E51+E49</f>
        <v>185633952.36748841</v>
      </c>
      <c r="F194" s="26">
        <f>+F51+F49</f>
        <v>4791560610.4278278</v>
      </c>
      <c r="G194" s="26">
        <f>+G49+G51+G188</f>
        <v>5574281610.7869778</v>
      </c>
      <c r="H194" s="26">
        <f>+B194+C194+D194+G194+E194+F194</f>
        <v>13059960788.406256</v>
      </c>
      <c r="I194" s="26">
        <f>+I190+I182+I49+I186</f>
        <v>1662310093.5442357</v>
      </c>
      <c r="J194" s="26">
        <f>+I194+H194</f>
        <v>14722270881.950491</v>
      </c>
      <c r="K194" s="26">
        <f>+K49+K51+K182+K186+K188+K190-1</f>
        <v>13647891094.799999</v>
      </c>
      <c r="L194" s="26">
        <f>+K194-J194</f>
        <v>-1074379787.1504917</v>
      </c>
      <c r="M194" s="17">
        <f>+K194/J194</f>
        <v>0.92702350094184982</v>
      </c>
    </row>
    <row r="195" spans="1:18" ht="15.75" thickBot="1" x14ac:dyDescent="0.3">
      <c r="A195" s="49"/>
      <c r="B195" s="50"/>
      <c r="C195" s="51"/>
      <c r="D195" s="51"/>
      <c r="E195" s="52"/>
      <c r="F195" s="51"/>
      <c r="G195" s="52"/>
      <c r="H195" s="51"/>
      <c r="I195" s="51"/>
      <c r="J195" s="51"/>
      <c r="K195" s="51"/>
      <c r="L195" s="51"/>
      <c r="M195" s="53"/>
      <c r="N195" s="54"/>
      <c r="O195" s="54"/>
      <c r="P195" s="54"/>
      <c r="Q195" s="54"/>
      <c r="R195" s="54"/>
    </row>
    <row r="196" spans="1:18" ht="13.5" thickTop="1" x14ac:dyDescent="0.2">
      <c r="A196" s="55"/>
      <c r="B196" s="56"/>
      <c r="C196" s="56"/>
      <c r="D196" s="56"/>
      <c r="E196" s="56"/>
      <c r="F196" s="56"/>
      <c r="G196" s="57"/>
      <c r="H196" s="55"/>
      <c r="I196" s="56"/>
      <c r="J196" s="56"/>
      <c r="K196" s="56"/>
      <c r="L196" s="56"/>
      <c r="M196" s="58"/>
    </row>
    <row r="197" spans="1:18" x14ac:dyDescent="0.2">
      <c r="A197" s="55"/>
      <c r="B197" s="56"/>
      <c r="C197" s="56"/>
      <c r="D197" s="56"/>
      <c r="E197" s="56"/>
      <c r="F197" s="56"/>
      <c r="G197" s="59"/>
      <c r="H197" s="56"/>
      <c r="I197" s="56"/>
      <c r="J197" s="60"/>
      <c r="K197" s="60"/>
      <c r="L197" s="60"/>
      <c r="M197" s="61"/>
    </row>
    <row r="198" spans="1:18" ht="15.75" x14ac:dyDescent="0.25">
      <c r="A198" s="55"/>
      <c r="B198" s="55"/>
      <c r="C198" s="55"/>
      <c r="D198" s="55"/>
      <c r="E198" s="55"/>
      <c r="F198" s="55"/>
      <c r="G198" s="62"/>
      <c r="H198" s="63"/>
      <c r="I198" s="62"/>
      <c r="J198" s="64"/>
      <c r="K198" s="64"/>
      <c r="L198" s="64"/>
      <c r="M198" s="55"/>
    </row>
    <row r="199" spans="1:18" x14ac:dyDescent="0.2">
      <c r="A199" s="55"/>
      <c r="B199" s="55"/>
      <c r="C199" s="55"/>
      <c r="D199" s="55"/>
      <c r="E199" s="55"/>
      <c r="F199" s="55"/>
      <c r="G199" s="55"/>
      <c r="H199" s="55"/>
      <c r="I199" s="55"/>
      <c r="J199" s="60"/>
      <c r="K199" s="60"/>
      <c r="L199" s="60"/>
      <c r="M199" s="55"/>
    </row>
    <row r="200" spans="1:18" x14ac:dyDescent="0.2">
      <c r="A200" s="55"/>
      <c r="B200" s="55"/>
      <c r="C200" s="55"/>
      <c r="D200" s="55"/>
      <c r="E200" s="55"/>
      <c r="F200" s="55"/>
      <c r="G200" s="56"/>
      <c r="H200" s="56"/>
      <c r="I200" s="56"/>
      <c r="J200" s="55"/>
      <c r="K200" s="55"/>
      <c r="L200" s="55"/>
      <c r="M200" s="55"/>
    </row>
    <row r="201" spans="1:18" x14ac:dyDescent="0.2">
      <c r="A201" s="55"/>
      <c r="B201" s="55"/>
      <c r="C201" s="55"/>
      <c r="D201" s="55"/>
      <c r="E201" s="55"/>
      <c r="F201" s="55"/>
      <c r="G201" s="55"/>
      <c r="H201" s="55"/>
      <c r="I201" s="55"/>
      <c r="J201" s="55"/>
      <c r="K201" s="55"/>
      <c r="L201" s="55"/>
      <c r="M201" s="55"/>
    </row>
    <row r="202" spans="1:18" x14ac:dyDescent="0.2">
      <c r="A202" s="55"/>
      <c r="B202" s="55"/>
      <c r="C202" s="55"/>
      <c r="D202" s="55"/>
      <c r="E202" s="55"/>
      <c r="F202" s="55"/>
      <c r="G202" s="55"/>
      <c r="H202" s="55"/>
      <c r="I202" s="55"/>
      <c r="J202" s="55"/>
      <c r="K202" s="55"/>
      <c r="L202" s="55"/>
      <c r="M202" s="55"/>
    </row>
    <row r="203" spans="1:18" x14ac:dyDescent="0.2">
      <c r="A203" s="55"/>
      <c r="B203" s="55"/>
      <c r="C203" s="55"/>
      <c r="D203" s="55"/>
      <c r="E203" s="55"/>
      <c r="F203" s="55"/>
      <c r="G203" s="55"/>
      <c r="H203" s="55"/>
      <c r="I203" s="65"/>
      <c r="J203" s="55"/>
      <c r="K203" s="55"/>
      <c r="L203" s="55"/>
      <c r="M203" s="55"/>
    </row>
    <row r="204" spans="1:18" x14ac:dyDescent="0.2">
      <c r="A204" s="55"/>
      <c r="B204" s="55"/>
      <c r="C204" s="55"/>
      <c r="D204" s="55"/>
      <c r="E204" s="55"/>
      <c r="F204" s="55"/>
      <c r="G204" s="55"/>
      <c r="H204" s="55"/>
      <c r="I204" s="55"/>
      <c r="J204" s="55"/>
      <c r="K204" s="55"/>
      <c r="L204" s="55"/>
      <c r="M204" s="55"/>
    </row>
    <row r="205" spans="1:18" x14ac:dyDescent="0.2">
      <c r="A205" s="55"/>
      <c r="B205" s="55"/>
      <c r="C205" s="55"/>
      <c r="D205" s="55"/>
      <c r="E205" s="55"/>
      <c r="F205" s="55"/>
      <c r="G205" s="55"/>
      <c r="H205" s="55"/>
      <c r="I205" s="55"/>
      <c r="J205" s="55"/>
      <c r="K205" s="55"/>
      <c r="L205" s="55"/>
      <c r="M205" s="55"/>
    </row>
    <row r="206" spans="1:18" x14ac:dyDescent="0.2">
      <c r="A206" s="55"/>
      <c r="B206" s="55"/>
      <c r="C206" s="55"/>
      <c r="D206" s="55"/>
      <c r="E206" s="55"/>
      <c r="F206" s="55"/>
      <c r="G206" s="55"/>
      <c r="H206" s="55"/>
      <c r="I206" s="55"/>
      <c r="J206" s="55"/>
      <c r="K206" s="55"/>
      <c r="L206" s="55"/>
      <c r="M206" s="55"/>
    </row>
    <row r="207" spans="1:18" x14ac:dyDescent="0.2">
      <c r="A207" s="55"/>
      <c r="B207" s="55"/>
      <c r="C207" s="55"/>
      <c r="D207" s="55"/>
      <c r="E207" s="55"/>
      <c r="F207" s="55"/>
      <c r="G207" s="55"/>
      <c r="H207" s="55"/>
      <c r="I207" s="55"/>
      <c r="J207" s="55"/>
      <c r="K207" s="55"/>
      <c r="L207" s="55"/>
      <c r="M207" s="55"/>
    </row>
    <row r="208" spans="1:18" x14ac:dyDescent="0.2">
      <c r="A208" s="55"/>
      <c r="B208" s="55"/>
      <c r="C208" s="55"/>
      <c r="D208" s="55"/>
      <c r="E208" s="55"/>
      <c r="F208" s="55"/>
      <c r="G208" s="55"/>
      <c r="H208" s="55"/>
      <c r="I208" s="55"/>
      <c r="J208" s="55"/>
      <c r="K208" s="55"/>
      <c r="L208" s="55"/>
      <c r="M208" s="55"/>
    </row>
    <row r="209" spans="1:13" x14ac:dyDescent="0.2">
      <c r="A209" s="55"/>
      <c r="B209" s="55"/>
      <c r="C209" s="55"/>
      <c r="D209" s="55"/>
      <c r="E209" s="55"/>
      <c r="F209" s="55"/>
      <c r="G209" s="55"/>
      <c r="H209" s="55"/>
      <c r="I209" s="55"/>
      <c r="J209" s="55"/>
      <c r="K209" s="55"/>
      <c r="L209" s="55"/>
      <c r="M209" s="55"/>
    </row>
    <row r="210" spans="1:13" x14ac:dyDescent="0.2">
      <c r="A210" s="55"/>
      <c r="B210" s="55"/>
      <c r="C210" s="55"/>
      <c r="D210" s="55"/>
      <c r="E210" s="55"/>
      <c r="F210" s="55"/>
      <c r="G210" s="55"/>
      <c r="H210" s="55"/>
      <c r="I210" s="55"/>
      <c r="J210" s="55"/>
      <c r="K210" s="55"/>
      <c r="L210" s="55"/>
      <c r="M210" s="55"/>
    </row>
    <row r="211" spans="1:13" x14ac:dyDescent="0.2">
      <c r="A211" s="55"/>
      <c r="B211" s="55"/>
      <c r="C211" s="55"/>
      <c r="D211" s="55"/>
      <c r="E211" s="55"/>
      <c r="F211" s="55"/>
      <c r="G211" s="55"/>
      <c r="H211" s="55"/>
      <c r="I211" s="55"/>
      <c r="J211" s="55"/>
      <c r="K211" s="55"/>
      <c r="L211" s="55"/>
      <c r="M211" s="55"/>
    </row>
    <row r="212" spans="1:13" x14ac:dyDescent="0.2">
      <c r="A212" s="55"/>
      <c r="B212" s="55"/>
      <c r="C212" s="55"/>
      <c r="D212" s="55"/>
      <c r="E212" s="55"/>
      <c r="F212" s="55"/>
      <c r="G212" s="55"/>
      <c r="H212" s="55"/>
      <c r="I212" s="55"/>
      <c r="J212" s="55"/>
      <c r="K212" s="55"/>
      <c r="L212" s="55"/>
      <c r="M212" s="55"/>
    </row>
    <row r="213" spans="1:13" x14ac:dyDescent="0.2">
      <c r="A213" s="55"/>
      <c r="B213" s="55"/>
      <c r="C213" s="55"/>
      <c r="D213" s="55"/>
      <c r="E213" s="55"/>
      <c r="F213" s="55"/>
      <c r="G213" s="55"/>
      <c r="H213" s="55"/>
      <c r="I213" s="55"/>
      <c r="J213" s="55"/>
      <c r="K213" s="55"/>
      <c r="L213" s="55"/>
      <c r="M213" s="55"/>
    </row>
    <row r="214" spans="1:13" x14ac:dyDescent="0.2">
      <c r="A214" s="55"/>
      <c r="B214" s="55"/>
      <c r="C214" s="55"/>
      <c r="D214" s="55"/>
      <c r="E214" s="55"/>
      <c r="F214" s="55"/>
      <c r="G214" s="55"/>
      <c r="H214" s="55"/>
      <c r="I214" s="55"/>
      <c r="J214" s="55"/>
      <c r="K214" s="55"/>
      <c r="L214" s="55"/>
      <c r="M214" s="55"/>
    </row>
    <row r="215" spans="1:13" x14ac:dyDescent="0.2">
      <c r="A215" s="55"/>
      <c r="B215" s="55"/>
      <c r="C215" s="55"/>
      <c r="D215" s="55"/>
      <c r="E215" s="55"/>
      <c r="F215" s="55"/>
      <c r="G215" s="55"/>
      <c r="H215" s="55"/>
      <c r="I215" s="55"/>
      <c r="J215" s="55"/>
      <c r="K215" s="55"/>
      <c r="L215" s="55"/>
      <c r="M215" s="55"/>
    </row>
    <row r="216" spans="1:13" x14ac:dyDescent="0.2">
      <c r="A216" s="55"/>
      <c r="B216" s="55"/>
      <c r="C216" s="55"/>
      <c r="D216" s="55"/>
      <c r="E216" s="55"/>
      <c r="F216" s="55"/>
      <c r="G216" s="55"/>
      <c r="H216" s="55"/>
      <c r="I216" s="55"/>
      <c r="J216" s="55"/>
      <c r="K216" s="55"/>
      <c r="L216" s="55"/>
      <c r="M216" s="55"/>
    </row>
    <row r="217" spans="1:13" x14ac:dyDescent="0.2">
      <c r="A217" s="55"/>
      <c r="B217" s="55"/>
      <c r="C217" s="55"/>
      <c r="D217" s="55"/>
      <c r="E217" s="55"/>
      <c r="F217" s="55"/>
      <c r="G217" s="55"/>
      <c r="H217" s="55"/>
      <c r="I217" s="55"/>
      <c r="J217" s="55"/>
      <c r="K217" s="55"/>
      <c r="L217" s="55"/>
      <c r="M217" s="55"/>
    </row>
    <row r="218" spans="1:13" x14ac:dyDescent="0.2">
      <c r="A218" s="55"/>
      <c r="B218" s="55"/>
      <c r="C218" s="55"/>
      <c r="D218" s="55"/>
      <c r="E218" s="55"/>
      <c r="F218" s="55"/>
      <c r="G218" s="55"/>
      <c r="H218" s="55"/>
      <c r="I218" s="55"/>
      <c r="J218" s="55"/>
      <c r="K218" s="55"/>
      <c r="L218" s="55"/>
      <c r="M218" s="55"/>
    </row>
    <row r="219" spans="1:13" x14ac:dyDescent="0.2">
      <c r="A219" s="55"/>
      <c r="B219" s="55"/>
      <c r="C219" s="55"/>
      <c r="D219" s="55"/>
      <c r="E219" s="55"/>
      <c r="F219" s="55"/>
      <c r="G219" s="55"/>
      <c r="H219" s="55"/>
      <c r="I219" s="55"/>
      <c r="J219" s="55"/>
      <c r="K219" s="55"/>
      <c r="L219" s="55"/>
      <c r="M219" s="55"/>
    </row>
    <row r="220" spans="1:13" x14ac:dyDescent="0.2">
      <c r="A220" s="55"/>
      <c r="B220" s="55"/>
      <c r="C220" s="55"/>
      <c r="D220" s="55"/>
      <c r="E220" s="55"/>
      <c r="F220" s="55"/>
      <c r="G220" s="55"/>
      <c r="H220" s="55"/>
      <c r="I220" s="55"/>
      <c r="J220" s="55"/>
      <c r="K220" s="55"/>
      <c r="L220" s="55"/>
      <c r="M220" s="55"/>
    </row>
    <row r="221" spans="1:13" x14ac:dyDescent="0.2">
      <c r="A221" s="55"/>
      <c r="B221" s="55"/>
      <c r="C221" s="55"/>
      <c r="D221" s="55"/>
      <c r="E221" s="55"/>
      <c r="F221" s="55"/>
      <c r="G221" s="55"/>
      <c r="H221" s="55"/>
      <c r="I221" s="55"/>
      <c r="J221" s="55"/>
      <c r="K221" s="55"/>
      <c r="L221" s="55"/>
      <c r="M221" s="55"/>
    </row>
    <row r="222" spans="1:13" x14ac:dyDescent="0.2">
      <c r="A222" s="55"/>
      <c r="B222" s="55"/>
      <c r="C222" s="55"/>
      <c r="D222" s="55"/>
      <c r="E222" s="55"/>
      <c r="F222" s="55"/>
      <c r="G222" s="55"/>
      <c r="H222" s="55"/>
      <c r="I222" s="55"/>
      <c r="J222" s="55"/>
      <c r="K222" s="55"/>
      <c r="L222" s="55"/>
      <c r="M222" s="55"/>
    </row>
    <row r="223" spans="1:13" x14ac:dyDescent="0.2">
      <c r="A223" s="55"/>
      <c r="B223" s="55"/>
      <c r="C223" s="55"/>
      <c r="D223" s="55"/>
      <c r="E223" s="55"/>
      <c r="F223" s="55"/>
      <c r="G223" s="55"/>
      <c r="H223" s="55"/>
      <c r="I223" s="55"/>
      <c r="J223" s="55"/>
      <c r="K223" s="55"/>
      <c r="L223" s="55"/>
      <c r="M223" s="55"/>
    </row>
    <row r="224" spans="1:13" x14ac:dyDescent="0.2">
      <c r="A224" s="55"/>
      <c r="B224" s="55"/>
      <c r="C224" s="55"/>
      <c r="D224" s="55"/>
      <c r="E224" s="55"/>
      <c r="F224" s="55"/>
      <c r="G224" s="55"/>
      <c r="H224" s="55"/>
      <c r="I224" s="55"/>
      <c r="J224" s="55"/>
      <c r="K224" s="55"/>
      <c r="L224" s="55"/>
      <c r="M224" s="55"/>
    </row>
    <row r="225" spans="1:13" x14ac:dyDescent="0.2">
      <c r="A225" s="55"/>
      <c r="B225" s="55"/>
      <c r="C225" s="55"/>
      <c r="D225" s="55"/>
      <c r="E225" s="55"/>
      <c r="F225" s="55"/>
      <c r="G225" s="55"/>
      <c r="H225" s="55"/>
      <c r="I225" s="55"/>
      <c r="J225" s="55"/>
      <c r="K225" s="55"/>
      <c r="L225" s="55"/>
      <c r="M225" s="55"/>
    </row>
    <row r="226" spans="1:13" x14ac:dyDescent="0.2">
      <c r="A226" s="55"/>
      <c r="B226" s="55"/>
      <c r="C226" s="55"/>
      <c r="D226" s="55"/>
      <c r="E226" s="55"/>
      <c r="F226" s="55"/>
      <c r="G226" s="55"/>
      <c r="H226" s="55"/>
      <c r="I226" s="55"/>
      <c r="J226" s="55"/>
      <c r="K226" s="55"/>
      <c r="L226" s="55"/>
      <c r="M226" s="55"/>
    </row>
    <row r="227" spans="1:13" x14ac:dyDescent="0.2">
      <c r="A227" s="55"/>
      <c r="B227" s="55"/>
      <c r="C227" s="55"/>
      <c r="D227" s="55"/>
      <c r="E227" s="55"/>
      <c r="F227" s="55"/>
      <c r="G227" s="55"/>
      <c r="H227" s="55"/>
      <c r="I227" s="55"/>
      <c r="J227" s="55"/>
      <c r="K227" s="55"/>
      <c r="L227" s="55"/>
      <c r="M227" s="55"/>
    </row>
    <row r="228" spans="1:13" x14ac:dyDescent="0.2">
      <c r="A228" s="55"/>
      <c r="B228" s="55"/>
      <c r="C228" s="55"/>
      <c r="D228" s="55"/>
      <c r="E228" s="55"/>
      <c r="F228" s="55"/>
      <c r="G228" s="55"/>
      <c r="H228" s="55"/>
      <c r="I228" s="55"/>
      <c r="J228" s="55"/>
      <c r="K228" s="55"/>
      <c r="L228" s="55"/>
      <c r="M228" s="55"/>
    </row>
    <row r="229" spans="1:13" x14ac:dyDescent="0.2">
      <c r="A229" s="55"/>
      <c r="B229" s="55"/>
      <c r="C229" s="55"/>
      <c r="D229" s="55"/>
      <c r="E229" s="55"/>
      <c r="F229" s="55"/>
      <c r="G229" s="55"/>
      <c r="H229" s="55"/>
      <c r="I229" s="55"/>
      <c r="J229" s="55"/>
      <c r="K229" s="55"/>
      <c r="L229" s="55"/>
      <c r="M229" s="55"/>
    </row>
    <row r="230" spans="1:13" x14ac:dyDescent="0.2">
      <c r="A230" s="55"/>
      <c r="B230" s="55"/>
      <c r="C230" s="55"/>
      <c r="D230" s="55"/>
      <c r="E230" s="55"/>
      <c r="F230" s="55"/>
      <c r="G230" s="55"/>
      <c r="H230" s="55"/>
      <c r="I230" s="55"/>
      <c r="J230" s="55"/>
      <c r="K230" s="55"/>
      <c r="L230" s="55"/>
      <c r="M230" s="55"/>
    </row>
    <row r="231" spans="1:13" x14ac:dyDescent="0.2">
      <c r="A231" s="55"/>
      <c r="B231" s="55"/>
      <c r="C231" s="55"/>
      <c r="D231" s="55"/>
      <c r="E231" s="55"/>
      <c r="F231" s="55"/>
      <c r="G231" s="55"/>
      <c r="H231" s="55"/>
      <c r="I231" s="55"/>
      <c r="J231" s="55"/>
      <c r="K231" s="55"/>
      <c r="L231" s="55"/>
      <c r="M231" s="55"/>
    </row>
    <row r="232" spans="1:13" x14ac:dyDescent="0.2">
      <c r="A232" s="55"/>
      <c r="B232" s="55"/>
      <c r="C232" s="55"/>
      <c r="D232" s="55"/>
      <c r="E232" s="55"/>
      <c r="F232" s="55"/>
      <c r="G232" s="55"/>
      <c r="H232" s="55"/>
      <c r="I232" s="55"/>
      <c r="J232" s="55"/>
      <c r="K232" s="55"/>
      <c r="L232" s="55"/>
      <c r="M232" s="55"/>
    </row>
    <row r="233" spans="1:13" x14ac:dyDescent="0.2">
      <c r="A233" s="55"/>
      <c r="B233" s="55"/>
      <c r="C233" s="55"/>
      <c r="D233" s="55"/>
      <c r="E233" s="55"/>
      <c r="F233" s="55"/>
      <c r="G233" s="55"/>
      <c r="H233" s="55"/>
      <c r="I233" s="55"/>
      <c r="J233" s="55"/>
      <c r="K233" s="55"/>
      <c r="L233" s="55"/>
      <c r="M233" s="55"/>
    </row>
    <row r="234" spans="1:13" x14ac:dyDescent="0.2">
      <c r="A234" s="55"/>
      <c r="B234" s="55"/>
      <c r="C234" s="55"/>
      <c r="D234" s="55"/>
      <c r="E234" s="55"/>
      <c r="F234" s="55"/>
      <c r="G234" s="55"/>
      <c r="H234" s="55"/>
      <c r="I234" s="55"/>
      <c r="J234" s="55"/>
      <c r="K234" s="55"/>
      <c r="L234" s="55"/>
      <c r="M234" s="55"/>
    </row>
    <row r="235" spans="1:13" x14ac:dyDescent="0.2">
      <c r="A235" s="55"/>
      <c r="B235" s="55"/>
      <c r="C235" s="55"/>
      <c r="D235" s="55"/>
      <c r="E235" s="55"/>
      <c r="F235" s="55"/>
      <c r="G235" s="55"/>
      <c r="H235" s="55"/>
      <c r="I235" s="55"/>
      <c r="J235" s="55"/>
      <c r="K235" s="55"/>
      <c r="L235" s="55"/>
      <c r="M235" s="55"/>
    </row>
    <row r="236" spans="1:13" x14ac:dyDescent="0.2">
      <c r="A236" s="55"/>
      <c r="B236" s="55"/>
      <c r="C236" s="55"/>
      <c r="D236" s="55"/>
      <c r="E236" s="55"/>
      <c r="F236" s="55"/>
      <c r="G236" s="55"/>
      <c r="H236" s="55"/>
      <c r="I236" s="55"/>
      <c r="J236" s="55"/>
      <c r="K236" s="55"/>
      <c r="L236" s="55"/>
      <c r="M236" s="55"/>
    </row>
    <row r="237" spans="1:13" x14ac:dyDescent="0.2">
      <c r="A237" s="55"/>
      <c r="B237" s="55"/>
      <c r="C237" s="55"/>
      <c r="D237" s="55"/>
      <c r="E237" s="55"/>
      <c r="F237" s="55"/>
      <c r="G237" s="55"/>
      <c r="H237" s="55"/>
      <c r="I237" s="55"/>
      <c r="J237" s="55"/>
      <c r="K237" s="55"/>
      <c r="L237" s="55"/>
      <c r="M237" s="55"/>
    </row>
    <row r="238" spans="1:13" x14ac:dyDescent="0.2">
      <c r="A238" s="55"/>
      <c r="B238" s="55"/>
      <c r="C238" s="55"/>
      <c r="D238" s="55"/>
      <c r="E238" s="55"/>
      <c r="F238" s="55"/>
      <c r="G238" s="55"/>
      <c r="H238" s="55"/>
      <c r="I238" s="55"/>
      <c r="J238" s="55"/>
      <c r="K238" s="55"/>
      <c r="L238" s="55"/>
      <c r="M238" s="55"/>
    </row>
    <row r="239" spans="1:13" x14ac:dyDescent="0.2">
      <c r="A239" s="55"/>
      <c r="B239" s="55"/>
      <c r="C239" s="55"/>
      <c r="D239" s="55"/>
      <c r="E239" s="55"/>
      <c r="F239" s="55"/>
      <c r="G239" s="55"/>
      <c r="H239" s="55"/>
      <c r="I239" s="55"/>
      <c r="J239" s="55"/>
      <c r="K239" s="55"/>
      <c r="L239" s="55"/>
      <c r="M239" s="55"/>
    </row>
    <row r="240" spans="1:13" x14ac:dyDescent="0.2">
      <c r="A240" s="55"/>
      <c r="B240" s="55"/>
      <c r="C240" s="55"/>
      <c r="D240" s="55"/>
      <c r="E240" s="55"/>
      <c r="F240" s="55"/>
      <c r="G240" s="55"/>
      <c r="H240" s="55"/>
      <c r="I240" s="55"/>
      <c r="J240" s="55"/>
      <c r="K240" s="55"/>
      <c r="L240" s="55"/>
      <c r="M240" s="55"/>
    </row>
    <row r="241" spans="1:13" x14ac:dyDescent="0.2">
      <c r="A241" s="55"/>
      <c r="B241" s="55"/>
      <c r="C241" s="55"/>
      <c r="D241" s="55"/>
      <c r="E241" s="55"/>
      <c r="F241" s="55"/>
      <c r="G241" s="55"/>
      <c r="H241" s="55"/>
      <c r="I241" s="55"/>
      <c r="J241" s="55"/>
      <c r="K241" s="55"/>
      <c r="L241" s="55"/>
      <c r="M241" s="55"/>
    </row>
    <row r="242" spans="1:13" x14ac:dyDescent="0.2">
      <c r="A242" s="55"/>
      <c r="B242" s="55"/>
      <c r="C242" s="55"/>
      <c r="D242" s="55"/>
      <c r="E242" s="55"/>
      <c r="F242" s="55"/>
      <c r="G242" s="55"/>
      <c r="H242" s="55"/>
      <c r="I242" s="55"/>
      <c r="J242" s="55"/>
      <c r="K242" s="55"/>
      <c r="L242" s="55"/>
      <c r="M242" s="55"/>
    </row>
    <row r="243" spans="1:13" x14ac:dyDescent="0.2">
      <c r="A243" s="55"/>
      <c r="B243" s="55"/>
      <c r="C243" s="55"/>
      <c r="D243" s="55"/>
      <c r="E243" s="55"/>
      <c r="F243" s="55"/>
      <c r="G243" s="55"/>
      <c r="H243" s="55"/>
      <c r="I243" s="55"/>
      <c r="J243" s="55"/>
      <c r="K243" s="55"/>
      <c r="L243" s="55"/>
      <c r="M243" s="55"/>
    </row>
    <row r="244" spans="1:13" x14ac:dyDescent="0.2">
      <c r="A244" s="55"/>
      <c r="B244" s="55"/>
      <c r="C244" s="55"/>
      <c r="D244" s="55"/>
      <c r="E244" s="55"/>
      <c r="F244" s="55"/>
      <c r="G244" s="55"/>
      <c r="H244" s="55"/>
      <c r="I244" s="55"/>
      <c r="J244" s="55"/>
      <c r="K244" s="55"/>
      <c r="L244" s="55"/>
      <c r="M244" s="55"/>
    </row>
    <row r="245" spans="1:13" x14ac:dyDescent="0.2">
      <c r="A245" s="55"/>
      <c r="B245" s="55"/>
      <c r="C245" s="55"/>
      <c r="D245" s="55"/>
      <c r="E245" s="55"/>
      <c r="F245" s="55"/>
      <c r="G245" s="55"/>
      <c r="H245" s="55"/>
      <c r="I245" s="55"/>
      <c r="J245" s="55"/>
      <c r="K245" s="55"/>
      <c r="L245" s="55"/>
      <c r="M245" s="55"/>
    </row>
    <row r="246" spans="1:13" x14ac:dyDescent="0.2">
      <c r="A246" s="55"/>
      <c r="B246" s="55"/>
      <c r="C246" s="55"/>
      <c r="D246" s="55"/>
      <c r="E246" s="55"/>
      <c r="F246" s="55"/>
      <c r="G246" s="55"/>
      <c r="H246" s="55"/>
      <c r="I246" s="55"/>
      <c r="J246" s="55"/>
      <c r="K246" s="55"/>
      <c r="L246" s="55"/>
      <c r="M246" s="55"/>
    </row>
    <row r="247" spans="1:13" x14ac:dyDescent="0.2">
      <c r="A247" s="55"/>
      <c r="B247" s="55"/>
      <c r="C247" s="55"/>
      <c r="D247" s="55"/>
      <c r="E247" s="55"/>
      <c r="F247" s="55"/>
      <c r="G247" s="55"/>
      <c r="H247" s="55"/>
      <c r="I247" s="55"/>
      <c r="J247" s="55"/>
      <c r="K247" s="55"/>
      <c r="L247" s="55"/>
      <c r="M247" s="55"/>
    </row>
    <row r="248" spans="1:13" x14ac:dyDescent="0.2">
      <c r="A248" s="55"/>
      <c r="B248" s="55"/>
      <c r="C248" s="55"/>
      <c r="D248" s="55"/>
      <c r="E248" s="55"/>
      <c r="F248" s="55"/>
      <c r="G248" s="55"/>
      <c r="H248" s="55"/>
      <c r="I248" s="55"/>
      <c r="J248" s="55"/>
      <c r="K248" s="55"/>
      <c r="L248" s="55"/>
      <c r="M248" s="55"/>
    </row>
    <row r="249" spans="1:13" x14ac:dyDescent="0.2">
      <c r="A249" s="55"/>
      <c r="B249" s="55"/>
      <c r="C249" s="55"/>
      <c r="D249" s="55"/>
      <c r="E249" s="55"/>
      <c r="F249" s="55"/>
      <c r="G249" s="55"/>
      <c r="H249" s="55"/>
      <c r="I249" s="55"/>
      <c r="J249" s="55"/>
      <c r="K249" s="55"/>
      <c r="L249" s="55"/>
      <c r="M249" s="55"/>
    </row>
    <row r="250" spans="1:13" x14ac:dyDescent="0.2">
      <c r="A250" s="55"/>
      <c r="B250" s="55"/>
      <c r="C250" s="55"/>
      <c r="D250" s="55"/>
      <c r="E250" s="55"/>
      <c r="F250" s="55"/>
      <c r="G250" s="55"/>
      <c r="H250" s="55"/>
      <c r="I250" s="55"/>
      <c r="J250" s="55"/>
      <c r="K250" s="55"/>
      <c r="L250" s="55"/>
      <c r="M250" s="55"/>
    </row>
    <row r="251" spans="1:13" x14ac:dyDescent="0.2">
      <c r="A251" s="55"/>
      <c r="B251" s="55"/>
      <c r="C251" s="55"/>
      <c r="D251" s="55"/>
      <c r="E251" s="55"/>
      <c r="F251" s="55"/>
      <c r="G251" s="55"/>
      <c r="H251" s="55"/>
      <c r="I251" s="55"/>
      <c r="J251" s="55"/>
      <c r="K251" s="55"/>
      <c r="L251" s="55"/>
      <c r="M251" s="55"/>
    </row>
    <row r="252" spans="1:13" x14ac:dyDescent="0.2">
      <c r="A252" s="55"/>
      <c r="B252" s="55"/>
      <c r="C252" s="55"/>
      <c r="D252" s="55"/>
      <c r="E252" s="55"/>
      <c r="F252" s="55"/>
      <c r="G252" s="55"/>
      <c r="H252" s="55"/>
      <c r="I252" s="55"/>
      <c r="J252" s="55"/>
      <c r="K252" s="55"/>
      <c r="L252" s="55"/>
      <c r="M252" s="55"/>
    </row>
    <row r="253" spans="1:13" x14ac:dyDescent="0.2">
      <c r="A253" s="55"/>
      <c r="B253" s="55"/>
      <c r="C253" s="55"/>
      <c r="D253" s="55"/>
      <c r="E253" s="55"/>
      <c r="F253" s="55"/>
      <c r="G253" s="55"/>
      <c r="H253" s="55"/>
      <c r="I253" s="55"/>
      <c r="J253" s="55"/>
      <c r="K253" s="55"/>
      <c r="L253" s="55"/>
      <c r="M253" s="55"/>
    </row>
    <row r="254" spans="1:13" x14ac:dyDescent="0.2">
      <c r="A254" s="55"/>
      <c r="B254" s="55"/>
      <c r="C254" s="55"/>
      <c r="D254" s="55"/>
      <c r="E254" s="55"/>
      <c r="F254" s="55"/>
      <c r="G254" s="55"/>
      <c r="H254" s="55"/>
      <c r="I254" s="55"/>
      <c r="J254" s="55"/>
      <c r="K254" s="55"/>
      <c r="L254" s="55"/>
      <c r="M254" s="55"/>
    </row>
    <row r="255" spans="1:13" x14ac:dyDescent="0.2">
      <c r="A255" s="55"/>
      <c r="B255" s="55"/>
      <c r="C255" s="55"/>
      <c r="D255" s="55"/>
      <c r="E255" s="55"/>
      <c r="F255" s="55"/>
      <c r="G255" s="55"/>
      <c r="H255" s="55"/>
      <c r="I255" s="55"/>
      <c r="J255" s="55"/>
      <c r="K255" s="55"/>
      <c r="L255" s="55"/>
      <c r="M255" s="55"/>
    </row>
    <row r="256" spans="1:13" x14ac:dyDescent="0.2">
      <c r="A256" s="55"/>
      <c r="B256" s="55"/>
      <c r="C256" s="55"/>
      <c r="D256" s="55"/>
      <c r="E256" s="55"/>
      <c r="F256" s="55"/>
      <c r="G256" s="55"/>
      <c r="H256" s="55"/>
      <c r="I256" s="55"/>
      <c r="J256" s="55"/>
      <c r="K256" s="55"/>
      <c r="L256" s="55"/>
      <c r="M256" s="55"/>
    </row>
    <row r="257" spans="1:13" x14ac:dyDescent="0.2">
      <c r="A257" s="55"/>
      <c r="B257" s="55"/>
      <c r="C257" s="55"/>
      <c r="D257" s="55"/>
      <c r="E257" s="55"/>
      <c r="F257" s="55"/>
      <c r="G257" s="55"/>
      <c r="H257" s="55"/>
      <c r="I257" s="55"/>
      <c r="J257" s="55"/>
      <c r="K257" s="55"/>
      <c r="L257" s="55"/>
      <c r="M257" s="55"/>
    </row>
    <row r="258" spans="1:13" x14ac:dyDescent="0.2">
      <c r="A258" s="55"/>
      <c r="B258" s="55"/>
      <c r="C258" s="55"/>
      <c r="D258" s="55"/>
      <c r="E258" s="55"/>
      <c r="F258" s="55"/>
      <c r="G258" s="55"/>
      <c r="H258" s="55"/>
      <c r="I258" s="55"/>
      <c r="J258" s="55"/>
      <c r="K258" s="55"/>
      <c r="L258" s="55"/>
      <c r="M258" s="55"/>
    </row>
    <row r="259" spans="1:13" x14ac:dyDescent="0.2">
      <c r="A259" s="55"/>
      <c r="B259" s="55"/>
      <c r="C259" s="55"/>
      <c r="D259" s="55"/>
      <c r="E259" s="55"/>
      <c r="F259" s="55"/>
      <c r="G259" s="55"/>
      <c r="H259" s="55"/>
      <c r="I259" s="55"/>
      <c r="J259" s="55"/>
      <c r="K259" s="55"/>
      <c r="L259" s="55"/>
      <c r="M259" s="55"/>
    </row>
    <row r="260" spans="1:13" x14ac:dyDescent="0.2">
      <c r="A260" s="55"/>
      <c r="B260" s="55"/>
      <c r="C260" s="55"/>
      <c r="D260" s="55"/>
      <c r="E260" s="55"/>
      <c r="F260" s="55"/>
      <c r="G260" s="55"/>
      <c r="H260" s="55"/>
      <c r="I260" s="55"/>
      <c r="J260" s="55"/>
      <c r="K260" s="55"/>
      <c r="L260" s="55"/>
      <c r="M260" s="55"/>
    </row>
    <row r="261" spans="1:13" x14ac:dyDescent="0.2">
      <c r="A261" s="55"/>
      <c r="B261" s="55"/>
      <c r="C261" s="55"/>
      <c r="D261" s="55"/>
      <c r="E261" s="55"/>
      <c r="F261" s="55"/>
      <c r="G261" s="55"/>
      <c r="H261" s="55"/>
      <c r="I261" s="55"/>
      <c r="J261" s="55"/>
      <c r="K261" s="55"/>
      <c r="L261" s="55"/>
      <c r="M261" s="55"/>
    </row>
    <row r="262" spans="1:13" x14ac:dyDescent="0.2">
      <c r="A262" s="55"/>
      <c r="B262" s="55"/>
      <c r="C262" s="55"/>
      <c r="D262" s="55"/>
      <c r="E262" s="55"/>
      <c r="F262" s="55"/>
      <c r="G262" s="55"/>
      <c r="H262" s="55"/>
      <c r="I262" s="55"/>
      <c r="J262" s="55"/>
      <c r="K262" s="55"/>
      <c r="L262" s="55"/>
      <c r="M262" s="55"/>
    </row>
    <row r="263" spans="1:13" x14ac:dyDescent="0.2">
      <c r="A263" s="55"/>
      <c r="B263" s="55"/>
      <c r="C263" s="55"/>
      <c r="D263" s="55"/>
      <c r="E263" s="55"/>
      <c r="F263" s="55"/>
      <c r="G263" s="55"/>
      <c r="H263" s="55"/>
      <c r="I263" s="55"/>
      <c r="J263" s="55"/>
      <c r="K263" s="55"/>
      <c r="L263" s="55"/>
      <c r="M263" s="55"/>
    </row>
    <row r="264" spans="1:13" x14ac:dyDescent="0.2">
      <c r="A264" s="55"/>
      <c r="B264" s="55"/>
      <c r="C264" s="55"/>
      <c r="D264" s="55"/>
      <c r="E264" s="55"/>
      <c r="F264" s="55"/>
      <c r="G264" s="55"/>
      <c r="H264" s="55"/>
      <c r="I264" s="55"/>
      <c r="J264" s="55"/>
      <c r="K264" s="55"/>
      <c r="L264" s="55"/>
      <c r="M264" s="55"/>
    </row>
    <row r="265" spans="1:13" x14ac:dyDescent="0.2">
      <c r="A265" s="55"/>
      <c r="B265" s="55"/>
      <c r="C265" s="55"/>
      <c r="D265" s="55"/>
      <c r="E265" s="55"/>
      <c r="F265" s="55"/>
      <c r="G265" s="55"/>
      <c r="H265" s="55"/>
      <c r="I265" s="55"/>
      <c r="J265" s="55"/>
      <c r="K265" s="55"/>
      <c r="L265" s="55"/>
      <c r="M265" s="55"/>
    </row>
    <row r="266" spans="1:13" x14ac:dyDescent="0.2">
      <c r="A266" s="55"/>
      <c r="B266" s="55"/>
      <c r="C266" s="55"/>
      <c r="D266" s="55"/>
      <c r="E266" s="55"/>
      <c r="F266" s="55"/>
      <c r="G266" s="55"/>
      <c r="H266" s="55"/>
      <c r="I266" s="55"/>
      <c r="J266" s="55"/>
      <c r="K266" s="55"/>
      <c r="L266" s="55"/>
      <c r="M266" s="55"/>
    </row>
    <row r="267" spans="1:13" x14ac:dyDescent="0.2">
      <c r="A267" s="55"/>
      <c r="B267" s="55"/>
      <c r="C267" s="55"/>
      <c r="D267" s="55"/>
      <c r="E267" s="55"/>
      <c r="F267" s="55"/>
      <c r="G267" s="55"/>
      <c r="H267" s="55"/>
      <c r="I267" s="55"/>
      <c r="J267" s="55"/>
      <c r="K267" s="55"/>
      <c r="L267" s="55"/>
      <c r="M267" s="55"/>
    </row>
    <row r="268" spans="1:13" x14ac:dyDescent="0.2">
      <c r="A268" s="55"/>
      <c r="B268" s="55"/>
      <c r="C268" s="55"/>
      <c r="D268" s="55"/>
      <c r="E268" s="55"/>
      <c r="F268" s="55"/>
      <c r="G268" s="55"/>
      <c r="H268" s="55"/>
      <c r="I268" s="55"/>
      <c r="J268" s="55"/>
      <c r="K268" s="55"/>
      <c r="L268" s="55"/>
      <c r="M268" s="55"/>
    </row>
    <row r="269" spans="1:13" x14ac:dyDescent="0.2">
      <c r="A269" s="55"/>
      <c r="B269" s="55"/>
      <c r="C269" s="55"/>
      <c r="D269" s="55"/>
      <c r="E269" s="55"/>
      <c r="F269" s="55"/>
      <c r="G269" s="55"/>
      <c r="H269" s="55"/>
      <c r="I269" s="55"/>
      <c r="J269" s="55"/>
      <c r="K269" s="55"/>
      <c r="L269" s="55"/>
      <c r="M269" s="55"/>
    </row>
  </sheetData>
  <mergeCells count="4">
    <mergeCell ref="A1:M1"/>
    <mergeCell ref="A2:M2"/>
    <mergeCell ref="A3:M3"/>
    <mergeCell ref="A4:M4"/>
  </mergeCells>
  <printOptions horizontalCentered="1"/>
  <pageMargins left="0.39370078740157483" right="0.39370078740157483" top="0.39370078740157483" bottom="0.39370078740157483" header="0" footer="0"/>
  <pageSetup scale="45" orientation="portrait" horizontalDpi="4294967293" verticalDpi="4294967293"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2020-01-14T15:28:12Z</dcterms:created>
  <dcterms:modified xsi:type="dcterms:W3CDTF">2020-01-14T15:30:37Z</dcterms:modified>
</cp:coreProperties>
</file>