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ño 2019\LEY 1712\EJECUCION PRESUPUESTAL HISTORICA ANUAL\2018\Gastos\"/>
    </mc:Choice>
  </mc:AlternateContent>
  <bookViews>
    <workbookView xWindow="0" yWindow="0" windowWidth="24000" windowHeight="9435"/>
  </bookViews>
  <sheets>
    <sheet name="Anexo 2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hidden="1">#REF!</definedName>
    <definedName name="ANEXO" hidden="1">'[10]Inversión total en programas'!$A$50:$IV$50,'[10]Inversión total en programas'!$A$60:$IV$63</definedName>
    <definedName name="_xlnm.Print_Area" localSheetId="0">'Anexo 2 '!$A$1:$M$197</definedName>
    <definedName name="_xlnm.Print_Area">#REF!</definedName>
    <definedName name="AREAS">#REF!</definedName>
    <definedName name="ASISCALLCENTER">#REF!</definedName>
    <definedName name="ASISCONTABPPC">#REF!</definedName>
    <definedName name="ASISDESPACHOS">#REF!</definedName>
    <definedName name="ASISICA">#REF!</definedName>
    <definedName name="AUXBODEGA">#REF!</definedName>
    <definedName name="cabezas">'[13]Anexo 1 Minagricultura'!#REF!</definedName>
    <definedName name="CABEZAS_PROYEC" localSheetId="0">'[14]Anexo 1 Minagricultura'!$C$46</definedName>
    <definedName name="CABEZAS_PROYEC">'[1]Anexo 1'!#REF!</definedName>
    <definedName name="CONTRATOS">#REF!</definedName>
    <definedName name="CUOTAPPC2005" localSheetId="0">'[14]Anexo 1 Minagricultura'!#REF!</definedName>
    <definedName name="CUOTAPPC2005">'[1]Anexo 1'!#REF!</definedName>
    <definedName name="CUOTAPPC2013" localSheetId="0">'[14]Anexo 1 Minagricultura'!#REF!</definedName>
    <definedName name="CUOTAPPC2013">'[1]Anexo 1'!#REF!</definedName>
    <definedName name="CUOTAPPC203" localSheetId="0">'[14]Anexo 1 Minagricultura'!#REF!</definedName>
    <definedName name="CUOTAPPC203">'[1]Anexo 1'!#REF!</definedName>
    <definedName name="DIAG_PPC">#REF!</definedName>
    <definedName name="DIRECCION">[15]consecutivo!$M$9:$M$13</definedName>
    <definedName name="DISTRIBUIDOR">#REF!</definedName>
    <definedName name="Dólar" localSheetId="0">#REF!</definedName>
    <definedName name="Dólar">#REF!</definedName>
    <definedName name="eeeee" localSheetId="0">'[14]Ejecución ingresos 2014'!#REF!</definedName>
    <definedName name="eeeee">'[1]Ejecución ingresos 2017'!#REF!</definedName>
    <definedName name="EPPC" localSheetId="0">'[14]Anexo 1 Minagricultura'!$C$54</definedName>
    <definedName name="EPPC">'[1]Anexo 1'!#REF!</definedName>
    <definedName name="Euro" localSheetId="0">#REF!</definedName>
    <definedName name="Euro">#REF!</definedName>
    <definedName name="FDGFDG">#REF!</definedName>
    <definedName name="FECHA_DE_RECIBIDO">[16]BASE!$E$3:$E$177</definedName>
    <definedName name="FOMENTO" localSheetId="0">'[14]Anexo 1 Minagricultura'!$C$53</definedName>
    <definedName name="FOMENTO">'[1]Anexo 1'!#REF!</definedName>
    <definedName name="FOMENTOS">'[19]Anexo 1 Minagricultura'!$C$51</definedName>
    <definedName name="GTOSEPPC">#REF!</definedName>
    <definedName name="HONORAUDI_JURIDIC">#REF!</definedName>
    <definedName name="HONTOTAL">#REF!</definedName>
    <definedName name="Incremento" localSheetId="0">#REF!</definedName>
    <definedName name="Incremento">#REF!</definedName>
    <definedName name="Inflación" localSheetId="0">#REF!</definedName>
    <definedName name="Inflación">#REF!</definedName>
    <definedName name="JORTIZ">#REF!</definedName>
    <definedName name="LABORATORIOS">#REF!</definedName>
    <definedName name="NOMBDISTRI">#REF!</definedName>
    <definedName name="Pasajes" localSheetId="0">#REF!</definedName>
    <definedName name="Pasajes">#REF!</definedName>
    <definedName name="ppc">'[1]Anexo 1'!$B$16</definedName>
    <definedName name="RESERV_FUTU">#REF!</definedName>
    <definedName name="saldo" localSheetId="0">'[14]Ejecución ingresos 2014'!#REF!</definedName>
    <definedName name="saldo">'[1]Ejecución ingresos 2017'!#REF!</definedName>
    <definedName name="saldos" localSheetId="0">'[14]Ejecución ingresos 2014'!#REF!</definedName>
    <definedName name="saldos">'[1]Ejecución ingresos 2017'!#REF!</definedName>
    <definedName name="SUPERA2004" localSheetId="0">'[14]Anexo 1 Minagricultura'!#REF!</definedName>
    <definedName name="SUPERA2004">'[1]Anexo 1'!#REF!</definedName>
    <definedName name="SUPERA2005" localSheetId="0">'[14]Anexo 1 Minagricultura'!#REF!</definedName>
    <definedName name="SUPERA2005">'[1]Anexo 1'!#REF!</definedName>
    <definedName name="SUPERA2010">'[21]Anexo 1 Minagricultura'!$C$21</definedName>
    <definedName name="SUPERA2012" localSheetId="0">'[14]Anexo 1 Minagricultura'!#REF!</definedName>
    <definedName name="SUPERA2012">'[1]Anexo 1'!#REF!</definedName>
    <definedName name="SUPERAVIT">#REF!</definedName>
    <definedName name="SUPERAVIT2005_FNP">#REF!</definedName>
    <definedName name="SUPERAVITPPC_2005">#REF!</definedName>
    <definedName name="TIPOS">#REF!</definedName>
    <definedName name="_xlnm.Print_Titles" localSheetId="0">'Anexo 2 '!$1:$6</definedName>
    <definedName name="_xlnm.Print_Titles">#REF!</definedName>
    <definedName name="VTAS2005">'[1]Anexo 1'!$B$33</definedName>
    <definedName name="xx">[22]Ingresos!$C$19</definedName>
    <definedName name="Z_4099E833_BB74_4680_85C9_A6CF399D1CE2_.wvu.Cols" hidden="1">#REF!,#REF!,#REF!,#REF!</definedName>
    <definedName name="Z_4099E833_BB74_4680_85C9_A6CF399D1CE2_.wvu.FilterData" hidden="1">#REF!</definedName>
    <definedName name="Z_4099E833_BB74_4680_85C9_A6CF399D1CE2_.wvu.PrintArea" hidden="1">#REF!</definedName>
    <definedName name="Z_4099E833_BB74_4680_85C9_A6CF399D1CE2_.wvu.PrintTitles" hidden="1">#REF!</definedName>
    <definedName name="Z_4099E833_BB74_4680_85C9_A6CF399D1CE2_.wvu.Rows" hidden="1">#REF!,#REF!</definedName>
    <definedName name="ZFRONTERA" localSheetId="0">'[24]Ingresos 2014'!#REF!</definedName>
    <definedName name="ZFRONTERA">'[24]Ingresos 2014'!#REF!</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2" i="1" l="1"/>
  <c r="L192" i="1" s="1"/>
  <c r="J192" i="1"/>
  <c r="J191" i="1"/>
  <c r="K190" i="1"/>
  <c r="L190" i="1" s="1"/>
  <c r="J190" i="1"/>
  <c r="I190" i="1"/>
  <c r="K188" i="1"/>
  <c r="L188" i="1" s="1"/>
  <c r="J188" i="1"/>
  <c r="H188" i="1"/>
  <c r="L186" i="1"/>
  <c r="K186" i="1"/>
  <c r="J186" i="1"/>
  <c r="L184" i="1"/>
  <c r="J184" i="1"/>
  <c r="M184" i="1" s="1"/>
  <c r="I184" i="1"/>
  <c r="M183" i="1"/>
  <c r="L183" i="1"/>
  <c r="J183" i="1"/>
  <c r="I183" i="1"/>
  <c r="K182" i="1"/>
  <c r="I182" i="1"/>
  <c r="E180" i="1"/>
  <c r="H180" i="1" s="1"/>
  <c r="J180" i="1" s="1"/>
  <c r="A180" i="1"/>
  <c r="L179" i="1"/>
  <c r="J179" i="1"/>
  <c r="M179" i="1" s="1"/>
  <c r="H179" i="1"/>
  <c r="E179" i="1"/>
  <c r="A179" i="1"/>
  <c r="H178" i="1"/>
  <c r="J178" i="1" s="1"/>
  <c r="M178" i="1" s="1"/>
  <c r="E178" i="1"/>
  <c r="A178" i="1"/>
  <c r="H177" i="1"/>
  <c r="E177" i="1"/>
  <c r="A177" i="1"/>
  <c r="K176" i="1"/>
  <c r="E176" i="1"/>
  <c r="E175" i="1" s="1"/>
  <c r="E39" i="1" s="1"/>
  <c r="K175" i="1"/>
  <c r="H173" i="1"/>
  <c r="J173" i="1" s="1"/>
  <c r="M173" i="1" s="1"/>
  <c r="D173" i="1"/>
  <c r="D172" i="1"/>
  <c r="H172" i="1" s="1"/>
  <c r="J172" i="1" s="1"/>
  <c r="L172" i="1" s="1"/>
  <c r="A172" i="1"/>
  <c r="M171" i="1"/>
  <c r="J171" i="1"/>
  <c r="L171" i="1" s="1"/>
  <c r="D171" i="1"/>
  <c r="H171" i="1" s="1"/>
  <c r="A171" i="1"/>
  <c r="J170" i="1"/>
  <c r="L170" i="1" s="1"/>
  <c r="H170" i="1"/>
  <c r="A170" i="1"/>
  <c r="M169" i="1"/>
  <c r="H169" i="1"/>
  <c r="J169" i="1" s="1"/>
  <c r="L169" i="1" s="1"/>
  <c r="D169" i="1"/>
  <c r="A169" i="1"/>
  <c r="L168" i="1"/>
  <c r="J168" i="1"/>
  <c r="M168" i="1" s="1"/>
  <c r="D168" i="1"/>
  <c r="H168" i="1" s="1"/>
  <c r="A168" i="1"/>
  <c r="D167" i="1"/>
  <c r="A167" i="1"/>
  <c r="K166" i="1"/>
  <c r="H165" i="1"/>
  <c r="J165" i="1" s="1"/>
  <c r="D165" i="1"/>
  <c r="A165" i="1"/>
  <c r="D164" i="1"/>
  <c r="H164" i="1" s="1"/>
  <c r="J164" i="1" s="1"/>
  <c r="L164" i="1" s="1"/>
  <c r="A164" i="1"/>
  <c r="J163" i="1"/>
  <c r="M163" i="1" s="1"/>
  <c r="H163" i="1"/>
  <c r="D163" i="1"/>
  <c r="A163" i="1"/>
  <c r="D162" i="1"/>
  <c r="H162" i="1" s="1"/>
  <c r="J162" i="1" s="1"/>
  <c r="A162" i="1"/>
  <c r="H161" i="1"/>
  <c r="D161" i="1"/>
  <c r="A161" i="1"/>
  <c r="K160" i="1"/>
  <c r="D160" i="1"/>
  <c r="J158" i="1"/>
  <c r="M158" i="1" s="1"/>
  <c r="H158" i="1"/>
  <c r="D158" i="1"/>
  <c r="M157" i="1"/>
  <c r="D157" i="1"/>
  <c r="H157" i="1" s="1"/>
  <c r="J157" i="1" s="1"/>
  <c r="L157" i="1" s="1"/>
  <c r="D156" i="1"/>
  <c r="D155" i="1" s="1"/>
  <c r="A156" i="1"/>
  <c r="K155" i="1"/>
  <c r="H154" i="1"/>
  <c r="J154" i="1" s="1"/>
  <c r="L154" i="1" s="1"/>
  <c r="D154" i="1"/>
  <c r="A154" i="1"/>
  <c r="J153" i="1"/>
  <c r="D153" i="1"/>
  <c r="H153" i="1" s="1"/>
  <c r="A153" i="1"/>
  <c r="D152" i="1"/>
  <c r="H152" i="1" s="1"/>
  <c r="J152" i="1" s="1"/>
  <c r="L152" i="1" s="1"/>
  <c r="A152" i="1"/>
  <c r="H151" i="1"/>
  <c r="J151" i="1" s="1"/>
  <c r="L151" i="1" s="1"/>
  <c r="A151" i="1"/>
  <c r="D150" i="1"/>
  <c r="H150" i="1" s="1"/>
  <c r="J150" i="1" s="1"/>
  <c r="A150" i="1"/>
  <c r="J149" i="1"/>
  <c r="M149" i="1" s="1"/>
  <c r="H149" i="1"/>
  <c r="D149" i="1"/>
  <c r="A149" i="1"/>
  <c r="D148" i="1"/>
  <c r="H148" i="1" s="1"/>
  <c r="A148" i="1"/>
  <c r="K147" i="1"/>
  <c r="D147" i="1"/>
  <c r="K146" i="1"/>
  <c r="H145" i="1"/>
  <c r="J145" i="1" s="1"/>
  <c r="L145" i="1" s="1"/>
  <c r="D144" i="1"/>
  <c r="H144" i="1" s="1"/>
  <c r="J144" i="1" s="1"/>
  <c r="M144" i="1" s="1"/>
  <c r="D143" i="1"/>
  <c r="H143" i="1" s="1"/>
  <c r="J143" i="1" s="1"/>
  <c r="L143" i="1" s="1"/>
  <c r="K142" i="1"/>
  <c r="H139" i="1"/>
  <c r="J139" i="1" s="1"/>
  <c r="C139" i="1"/>
  <c r="K138" i="1"/>
  <c r="C138" i="1"/>
  <c r="H138" i="1" s="1"/>
  <c r="H137" i="1"/>
  <c r="J137" i="1" s="1"/>
  <c r="L137" i="1" s="1"/>
  <c r="C137" i="1"/>
  <c r="C135" i="1" s="1"/>
  <c r="H135" i="1" s="1"/>
  <c r="H136" i="1"/>
  <c r="J136" i="1" s="1"/>
  <c r="C136" i="1"/>
  <c r="K135" i="1"/>
  <c r="C134" i="1"/>
  <c r="H134" i="1" s="1"/>
  <c r="J134" i="1" s="1"/>
  <c r="M133" i="1"/>
  <c r="L133" i="1"/>
  <c r="J133" i="1"/>
  <c r="H133" i="1"/>
  <c r="C133" i="1"/>
  <c r="K132" i="1"/>
  <c r="C132" i="1"/>
  <c r="H132" i="1" s="1"/>
  <c r="C131" i="1"/>
  <c r="H131" i="1" s="1"/>
  <c r="J131" i="1" s="1"/>
  <c r="J130" i="1"/>
  <c r="L130" i="1" s="1"/>
  <c r="H130" i="1"/>
  <c r="H129" i="1"/>
  <c r="J129" i="1" s="1"/>
  <c r="L129" i="1" s="1"/>
  <c r="C129" i="1"/>
  <c r="C128" i="1" s="1"/>
  <c r="H128" i="1" s="1"/>
  <c r="K128" i="1"/>
  <c r="K127" i="1"/>
  <c r="G125" i="1"/>
  <c r="H125" i="1" s="1"/>
  <c r="M124" i="1"/>
  <c r="L124" i="1"/>
  <c r="J124" i="1"/>
  <c r="G124" i="1"/>
  <c r="H124" i="1" s="1"/>
  <c r="K123" i="1"/>
  <c r="G123" i="1"/>
  <c r="G122" i="1"/>
  <c r="H122" i="1" s="1"/>
  <c r="J122" i="1" s="1"/>
  <c r="A122" i="1"/>
  <c r="G121" i="1"/>
  <c r="A121" i="1"/>
  <c r="K120" i="1"/>
  <c r="H119" i="1"/>
  <c r="J119" i="1" s="1"/>
  <c r="G119" i="1"/>
  <c r="G118" i="1"/>
  <c r="G117" i="1" s="1"/>
  <c r="K117" i="1"/>
  <c r="G116" i="1"/>
  <c r="H116" i="1" s="1"/>
  <c r="J116" i="1" s="1"/>
  <c r="G115" i="1"/>
  <c r="H115" i="1" s="1"/>
  <c r="J115" i="1" s="1"/>
  <c r="H114" i="1"/>
  <c r="J114" i="1" s="1"/>
  <c r="G114" i="1"/>
  <c r="H113" i="1"/>
  <c r="J113" i="1" s="1"/>
  <c r="G113" i="1"/>
  <c r="G112" i="1"/>
  <c r="H112" i="1" s="1"/>
  <c r="J112" i="1" s="1"/>
  <c r="M112" i="1" s="1"/>
  <c r="H111" i="1"/>
  <c r="G111" i="1"/>
  <c r="K110" i="1"/>
  <c r="H107" i="1"/>
  <c r="J107" i="1" s="1"/>
  <c r="F107" i="1"/>
  <c r="J106" i="1"/>
  <c r="M106" i="1" s="1"/>
  <c r="H106" i="1"/>
  <c r="F106" i="1"/>
  <c r="F105" i="1"/>
  <c r="H105" i="1" s="1"/>
  <c r="J105" i="1" s="1"/>
  <c r="M104" i="1"/>
  <c r="J104" i="1"/>
  <c r="L104" i="1" s="1"/>
  <c r="H104" i="1"/>
  <c r="F104" i="1"/>
  <c r="F103" i="1"/>
  <c r="H103" i="1" s="1"/>
  <c r="J103" i="1" s="1"/>
  <c r="M102" i="1"/>
  <c r="L102" i="1"/>
  <c r="J102" i="1"/>
  <c r="F102" i="1"/>
  <c r="H102" i="1" s="1"/>
  <c r="K101" i="1"/>
  <c r="J100" i="1"/>
  <c r="H100" i="1"/>
  <c r="F100" i="1"/>
  <c r="F99" i="1"/>
  <c r="H99" i="1" s="1"/>
  <c r="J99" i="1" s="1"/>
  <c r="J98" i="1"/>
  <c r="L98" i="1" s="1"/>
  <c r="H98" i="1"/>
  <c r="F97" i="1"/>
  <c r="H97" i="1" s="1"/>
  <c r="J97" i="1" s="1"/>
  <c r="M96" i="1"/>
  <c r="L96" i="1"/>
  <c r="J96" i="1"/>
  <c r="H96" i="1"/>
  <c r="F96" i="1"/>
  <c r="F95" i="1"/>
  <c r="H95" i="1" s="1"/>
  <c r="J95" i="1" s="1"/>
  <c r="J94" i="1"/>
  <c r="L94" i="1" s="1"/>
  <c r="H94" i="1"/>
  <c r="F94" i="1"/>
  <c r="F93" i="1"/>
  <c r="H93" i="1" s="1"/>
  <c r="K92" i="1"/>
  <c r="L91" i="1"/>
  <c r="J91" i="1"/>
  <c r="M91" i="1" s="1"/>
  <c r="H91" i="1"/>
  <c r="F91" i="1"/>
  <c r="F90" i="1"/>
  <c r="H90" i="1" s="1"/>
  <c r="J90" i="1" s="1"/>
  <c r="F89" i="1"/>
  <c r="H89" i="1" s="1"/>
  <c r="J89" i="1" s="1"/>
  <c r="M89" i="1" s="1"/>
  <c r="L88" i="1"/>
  <c r="J88" i="1"/>
  <c r="H88" i="1"/>
  <c r="F87" i="1"/>
  <c r="H87" i="1" s="1"/>
  <c r="J87" i="1" s="1"/>
  <c r="J86" i="1"/>
  <c r="M86" i="1" s="1"/>
  <c r="H86" i="1"/>
  <c r="F86" i="1"/>
  <c r="F85" i="1"/>
  <c r="H85" i="1" s="1"/>
  <c r="J85" i="1" s="1"/>
  <c r="J84" i="1"/>
  <c r="M84" i="1" s="1"/>
  <c r="F84" i="1"/>
  <c r="H84" i="1" s="1"/>
  <c r="F83" i="1"/>
  <c r="H83" i="1" s="1"/>
  <c r="J83" i="1" s="1"/>
  <c r="H82" i="1"/>
  <c r="F82" i="1"/>
  <c r="K81" i="1"/>
  <c r="J80" i="1"/>
  <c r="M80" i="1" s="1"/>
  <c r="H80" i="1"/>
  <c r="F80" i="1"/>
  <c r="H79" i="1"/>
  <c r="J79" i="1" s="1"/>
  <c r="L79" i="1" s="1"/>
  <c r="H78" i="1"/>
  <c r="J78" i="1" s="1"/>
  <c r="L78" i="1" s="1"/>
  <c r="M77" i="1"/>
  <c r="L77" i="1"/>
  <c r="J77" i="1"/>
  <c r="H77" i="1"/>
  <c r="F76" i="1"/>
  <c r="F73" i="1" s="1"/>
  <c r="L75" i="1"/>
  <c r="J75" i="1"/>
  <c r="H75" i="1"/>
  <c r="H74" i="1"/>
  <c r="K73" i="1"/>
  <c r="K72" i="1" s="1"/>
  <c r="H70" i="1"/>
  <c r="J70" i="1" s="1"/>
  <c r="B70" i="1"/>
  <c r="B68" i="1" s="1"/>
  <c r="B69" i="1"/>
  <c r="H69" i="1" s="1"/>
  <c r="H68" i="1" s="1"/>
  <c r="K68" i="1"/>
  <c r="B67" i="1"/>
  <c r="H67" i="1" s="1"/>
  <c r="J67" i="1" s="1"/>
  <c r="M66" i="1"/>
  <c r="L66" i="1"/>
  <c r="J66" i="1"/>
  <c r="B66" i="1"/>
  <c r="H66" i="1" s="1"/>
  <c r="B65" i="1"/>
  <c r="H65" i="1" s="1"/>
  <c r="K64" i="1"/>
  <c r="B64" i="1"/>
  <c r="L63" i="1"/>
  <c r="J63" i="1"/>
  <c r="H63" i="1"/>
  <c r="J62" i="1"/>
  <c r="H62" i="1"/>
  <c r="B62" i="1"/>
  <c r="B61" i="1"/>
  <c r="H61" i="1" s="1"/>
  <c r="H60" i="1" s="1"/>
  <c r="K60" i="1"/>
  <c r="B60" i="1"/>
  <c r="B59" i="1"/>
  <c r="H59" i="1" s="1"/>
  <c r="J59" i="1" s="1"/>
  <c r="M58" i="1"/>
  <c r="B58" i="1"/>
  <c r="H58" i="1" s="1"/>
  <c r="J58" i="1" s="1"/>
  <c r="L58" i="1" s="1"/>
  <c r="B57" i="1"/>
  <c r="B56" i="1" s="1"/>
  <c r="K56" i="1"/>
  <c r="J55" i="1"/>
  <c r="M55" i="1" s="1"/>
  <c r="B55" i="1"/>
  <c r="H55" i="1" s="1"/>
  <c r="B54" i="1"/>
  <c r="B51" i="1" s="1"/>
  <c r="M53" i="1"/>
  <c r="H53" i="1"/>
  <c r="J53" i="1" s="1"/>
  <c r="L53" i="1" s="1"/>
  <c r="B53" i="1"/>
  <c r="H52" i="1"/>
  <c r="J52" i="1" s="1"/>
  <c r="L52" i="1" s="1"/>
  <c r="K51" i="1"/>
  <c r="J50" i="1"/>
  <c r="B50" i="1"/>
  <c r="H50" i="1" s="1"/>
  <c r="H49" i="1"/>
  <c r="H48" i="1" s="1"/>
  <c r="J48" i="1" s="1"/>
  <c r="M48" i="1" s="1"/>
  <c r="K48" i="1"/>
  <c r="L48" i="1" s="1"/>
  <c r="B48" i="1"/>
  <c r="K47" i="1"/>
  <c r="K44" i="1" s="1"/>
  <c r="B46" i="1"/>
  <c r="H46" i="1" s="1"/>
  <c r="J46" i="1" s="1"/>
  <c r="B45" i="1"/>
  <c r="H43" i="1"/>
  <c r="J43" i="1" s="1"/>
  <c r="B43" i="1"/>
  <c r="K42" i="1"/>
  <c r="H42" i="1"/>
  <c r="B42" i="1"/>
  <c r="K36" i="1"/>
  <c r="K37" i="1" s="1"/>
  <c r="J35" i="1"/>
  <c r="M35" i="1" s="1"/>
  <c r="I35" i="1"/>
  <c r="H35" i="1"/>
  <c r="I34" i="1"/>
  <c r="H34" i="1"/>
  <c r="J34" i="1" s="1"/>
  <c r="L34" i="1" s="1"/>
  <c r="I33" i="1"/>
  <c r="G33" i="1"/>
  <c r="F33" i="1"/>
  <c r="B33" i="1"/>
  <c r="I32" i="1"/>
  <c r="G32" i="1"/>
  <c r="F32" i="1"/>
  <c r="D32" i="1"/>
  <c r="C32" i="1"/>
  <c r="B32" i="1"/>
  <c r="J31" i="1"/>
  <c r="M31" i="1" s="1"/>
  <c r="I31" i="1"/>
  <c r="H31" i="1"/>
  <c r="I30" i="1"/>
  <c r="G30" i="1"/>
  <c r="F30" i="1"/>
  <c r="D30" i="1"/>
  <c r="C30" i="1"/>
  <c r="B30" i="1"/>
  <c r="H30" i="1" s="1"/>
  <c r="J30" i="1" s="1"/>
  <c r="M29" i="1"/>
  <c r="J29" i="1"/>
  <c r="L29" i="1" s="1"/>
  <c r="I29" i="1"/>
  <c r="H29" i="1"/>
  <c r="G29" i="1"/>
  <c r="I28" i="1"/>
  <c r="G28" i="1"/>
  <c r="H28" i="1" s="1"/>
  <c r="J28" i="1" s="1"/>
  <c r="E28" i="1"/>
  <c r="D28" i="1"/>
  <c r="C28" i="1"/>
  <c r="B28" i="1"/>
  <c r="I27" i="1"/>
  <c r="H27" i="1"/>
  <c r="J27" i="1" s="1"/>
  <c r="G27" i="1"/>
  <c r="F27" i="1"/>
  <c r="E27" i="1"/>
  <c r="D27" i="1"/>
  <c r="C27" i="1"/>
  <c r="B27" i="1"/>
  <c r="M26" i="1"/>
  <c r="L26" i="1"/>
  <c r="J26" i="1"/>
  <c r="I26" i="1"/>
  <c r="H26" i="1"/>
  <c r="I25" i="1"/>
  <c r="G25" i="1"/>
  <c r="H25" i="1" s="1"/>
  <c r="J25" i="1" s="1"/>
  <c r="F25" i="1"/>
  <c r="D25" i="1"/>
  <c r="C25" i="1"/>
  <c r="B25" i="1"/>
  <c r="I24" i="1"/>
  <c r="H24" i="1"/>
  <c r="J24" i="1" s="1"/>
  <c r="G24" i="1"/>
  <c r="F24" i="1"/>
  <c r="E24" i="1"/>
  <c r="D24" i="1"/>
  <c r="C24" i="1"/>
  <c r="B24" i="1"/>
  <c r="B36" i="1" s="1"/>
  <c r="M23" i="1"/>
  <c r="L23" i="1"/>
  <c r="I23" i="1"/>
  <c r="G23" i="1"/>
  <c r="H23" i="1" s="1"/>
  <c r="J23" i="1" s="1"/>
  <c r="I22" i="1"/>
  <c r="I36" i="1" s="1"/>
  <c r="G22" i="1"/>
  <c r="F22" i="1"/>
  <c r="E22" i="1"/>
  <c r="E36" i="1" s="1"/>
  <c r="C22" i="1"/>
  <c r="B22" i="1"/>
  <c r="I21" i="1"/>
  <c r="G21" i="1"/>
  <c r="F21" i="1"/>
  <c r="C21" i="1"/>
  <c r="C36" i="1" s="1"/>
  <c r="B21" i="1"/>
  <c r="K19" i="1"/>
  <c r="I18" i="1"/>
  <c r="H18" i="1"/>
  <c r="J18" i="1" s="1"/>
  <c r="G18" i="1"/>
  <c r="F18" i="1"/>
  <c r="E18" i="1"/>
  <c r="D18" i="1"/>
  <c r="C18" i="1"/>
  <c r="B18" i="1"/>
  <c r="I17" i="1"/>
  <c r="G17" i="1"/>
  <c r="F17" i="1"/>
  <c r="E17" i="1"/>
  <c r="D17" i="1"/>
  <c r="C17" i="1"/>
  <c r="B17" i="1"/>
  <c r="I16" i="1"/>
  <c r="H16" i="1"/>
  <c r="J16" i="1" s="1"/>
  <c r="G16" i="1"/>
  <c r="F16" i="1"/>
  <c r="E16" i="1"/>
  <c r="D16" i="1"/>
  <c r="C16" i="1"/>
  <c r="B16" i="1"/>
  <c r="I15" i="1"/>
  <c r="G15" i="1"/>
  <c r="F15" i="1"/>
  <c r="E15" i="1"/>
  <c r="D15" i="1"/>
  <c r="C15" i="1"/>
  <c r="C8" i="1" s="1"/>
  <c r="B15" i="1"/>
  <c r="H15" i="1" s="1"/>
  <c r="J15" i="1" s="1"/>
  <c r="I14" i="1"/>
  <c r="G14" i="1"/>
  <c r="F14" i="1"/>
  <c r="E14" i="1"/>
  <c r="D14" i="1"/>
  <c r="H14" i="1" s="1"/>
  <c r="J14" i="1" s="1"/>
  <c r="C14" i="1"/>
  <c r="B14" i="1"/>
  <c r="G13" i="1"/>
  <c r="H13" i="1" s="1"/>
  <c r="J13" i="1" s="1"/>
  <c r="F13" i="1"/>
  <c r="E13" i="1"/>
  <c r="D13" i="1"/>
  <c r="C13" i="1"/>
  <c r="B13" i="1"/>
  <c r="I12" i="1"/>
  <c r="J12" i="1" s="1"/>
  <c r="H12" i="1"/>
  <c r="B12" i="1"/>
  <c r="I11" i="1"/>
  <c r="G11" i="1"/>
  <c r="H11" i="1" s="1"/>
  <c r="J11" i="1" s="1"/>
  <c r="F11" i="1"/>
  <c r="E11" i="1"/>
  <c r="D11" i="1"/>
  <c r="C11" i="1"/>
  <c r="B11" i="1"/>
  <c r="I10" i="1"/>
  <c r="G10" i="1"/>
  <c r="F10" i="1"/>
  <c r="E10" i="1"/>
  <c r="D10" i="1"/>
  <c r="C10" i="1"/>
  <c r="B10" i="1"/>
  <c r="I9" i="1"/>
  <c r="I8" i="1" s="1"/>
  <c r="G9" i="1"/>
  <c r="H9" i="1" s="1"/>
  <c r="F9" i="1"/>
  <c r="F8" i="1" s="1"/>
  <c r="E9" i="1"/>
  <c r="E19" i="1" s="1"/>
  <c r="D9" i="1"/>
  <c r="C9" i="1"/>
  <c r="B9" i="1"/>
  <c r="K8" i="1"/>
  <c r="J9" i="1" l="1"/>
  <c r="H92" i="1"/>
  <c r="J93" i="1"/>
  <c r="M43" i="1"/>
  <c r="J42" i="1"/>
  <c r="L43" i="1"/>
  <c r="L115" i="1"/>
  <c r="M115" i="1"/>
  <c r="L12" i="1"/>
  <c r="M12" i="1"/>
  <c r="H64" i="1"/>
  <c r="J65" i="1"/>
  <c r="M46" i="1"/>
  <c r="L46" i="1"/>
  <c r="M70" i="1"/>
  <c r="L70" i="1"/>
  <c r="M18" i="1"/>
  <c r="L18" i="1"/>
  <c r="M24" i="1"/>
  <c r="L24" i="1"/>
  <c r="M30" i="1"/>
  <c r="L30" i="1"/>
  <c r="M67" i="1"/>
  <c r="L67" i="1"/>
  <c r="L134" i="1"/>
  <c r="M134" i="1"/>
  <c r="J132" i="1"/>
  <c r="M132" i="1" s="1"/>
  <c r="L25" i="1"/>
  <c r="M25" i="1"/>
  <c r="J125" i="1"/>
  <c r="H123" i="1"/>
  <c r="J138" i="1"/>
  <c r="M139" i="1"/>
  <c r="L139" i="1"/>
  <c r="M162" i="1"/>
  <c r="L162" i="1"/>
  <c r="L14" i="1"/>
  <c r="M14" i="1"/>
  <c r="H147" i="1"/>
  <c r="J148" i="1"/>
  <c r="M16" i="1"/>
  <c r="L16" i="1"/>
  <c r="M28" i="1"/>
  <c r="L28" i="1"/>
  <c r="M99" i="1"/>
  <c r="L99" i="1"/>
  <c r="L27" i="1"/>
  <c r="M27" i="1"/>
  <c r="M13" i="1"/>
  <c r="L13" i="1"/>
  <c r="L15" i="1"/>
  <c r="M15" i="1"/>
  <c r="M11" i="1"/>
  <c r="L11" i="1"/>
  <c r="M59" i="1"/>
  <c r="L59" i="1"/>
  <c r="M83" i="1"/>
  <c r="L83" i="1"/>
  <c r="M113" i="1"/>
  <c r="L113" i="1"/>
  <c r="M119" i="1"/>
  <c r="L119" i="1"/>
  <c r="F36" i="1"/>
  <c r="B44" i="1"/>
  <c r="B41" i="1" s="1"/>
  <c r="B39" i="1" s="1"/>
  <c r="H45" i="1"/>
  <c r="L105" i="1"/>
  <c r="M105" i="1"/>
  <c r="L165" i="1"/>
  <c r="M165" i="1"/>
  <c r="G36" i="1"/>
  <c r="L80" i="1"/>
  <c r="M97" i="1"/>
  <c r="L97" i="1"/>
  <c r="L131" i="1"/>
  <c r="M131" i="1"/>
  <c r="D146" i="1"/>
  <c r="H156" i="1"/>
  <c r="L158" i="1"/>
  <c r="L163" i="1"/>
  <c r="M175" i="1"/>
  <c r="L35" i="1"/>
  <c r="L89" i="1"/>
  <c r="M94" i="1"/>
  <c r="F101" i="1"/>
  <c r="H101" i="1" s="1"/>
  <c r="J101" i="1" s="1"/>
  <c r="M103" i="1"/>
  <c r="L103" i="1"/>
  <c r="G110" i="1"/>
  <c r="G109" i="1" s="1"/>
  <c r="G39" i="1" s="1"/>
  <c r="J128" i="1"/>
  <c r="M128" i="1" s="1"/>
  <c r="L180" i="1"/>
  <c r="M180" i="1"/>
  <c r="H76" i="1"/>
  <c r="J76" i="1" s="1"/>
  <c r="L86" i="1"/>
  <c r="M116" i="1"/>
  <c r="L116" i="1"/>
  <c r="M137" i="1"/>
  <c r="L144" i="1"/>
  <c r="L149" i="1"/>
  <c r="M154" i="1"/>
  <c r="D159" i="1"/>
  <c r="E194" i="1"/>
  <c r="L178" i="1"/>
  <c r="B19" i="1"/>
  <c r="B37" i="1" s="1"/>
  <c r="D36" i="1"/>
  <c r="D37" i="1" s="1"/>
  <c r="J49" i="1"/>
  <c r="L49" i="1" s="1"/>
  <c r="M90" i="1"/>
  <c r="L90" i="1"/>
  <c r="M152" i="1"/>
  <c r="H167" i="1"/>
  <c r="D166" i="1"/>
  <c r="D8" i="1"/>
  <c r="C19" i="1"/>
  <c r="C37" i="1" s="1"/>
  <c r="C194" i="1" s="1"/>
  <c r="H22" i="1"/>
  <c r="J22" i="1" s="1"/>
  <c r="L31" i="1"/>
  <c r="L55" i="1"/>
  <c r="M62" i="1"/>
  <c r="L62" i="1"/>
  <c r="L84" i="1"/>
  <c r="M87" i="1"/>
  <c r="L87" i="1"/>
  <c r="M101" i="1"/>
  <c r="H110" i="1"/>
  <c r="H142" i="1"/>
  <c r="M164" i="1"/>
  <c r="F19" i="1"/>
  <c r="H121" i="1"/>
  <c r="G120" i="1"/>
  <c r="J135" i="1"/>
  <c r="L135" i="1" s="1"/>
  <c r="M136" i="1"/>
  <c r="L136" i="1"/>
  <c r="G8" i="1"/>
  <c r="G19" i="1"/>
  <c r="B47" i="1"/>
  <c r="H47" i="1" s="1"/>
  <c r="J47" i="1" s="1"/>
  <c r="H54" i="1"/>
  <c r="J61" i="1"/>
  <c r="M100" i="1"/>
  <c r="L100" i="1"/>
  <c r="M143" i="1"/>
  <c r="I19" i="1"/>
  <c r="I37" i="1" s="1"/>
  <c r="I194" i="1" s="1"/>
  <c r="H57" i="1"/>
  <c r="J69" i="1"/>
  <c r="L95" i="1"/>
  <c r="M95" i="1"/>
  <c r="H10" i="1"/>
  <c r="J10" i="1" s="1"/>
  <c r="F92" i="1"/>
  <c r="L106" i="1"/>
  <c r="M122" i="1"/>
  <c r="L122" i="1"/>
  <c r="H127" i="1"/>
  <c r="J127" i="1" s="1"/>
  <c r="D142" i="1"/>
  <c r="K159" i="1"/>
  <c r="E8" i="1"/>
  <c r="D19" i="1"/>
  <c r="H21" i="1"/>
  <c r="H32" i="1"/>
  <c r="J32" i="1" s="1"/>
  <c r="H33" i="1"/>
  <c r="J33" i="1" s="1"/>
  <c r="K41" i="1"/>
  <c r="H73" i="1"/>
  <c r="H72" i="1" s="1"/>
  <c r="J74" i="1"/>
  <c r="H81" i="1"/>
  <c r="J82" i="1"/>
  <c r="M107" i="1"/>
  <c r="L107" i="1"/>
  <c r="J111" i="1"/>
  <c r="M129" i="1"/>
  <c r="J142" i="1"/>
  <c r="M150" i="1"/>
  <c r="L150" i="1"/>
  <c r="M172" i="1"/>
  <c r="B8" i="1"/>
  <c r="H17" i="1"/>
  <c r="J17" i="1" s="1"/>
  <c r="E37" i="1"/>
  <c r="M50" i="1"/>
  <c r="L50" i="1"/>
  <c r="M85" i="1"/>
  <c r="L85" i="1"/>
  <c r="M114" i="1"/>
  <c r="L114" i="1"/>
  <c r="M142" i="1"/>
  <c r="L142" i="1"/>
  <c r="L153" i="1"/>
  <c r="M153" i="1"/>
  <c r="L101" i="1"/>
  <c r="L112" i="1"/>
  <c r="H118" i="1"/>
  <c r="C127" i="1"/>
  <c r="C39" i="1" s="1"/>
  <c r="L128" i="1"/>
  <c r="M138" i="1"/>
  <c r="K109" i="1"/>
  <c r="L138" i="1"/>
  <c r="L173" i="1"/>
  <c r="M182" i="1"/>
  <c r="F81" i="1"/>
  <c r="F72" i="1" s="1"/>
  <c r="F39" i="1" s="1"/>
  <c r="J161" i="1"/>
  <c r="H160" i="1"/>
  <c r="J177" i="1"/>
  <c r="H176" i="1"/>
  <c r="H175" i="1" s="1"/>
  <c r="J175" i="1" s="1"/>
  <c r="L175" i="1" s="1"/>
  <c r="J182" i="1"/>
  <c r="L182" i="1" s="1"/>
  <c r="K191" i="1"/>
  <c r="L191" i="1" s="1"/>
  <c r="F194" i="1" l="1"/>
  <c r="B194" i="1"/>
  <c r="M17" i="1"/>
  <c r="L17" i="1"/>
  <c r="L22" i="1"/>
  <c r="M22" i="1"/>
  <c r="M125" i="1"/>
  <c r="L125" i="1"/>
  <c r="J123" i="1"/>
  <c r="M42" i="1"/>
  <c r="L42" i="1"/>
  <c r="J110" i="1"/>
  <c r="L111" i="1"/>
  <c r="M111" i="1"/>
  <c r="M10" i="1"/>
  <c r="L10" i="1"/>
  <c r="M76" i="1"/>
  <c r="L76" i="1"/>
  <c r="D141" i="1"/>
  <c r="D39" i="1" s="1"/>
  <c r="D194" i="1" s="1"/>
  <c r="G37" i="1"/>
  <c r="G194" i="1" s="1"/>
  <c r="J45" i="1"/>
  <c r="H44" i="1"/>
  <c r="H41" i="1" s="1"/>
  <c r="M93" i="1"/>
  <c r="J92" i="1"/>
  <c r="L93" i="1"/>
  <c r="H117" i="1"/>
  <c r="H109" i="1" s="1"/>
  <c r="J118" i="1"/>
  <c r="J64" i="1"/>
  <c r="M65" i="1"/>
  <c r="L65" i="1"/>
  <c r="M177" i="1"/>
  <c r="L177" i="1"/>
  <c r="J176" i="1"/>
  <c r="L127" i="1"/>
  <c r="M127" i="1"/>
  <c r="J60" i="1"/>
  <c r="M61" i="1"/>
  <c r="L61" i="1"/>
  <c r="H155" i="1"/>
  <c r="J156" i="1"/>
  <c r="L32" i="1"/>
  <c r="M32" i="1"/>
  <c r="J54" i="1"/>
  <c r="H51" i="1"/>
  <c r="J51" i="1" s="1"/>
  <c r="L132" i="1"/>
  <c r="H166" i="1"/>
  <c r="H159" i="1" s="1"/>
  <c r="H141" i="1" s="1"/>
  <c r="J141" i="1" s="1"/>
  <c r="J167" i="1"/>
  <c r="F37" i="1"/>
  <c r="L161" i="1"/>
  <c r="J160" i="1"/>
  <c r="M161" i="1"/>
  <c r="K141" i="1"/>
  <c r="H36" i="1"/>
  <c r="J21" i="1"/>
  <c r="J57" i="1"/>
  <c r="H56" i="1"/>
  <c r="L47" i="1"/>
  <c r="M47" i="1"/>
  <c r="J121" i="1"/>
  <c r="H120" i="1"/>
  <c r="M148" i="1"/>
  <c r="L148" i="1"/>
  <c r="J147" i="1"/>
  <c r="M9" i="1"/>
  <c r="L9" i="1"/>
  <c r="J19" i="1"/>
  <c r="J8" i="1"/>
  <c r="M33" i="1"/>
  <c r="L33" i="1"/>
  <c r="M135" i="1"/>
  <c r="L82" i="1"/>
  <c r="M82" i="1"/>
  <c r="J81" i="1"/>
  <c r="J68" i="1"/>
  <c r="M69" i="1"/>
  <c r="L69" i="1"/>
  <c r="H19" i="1"/>
  <c r="L74" i="1"/>
  <c r="J73" i="1"/>
  <c r="H146" i="1"/>
  <c r="H8" i="1"/>
  <c r="J109" i="1" l="1"/>
  <c r="L110" i="1"/>
  <c r="M110" i="1"/>
  <c r="M141" i="1"/>
  <c r="L141" i="1"/>
  <c r="M60" i="1"/>
  <c r="L60" i="1"/>
  <c r="M64" i="1"/>
  <c r="L64" i="1"/>
  <c r="M68" i="1"/>
  <c r="L68" i="1"/>
  <c r="J120" i="1"/>
  <c r="M121" i="1"/>
  <c r="L121" i="1"/>
  <c r="M54" i="1"/>
  <c r="L54" i="1"/>
  <c r="L118" i="1"/>
  <c r="M118" i="1"/>
  <c r="J117" i="1"/>
  <c r="M81" i="1"/>
  <c r="L81" i="1"/>
  <c r="L160" i="1"/>
  <c r="M160" i="1"/>
  <c r="K39" i="1"/>
  <c r="M123" i="1"/>
  <c r="L123" i="1"/>
  <c r="M176" i="1"/>
  <c r="L176" i="1"/>
  <c r="H39" i="1"/>
  <c r="J39" i="1" s="1"/>
  <c r="J36" i="1"/>
  <c r="M21" i="1"/>
  <c r="L21" i="1"/>
  <c r="M51" i="1"/>
  <c r="L51" i="1"/>
  <c r="M8" i="1"/>
  <c r="L8" i="1"/>
  <c r="L19" i="1"/>
  <c r="M19" i="1"/>
  <c r="J72" i="1"/>
  <c r="M73" i="1"/>
  <c r="L73" i="1"/>
  <c r="J155" i="1"/>
  <c r="M156" i="1"/>
  <c r="L156" i="1"/>
  <c r="M92" i="1"/>
  <c r="L92" i="1"/>
  <c r="H194" i="1"/>
  <c r="J194" i="1" s="1"/>
  <c r="J146" i="1"/>
  <c r="M147" i="1"/>
  <c r="L147" i="1"/>
  <c r="J56" i="1"/>
  <c r="M57" i="1"/>
  <c r="L57" i="1"/>
  <c r="M167" i="1"/>
  <c r="J166" i="1"/>
  <c r="L167" i="1"/>
  <c r="H37" i="1"/>
  <c r="J44" i="1"/>
  <c r="M45" i="1"/>
  <c r="L45" i="1"/>
  <c r="M166" i="1" l="1"/>
  <c r="L166" i="1"/>
  <c r="M72" i="1"/>
  <c r="L72" i="1"/>
  <c r="M56" i="1"/>
  <c r="L56" i="1"/>
  <c r="M120" i="1"/>
  <c r="L120" i="1"/>
  <c r="L44" i="1"/>
  <c r="M44" i="1"/>
  <c r="J41" i="1"/>
  <c r="L155" i="1"/>
  <c r="M155" i="1"/>
  <c r="M117" i="1"/>
  <c r="L117" i="1"/>
  <c r="M186" i="1"/>
  <c r="M190" i="1"/>
  <c r="M188" i="1"/>
  <c r="M191" i="1"/>
  <c r="M192" i="1"/>
  <c r="J37" i="1"/>
  <c r="L36" i="1"/>
  <c r="M36" i="1"/>
  <c r="J159" i="1"/>
  <c r="L146" i="1"/>
  <c r="M146" i="1"/>
  <c r="M39" i="1"/>
  <c r="L39" i="1"/>
  <c r="K194" i="1"/>
  <c r="L109" i="1"/>
  <c r="M109" i="1"/>
  <c r="M37" i="1" l="1"/>
  <c r="L37" i="1"/>
  <c r="M159" i="1"/>
  <c r="L159" i="1"/>
  <c r="M194" i="1"/>
  <c r="L194" i="1"/>
  <c r="M41" i="1"/>
  <c r="L41" i="1"/>
</calcChain>
</file>

<file path=xl/comments1.xml><?xml version="1.0" encoding="utf-8"?>
<comments xmlns="http://schemas.openxmlformats.org/spreadsheetml/2006/main">
  <authors>
    <author>Oscar Rubio</author>
  </authors>
  <commentList>
    <comment ref="M26" authorId="0" shapeId="0">
      <text>
        <r>
          <rPr>
            <sz val="9"/>
            <color indexed="81"/>
            <rFont val="Tahoma"/>
            <family val="2"/>
          </rPr>
          <t xml:space="preserve">No fue necesario ejecutar el total del recurso para las diferentes capacitaciones a personal </t>
        </r>
      </text>
    </comment>
    <comment ref="M42" authorId="0" shapeId="0">
      <text>
        <r>
          <rPr>
            <sz val="9"/>
            <color indexed="81"/>
            <rFont val="Tahoma"/>
            <family val="2"/>
          </rPr>
          <t xml:space="preserve">La baja ejecución en este programa se debe al nulo avance en los procesos de apertura de los mercados de Ecuador y Perú por parte de las autoridades de los dos países. Según lo anunciado nuestro gobierno durante este trimestre debimos recibir la visita de Perú para la revisión del programa de aftosa y de Ecuador para la habilitación de las plantas de sacrificio. Estas visitas, que está presupuestado sean cubiertas por el fondo nacional de la porcicultura, no se realizaron en el periodo. Esto, adicionalmente, obligó a posponer la realización de la gira de compradores ecuatorianos.
</t>
        </r>
      </text>
    </comment>
    <comment ref="M56" authorId="0" shapeId="0">
      <text>
        <r>
          <rPr>
            <sz val="9"/>
            <color indexed="81"/>
            <rFont val="Tahoma"/>
            <family val="2"/>
          </rPr>
          <t>La empresa Urner Barry, que nos provee información de los precios de la carne en Estados Unidos, hizo cambios en las políticas de uso de su información y de afiliación. Esto nos generó demoras en la renovación de nuestra afiliación, presupuestada para el primer trimestre. En el momento de hacer el presupuesto de este trimestre esperábamos el cobro en el mes de abril, de acuerdo con la información recibida por el proveedor, razón por la cual se solicitó el recurso no ejecutado en este periodo. Sin embargo la factura fue radicada en los últimos días del mes de marzo</t>
        </r>
        <r>
          <rPr>
            <b/>
            <sz val="9"/>
            <color indexed="81"/>
            <rFont val="Tahoma"/>
            <family val="2"/>
          </rPr>
          <t>.</t>
        </r>
        <r>
          <rPr>
            <sz val="9"/>
            <color indexed="81"/>
            <rFont val="Tahoma"/>
            <family val="2"/>
          </rPr>
          <t xml:space="preserve">
</t>
        </r>
      </text>
    </comment>
    <comment ref="M68" authorId="0" shapeId="0">
      <text>
        <r>
          <rPr>
            <sz val="9"/>
            <color indexed="81"/>
            <rFont val="Tahoma"/>
            <family val="2"/>
          </rPr>
          <t xml:space="preserve">Presentamos un retraso en el inicio del proyecto de medición de la grasa dorsal en canales porcinas, debido a algunas dificultades en la adquisición de los instrumentos de medición, introscopios, y en la definición de las plantas  donde se hará la medición.
</t>
        </r>
      </text>
    </comment>
    <comment ref="M92" authorId="0" shapeId="0">
      <text>
        <r>
          <rPr>
            <sz val="9"/>
            <color indexed="81"/>
            <rFont val="Tahoma"/>
            <family val="2"/>
          </rPr>
          <t xml:space="preserve">La fecha de realización del evento programado  "Mestizaje 2018" fue trasladada para el 2019 por los organizadores por inconvenientes de locación
</t>
        </r>
      </text>
    </comment>
    <comment ref="M117" authorId="0" shapeId="0">
      <text>
        <r>
          <rPr>
            <sz val="9"/>
            <color indexed="81"/>
            <rFont val="Tahoma"/>
            <family val="2"/>
          </rPr>
          <t>Durante el II trimestre se imprimió el material de divulgación actualizado y se avanzó en el diseño del nuevo material que incluye una multimedia, tres cartillas y dos instructivos para impresión y producción en el III trimestre.</t>
        </r>
        <r>
          <rPr>
            <b/>
            <sz val="9"/>
            <color indexed="81"/>
            <rFont val="Tahoma"/>
            <family val="2"/>
          </rPr>
          <t xml:space="preserve"> </t>
        </r>
        <r>
          <rPr>
            <sz val="9"/>
            <color indexed="81"/>
            <rFont val="Tahoma"/>
            <family val="2"/>
          </rPr>
          <t xml:space="preserve">
</t>
        </r>
      </text>
    </comment>
    <comment ref="M120" authorId="0" shapeId="0">
      <text>
        <r>
          <rPr>
            <sz val="9"/>
            <color indexed="81"/>
            <rFont val="Tahoma"/>
            <family val="2"/>
          </rPr>
          <t xml:space="preserve">Algunos insumos (kits y materiales) requeridos para el diagnóstico de PPC no alcanzaron a ser recibidos durante el trimestre, debido a que los tiempos de importación superan los 90 días entre el pedido y la recepción efectiva de los productos. Es importante resaltar además que, las compras de estos insumos son dependientes de las órdenes generadas por el ICA bajo Carta de entendimiento, partiendo de la demanda y las existencias en inventario.
</t>
        </r>
      </text>
    </comment>
    <comment ref="M128" authorId="0" shapeId="0">
      <text>
        <r>
          <rPr>
            <sz val="9"/>
            <color indexed="81"/>
            <rFont val="Tahoma"/>
            <family val="2"/>
          </rPr>
          <t xml:space="preserve">Debido al tiempo generado para el traspaso de información y el análisis de los resultados de informes One Click, éstos serán entregados en el III trimestre
</t>
        </r>
      </text>
    </comment>
    <comment ref="M138" authorId="0" shapeId="0">
      <text>
        <r>
          <rPr>
            <sz val="9"/>
            <color indexed="81"/>
            <rFont val="Tahoma"/>
            <family val="2"/>
          </rPr>
          <t>Se cambia la fecha de la reunión final de resultados del proyecto Upra para el mes de Julio</t>
        </r>
      </text>
    </comment>
    <comment ref="M142" authorId="0" shapeId="0">
      <text>
        <r>
          <rPr>
            <sz val="9"/>
            <color indexed="81"/>
            <rFont val="Tahoma"/>
            <family val="2"/>
          </rPr>
          <t xml:space="preserve">No se logro firmar en el II trimestre el convenio con Vecol debido al cambio de presidente
</t>
        </r>
      </text>
    </comment>
    <comment ref="M147" authorId="0" shapeId="0">
      <text>
        <r>
          <rPr>
            <sz val="9"/>
            <color indexed="81"/>
            <rFont val="Tahoma"/>
            <family val="2"/>
          </rPr>
          <t xml:space="preserve">Se logro un menor valor al presupuestado en la realización de los guiones del curso virtual en tecnólogias ambientales. Adicionalmente,se optimizó el recurso ya que no ha sido  requerido el alquiler de espacios para la realización del curso de operarios. </t>
        </r>
      </text>
    </comment>
    <comment ref="M155" authorId="0" shapeId="0">
      <text>
        <r>
          <rPr>
            <sz val="9"/>
            <color indexed="81"/>
            <rFont val="Tahoma"/>
            <family val="2"/>
          </rPr>
          <t xml:space="preserve">Durante el segundo trimenstre, no se va a realizar la impresión de nuevo  material, las diferentes áreas tiene programado la impresión de cartillas en el tercer y cuarto trimestre.
</t>
        </r>
      </text>
    </comment>
    <comment ref="M172" authorId="0" shapeId="0">
      <text>
        <r>
          <rPr>
            <sz val="9"/>
            <color indexed="81"/>
            <rFont val="Tahoma"/>
            <family val="2"/>
          </rPr>
          <t xml:space="preserve">Parte de este recurso se tiene contemplado para los aportes en diagnóstico ambiental y depende de la demanda del servicio por parte de los productores.
</t>
        </r>
      </text>
    </comment>
    <comment ref="M173" authorId="0" shapeId="0">
      <text>
        <r>
          <rPr>
            <sz val="9"/>
            <color indexed="81"/>
            <rFont val="Tahoma"/>
            <family val="2"/>
          </rPr>
          <t xml:space="preserve">Para el segundo trimestre, se tenía programado la adquisición de la totalidad de los insumos a entregar al ICA para el análisis de las muestras, pero debido a restricciones en la compra de algunos de estos insumos, se tienen que realizar compras períodicas hasta finalizar el año.
</t>
        </r>
      </text>
    </comment>
    <comment ref="M176" authorId="0" shapeId="0">
      <text>
        <r>
          <rPr>
            <sz val="9"/>
            <color indexed="81"/>
            <rFont val="Tahoma"/>
            <family val="2"/>
          </rPr>
          <t xml:space="preserve">Durante el II trimestre se avanzó con la compra de los materiales necesarios para el muestreo sanitario de la actual vigencia y algunos kits cuyo tiempo de importación y entrega estuvieran dentro del trimestre. Los demás kits, solo podrán ser entregados hasta el III trimestre, porque la importación toma entre 60 y 90 días. </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<sst xmlns="http://schemas.openxmlformats.org/spreadsheetml/2006/main" count="168" uniqueCount="168">
  <si>
    <t>MINISTERIO DE AGRICULTURA  Y DESARROLLO RURAL</t>
  </si>
  <si>
    <t>DIRECCIÓN DE PLANEACIÓN Y SEGUIMIENTO PRESUPUESTAL</t>
  </si>
  <si>
    <t xml:space="preserve"> EJECUCIÓN ABRIL-JUNIO 2.018</t>
  </si>
  <si>
    <t>ANEXO 2</t>
  </si>
  <si>
    <t>CUENTAS</t>
  </si>
  <si>
    <t>PROGRAMAS ECONÓMICA</t>
  </si>
  <si>
    <t>PROGRAMAS TÉCNICA</t>
  </si>
  <si>
    <t>PROGRAMAS INVESTIGACIÓN Y TRANSFERENCIA DE TÉCNOLOGÍA</t>
  </si>
  <si>
    <t>PROGRAMA SANIDAD</t>
  </si>
  <si>
    <t>PROGRAMAS MERCADEO</t>
  </si>
  <si>
    <t xml:space="preserve">PROGRAMA PPC </t>
  </si>
  <si>
    <t>TOTAL INVERSIÓN</t>
  </si>
  <si>
    <t>GASTOS DE FUNCIONAMIENTO</t>
  </si>
  <si>
    <t>TOTAL PRESUPUESTO</t>
  </si>
  <si>
    <t>EJECUCIÓN</t>
  </si>
  <si>
    <t>ACUERDO 9/18</t>
  </si>
  <si>
    <t>% EJECU-CION</t>
  </si>
  <si>
    <t>GASTOS DE PERSONAL</t>
  </si>
  <si>
    <t>Servicios de personal</t>
  </si>
  <si>
    <t>Sueldos</t>
  </si>
  <si>
    <t>Vacaciones</t>
  </si>
  <si>
    <t>Prima legal</t>
  </si>
  <si>
    <t>Honorarios</t>
  </si>
  <si>
    <t xml:space="preserve">Dotación y suministro </t>
  </si>
  <si>
    <t>Cesantías</t>
  </si>
  <si>
    <t>Intereses de cesantías</t>
  </si>
  <si>
    <t>Seguros y/o fondos privados</t>
  </si>
  <si>
    <t>Caja de compensación</t>
  </si>
  <si>
    <t>Aportes ICBF y SENA</t>
  </si>
  <si>
    <t>SUBTOTAL GASTOS PERSONAL</t>
  </si>
  <si>
    <t>GASTOS GENERALES</t>
  </si>
  <si>
    <t>Muebles, equipos de oficina y software</t>
  </si>
  <si>
    <t>Impresos y publicaciones</t>
  </si>
  <si>
    <t>Materiales y suministros</t>
  </si>
  <si>
    <t>Correo</t>
  </si>
  <si>
    <t>Transportes, fletes y acarreos</t>
  </si>
  <si>
    <t xml:space="preserve">Capacitación </t>
  </si>
  <si>
    <t xml:space="preserve">Mantenimiento </t>
  </si>
  <si>
    <t>Seguros, impuestos y gastos legales</t>
  </si>
  <si>
    <t>Comisiones y gastos bancarios</t>
  </si>
  <si>
    <t>Gastos de viaje</t>
  </si>
  <si>
    <t>Aseo, vigilancia y cafetería</t>
  </si>
  <si>
    <t>Servicios públicos</t>
  </si>
  <si>
    <t>Arriendos</t>
  </si>
  <si>
    <t>Cuota auditaje CGR</t>
  </si>
  <si>
    <t>Gastos comisión de fomento</t>
  </si>
  <si>
    <t>SUBTOTAL GASTOS GENERALES</t>
  </si>
  <si>
    <t>TOTAL FUNCIONAMIENTO</t>
  </si>
  <si>
    <t>TOTAL PROGRAMAS Y PROYECTOS</t>
  </si>
  <si>
    <t>TOTAL ÁREA ECONÓMICA</t>
  </si>
  <si>
    <t>Fortalecimiento institucional</t>
  </si>
  <si>
    <t>Acceso a Mercados</t>
  </si>
  <si>
    <t>Fortalecimiento Empresarial</t>
  </si>
  <si>
    <t>Gestión de servicios</t>
  </si>
  <si>
    <t>Fortalecimiento Asociativo</t>
  </si>
  <si>
    <t>Convenios</t>
  </si>
  <si>
    <t xml:space="preserve">   Contrapartidas Gobernaciones y/o Alcaldias</t>
  </si>
  <si>
    <t xml:space="preserve">     Convenio Gobernacion Cundinamarca</t>
  </si>
  <si>
    <t xml:space="preserve">     Convenio Pereira</t>
  </si>
  <si>
    <t xml:space="preserve">   Contrapartidas FNP</t>
  </si>
  <si>
    <t xml:space="preserve">     Convenio Gobernación FNP Cundinamarca</t>
  </si>
  <si>
    <t xml:space="preserve">     Convenio Pereira FNP</t>
  </si>
  <si>
    <t xml:space="preserve">     Convenio Valle</t>
  </si>
  <si>
    <t>Apoyo autorización sanitaria</t>
  </si>
  <si>
    <t>Sistemas de información de mercados</t>
  </si>
  <si>
    <t>Monitoreo Precios de la Carne al Consumidor</t>
  </si>
  <si>
    <t>Actualización Información Nacional</t>
  </si>
  <si>
    <t>Seguimiento Mercados Internacionales</t>
  </si>
  <si>
    <t>Control al recaudo</t>
  </si>
  <si>
    <t>Seguimiento al recaudo regional</t>
  </si>
  <si>
    <t>Movilización coordinadores</t>
  </si>
  <si>
    <t>Jornadas de trabajo con los coordinadores regionales (visita plantas)</t>
  </si>
  <si>
    <t>Fortalecimiento del beneficio formal</t>
  </si>
  <si>
    <t>Movilización Jefe Coordinadores de recaudo</t>
  </si>
  <si>
    <t>Trabajo con autoridades</t>
  </si>
  <si>
    <t>Jornadas de trabajo con los coordinadores regionales(trabajo con autoridades)</t>
  </si>
  <si>
    <t>Aseguramiento de la calidad</t>
  </si>
  <si>
    <t>Asesorias BPM y HACCP</t>
  </si>
  <si>
    <t>Sello de producto en la cadena de transformación</t>
  </si>
  <si>
    <t>TOTAL ÁREA MERCADEO</t>
  </si>
  <si>
    <t>Investigación de mercados</t>
  </si>
  <si>
    <t xml:space="preserve">Home Panel </t>
  </si>
  <si>
    <t>Brand Equity Tracking</t>
  </si>
  <si>
    <t>Monitoreo de Medios</t>
  </si>
  <si>
    <t>Evaluación Neurologica de la  Campaña Vigente/Eye Tracking</t>
  </si>
  <si>
    <t>Estudio del Consumidor</t>
  </si>
  <si>
    <t>Estudio NSOP (LSDA)</t>
  </si>
  <si>
    <t>Estudio Digital</t>
  </si>
  <si>
    <t>Campaña de fomento al consumo</t>
  </si>
  <si>
    <t>Campaña de publicidad</t>
  </si>
  <si>
    <t>Consultoría MESA</t>
  </si>
  <si>
    <t>Pauta institucional</t>
  </si>
  <si>
    <t>Seguimiento y gestion comunicación integral.</t>
  </si>
  <si>
    <t>Sostenimiento y Desarrollo Digital</t>
  </si>
  <si>
    <t>Free Press Influenciadores</t>
  </si>
  <si>
    <t>Kit Publicitario</t>
  </si>
  <si>
    <t>Desarrollo Digital (Concurso Sabor Porkcolombia)</t>
  </si>
  <si>
    <t>Pauta digital</t>
  </si>
  <si>
    <t>Producción Digital</t>
  </si>
  <si>
    <t>Activaciones de consumo</t>
  </si>
  <si>
    <t>Cocina PorkColombia</t>
  </si>
  <si>
    <t>Asesor Gastronómico Ejecutivo</t>
  </si>
  <si>
    <t>Viajes Gestión Regional</t>
  </si>
  <si>
    <t>Capacitación anual contratistas</t>
  </si>
  <si>
    <t>Material de promocion al consumo</t>
  </si>
  <si>
    <t>Festival PorkColombia</t>
  </si>
  <si>
    <t>Seguimiento gestión a eventos de sensibilización de las bondades de la carne de cerdo</t>
  </si>
  <si>
    <t>Eventos especializados (Sector, gastronomicos , sector salud)</t>
  </si>
  <si>
    <t>Comercialización y Nuevos Negocios</t>
  </si>
  <si>
    <t>Gestion y seguimiento comercializacion y nuevos negocios</t>
  </si>
  <si>
    <t xml:space="preserve">Gestion de actividades nutricionales </t>
  </si>
  <si>
    <t>Material Promocional y Publicitario</t>
  </si>
  <si>
    <t>Eventos Apertura Nuevos Negocios</t>
  </si>
  <si>
    <t>Cerdificado PorkColombia (Expertos de carne de cerdo)</t>
  </si>
  <si>
    <t>ChefRegionales PorkColombia</t>
  </si>
  <si>
    <t>TOTAL ÁREA ERRADICACIÓN PPC</t>
  </si>
  <si>
    <t>Vacunacion e identificacion de Porcinos</t>
  </si>
  <si>
    <t>Identificación</t>
  </si>
  <si>
    <t>Suministros clínicos y dotaciones</t>
  </si>
  <si>
    <t>Auxilios distribuidores</t>
  </si>
  <si>
    <t>Biológico</t>
  </si>
  <si>
    <t>Contratación de personal</t>
  </si>
  <si>
    <t>Disposición de residuos biológicos</t>
  </si>
  <si>
    <t>Capacitación y divulgación</t>
  </si>
  <si>
    <t>Capacitación</t>
  </si>
  <si>
    <t>Divulgación</t>
  </si>
  <si>
    <t>Vigilancia Epidemiológica</t>
  </si>
  <si>
    <t>Administración de la base de datos</t>
  </si>
  <si>
    <t>Diseño, matenimiento y actualización de la plataforma</t>
  </si>
  <si>
    <t>Entrenamiento y soporte operativo</t>
  </si>
  <si>
    <t>TOTAL ÁREA TÉCNICA</t>
  </si>
  <si>
    <t>Programa nacional de bioseguridad, sanidad y productividad-PNBSP</t>
  </si>
  <si>
    <t>Acompañamiento (Certificación en granja y transporte)</t>
  </si>
  <si>
    <t>Taller técnico de bioseguridad, sanidad y productividad</t>
  </si>
  <si>
    <t>Premios PORKS Colombia 2018</t>
  </si>
  <si>
    <t xml:space="preserve">Sostenibilidad y responsabilidad social empresarial en producción primaria </t>
  </si>
  <si>
    <t xml:space="preserve">Acompañamiento y apoyo </t>
  </si>
  <si>
    <t>Granjas modelo y mesas de trabajo interinstitucionales e intergremiales</t>
  </si>
  <si>
    <t>Inocuidad y bienestar animal en producción primaria y transporte</t>
  </si>
  <si>
    <t>Profesionales de apoyo en implementación y certificación granja y transporte</t>
  </si>
  <si>
    <t>Fortalecimiento de competencias en bienestar animal e inocuidad</t>
  </si>
  <si>
    <t>Zonificación y ordenamiento productivo</t>
  </si>
  <si>
    <t>Proyecto UPRA-Porkcolombia</t>
  </si>
  <si>
    <t>TOTAL ÁREA INVESTIGACIÓN Y TRANSFERENCIA</t>
  </si>
  <si>
    <t>Investigación y desarrollo</t>
  </si>
  <si>
    <t>Proyectos</t>
  </si>
  <si>
    <t>Capacitación anual</t>
  </si>
  <si>
    <t>Jornadas de divulgación resultados de investigación</t>
  </si>
  <si>
    <t>Transferencia de tecnología</t>
  </si>
  <si>
    <t xml:space="preserve">  Vinculación tecnologica</t>
  </si>
  <si>
    <t xml:space="preserve">  Talleres y seminarios</t>
  </si>
  <si>
    <t>Jornada de actualizacion tecnica</t>
  </si>
  <si>
    <t>Material de apoyo</t>
  </si>
  <si>
    <t>Diagnostico</t>
  </si>
  <si>
    <t>Diagnostico rutinario con laboratorios oficiales</t>
  </si>
  <si>
    <t>Diagnostico rutinario con laboratorios privados</t>
  </si>
  <si>
    <t>Apoyo Diagnostico lineas base (ICA)</t>
  </si>
  <si>
    <t>TOTAL ÁREA SANIDAD</t>
  </si>
  <si>
    <t>Control y monitoreo de enfermedades en granjas de Colombia</t>
  </si>
  <si>
    <t>CUOTA DE ADMINISTRACIÓN</t>
  </si>
  <si>
    <t>Cuota de administración FNP</t>
  </si>
  <si>
    <t>Cuota de administración PPC</t>
  </si>
  <si>
    <t>FONDO DE EMERGENCIA FNP</t>
  </si>
  <si>
    <t>FONDO DE EMERGENCIA PPC</t>
  </si>
  <si>
    <t xml:space="preserve">RESERVA FUTURAS INVERSIONES Y GASTOS </t>
  </si>
  <si>
    <t>Cuota de fomento porcícola</t>
  </si>
  <si>
    <t>Cuota de erradicación Peste Porcina Clásica</t>
  </si>
  <si>
    <t xml:space="preserve">TOTAL GASTOS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</si>
</sst>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13" x14ac:knownFonts="1">
    <font>
      <sz val="10"/>
      <name val="Arial"/>
    </font>
    <font>
      <b/>
      <sz val="11"/>
      <name val="Arial"/>
      <family val="2"/>
      <charset val="186"/>
    </font>
    <font>
      <b/>
      <sz val="11"/>
      <color indexed="10"/>
      <name val="Arial"/>
      <family val="2"/>
      <charset val="186"/>
    </font>
    <font>
      <b/>
      <sz val="11"/>
      <color rgb="FFFF0000"/>
      <name val="Arial"/>
      <family val="2"/>
      <charset val="186"/>
    </font>
    <font>
      <sz val="11"/>
      <name val="Arial"/>
      <family val="2"/>
      <charset val="186"/>
    </font>
    <font>
      <b/>
      <sz val="11"/>
      <name val="Arial"/>
      <family val="2"/>
    </font>
    <font>
      <sz val="10"/>
      <name val="Arial"/>
      <family val="2"/>
    </font>
    <font>
      <sz val="11"/>
      <name val="Arial"/>
      <family val="2"/>
    </font>
    <font>
      <sz val="11"/>
      <color indexed="8"/>
      <name val="Arial"/>
      <family val="2"/>
    </font>
    <font>
      <b/>
      <sz val="10"/>
      <name val="Arial"/>
      <family val="2"/>
    </font>
    <font>
      <sz val="9"/>
      <name val="Times New Roman"/>
      <family val="1"/>
    </font>
    <font>
      <sz val="9"/>
      <color indexed="81"/>
      <name val="Tahoma"/>
      <family val="2"/>
    </font>
    <font>
      <b/>
      <sz val="9"/>
      <color indexed="81"/>
      <name val="Tahoma"/>
      <family val="2"/>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s>
  <cellStyleXfs count="4">
    <xf numFmtId="0" fontId="0" fillId="0" borderId="0"/>
    <xf numFmtId="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58">
    <xf numFmtId="0" fontId="0" fillId="0" borderId="0" xfId="0"/>
    <xf numFmtId="0" fontId="1" fillId="0" borderId="0" xfId="0" applyFont="1" applyFill="1" applyAlignment="1">
      <alignment horizontal="center"/>
    </xf>
    <xf numFmtId="0" fontId="0" fillId="0" borderId="0" xfId="0" applyFill="1"/>
    <xf numFmtId="0" fontId="1" fillId="2" borderId="0" xfId="0" applyFont="1" applyFill="1" applyAlignment="1">
      <alignment horizontal="center"/>
    </xf>
    <xf numFmtId="3" fontId="2" fillId="2" borderId="1" xfId="0" applyNumberFormat="1" applyFont="1" applyFill="1" applyBorder="1" applyAlignment="1">
      <alignment horizontal="centerContinuous"/>
    </xf>
    <xf numFmtId="3" fontId="1" fillId="2" borderId="1" xfId="0" applyNumberFormat="1" applyFont="1" applyFill="1" applyBorder="1" applyAlignment="1">
      <alignment horizontal="centerContinuous"/>
    </xf>
    <xf numFmtId="0" fontId="2" fillId="2" borderId="1" xfId="0" applyFont="1" applyFill="1" applyBorder="1" applyAlignment="1">
      <alignment horizontal="centerContinuous"/>
    </xf>
    <xf numFmtId="0" fontId="1" fillId="2" borderId="1" xfId="0" applyFont="1" applyFill="1" applyBorder="1" applyAlignment="1">
      <alignment horizontal="centerContinuous"/>
    </xf>
    <xf numFmtId="0" fontId="3" fillId="2" borderId="1" xfId="0" applyFont="1" applyFill="1" applyBorder="1" applyAlignment="1">
      <alignment horizontal="centerContinuous"/>
    </xf>
    <xf numFmtId="0" fontId="0" fillId="2" borderId="0" xfId="0" applyFill="1"/>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3" fontId="1" fillId="2" borderId="5" xfId="0" applyNumberFormat="1" applyFont="1" applyFill="1" applyBorder="1" applyAlignment="1"/>
    <xf numFmtId="0" fontId="4" fillId="2" borderId="6" xfId="0" applyFont="1" applyFill="1" applyBorder="1"/>
    <xf numFmtId="0" fontId="4" fillId="2" borderId="7" xfId="0" applyFont="1" applyFill="1" applyBorder="1"/>
    <xf numFmtId="3" fontId="5" fillId="2" borderId="5" xfId="0" applyNumberFormat="1" applyFont="1" applyFill="1" applyBorder="1" applyAlignment="1"/>
    <xf numFmtId="3" fontId="5" fillId="2" borderId="6" xfId="0" applyNumberFormat="1" applyFont="1" applyFill="1" applyBorder="1"/>
    <xf numFmtId="10" fontId="5" fillId="2" borderId="7" xfId="1" applyNumberFormat="1" applyFont="1" applyFill="1" applyBorder="1"/>
    <xf numFmtId="3" fontId="4" fillId="2" borderId="5" xfId="0" applyNumberFormat="1" applyFont="1" applyFill="1" applyBorder="1" applyAlignment="1"/>
    <xf numFmtId="3" fontId="4" fillId="2" borderId="6" xfId="0" applyNumberFormat="1" applyFont="1" applyFill="1" applyBorder="1"/>
    <xf numFmtId="3" fontId="7" fillId="2" borderId="6" xfId="0" applyNumberFormat="1" applyFont="1" applyFill="1" applyBorder="1"/>
    <xf numFmtId="10" fontId="7" fillId="2" borderId="7" xfId="1" applyNumberFormat="1" applyFont="1" applyFill="1" applyBorder="1"/>
    <xf numFmtId="3" fontId="8" fillId="2" borderId="6" xfId="0" applyNumberFormat="1" applyFont="1" applyFill="1" applyBorder="1"/>
    <xf numFmtId="0" fontId="1" fillId="2" borderId="5" xfId="0" applyFont="1" applyFill="1" applyBorder="1" applyAlignment="1"/>
    <xf numFmtId="3" fontId="1" fillId="2" borderId="6" xfId="0" applyNumberFormat="1" applyFont="1" applyFill="1" applyBorder="1"/>
    <xf numFmtId="0" fontId="4" fillId="2" borderId="5" xfId="0" applyFont="1" applyFill="1" applyBorder="1" applyAlignment="1"/>
    <xf numFmtId="3" fontId="4" fillId="2" borderId="6" xfId="2" applyNumberFormat="1" applyFont="1" applyFill="1" applyBorder="1"/>
    <xf numFmtId="3" fontId="5" fillId="2" borderId="6" xfId="2" applyNumberFormat="1" applyFont="1" applyFill="1" applyBorder="1"/>
    <xf numFmtId="0" fontId="1" fillId="2" borderId="8" xfId="0" applyFont="1" applyFill="1" applyBorder="1" applyAlignment="1"/>
    <xf numFmtId="3" fontId="1" fillId="2" borderId="9" xfId="0" applyNumberFormat="1" applyFont="1" applyFill="1" applyBorder="1"/>
    <xf numFmtId="10" fontId="5" fillId="2" borderId="10" xfId="1" applyNumberFormat="1" applyFont="1" applyFill="1" applyBorder="1"/>
    <xf numFmtId="37" fontId="1" fillId="2" borderId="5" xfId="0" applyNumberFormat="1" applyFont="1" applyFill="1" applyBorder="1" applyAlignment="1"/>
    <xf numFmtId="0" fontId="9" fillId="0" borderId="0" xfId="0" applyFont="1" applyFill="1"/>
    <xf numFmtId="37" fontId="7" fillId="2" borderId="5" xfId="0" applyNumberFormat="1" applyFont="1" applyFill="1" applyBorder="1" applyAlignment="1">
      <alignment horizontal="left"/>
    </xf>
    <xf numFmtId="37" fontId="5" fillId="2" borderId="5" xfId="0" applyNumberFormat="1" applyFont="1" applyFill="1" applyBorder="1" applyAlignment="1">
      <alignment horizontal="left"/>
    </xf>
    <xf numFmtId="164" fontId="1" fillId="2" borderId="6" xfId="2" applyFont="1" applyFill="1" applyBorder="1"/>
    <xf numFmtId="164" fontId="7" fillId="2" borderId="6" xfId="2" applyFont="1" applyFill="1" applyBorder="1"/>
    <xf numFmtId="164" fontId="9" fillId="0" borderId="0" xfId="2" applyFont="1" applyFill="1"/>
    <xf numFmtId="37" fontId="7" fillId="2" borderId="5" xfId="0" applyNumberFormat="1" applyFont="1" applyFill="1" applyBorder="1" applyAlignment="1"/>
    <xf numFmtId="37" fontId="5" fillId="2" borderId="5" xfId="0" applyNumberFormat="1" applyFont="1" applyFill="1" applyBorder="1" applyAlignment="1"/>
    <xf numFmtId="3" fontId="5" fillId="2" borderId="6" xfId="3" applyNumberFormat="1" applyFont="1" applyFill="1" applyBorder="1"/>
    <xf numFmtId="0" fontId="6" fillId="0" borderId="0" xfId="0" applyFont="1" applyFill="1"/>
    <xf numFmtId="0" fontId="4" fillId="2" borderId="11" xfId="0" applyFont="1" applyFill="1" applyBorder="1" applyAlignment="1"/>
    <xf numFmtId="3" fontId="1" fillId="2" borderId="12" xfId="0" applyNumberFormat="1" applyFont="1" applyFill="1" applyBorder="1"/>
    <xf numFmtId="0" fontId="4" fillId="2" borderId="12" xfId="0" applyFont="1" applyFill="1" applyBorder="1"/>
    <xf numFmtId="3" fontId="4" fillId="2" borderId="12" xfId="0" applyNumberFormat="1" applyFont="1" applyFill="1" applyBorder="1"/>
    <xf numFmtId="0" fontId="4" fillId="2" borderId="13" xfId="0" applyFont="1" applyFill="1" applyBorder="1"/>
    <xf numFmtId="10" fontId="0" fillId="0" borderId="0" xfId="1" applyNumberFormat="1" applyFont="1" applyFill="1"/>
    <xf numFmtId="0" fontId="10" fillId="0" borderId="0" xfId="0" applyFont="1" applyFill="1" applyAlignment="1"/>
    <xf numFmtId="3" fontId="10" fillId="0" borderId="0" xfId="0" applyNumberFormat="1" applyFont="1" applyFill="1"/>
    <xf numFmtId="37" fontId="10" fillId="0" borderId="0" xfId="0" applyNumberFormat="1" applyFont="1" applyFill="1"/>
    <xf numFmtId="0" fontId="10" fillId="0" borderId="0" xfId="0" applyFont="1" applyFill="1"/>
    <xf numFmtId="10" fontId="10" fillId="0" borderId="0" xfId="0" applyNumberFormat="1" applyFont="1" applyFill="1"/>
    <xf numFmtId="37" fontId="0" fillId="0" borderId="0" xfId="0" applyNumberFormat="1" applyFill="1"/>
    <xf numFmtId="164" fontId="10" fillId="0" borderId="0" xfId="2" applyFont="1" applyFill="1"/>
    <xf numFmtId="9" fontId="10" fillId="0" borderId="0" xfId="1" applyFont="1" applyFill="1"/>
    <xf numFmtId="10" fontId="10" fillId="0" borderId="0" xfId="1" applyNumberFormat="1" applyFont="1" applyFill="1"/>
  </cellXfs>
  <cellStyles count="4">
    <cellStyle name="Millares 2 2" xfId="3"/>
    <cellStyle name="Millares 23" xfId="2"/>
    <cellStyle name="Normal" xfId="0" builtinId="0"/>
    <cellStyle name="Porcentaje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8/CIERRE%20ABR-JU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ORCICOL\Administrativa\CONTABILIDAD\ANEXO%20CIERRE%20DE%20INGRESOS%20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ORCICOL\Administrativa\Informe%20gesti&#243;n%20definitivo%20I%20semestre%202012\gastos%20enero%20junio%20de%2020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241;o%202017\AJUSTE%20SALARIOSdef\Ajuste%20salariosde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ORCICOL\Administrativa\A&#241;o%202010\A&#241;o%202010\MANEJO%20PTO%202010\PRESUPUESTO%20INGRESOS%20ESTIMADO%2020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A&#241;o%202015\PRESUPUESTO%202015\PRESUPUESTO%202015%20V.6\Presupuesto%202015%20version%2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CONTRATOS%20ACP%20FNP\MATRIZ%20DE%20CONTROL%20A&#209;O%202011(borrado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ORCICOL\Administrativa\2011\Presentaciones\COMITES%20PPC\DESPACHOS%20BIOLOGICO%2020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directorppc\AppData\Local\Microsoft\Windows\Temporary%20Internet%20Files\Content.IE5\68SX2PI0\Desagregado%20&#193;rea%20201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ORCICOL\Administrativa\Temp\desagregado%20ppc%2020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ORCICOL\Administrativa\Documents%20and%20Settings\PatriciaMart&#237;nez\Configuraci&#243;n%20local\Archivos%20temporales%20de%20Internet\Content.Outlook\RD6RDTKZ\A&#241;o%202008\Presupuesto%202009\nomina%202009%20pp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241;o%202018\Solicitud%20&#225;reas\II%20trimestre%202018\&#193;reaEcon&#243;mica%202018%20V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A&#241;o%202017\Presupuesto%202017\Presupuesto%202017%203ra%20version\Anexos\Presupuesto%20PPC%20201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ORCICOL\Administrativa\A&#241;o%202010\PTO%20FONDO%202010\Presupuesto%202010%20versi&#243;n%203\PRESUPUESTO%2010%203a%20%20versi&#243;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ORCICOL\Administrativa\JefeControlRegional\Presupuesto%202008\Presupuesto%20200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ORCICOL\Administrativa\Users\OscarRubio\AppData\Local\Microsoft\Windows\Temporary%20Internet%20Files\Content.Outlook\INBWVVAW\ANEXO%20ACUERDO%204-1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JorgeOrtiz\Desktop\PPC2013\PRESUPUESTO%202014\PRESUPUESTO%20DEFINITIVO%202014%20NOV\Desagregado%20PPC%202014%20%20definitiv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241;o%202018\Solicitud%20&#225;reas\II%20trimestre%202018\Presupuesto%20Solicitud%20II%20Trimestre%202018%20-%20mercade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241;o%202018\Solicitud%20&#225;reas\II%20trimestre%202018\Solicitud%20PPC%20y%20Sanidad%20II%20trimestre%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241;o%202018\Presupuesto%202018\Presupuesto%202018%20v.2\Anexos\presupuesto%20PPC%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241;o%202018\Solicitud%20&#225;reas\II%20trimestre%202018\Ejecuci&#243;n%20I%20Tri%20y%20solicitud%20II%20Tri%20t&#233;cnic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241;o%202018\Solicitud%20&#225;reas\II%20trimestre%202018\Presupuesto%20I%20trimestre%20y%20solicitud%20II%20trimestre%20t%20y%20t%2020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241;o%202018\Presupuesto%202018\Presupuesto%202018%20v.2\Anexos\Presupuestos%20Investigaci&#243;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241;o%202018\Presupuesto%202018\Presupuesto%202018%20v.2\Anexos\Presupuesto%20San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Otros ingresos"/>
      <sheetName val="Rendimientos "/>
      <sheetName val="VENTAS PPC"/>
      <sheetName val="Ejecución ingresos 2017"/>
      <sheetName val="Ejecución gastos 2017"/>
      <sheetName val="Superavit 2017"/>
      <sheetName val="Anexo 2 "/>
      <sheetName val="Anexo 3"/>
      <sheetName val="Anexo 4"/>
      <sheetName val="Funcionamiento"/>
      <sheetName val="Nómina y honorarios 2018"/>
      <sheetName val="Comparativo nómina 2017-2018"/>
      <sheetName val="Comparativo gastos personal "/>
    </sheetNames>
    <sheetDataSet>
      <sheetData sheetId="0">
        <row r="15">
          <cell r="B15">
            <v>5403893210.625</v>
          </cell>
        </row>
        <row r="16">
          <cell r="B16">
            <v>3242335926.375</v>
          </cell>
        </row>
        <row r="19">
          <cell r="B19">
            <v>31250000</v>
          </cell>
        </row>
        <row r="20">
          <cell r="B20">
            <v>18750000</v>
          </cell>
        </row>
        <row r="33">
          <cell r="B33">
            <v>398880000</v>
          </cell>
        </row>
      </sheetData>
      <sheetData sheetId="1"/>
      <sheetData sheetId="2"/>
      <sheetData sheetId="3"/>
      <sheetData sheetId="4"/>
      <sheetData sheetId="5"/>
      <sheetData sheetId="6"/>
      <sheetData sheetId="7"/>
      <sheetData sheetId="8"/>
      <sheetData sheetId="9"/>
      <sheetData sheetId="10">
        <row r="8">
          <cell r="F8">
            <v>5000000</v>
          </cell>
        </row>
        <row r="10">
          <cell r="F10">
            <v>34599146.220275</v>
          </cell>
          <cell r="G10">
            <v>35000000</v>
          </cell>
          <cell r="I10">
            <v>31898202</v>
          </cell>
        </row>
        <row r="12">
          <cell r="F12">
            <v>2801274.3040999998</v>
          </cell>
        </row>
        <row r="14">
          <cell r="F14">
            <v>5620183.9354499998</v>
          </cell>
          <cell r="G14">
            <v>3434970</v>
          </cell>
        </row>
        <row r="16">
          <cell r="F16">
            <v>6325486.8467749991</v>
          </cell>
          <cell r="G16">
            <v>2512431</v>
          </cell>
          <cell r="H16">
            <v>2512431</v>
          </cell>
          <cell r="I16">
            <v>2512431</v>
          </cell>
          <cell r="J16">
            <v>2512431</v>
          </cell>
          <cell r="K16">
            <v>2512431</v>
          </cell>
          <cell r="L16">
            <v>2512431</v>
          </cell>
        </row>
        <row r="18">
          <cell r="F18">
            <v>7972085.5150999995</v>
          </cell>
          <cell r="G18">
            <v>7894987.2860000003</v>
          </cell>
          <cell r="I18">
            <v>3636135</v>
          </cell>
          <cell r="J18">
            <v>1117934.25</v>
          </cell>
          <cell r="K18">
            <v>477406</v>
          </cell>
          <cell r="L18">
            <v>2750031</v>
          </cell>
        </row>
        <row r="20">
          <cell r="F20">
            <v>5000000</v>
          </cell>
          <cell r="G20">
            <v>2431233.5</v>
          </cell>
          <cell r="I20">
            <v>890676</v>
          </cell>
          <cell r="L20">
            <v>0</v>
          </cell>
        </row>
        <row r="22">
          <cell r="F22">
            <v>6673125</v>
          </cell>
          <cell r="G22">
            <v>83795016</v>
          </cell>
          <cell r="I22">
            <v>4500000</v>
          </cell>
          <cell r="J22">
            <v>4605436.2779999999</v>
          </cell>
          <cell r="K22">
            <v>2269346</v>
          </cell>
          <cell r="L22">
            <v>8000000</v>
          </cell>
        </row>
        <row r="24">
          <cell r="F24">
            <v>3328231.6901750001</v>
          </cell>
          <cell r="G24">
            <v>3122700</v>
          </cell>
          <cell r="J24">
            <v>1180274</v>
          </cell>
        </row>
        <row r="26">
          <cell r="F26">
            <v>7739339.3178999992</v>
          </cell>
          <cell r="G26">
            <v>63000000</v>
          </cell>
          <cell r="H26">
            <v>2940000</v>
          </cell>
          <cell r="I26">
            <v>2500000</v>
          </cell>
          <cell r="J26">
            <v>2659658.6666666665</v>
          </cell>
          <cell r="K26">
            <v>1865236</v>
          </cell>
          <cell r="L26">
            <v>2939752</v>
          </cell>
        </row>
        <row r="28">
          <cell r="F28">
            <v>1332860.739875</v>
          </cell>
          <cell r="G28">
            <v>710000</v>
          </cell>
          <cell r="I28">
            <v>500000</v>
          </cell>
          <cell r="J28">
            <v>677324.25</v>
          </cell>
          <cell r="K28">
            <v>550746</v>
          </cell>
          <cell r="L28">
            <v>598920</v>
          </cell>
        </row>
        <row r="30">
          <cell r="F30">
            <v>2509990.8694000002</v>
          </cell>
          <cell r="G30">
            <v>10416000</v>
          </cell>
          <cell r="I30">
            <v>3752604</v>
          </cell>
          <cell r="J30">
            <v>0</v>
          </cell>
          <cell r="K30">
            <v>1376865</v>
          </cell>
        </row>
        <row r="32">
          <cell r="F32">
            <v>6166444.3520749994</v>
          </cell>
        </row>
        <row r="34">
          <cell r="F34">
            <v>31058587.324274998</v>
          </cell>
          <cell r="G34">
            <v>18228000</v>
          </cell>
        </row>
        <row r="36">
          <cell r="F36">
            <v>0</v>
          </cell>
        </row>
      </sheetData>
      <sheetData sheetId="11">
        <row r="13">
          <cell r="K13">
            <v>42860660.732399993</v>
          </cell>
          <cell r="L13">
            <v>2793651.6077999994</v>
          </cell>
          <cell r="M13">
            <v>335238.19293599995</v>
          </cell>
          <cell r="N13">
            <v>2793651.6077999994</v>
          </cell>
          <cell r="O13">
            <v>1396825.8038999997</v>
          </cell>
          <cell r="S13">
            <v>8263220.7840611273</v>
          </cell>
          <cell r="U13">
            <v>1430349.6231936</v>
          </cell>
          <cell r="X13">
            <v>1787937.0289919998</v>
          </cell>
        </row>
        <row r="22">
          <cell r="K22">
            <v>243705398.03580001</v>
          </cell>
          <cell r="L22">
            <v>17640292.175499998</v>
          </cell>
          <cell r="M22">
            <v>2116835.0610599997</v>
          </cell>
          <cell r="N22">
            <v>17640292.175499998</v>
          </cell>
          <cell r="O22">
            <v>10154391.584825</v>
          </cell>
          <cell r="S22">
            <v>49570807.919185907</v>
          </cell>
          <cell r="U22">
            <v>9943452.6061593574</v>
          </cell>
          <cell r="X22">
            <v>12429315.757699197</v>
          </cell>
        </row>
        <row r="43">
          <cell r="K43">
            <v>92873413.680599988</v>
          </cell>
          <cell r="L43">
            <v>5070960.1458999999</v>
          </cell>
          <cell r="M43">
            <v>608515.21750799986</v>
          </cell>
          <cell r="N43">
            <v>5070960.1458999999</v>
          </cell>
          <cell r="O43">
            <v>3869725.5700249998</v>
          </cell>
          <cell r="S43">
            <v>17449217.783690963</v>
          </cell>
          <cell r="U43">
            <v>3541527.7270041592</v>
          </cell>
          <cell r="X43">
            <v>4426909.6587551991</v>
          </cell>
        </row>
        <row r="55">
          <cell r="K55">
            <v>90512362.955999985</v>
          </cell>
          <cell r="L55">
            <v>4874205.91885</v>
          </cell>
          <cell r="M55">
            <v>584904.71026199986</v>
          </cell>
          <cell r="N55">
            <v>4874205.91885</v>
          </cell>
          <cell r="O55">
            <v>3771348.4564999999</v>
          </cell>
          <cell r="S55">
            <v>16952877.700365551</v>
          </cell>
          <cell r="U55">
            <v>3440789.5627545593</v>
          </cell>
          <cell r="X55">
            <v>4300986.9534431994</v>
          </cell>
        </row>
        <row r="66">
          <cell r="K66">
            <v>77710004.903999999</v>
          </cell>
          <cell r="L66">
            <v>3807342.7478499999</v>
          </cell>
          <cell r="M66">
            <v>456881.1297419999</v>
          </cell>
          <cell r="N66">
            <v>3807342.7478499999</v>
          </cell>
          <cell r="O66">
            <v>3237916.8709999998</v>
          </cell>
          <cell r="S66">
            <v>14336738.474247996</v>
          </cell>
          <cell r="U66">
            <v>2894555.6192025598</v>
          </cell>
          <cell r="X66">
            <v>3618194.5240031998</v>
          </cell>
        </row>
        <row r="75">
          <cell r="K75">
            <v>11809384.783499997</v>
          </cell>
          <cell r="L75">
            <v>984115.39862499991</v>
          </cell>
          <cell r="M75">
            <v>118093.84783499998</v>
          </cell>
          <cell r="N75">
            <v>984115.39862499991</v>
          </cell>
          <cell r="O75">
            <v>492057.69931249996</v>
          </cell>
          <cell r="S75">
            <v>2427430.2653873698</v>
          </cell>
          <cell r="U75">
            <v>492676.04409599997</v>
          </cell>
          <cell r="X75">
            <v>615845.05511999992</v>
          </cell>
        </row>
        <row r="80">
          <cell r="K80">
            <v>251468521.39290002</v>
          </cell>
          <cell r="L80">
            <v>18287219.121924996</v>
          </cell>
          <cell r="M80">
            <v>2194466.2946309997</v>
          </cell>
          <cell r="N80">
            <v>18287219.121924996</v>
          </cell>
          <cell r="O80">
            <v>10477855.058037497</v>
          </cell>
          <cell r="S80">
            <v>51670369.953757636</v>
          </cell>
          <cell r="U80">
            <v>10274679.202728959</v>
          </cell>
          <cell r="X80">
            <v>12843349.003411196</v>
          </cell>
        </row>
        <row r="110">
          <cell r="I110">
            <v>235054.99709999998</v>
          </cell>
          <cell r="K110">
            <v>940219.98839999991</v>
          </cell>
          <cell r="M110">
            <v>235054.99709999998</v>
          </cell>
          <cell r="O110">
            <v>235054.99709999998</v>
          </cell>
          <cell r="Q110">
            <v>235054.99709999998</v>
          </cell>
          <cell r="S110">
            <v>940219.98839999991</v>
          </cell>
        </row>
        <row r="121">
          <cell r="I121">
            <v>39153148.299999997</v>
          </cell>
        </row>
      </sheetData>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Anexo 2 X Areas"/>
      <sheetName val="#¡REF"/>
    </sheetNames>
    <sheetDataSet>
      <sheetData sheetId="0"/>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ómina y honorarios 2017"/>
      <sheetName val="Hoja1"/>
      <sheetName val="Vencimientos"/>
      <sheetName val="Hoja1 (2)"/>
      <sheetName val="Nómina anual"/>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refreshError="1"/>
      <sheetData sheetId="2" refreshError="1"/>
      <sheetData sheetId="3"/>
      <sheetData sheetId="4" refreshError="1"/>
      <sheetData sheetId="5" refreshError="1"/>
      <sheetData sheetId="6"/>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Ejecución ingresos 2014"/>
      <sheetName val="Ejecución gastos 2014"/>
      <sheetName val="Superavit 2014"/>
      <sheetName val="Anexo 2 "/>
      <sheetName val="Anexo 3"/>
      <sheetName val="Anexo 4"/>
      <sheetName val="Funcionamiento"/>
      <sheetName val="Nómina y honorarios 2015"/>
      <sheetName val="Comparativo nómina 2014-2015"/>
      <sheetName val="Comparativo gastos personal "/>
    </sheetNames>
    <sheetDataSet>
      <sheetData sheetId="0">
        <row r="46">
          <cell r="C46">
            <v>3182535.7199999997</v>
          </cell>
        </row>
        <row r="53">
          <cell r="C53">
            <v>4295.6000000000004</v>
          </cell>
        </row>
        <row r="54">
          <cell r="C54">
            <v>2577.36</v>
          </cell>
        </row>
      </sheetData>
      <sheetData sheetId="1"/>
      <sheetData sheetId="2"/>
      <sheetData sheetId="3"/>
      <sheetData sheetId="4"/>
      <sheetData sheetId="5"/>
      <sheetData sheetId="6"/>
      <sheetData sheetId="7"/>
      <sheetData sheetId="8"/>
      <sheetData sheetId="9"/>
      <sheetData sheetId="10"/>
      <sheetData sheetId="11">
        <row r="13">
          <cell r="A13" t="str">
            <v>SUPERVISOR CONTROL PRESUPUESTAL</v>
          </cell>
        </row>
      </sheetData>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ecutivo"/>
      <sheetName val="Vencimientos"/>
      <sheetName val="CONTROL CONTRATOS 2011"/>
      <sheetName val="Hoja1"/>
    </sheetNames>
    <sheetDataSet>
      <sheetData sheetId="0">
        <row r="9">
          <cell r="M9" t="str">
            <v>FUNCIONAMIENTO</v>
          </cell>
        </row>
        <row r="10">
          <cell r="M10" t="str">
            <v>MERCADEO</v>
          </cell>
        </row>
        <row r="11">
          <cell r="M11" t="str">
            <v>PPC</v>
          </cell>
        </row>
        <row r="12">
          <cell r="M12" t="str">
            <v>ECONOMICA</v>
          </cell>
        </row>
        <row r="13">
          <cell r="M13" t="str">
            <v>TECNICA</v>
          </cell>
        </row>
      </sheetData>
      <sheetData sheetId="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2010  LABORATORIOS"/>
      <sheetName val="2011 LABORATORIOS"/>
      <sheetName val="COMPARATIVO POR DOSIS"/>
      <sheetName val="COMPARATIVO POR LABORATORIO"/>
      <sheetName val="Hoja1"/>
      <sheetName val="BRIGADAS"/>
      <sheetName val="COMITÉ"/>
      <sheetName val="DISTRIBUIDOR"/>
      <sheetName val="DEPARTAMENTO"/>
      <sheetName val="CONSOLIDADO GENERAL"/>
      <sheetName val="BASE"/>
    </sheetNames>
    <sheetDataSet>
      <sheetData sheetId="0"/>
      <sheetData sheetId="1"/>
      <sheetData sheetId="2"/>
      <sheetData sheetId="3"/>
      <sheetData sheetId="4"/>
      <sheetData sheetId="5"/>
      <sheetData sheetId="6"/>
      <sheetData sheetId="7"/>
      <sheetData sheetId="8"/>
      <sheetData sheetId="9"/>
      <sheetData sheetId="10"/>
      <sheetData sheetId="11">
        <row r="3">
          <cell r="E3">
            <v>40191</v>
          </cell>
        </row>
        <row r="4">
          <cell r="E4">
            <v>40196</v>
          </cell>
        </row>
        <row r="5">
          <cell r="E5">
            <v>40179</v>
          </cell>
        </row>
        <row r="6">
          <cell r="E6">
            <v>40193</v>
          </cell>
        </row>
        <row r="7">
          <cell r="E7">
            <v>40193</v>
          </cell>
        </row>
        <row r="8">
          <cell r="E8">
            <v>40190</v>
          </cell>
        </row>
        <row r="9">
          <cell r="E9">
            <v>40190</v>
          </cell>
        </row>
        <row r="10">
          <cell r="E10">
            <v>40190</v>
          </cell>
        </row>
        <row r="11">
          <cell r="E11">
            <v>40190</v>
          </cell>
        </row>
        <row r="12">
          <cell r="E12">
            <v>40190</v>
          </cell>
        </row>
        <row r="13">
          <cell r="E13">
            <v>40191</v>
          </cell>
        </row>
        <row r="14">
          <cell r="E14">
            <v>40191</v>
          </cell>
        </row>
        <row r="15">
          <cell r="E15">
            <v>40196</v>
          </cell>
        </row>
        <row r="16">
          <cell r="E16">
            <v>40196</v>
          </cell>
        </row>
        <row r="17">
          <cell r="E17">
            <v>40196</v>
          </cell>
        </row>
        <row r="18">
          <cell r="E18">
            <v>40196</v>
          </cell>
        </row>
        <row r="19">
          <cell r="E19">
            <v>40197</v>
          </cell>
        </row>
        <row r="20">
          <cell r="E20">
            <v>40197</v>
          </cell>
        </row>
        <row r="21">
          <cell r="E21">
            <v>40197</v>
          </cell>
        </row>
        <row r="22">
          <cell r="E22">
            <v>40192</v>
          </cell>
        </row>
        <row r="23">
          <cell r="E23">
            <v>40192</v>
          </cell>
        </row>
        <row r="24">
          <cell r="E24">
            <v>40192</v>
          </cell>
        </row>
        <row r="25">
          <cell r="E25">
            <v>40192</v>
          </cell>
        </row>
        <row r="26">
          <cell r="E26">
            <v>40197</v>
          </cell>
        </row>
        <row r="27">
          <cell r="E27">
            <v>40197</v>
          </cell>
        </row>
        <row r="28">
          <cell r="E28">
            <v>40196</v>
          </cell>
        </row>
        <row r="29">
          <cell r="E29">
            <v>40196</v>
          </cell>
        </row>
        <row r="30">
          <cell r="E30">
            <v>40196</v>
          </cell>
        </row>
        <row r="31">
          <cell r="E31">
            <v>40199</v>
          </cell>
        </row>
        <row r="32">
          <cell r="E32">
            <v>40199</v>
          </cell>
        </row>
        <row r="33">
          <cell r="E33">
            <v>40199</v>
          </cell>
        </row>
        <row r="34">
          <cell r="E34">
            <v>40199</v>
          </cell>
        </row>
        <row r="35">
          <cell r="E35">
            <v>40203</v>
          </cell>
        </row>
        <row r="36">
          <cell r="E36">
            <v>40203</v>
          </cell>
        </row>
        <row r="37">
          <cell r="E37">
            <v>40203</v>
          </cell>
        </row>
        <row r="38">
          <cell r="E38">
            <v>40203</v>
          </cell>
        </row>
        <row r="39">
          <cell r="E39">
            <v>40200</v>
          </cell>
        </row>
        <row r="40">
          <cell r="E40">
            <v>40200</v>
          </cell>
        </row>
        <row r="41">
          <cell r="E41">
            <v>40199</v>
          </cell>
        </row>
        <row r="42">
          <cell r="E42">
            <v>40203</v>
          </cell>
        </row>
        <row r="43">
          <cell r="E43">
            <v>40203</v>
          </cell>
        </row>
        <row r="44">
          <cell r="E44">
            <v>40203</v>
          </cell>
        </row>
        <row r="45">
          <cell r="E45">
            <v>40203</v>
          </cell>
        </row>
        <row r="46">
          <cell r="E46">
            <v>40203</v>
          </cell>
        </row>
        <row r="47">
          <cell r="E47">
            <v>40203</v>
          </cell>
        </row>
        <row r="48">
          <cell r="E48">
            <v>40205</v>
          </cell>
        </row>
        <row r="49">
          <cell r="E49">
            <v>40205</v>
          </cell>
        </row>
        <row r="50">
          <cell r="E50">
            <v>40205</v>
          </cell>
        </row>
        <row r="51">
          <cell r="E51">
            <v>40205</v>
          </cell>
        </row>
        <row r="52">
          <cell r="E52">
            <v>40205</v>
          </cell>
        </row>
        <row r="53">
          <cell r="E53">
            <v>40205</v>
          </cell>
        </row>
        <row r="54">
          <cell r="E54">
            <v>40205</v>
          </cell>
        </row>
        <row r="55">
          <cell r="E55">
            <v>40205</v>
          </cell>
        </row>
        <row r="56">
          <cell r="E56">
            <v>40205</v>
          </cell>
        </row>
        <row r="57">
          <cell r="E57">
            <v>40205</v>
          </cell>
        </row>
        <row r="58">
          <cell r="E58">
            <v>40205</v>
          </cell>
        </row>
        <row r="59">
          <cell r="E59">
            <v>40205</v>
          </cell>
        </row>
        <row r="60">
          <cell r="E60">
            <v>40210</v>
          </cell>
        </row>
        <row r="61">
          <cell r="E61">
            <v>40210</v>
          </cell>
        </row>
        <row r="62">
          <cell r="E62">
            <v>40210</v>
          </cell>
        </row>
        <row r="63">
          <cell r="E63">
            <v>40210</v>
          </cell>
        </row>
        <row r="64">
          <cell r="E64">
            <v>40210</v>
          </cell>
        </row>
        <row r="65">
          <cell r="E65">
            <v>40210</v>
          </cell>
        </row>
        <row r="66">
          <cell r="E66">
            <v>40210</v>
          </cell>
        </row>
        <row r="67">
          <cell r="E67">
            <v>40210</v>
          </cell>
        </row>
        <row r="68">
          <cell r="E68">
            <v>40210</v>
          </cell>
        </row>
        <row r="69">
          <cell r="E69">
            <v>40210</v>
          </cell>
        </row>
        <row r="70">
          <cell r="E70">
            <v>40211</v>
          </cell>
        </row>
        <row r="71">
          <cell r="E71">
            <v>40211</v>
          </cell>
        </row>
        <row r="72">
          <cell r="E72">
            <v>40211</v>
          </cell>
        </row>
        <row r="73">
          <cell r="E73">
            <v>40211</v>
          </cell>
        </row>
        <row r="74">
          <cell r="E74">
            <v>40211</v>
          </cell>
        </row>
        <row r="75">
          <cell r="E75">
            <v>40211</v>
          </cell>
        </row>
        <row r="76">
          <cell r="E76">
            <v>40211</v>
          </cell>
        </row>
        <row r="77">
          <cell r="E77">
            <v>40211</v>
          </cell>
        </row>
        <row r="78">
          <cell r="E78">
            <v>40211</v>
          </cell>
        </row>
        <row r="79">
          <cell r="E79">
            <v>40211</v>
          </cell>
        </row>
        <row r="80">
          <cell r="E80">
            <v>40211</v>
          </cell>
        </row>
        <row r="81">
          <cell r="E81">
            <v>40211</v>
          </cell>
        </row>
        <row r="82">
          <cell r="E82">
            <v>40211</v>
          </cell>
        </row>
        <row r="83">
          <cell r="E83">
            <v>40210</v>
          </cell>
        </row>
        <row r="84">
          <cell r="E84">
            <v>40210</v>
          </cell>
        </row>
        <row r="85">
          <cell r="E85">
            <v>40205</v>
          </cell>
        </row>
        <row r="86">
          <cell r="E86">
            <v>40205</v>
          </cell>
        </row>
        <row r="87">
          <cell r="E87">
            <v>40210</v>
          </cell>
        </row>
        <row r="88">
          <cell r="E88">
            <v>40212</v>
          </cell>
        </row>
        <row r="89">
          <cell r="E89">
            <v>40212</v>
          </cell>
        </row>
        <row r="90">
          <cell r="E90">
            <v>40210</v>
          </cell>
        </row>
        <row r="91">
          <cell r="E91">
            <v>40210</v>
          </cell>
        </row>
        <row r="92">
          <cell r="E92">
            <v>40213</v>
          </cell>
        </row>
        <row r="93">
          <cell r="E93">
            <v>40213</v>
          </cell>
        </row>
        <row r="94">
          <cell r="E94">
            <v>40210</v>
          </cell>
        </row>
        <row r="95">
          <cell r="E95">
            <v>40210</v>
          </cell>
        </row>
        <row r="96">
          <cell r="E96">
            <v>40212</v>
          </cell>
        </row>
        <row r="97">
          <cell r="E97">
            <v>40212</v>
          </cell>
        </row>
        <row r="98">
          <cell r="E98">
            <v>40213</v>
          </cell>
        </row>
        <row r="99">
          <cell r="E99">
            <v>40213</v>
          </cell>
        </row>
        <row r="100">
          <cell r="E100">
            <v>40214</v>
          </cell>
        </row>
        <row r="101">
          <cell r="E101">
            <v>40214</v>
          </cell>
        </row>
        <row r="102">
          <cell r="E102">
            <v>40217</v>
          </cell>
        </row>
        <row r="103">
          <cell r="E103">
            <v>40217</v>
          </cell>
        </row>
        <row r="104">
          <cell r="E104">
            <v>40217</v>
          </cell>
        </row>
        <row r="105">
          <cell r="E105">
            <v>40217</v>
          </cell>
        </row>
        <row r="106">
          <cell r="E106">
            <v>40214</v>
          </cell>
        </row>
        <row r="107">
          <cell r="E107">
            <v>40214</v>
          </cell>
        </row>
        <row r="108">
          <cell r="E108">
            <v>40207</v>
          </cell>
        </row>
        <row r="109">
          <cell r="E109">
            <v>40207</v>
          </cell>
        </row>
        <row r="110">
          <cell r="E110">
            <v>40212</v>
          </cell>
        </row>
        <row r="111">
          <cell r="E111">
            <v>40212</v>
          </cell>
        </row>
        <row r="112">
          <cell r="E112">
            <v>40212</v>
          </cell>
        </row>
        <row r="113">
          <cell r="E113">
            <v>40212</v>
          </cell>
        </row>
        <row r="114">
          <cell r="E114">
            <v>40212</v>
          </cell>
        </row>
        <row r="115">
          <cell r="E115">
            <v>40212</v>
          </cell>
        </row>
        <row r="116">
          <cell r="E116">
            <v>40218</v>
          </cell>
        </row>
        <row r="117">
          <cell r="E117">
            <v>40218</v>
          </cell>
        </row>
        <row r="118">
          <cell r="E118">
            <v>40218</v>
          </cell>
        </row>
        <row r="119">
          <cell r="E119">
            <v>40218</v>
          </cell>
        </row>
        <row r="120">
          <cell r="E120">
            <v>40218</v>
          </cell>
        </row>
        <row r="121">
          <cell r="E121">
            <v>40211</v>
          </cell>
        </row>
        <row r="122">
          <cell r="E122">
            <v>40211</v>
          </cell>
        </row>
        <row r="123">
          <cell r="E123">
            <v>40211</v>
          </cell>
        </row>
        <row r="124">
          <cell r="E124">
            <v>40211</v>
          </cell>
        </row>
        <row r="125">
          <cell r="E125">
            <v>40211</v>
          </cell>
        </row>
        <row r="126">
          <cell r="E126">
            <v>40214</v>
          </cell>
        </row>
        <row r="127">
          <cell r="E127">
            <v>40214</v>
          </cell>
        </row>
        <row r="128">
          <cell r="E128">
            <v>40211</v>
          </cell>
        </row>
        <row r="129">
          <cell r="E129">
            <v>40218</v>
          </cell>
        </row>
        <row r="130">
          <cell r="E130">
            <v>40218</v>
          </cell>
        </row>
        <row r="131">
          <cell r="E131">
            <v>40218</v>
          </cell>
        </row>
        <row r="132">
          <cell r="E132">
            <v>40218</v>
          </cell>
        </row>
        <row r="133">
          <cell r="E133">
            <v>40213</v>
          </cell>
        </row>
        <row r="134">
          <cell r="E134">
            <v>40213</v>
          </cell>
        </row>
        <row r="135">
          <cell r="E135">
            <v>40213</v>
          </cell>
        </row>
        <row r="136">
          <cell r="E136">
            <v>40213</v>
          </cell>
        </row>
        <row r="137">
          <cell r="E137">
            <v>40218</v>
          </cell>
        </row>
        <row r="138">
          <cell r="E138">
            <v>40218</v>
          </cell>
        </row>
        <row r="139">
          <cell r="E139">
            <v>40218</v>
          </cell>
        </row>
        <row r="140">
          <cell r="E140">
            <v>40218</v>
          </cell>
        </row>
        <row r="141">
          <cell r="E141">
            <v>40218</v>
          </cell>
        </row>
        <row r="142">
          <cell r="E142">
            <v>40210</v>
          </cell>
        </row>
        <row r="143">
          <cell r="E143">
            <v>40210</v>
          </cell>
        </row>
        <row r="144">
          <cell r="E144">
            <v>40218</v>
          </cell>
        </row>
        <row r="145">
          <cell r="E145">
            <v>40218</v>
          </cell>
        </row>
        <row r="146">
          <cell r="E146">
            <v>40218</v>
          </cell>
        </row>
        <row r="147">
          <cell r="E147">
            <v>40220</v>
          </cell>
        </row>
        <row r="148">
          <cell r="E148">
            <v>40220</v>
          </cell>
        </row>
        <row r="149">
          <cell r="E149">
            <v>40220</v>
          </cell>
        </row>
        <row r="150">
          <cell r="E150">
            <v>40220</v>
          </cell>
        </row>
        <row r="151">
          <cell r="E151">
            <v>40224</v>
          </cell>
        </row>
        <row r="152">
          <cell r="E152">
            <v>40224</v>
          </cell>
        </row>
        <row r="153">
          <cell r="E153">
            <v>40224</v>
          </cell>
        </row>
        <row r="154">
          <cell r="E154">
            <v>40224</v>
          </cell>
        </row>
        <row r="155">
          <cell r="E155">
            <v>40224</v>
          </cell>
        </row>
        <row r="156">
          <cell r="E156">
            <v>40218</v>
          </cell>
        </row>
        <row r="157">
          <cell r="E157">
            <v>40218</v>
          </cell>
        </row>
        <row r="158">
          <cell r="E158">
            <v>40218</v>
          </cell>
        </row>
        <row r="159">
          <cell r="E159">
            <v>40225</v>
          </cell>
        </row>
        <row r="160">
          <cell r="E160">
            <v>40225</v>
          </cell>
        </row>
        <row r="161">
          <cell r="E161">
            <v>40225</v>
          </cell>
        </row>
        <row r="162">
          <cell r="E162">
            <v>40227</v>
          </cell>
        </row>
        <row r="163">
          <cell r="E163">
            <v>40227</v>
          </cell>
        </row>
        <row r="164">
          <cell r="E164">
            <v>40227</v>
          </cell>
        </row>
        <row r="165">
          <cell r="E165">
            <v>40227</v>
          </cell>
        </row>
        <row r="166">
          <cell r="E166">
            <v>40228</v>
          </cell>
        </row>
        <row r="167">
          <cell r="E167">
            <v>40228</v>
          </cell>
        </row>
        <row r="168">
          <cell r="E168">
            <v>40228</v>
          </cell>
        </row>
        <row r="169">
          <cell r="E169">
            <v>40231</v>
          </cell>
        </row>
        <row r="170">
          <cell r="E170">
            <v>40231</v>
          </cell>
        </row>
        <row r="171">
          <cell r="E171">
            <v>40233</v>
          </cell>
        </row>
        <row r="172">
          <cell r="E172">
            <v>40233</v>
          </cell>
        </row>
        <row r="173">
          <cell r="E173">
            <v>40232</v>
          </cell>
        </row>
        <row r="174">
          <cell r="E174">
            <v>40232</v>
          </cell>
        </row>
        <row r="175">
          <cell r="E175">
            <v>40233</v>
          </cell>
        </row>
        <row r="176">
          <cell r="E176">
            <v>40232</v>
          </cell>
        </row>
        <row r="177">
          <cell r="E177">
            <v>40233</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área X"/>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formulada"/>
      <sheetName val="Ciclos"/>
      <sheetName val="INGRESOS 2010"/>
      <sheetName val="anexo viaticos gastos de viaje"/>
      <sheetName val="anexo materiales y dotaciones"/>
      <sheetName val="anexo publicidad"/>
      <sheetName val="anexo impresos y publicaciones"/>
      <sheetName val="Escenario PPC"/>
      <sheetName val="Auxilios distribuidores"/>
      <sheetName val="NOMINA HONORARIOS 201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o"/>
      <sheetName val="Agregado"/>
      <sheetName val="Generales"/>
      <sheetName val="Inversión"/>
      <sheetName val="Ejec8mar"/>
      <sheetName val="EjecDes8mar"/>
      <sheetName val="Sus8mar"/>
      <sheetName val="Ejecución adicional"/>
      <sheetName val="Ingresos"/>
      <sheetName val="Supuestos"/>
      <sheetName val="Por región"/>
      <sheetName val="5.2"/>
      <sheetName val="Anexo 4"/>
    </sheetNames>
    <sheetDataSet>
      <sheetData sheetId="0"/>
      <sheetData sheetId="1">
        <row r="7">
          <cell r="G7">
            <v>16617179.497799998</v>
          </cell>
        </row>
        <row r="26">
          <cell r="G26">
            <v>208318718.63929999</v>
          </cell>
        </row>
        <row r="30">
          <cell r="G30">
            <v>77529726</v>
          </cell>
        </row>
        <row r="31">
          <cell r="G31">
            <v>41030872</v>
          </cell>
        </row>
        <row r="32">
          <cell r="G32">
            <v>151558273.23500001</v>
          </cell>
        </row>
        <row r="36">
          <cell r="G36">
            <v>68000000</v>
          </cell>
        </row>
        <row r="39">
          <cell r="G39">
            <v>41000000</v>
          </cell>
        </row>
        <row r="40">
          <cell r="G40">
            <v>14012488</v>
          </cell>
        </row>
        <row r="43">
          <cell r="G43">
            <v>262135982.31</v>
          </cell>
        </row>
        <row r="44">
          <cell r="G44">
            <v>27831561.385000002</v>
          </cell>
        </row>
        <row r="48">
          <cell r="G48">
            <v>55494713.310000002</v>
          </cell>
        </row>
        <row r="49">
          <cell r="G49">
            <v>5065470.5</v>
          </cell>
        </row>
        <row r="50">
          <cell r="G50">
            <v>14675955</v>
          </cell>
        </row>
        <row r="53">
          <cell r="G53">
            <v>37105258.555227742</v>
          </cell>
        </row>
        <row r="54">
          <cell r="G54">
            <v>48793580.926807493</v>
          </cell>
        </row>
        <row r="58">
          <cell r="G58">
            <v>5250445.2</v>
          </cell>
        </row>
        <row r="59">
          <cell r="G59">
            <v>48778809.600000001</v>
          </cell>
        </row>
        <row r="60">
          <cell r="G60">
            <v>5381453</v>
          </cell>
        </row>
      </sheetData>
      <sheetData sheetId="2"/>
      <sheetData sheetId="3"/>
      <sheetData sheetId="4"/>
      <sheetData sheetId="5"/>
      <sheetData sheetId="6"/>
      <sheetData sheetId="7"/>
      <sheetData sheetId="8">
        <row r="6">
          <cell r="C6">
            <v>60000000</v>
          </cell>
        </row>
      </sheetData>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vs 2016"/>
      <sheetName val="justificacion formulada"/>
      <sheetName val="Consolidado área PPC "/>
      <sheetName val="Recolección desechos y archivo"/>
      <sheetName val="Admon BD 2016"/>
      <sheetName val="Aux comités 2016"/>
      <sheetName val="Vacunadores Chapeteadores"/>
      <sheetName val="Censo 2016"/>
      <sheetName val="Vigilancia PPC"/>
      <sheetName val="Ventas PPC"/>
      <sheetName val="Anexo comunicaciones"/>
      <sheetName val="REUNIÓNES (2)"/>
      <sheetName val="Ingresos 2016"/>
      <sheetName val="Anexo materiales y dotaciones"/>
      <sheetName val="Arriendos"/>
      <sheetName val="Aux distribuidores 2016"/>
      <sheetName val="Aux Coord y Gastos de Viaje"/>
      <sheetName val="Progra vigilancia enf 2015"/>
      <sheetName val="anexo impresos y publicaciones"/>
      <sheetName val="NOMINA HONORARIOS 2015"/>
      <sheetName val="BRIGADAS"/>
      <sheetName val="Correo"/>
      <sheetName val="NOMINA HONORARIOS 2013"/>
      <sheetName val="Participación x dosis"/>
      <sheetName val="SIMULACROS"/>
      <sheetName val="Biologico II"/>
      <sheetName val="BIOLÓGICO 2016"/>
      <sheetName val="Chapetas ZL"/>
      <sheetName val="Chapetas Z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 PPC"/>
      <sheetName val="Ejecución ingresos 2009"/>
      <sheetName val="Ejecución gastos 2009"/>
      <sheetName val="Superavit 2009"/>
      <sheetName val="Anexo 2 "/>
      <sheetName val="Anexo 3 "/>
      <sheetName val="Anexo 4"/>
      <sheetName val="Funcionamiento"/>
      <sheetName val="Nómina y honorarios 2010"/>
      <sheetName val="Comparativo nómina 2009-2010"/>
      <sheetName val="Inversión total en programas"/>
      <sheetName val="MODELO CONTRATISTAS"/>
      <sheetName val="Servicios personal 2005"/>
      <sheetName val="Nómina 2004"/>
      <sheetName val="Hoja1"/>
    </sheetNames>
    <sheetDataSet>
      <sheetData sheetId="0">
        <row r="21">
          <cell r="C21">
            <v>1344784788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ow r="86">
          <cell r="B86">
            <v>117000000</v>
          </cell>
        </row>
      </sheetData>
      <sheetData sheetId="15" refreshError="1"/>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
      <sheetName val="ANEXO INGRESOS"/>
      <sheetName val="ANEXO II"/>
      <sheetName val="Anexo 2 x Areas"/>
      <sheetName val="SUPERAVIT"/>
      <sheetName val="RES"/>
      <sheetName val="ECO"/>
      <sheetName val="TEC"/>
      <sheetName val="PPC"/>
      <sheetName val="MER"/>
      <sheetName val="FU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vs 2014"/>
      <sheetName val="justificacion formulada"/>
      <sheetName val="Escenario PPC"/>
      <sheetName val="Arriendos"/>
      <sheetName val="costos vigilancia "/>
      <sheetName val="Ingresos 2014"/>
      <sheetName val="Recolección de desechos"/>
      <sheetName val="Aux comités"/>
      <sheetName val="Barridos 2014"/>
      <sheetName val="Aux distribuidores"/>
      <sheetName val="VALLAS"/>
      <sheetName val="anexo publicidad"/>
      <sheetName val="REUNIÓNES"/>
      <sheetName val="BRIGADAS"/>
      <sheetName val="Correo"/>
      <sheetName val="anexo viaticos gastos de viaje"/>
      <sheetName val="anexo materiales y dotaciones"/>
      <sheetName val="anexo impresos y publicaciones"/>
      <sheetName val="NOMINA HONORARIOS 2013"/>
      <sheetName val="Participación x dosis"/>
      <sheetName val="SIMULACROS"/>
      <sheetName val="Chapetas ZL"/>
      <sheetName val="Biológico"/>
      <sheetName val="Biológico Z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nexo 1 Honorarios Contratistas"/>
    </sheetNames>
    <sheetDataSet>
      <sheetData sheetId="0">
        <row r="6">
          <cell r="M6">
            <v>2939752</v>
          </cell>
        </row>
        <row r="18">
          <cell r="M18">
            <v>7022000</v>
          </cell>
        </row>
        <row r="22">
          <cell r="M22">
            <v>40000000</v>
          </cell>
        </row>
        <row r="26">
          <cell r="M26">
            <v>2404012000</v>
          </cell>
        </row>
        <row r="27">
          <cell r="M27">
            <v>14670579</v>
          </cell>
        </row>
        <row r="28">
          <cell r="M28">
            <v>13149719</v>
          </cell>
        </row>
        <row r="30">
          <cell r="M30">
            <v>18526369</v>
          </cell>
        </row>
        <row r="31">
          <cell r="M31">
            <v>73774081</v>
          </cell>
        </row>
        <row r="32">
          <cell r="M32">
            <v>30000000</v>
          </cell>
        </row>
        <row r="34">
          <cell r="M34">
            <v>65481404.525066242</v>
          </cell>
        </row>
        <row r="35">
          <cell r="M35">
            <v>100000000</v>
          </cell>
        </row>
        <row r="36">
          <cell r="M36">
            <v>80000000</v>
          </cell>
        </row>
        <row r="39">
          <cell r="M39">
            <v>19405000</v>
          </cell>
        </row>
        <row r="40">
          <cell r="M40">
            <v>12207249</v>
          </cell>
        </row>
        <row r="41">
          <cell r="M41">
            <v>8000000</v>
          </cell>
        </row>
        <row r="42">
          <cell r="M42">
            <v>8000000</v>
          </cell>
        </row>
        <row r="44">
          <cell r="M44">
            <v>28476500</v>
          </cell>
        </row>
        <row r="47">
          <cell r="M47">
            <v>3000000</v>
          </cell>
        </row>
        <row r="49">
          <cell r="M49">
            <v>75000000</v>
          </cell>
        </row>
        <row r="52">
          <cell r="M52">
            <v>3000000</v>
          </cell>
        </row>
        <row r="53">
          <cell r="M53">
            <v>48828998</v>
          </cell>
        </row>
        <row r="54">
          <cell r="M54">
            <v>10000000</v>
          </cell>
        </row>
        <row r="55">
          <cell r="M55">
            <v>16000000</v>
          </cell>
        </row>
        <row r="56">
          <cell r="M56">
            <v>36000000</v>
          </cell>
        </row>
        <row r="57">
          <cell r="M57">
            <v>49126897</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PPC II trimestre 2018"/>
      <sheetName val="Ppto Sanidad II trimestre 2018"/>
    </sheetNames>
    <sheetDataSet>
      <sheetData sheetId="0" refreshError="1">
        <row r="9">
          <cell r="F9">
            <v>3122700</v>
          </cell>
        </row>
        <row r="46">
          <cell r="F46">
            <v>526300000</v>
          </cell>
        </row>
        <row r="56">
          <cell r="F56">
            <v>110000000</v>
          </cell>
        </row>
        <row r="60">
          <cell r="F60">
            <v>52500000</v>
          </cell>
        </row>
        <row r="65">
          <cell r="F65">
            <v>240210000</v>
          </cell>
        </row>
        <row r="68">
          <cell r="F68">
            <v>1986000000</v>
          </cell>
        </row>
        <row r="71">
          <cell r="F71">
            <v>3600000</v>
          </cell>
        </row>
        <row r="75">
          <cell r="F75">
            <v>50493460</v>
          </cell>
        </row>
        <row r="89">
          <cell r="F89">
            <v>60000000</v>
          </cell>
        </row>
        <row r="94">
          <cell r="F94">
            <v>225000000</v>
          </cell>
        </row>
        <row r="98">
          <cell r="F98">
            <v>77064675</v>
          </cell>
        </row>
        <row r="105">
          <cell r="F105">
            <v>139000000</v>
          </cell>
        </row>
        <row r="106">
          <cell r="F106">
            <v>44000000</v>
          </cell>
        </row>
      </sheetData>
      <sheetData sheetId="1" refreshError="1">
        <row r="7">
          <cell r="F7">
            <v>2940000</v>
          </cell>
        </row>
        <row r="10">
          <cell r="F10">
            <v>13600000</v>
          </cell>
        </row>
        <row r="15">
          <cell r="F15">
            <v>30000000</v>
          </cell>
        </row>
        <row r="20">
          <cell r="F20">
            <v>542775185</v>
          </cell>
        </row>
        <row r="36">
          <cell r="F36">
            <v>6463989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17 vs 2018"/>
      <sheetName val="Presupuesto desagregado 2018"/>
      <sheetName val="Suministros clínic y dotaciones"/>
      <sheetName val="Contratación personal"/>
      <sheetName val="Diagnóstico rutinario"/>
      <sheetName val="Autoridades y puestos control"/>
      <sheetName val="Administración bases de datos"/>
    </sheetNames>
    <sheetDataSet>
      <sheetData sheetId="0">
        <row r="37">
          <cell r="B37" t="str">
            <v>Diagnóstico Rutinario</v>
          </cell>
        </row>
        <row r="40">
          <cell r="B40" t="str">
            <v>Trabajo con autoridades y puestos de control</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exo1"/>
      <sheetName val="Anexo2"/>
    </sheetNames>
    <sheetDataSet>
      <sheetData sheetId="0">
        <row r="7">
          <cell r="G7">
            <v>1180274</v>
          </cell>
        </row>
        <row r="22">
          <cell r="G22">
            <v>86127173.740099996</v>
          </cell>
        </row>
        <row r="24">
          <cell r="G24">
            <v>9810676</v>
          </cell>
        </row>
        <row r="26">
          <cell r="G26">
            <v>187226800.38817203</v>
          </cell>
        </row>
        <row r="27">
          <cell r="G27">
            <v>106668730</v>
          </cell>
        </row>
        <row r="29">
          <cell r="G29">
            <v>4287312</v>
          </cell>
        </row>
        <row r="30">
          <cell r="G30">
            <v>9957677</v>
          </cell>
        </row>
        <row r="32">
          <cell r="G32">
            <v>16739545</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ón ene-mar 2018"/>
    </sheetNames>
    <sheetDataSet>
      <sheetData sheetId="0" refreshError="1">
        <row r="2">
          <cell r="J2">
            <v>1865236</v>
          </cell>
        </row>
        <row r="8">
          <cell r="J8">
            <v>153000000</v>
          </cell>
        </row>
        <row r="9">
          <cell r="J9">
            <v>4400000</v>
          </cell>
        </row>
        <row r="10">
          <cell r="J10">
            <v>18000000</v>
          </cell>
        </row>
        <row r="11">
          <cell r="J11">
            <v>10000000</v>
          </cell>
        </row>
        <row r="12">
          <cell r="J12">
            <v>14000000</v>
          </cell>
        </row>
        <row r="13">
          <cell r="J13">
            <v>18000000</v>
          </cell>
        </row>
        <row r="14">
          <cell r="J14">
            <v>41000000</v>
          </cell>
        </row>
        <row r="15">
          <cell r="J15">
            <v>25000000</v>
          </cell>
        </row>
        <row r="16">
          <cell r="J16">
            <v>36000000</v>
          </cell>
        </row>
        <row r="17">
          <cell r="J17">
            <v>13330000</v>
          </cell>
        </row>
        <row r="18">
          <cell r="J18">
            <v>65000000</v>
          </cell>
        </row>
        <row r="19">
          <cell r="J19">
            <v>5000000</v>
          </cell>
        </row>
        <row r="20">
          <cell r="J20">
            <v>6300000</v>
          </cell>
        </row>
        <row r="21">
          <cell r="J21">
            <v>7500000</v>
          </cell>
        </row>
        <row r="22">
          <cell r="J22">
            <v>30000000</v>
          </cell>
        </row>
        <row r="23">
          <cell r="J23">
            <v>15000000</v>
          </cell>
        </row>
        <row r="24">
          <cell r="J24">
            <v>17000000</v>
          </cell>
        </row>
        <row r="25">
          <cell r="J25">
            <v>17000000</v>
          </cell>
        </row>
        <row r="26">
          <cell r="J26">
            <v>42000000</v>
          </cell>
        </row>
        <row r="27">
          <cell r="J27">
            <v>11000000</v>
          </cell>
        </row>
        <row r="28">
          <cell r="J28">
            <v>5000000</v>
          </cell>
        </row>
        <row r="29">
          <cell r="J29">
            <v>112000000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nexos"/>
      <sheetName val="ingresos"/>
    </sheetNames>
    <sheetDataSet>
      <sheetData sheetId="0">
        <row r="23">
          <cell r="A23" t="str">
            <v>Gira técnica</v>
          </cell>
        </row>
        <row r="24">
          <cell r="A24" t="str">
            <v>Capacitación en desposte y transformación de la carne de cerdo</v>
          </cell>
        </row>
        <row r="26">
          <cell r="A26" t="str">
            <v>Curso virtual en tecnologías ambientales para porcicultura</v>
          </cell>
        </row>
        <row r="27">
          <cell r="A27" t="str">
            <v>Curso virtual innovación en productos</v>
          </cell>
        </row>
        <row r="28">
          <cell r="A28" t="str">
            <v>Campus virtual</v>
          </cell>
        </row>
        <row r="30">
          <cell r="A30" t="str">
            <v>Encuentros regionales porcicolas</v>
          </cell>
        </row>
        <row r="32">
          <cell r="A32" t="str">
            <v>Curso de operarios</v>
          </cell>
        </row>
        <row r="34">
          <cell r="A34" t="str">
            <v>Buenas practicas en el manejo de medicamentos veterinarios</v>
          </cell>
        </row>
        <row r="40">
          <cell r="A40" t="str">
            <v>Diagnóstico rutinario</v>
          </cell>
        </row>
        <row r="41">
          <cell r="A41" t="str">
            <v>Diagnóstico integrado</v>
          </cell>
        </row>
        <row r="42">
          <cell r="A42" t="str">
            <v>Diagnóstico PRRS (incluido IFA)</v>
          </cell>
        </row>
        <row r="43">
          <cell r="A43" t="str">
            <v>Compras de insumos</v>
          </cell>
        </row>
        <row r="44">
          <cell r="A44" t="str">
            <v>Diagnóstico importados</v>
          </cell>
        </row>
        <row r="47">
          <cell r="A47" t="str">
            <v>Rutinario</v>
          </cell>
        </row>
        <row r="48">
          <cell r="A48" t="str">
            <v>Combos</v>
          </cell>
        </row>
        <row r="49">
          <cell r="A49" t="str">
            <v>PRRS</v>
          </cell>
        </row>
        <row r="50">
          <cell r="A50" t="str">
            <v>Pruebas interlaboratorios</v>
          </cell>
        </row>
        <row r="51">
          <cell r="A51" t="str">
            <v>Promoción al diagnóstico</v>
          </cell>
        </row>
        <row r="52">
          <cell r="A52" t="str">
            <v>Inocuidad y ambiente</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18 vs 2017"/>
      <sheetName val="Presupuesto desagregado 2018"/>
      <sheetName val="PRRS"/>
    </sheetNames>
    <sheetDataSet>
      <sheetData sheetId="0">
        <row r="16">
          <cell r="B16" t="str">
            <v>Control y monitoreo de PRRS</v>
          </cell>
        </row>
        <row r="17">
          <cell r="B17" t="str">
            <v>Vigilancia de Influenza Porcina</v>
          </cell>
        </row>
        <row r="18">
          <cell r="B18" t="str">
            <v>Programa Nacional de Sanidad Porcina</v>
          </cell>
        </row>
        <row r="19">
          <cell r="B19" t="str">
            <v>Divulgación sanitaria</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67"/>
  <sheetViews>
    <sheetView tabSelected="1" topLeftCell="A2" zoomScale="85" zoomScaleNormal="85" zoomScaleSheetLayoutView="85" workbookViewId="0">
      <pane xSplit="1" ySplit="5" topLeftCell="B7" activePane="bottomRight" state="frozen"/>
      <selection activeCell="A2" sqref="A2"/>
      <selection pane="topRight" activeCell="B2" sqref="B2"/>
      <selection pane="bottomLeft" activeCell="A7" sqref="A7"/>
      <selection pane="bottomRight" activeCell="L7" sqref="L7"/>
    </sheetView>
  </sheetViews>
  <sheetFormatPr baseColWidth="10" defaultRowHeight="12.75" outlineLevelRow="2" x14ac:dyDescent="0.2"/>
  <cols>
    <col min="1" max="1" width="57.7109375" style="2" customWidth="1"/>
    <col min="2" max="2" width="14.5703125" style="2" customWidth="1"/>
    <col min="3" max="3" width="14.7109375" style="2" customWidth="1"/>
    <col min="4" max="4" width="19.85546875" style="2" customWidth="1"/>
    <col min="5" max="5" width="14.42578125" style="2" customWidth="1"/>
    <col min="6" max="6" width="15.42578125" style="2" customWidth="1"/>
    <col min="7" max="7" width="17.5703125" style="2" customWidth="1"/>
    <col min="8" max="8" width="16.140625" style="2" customWidth="1"/>
    <col min="9" max="9" width="21.42578125" style="2" customWidth="1"/>
    <col min="10" max="12" width="19.7109375" style="2" customWidth="1"/>
    <col min="13" max="13" width="9.42578125" style="2" customWidth="1"/>
    <col min="14" max="16384" width="11.42578125" style="2"/>
  </cols>
  <sheetData>
    <row r="1" spans="1:13" ht="15" x14ac:dyDescent="0.25">
      <c r="A1" s="1" t="s">
        <v>0</v>
      </c>
      <c r="B1" s="1"/>
      <c r="C1" s="1"/>
      <c r="D1" s="1"/>
      <c r="E1" s="1"/>
      <c r="F1" s="1"/>
      <c r="G1" s="1"/>
      <c r="H1" s="1"/>
      <c r="I1" s="1"/>
      <c r="J1" s="1"/>
      <c r="K1" s="1"/>
      <c r="L1" s="1"/>
      <c r="M1" s="1"/>
    </row>
    <row r="2" spans="1:13" ht="15" x14ac:dyDescent="0.25">
      <c r="A2" s="3" t="s">
        <v>1</v>
      </c>
      <c r="B2" s="3"/>
      <c r="C2" s="3"/>
      <c r="D2" s="3"/>
      <c r="E2" s="3"/>
      <c r="F2" s="3"/>
      <c r="G2" s="3"/>
      <c r="H2" s="3"/>
      <c r="I2" s="3"/>
      <c r="J2" s="3"/>
      <c r="K2" s="3"/>
      <c r="L2" s="3"/>
      <c r="M2" s="3"/>
    </row>
    <row r="3" spans="1:13" ht="15" x14ac:dyDescent="0.25">
      <c r="A3" s="3" t="s">
        <v>2</v>
      </c>
      <c r="B3" s="3"/>
      <c r="C3" s="3"/>
      <c r="D3" s="3"/>
      <c r="E3" s="3"/>
      <c r="F3" s="3"/>
      <c r="G3" s="3"/>
      <c r="H3" s="3"/>
      <c r="I3" s="3"/>
      <c r="J3" s="3"/>
      <c r="K3" s="3"/>
      <c r="L3" s="3"/>
      <c r="M3" s="3"/>
    </row>
    <row r="4" spans="1:13" ht="15" x14ac:dyDescent="0.25">
      <c r="A4" s="3" t="s">
        <v>3</v>
      </c>
      <c r="B4" s="3"/>
      <c r="C4" s="3"/>
      <c r="D4" s="3"/>
      <c r="E4" s="3"/>
      <c r="F4" s="3"/>
      <c r="G4" s="3"/>
      <c r="H4" s="3"/>
      <c r="I4" s="3"/>
      <c r="J4" s="3"/>
      <c r="K4" s="3"/>
      <c r="L4" s="3"/>
      <c r="M4" s="3"/>
    </row>
    <row r="5" spans="1:13" ht="15.75" thickBot="1" x14ac:dyDescent="0.3">
      <c r="A5" s="4"/>
      <c r="B5" s="5"/>
      <c r="C5" s="6"/>
      <c r="D5" s="6"/>
      <c r="E5" s="7"/>
      <c r="F5" s="7"/>
      <c r="G5" s="7"/>
      <c r="H5" s="8"/>
      <c r="I5" s="7"/>
      <c r="J5" s="9"/>
      <c r="K5" s="9"/>
      <c r="L5" s="9"/>
      <c r="M5" s="9"/>
    </row>
    <row r="6" spans="1:13" ht="73.5" customHeight="1" thickTop="1" x14ac:dyDescent="0.2">
      <c r="A6" s="10" t="s">
        <v>4</v>
      </c>
      <c r="B6" s="11" t="s">
        <v>5</v>
      </c>
      <c r="C6" s="11" t="s">
        <v>6</v>
      </c>
      <c r="D6" s="11" t="s">
        <v>7</v>
      </c>
      <c r="E6" s="11" t="s">
        <v>8</v>
      </c>
      <c r="F6" s="11" t="s">
        <v>9</v>
      </c>
      <c r="G6" s="11" t="s">
        <v>10</v>
      </c>
      <c r="H6" s="11" t="s">
        <v>11</v>
      </c>
      <c r="I6" s="11" t="s">
        <v>12</v>
      </c>
      <c r="J6" s="11" t="s">
        <v>13</v>
      </c>
      <c r="K6" s="11" t="s">
        <v>14</v>
      </c>
      <c r="L6" s="11" t="s">
        <v>15</v>
      </c>
      <c r="M6" s="12" t="s">
        <v>16</v>
      </c>
    </row>
    <row r="7" spans="1:13" ht="15" x14ac:dyDescent="0.25">
      <c r="A7" s="13" t="s">
        <v>17</v>
      </c>
      <c r="B7" s="14"/>
      <c r="C7" s="14"/>
      <c r="D7" s="14"/>
      <c r="E7" s="14"/>
      <c r="F7" s="14"/>
      <c r="G7" s="14"/>
      <c r="H7" s="14"/>
      <c r="I7" s="14"/>
      <c r="J7" s="14"/>
      <c r="K7" s="14"/>
      <c r="L7" s="14"/>
      <c r="M7" s="15"/>
    </row>
    <row r="8" spans="1:13" ht="15" x14ac:dyDescent="0.25">
      <c r="A8" s="16" t="s">
        <v>18</v>
      </c>
      <c r="B8" s="17">
        <f>SUM(B9:B18)</f>
        <v>380758184.80192941</v>
      </c>
      <c r="C8" s="17">
        <f t="shared" ref="C8:J8" si="0">SUM(C9:C18)</f>
        <v>129546737.1741253</v>
      </c>
      <c r="D8" s="17">
        <f t="shared" si="0"/>
        <v>110104032.01499574</v>
      </c>
      <c r="E8" s="17">
        <f>SUM(E9:E18)</f>
        <v>18158773.489600867</v>
      </c>
      <c r="F8" s="17">
        <f t="shared" si="0"/>
        <v>133146284.92648329</v>
      </c>
      <c r="G8" s="17">
        <f>SUM(G9:G18)</f>
        <v>376443899.13771629</v>
      </c>
      <c r="H8" s="17">
        <f>SUM(H9:H18)</f>
        <v>1148157911.5448506</v>
      </c>
      <c r="I8" s="17">
        <f>SUM(I9:I18)</f>
        <v>100814683.68108274</v>
      </c>
      <c r="J8" s="17">
        <f t="shared" si="0"/>
        <v>1248972595.2259336</v>
      </c>
      <c r="K8" s="17">
        <f>SUM(K9:K18)</f>
        <v>1206777836</v>
      </c>
      <c r="L8" s="17">
        <f>+K8-J8</f>
        <v>-42194759.225933552</v>
      </c>
      <c r="M8" s="18">
        <f t="shared" ref="M8:M19" si="1">+K8/J8</f>
        <v>0.96621642509433869</v>
      </c>
    </row>
    <row r="9" spans="1:13" ht="14.25" x14ac:dyDescent="0.2">
      <c r="A9" s="19" t="s">
        <v>19</v>
      </c>
      <c r="B9" s="20">
        <f>+'[1]Nómina y honorarios 2018'!K22</f>
        <v>243705398.03580001</v>
      </c>
      <c r="C9" s="20">
        <f>+'[1]Nómina y honorarios 2018'!K55</f>
        <v>90512362.955999985</v>
      </c>
      <c r="D9" s="20">
        <f>+'[1]Nómina y honorarios 2018'!K66</f>
        <v>77710004.903999999</v>
      </c>
      <c r="E9" s="20">
        <f>+'[1]Nómina y honorarios 2018'!K75</f>
        <v>11809384.783499997</v>
      </c>
      <c r="F9" s="20">
        <f>+'[1]Nómina y honorarios 2018'!K43</f>
        <v>92873413.680599988</v>
      </c>
      <c r="G9" s="20">
        <f>+'[1]Nómina y honorarios 2018'!K80</f>
        <v>251468521.39290002</v>
      </c>
      <c r="H9" s="21">
        <f t="shared" ref="H9:H19" si="2">+B9+C9+D9+G9+E9+F9</f>
        <v>768079085.75279999</v>
      </c>
      <c r="I9" s="20">
        <f>+'[1]Nómina y honorarios 2018'!K13</f>
        <v>42860660.732399993</v>
      </c>
      <c r="J9" s="20">
        <f t="shared" ref="J9:J18" si="3">+H9+I9</f>
        <v>810939746.48519993</v>
      </c>
      <c r="K9" s="20">
        <v>780406345</v>
      </c>
      <c r="L9" s="20">
        <f t="shared" ref="L9:L19" si="4">+K9-J9</f>
        <v>-30533401.485199928</v>
      </c>
      <c r="M9" s="22">
        <f t="shared" si="1"/>
        <v>0.96234812559436289</v>
      </c>
    </row>
    <row r="10" spans="1:13" ht="14.25" x14ac:dyDescent="0.2">
      <c r="A10" s="19" t="s">
        <v>20</v>
      </c>
      <c r="B10" s="20">
        <f>+'[1]Nómina y honorarios 2018'!O22</f>
        <v>10154391.584825</v>
      </c>
      <c r="C10" s="20">
        <f>+'[1]Nómina y honorarios 2018'!O55</f>
        <v>3771348.4564999999</v>
      </c>
      <c r="D10" s="20">
        <f>+'[1]Nómina y honorarios 2018'!O66</f>
        <v>3237916.8709999998</v>
      </c>
      <c r="E10" s="20">
        <f>+'[1]Nómina y honorarios 2018'!O75</f>
        <v>492057.69931249996</v>
      </c>
      <c r="F10" s="20">
        <f>+'[1]Nómina y honorarios 2018'!O43</f>
        <v>3869725.5700249998</v>
      </c>
      <c r="G10" s="20">
        <f>+'[1]Nómina y honorarios 2018'!O80</f>
        <v>10477855.058037497</v>
      </c>
      <c r="H10" s="21">
        <f t="shared" si="2"/>
        <v>32003295.239699997</v>
      </c>
      <c r="I10" s="20">
        <f>+'[1]Nómina y honorarios 2018'!O13</f>
        <v>1396825.8038999997</v>
      </c>
      <c r="J10" s="20">
        <f t="shared" si="3"/>
        <v>33400121.043599997</v>
      </c>
      <c r="K10" s="20">
        <v>32769090</v>
      </c>
      <c r="L10" s="20">
        <f t="shared" si="4"/>
        <v>-631031.04359999672</v>
      </c>
      <c r="M10" s="22">
        <f t="shared" si="1"/>
        <v>0.98110692345167672</v>
      </c>
    </row>
    <row r="11" spans="1:13" ht="14.25" x14ac:dyDescent="0.2">
      <c r="A11" s="19" t="s">
        <v>21</v>
      </c>
      <c r="B11" s="20">
        <f>+'[1]Nómina y honorarios 2018'!N22</f>
        <v>17640292.175499998</v>
      </c>
      <c r="C11" s="20">
        <f>+'[1]Nómina y honorarios 2018'!N55</f>
        <v>4874205.91885</v>
      </c>
      <c r="D11" s="20">
        <f>+'[1]Nómina y honorarios 2018'!N66</f>
        <v>3807342.7478499999</v>
      </c>
      <c r="E11" s="20">
        <f>+'[1]Nómina y honorarios 2018'!N75</f>
        <v>984115.39862499991</v>
      </c>
      <c r="F11" s="20">
        <f>+'[1]Nómina y honorarios 2018'!N43</f>
        <v>5070960.1458999999</v>
      </c>
      <c r="G11" s="20">
        <f>+'[1]Nómina y honorarios 2018'!N80</f>
        <v>18287219.121924996</v>
      </c>
      <c r="H11" s="21">
        <f t="shared" si="2"/>
        <v>50664135.50864999</v>
      </c>
      <c r="I11" s="20">
        <f>+'[1]Nómina y honorarios 2018'!N13</f>
        <v>2793651.6077999994</v>
      </c>
      <c r="J11" s="20">
        <f t="shared" si="3"/>
        <v>53457787.116449989</v>
      </c>
      <c r="K11" s="20">
        <v>53181862</v>
      </c>
      <c r="L11" s="20">
        <f t="shared" si="4"/>
        <v>-275925.11644998938</v>
      </c>
      <c r="M11" s="22">
        <f t="shared" si="1"/>
        <v>0.99483844859030679</v>
      </c>
    </row>
    <row r="12" spans="1:13" ht="14.25" x14ac:dyDescent="0.2">
      <c r="A12" s="19" t="s">
        <v>22</v>
      </c>
      <c r="B12" s="23">
        <f>+[2]Agregado!$G$7</f>
        <v>16617179.497799998</v>
      </c>
      <c r="C12" s="23">
        <v>0</v>
      </c>
      <c r="D12" s="23">
        <v>0</v>
      </c>
      <c r="E12" s="20">
        <v>0</v>
      </c>
      <c r="F12" s="21">
        <v>0</v>
      </c>
      <c r="G12" s="21"/>
      <c r="H12" s="21">
        <f t="shared" si="2"/>
        <v>16617179.497799998</v>
      </c>
      <c r="I12" s="20">
        <f>+'[1]Nómina y honorarios 2018'!I121</f>
        <v>39153148.299999997</v>
      </c>
      <c r="J12" s="20">
        <f>+H12+I12</f>
        <v>55770327.797799997</v>
      </c>
      <c r="K12" s="20">
        <v>53622926</v>
      </c>
      <c r="L12" s="20">
        <f t="shared" si="4"/>
        <v>-2147401.797799997</v>
      </c>
      <c r="M12" s="22">
        <f t="shared" si="1"/>
        <v>0.96149562172943326</v>
      </c>
    </row>
    <row r="13" spans="1:13" ht="14.25" x14ac:dyDescent="0.2">
      <c r="A13" s="19" t="s">
        <v>23</v>
      </c>
      <c r="B13" s="20">
        <f>+'[1]Nómina y honorarios 2018'!K110</f>
        <v>940219.98839999991</v>
      </c>
      <c r="C13" s="20">
        <f>+'[1]Nómina y honorarios 2018'!O110</f>
        <v>235054.99709999998</v>
      </c>
      <c r="D13" s="20">
        <f>+'[1]Nómina y honorarios 2018'!Q110</f>
        <v>235054.99709999998</v>
      </c>
      <c r="E13" s="20">
        <f>+'[1]Nómina y honorarios 2018'!I110</f>
        <v>235054.99709999998</v>
      </c>
      <c r="F13" s="20">
        <f>+'[1]Nómina y honorarios 2018'!M110</f>
        <v>235054.99709999998</v>
      </c>
      <c r="G13" s="20">
        <f>+'[1]Nómina y honorarios 2018'!S110</f>
        <v>940219.98839999991</v>
      </c>
      <c r="H13" s="21">
        <f t="shared" si="2"/>
        <v>2820659.9651999995</v>
      </c>
      <c r="I13" s="20"/>
      <c r="J13" s="20">
        <f t="shared" si="3"/>
        <v>2820659.9651999995</v>
      </c>
      <c r="K13" s="20">
        <v>2820660</v>
      </c>
      <c r="L13" s="20">
        <f t="shared" si="4"/>
        <v>3.4800000488758087E-2</v>
      </c>
      <c r="M13" s="22">
        <f t="shared" si="1"/>
        <v>1.0000000123375383</v>
      </c>
    </row>
    <row r="14" spans="1:13" ht="14.25" x14ac:dyDescent="0.2">
      <c r="A14" s="19" t="s">
        <v>24</v>
      </c>
      <c r="B14" s="20">
        <f>+'[1]Nómina y honorarios 2018'!L22</f>
        <v>17640292.175499998</v>
      </c>
      <c r="C14" s="20">
        <f>+'[1]Nómina y honorarios 2018'!L55</f>
        <v>4874205.91885</v>
      </c>
      <c r="D14" s="20">
        <f>+'[1]Nómina y honorarios 2018'!L66</f>
        <v>3807342.7478499999</v>
      </c>
      <c r="E14" s="20">
        <f>+'[1]Nómina y honorarios 2018'!L75</f>
        <v>984115.39862499991</v>
      </c>
      <c r="F14" s="20">
        <f>+'[1]Nómina y honorarios 2018'!L43</f>
        <v>5070960.1458999999</v>
      </c>
      <c r="G14" s="20">
        <f>+'[1]Nómina y honorarios 2018'!L80</f>
        <v>18287219.121924996</v>
      </c>
      <c r="H14" s="21">
        <f t="shared" si="2"/>
        <v>50664135.50864999</v>
      </c>
      <c r="I14" s="20">
        <f>+'[1]Nómina y honorarios 2018'!L13</f>
        <v>2793651.6077999994</v>
      </c>
      <c r="J14" s="20">
        <f t="shared" si="3"/>
        <v>53457787.116449989</v>
      </c>
      <c r="K14" s="20">
        <v>53181862</v>
      </c>
      <c r="L14" s="20">
        <f t="shared" si="4"/>
        <v>-275925.11644998938</v>
      </c>
      <c r="M14" s="22">
        <f t="shared" si="1"/>
        <v>0.99483844859030679</v>
      </c>
    </row>
    <row r="15" spans="1:13" ht="14.25" x14ac:dyDescent="0.2">
      <c r="A15" s="19" t="s">
        <v>25</v>
      </c>
      <c r="B15" s="20">
        <f>+'[1]Nómina y honorarios 2018'!M22</f>
        <v>2116835.0610599997</v>
      </c>
      <c r="C15" s="20">
        <f>+'[1]Nómina y honorarios 2018'!M55</f>
        <v>584904.71026199986</v>
      </c>
      <c r="D15" s="20">
        <f>+'[1]Nómina y honorarios 2018'!M66</f>
        <v>456881.1297419999</v>
      </c>
      <c r="E15" s="20">
        <f>+'[1]Nómina y honorarios 2018'!M75</f>
        <v>118093.84783499998</v>
      </c>
      <c r="F15" s="20">
        <f>+'[1]Nómina y honorarios 2018'!M43</f>
        <v>608515.21750799986</v>
      </c>
      <c r="G15" s="20">
        <f>+'[1]Nómina y honorarios 2018'!M80</f>
        <v>2194466.2946309997</v>
      </c>
      <c r="H15" s="21">
        <f t="shared" si="2"/>
        <v>6079696.2610379998</v>
      </c>
      <c r="I15" s="20">
        <f>+'[1]Nómina y honorarios 2018'!M13</f>
        <v>335238.19293599995</v>
      </c>
      <c r="J15" s="20">
        <f t="shared" si="3"/>
        <v>6414934.4539739992</v>
      </c>
      <c r="K15" s="20">
        <v>6313509</v>
      </c>
      <c r="L15" s="20">
        <f t="shared" si="4"/>
        <v>-101425.45397399925</v>
      </c>
      <c r="M15" s="22">
        <f t="shared" si="1"/>
        <v>0.98418916752747687</v>
      </c>
    </row>
    <row r="16" spans="1:13" ht="14.25" x14ac:dyDescent="0.2">
      <c r="A16" s="19" t="s">
        <v>26</v>
      </c>
      <c r="B16" s="20">
        <f>+'[1]Nómina y honorarios 2018'!S22</f>
        <v>49570807.919185907</v>
      </c>
      <c r="C16" s="20">
        <f>+'[1]Nómina y honorarios 2018'!S55</f>
        <v>16952877.700365551</v>
      </c>
      <c r="D16" s="20">
        <f>+'[1]Nómina y honorarios 2018'!S66</f>
        <v>14336738.474247996</v>
      </c>
      <c r="E16" s="20">
        <f>+'[1]Nómina y honorarios 2018'!S75</f>
        <v>2427430.2653873698</v>
      </c>
      <c r="F16" s="20">
        <f>+'[1]Nómina y honorarios 2018'!S43</f>
        <v>17449217.783690963</v>
      </c>
      <c r="G16" s="20">
        <f>+'[1]Nómina y honorarios 2018'!S80</f>
        <v>51670369.953757636</v>
      </c>
      <c r="H16" s="21">
        <f t="shared" si="2"/>
        <v>152407442.0966354</v>
      </c>
      <c r="I16" s="20">
        <f>+'[1]Nómina y honorarios 2018'!S13</f>
        <v>8263220.7840611273</v>
      </c>
      <c r="J16" s="20">
        <f t="shared" si="3"/>
        <v>160670662.88069654</v>
      </c>
      <c r="K16" s="20">
        <v>157376382</v>
      </c>
      <c r="L16" s="20">
        <f t="shared" si="4"/>
        <v>-3294280.8806965351</v>
      </c>
      <c r="M16" s="22">
        <f t="shared" si="1"/>
        <v>0.97949668706388138</v>
      </c>
    </row>
    <row r="17" spans="1:13" ht="14.25" x14ac:dyDescent="0.2">
      <c r="A17" s="19" t="s">
        <v>27</v>
      </c>
      <c r="B17" s="20">
        <f>+'[1]Nómina y honorarios 2018'!U22</f>
        <v>9943452.6061593574</v>
      </c>
      <c r="C17" s="20">
        <f>+'[1]Nómina y honorarios 2018'!U55</f>
        <v>3440789.5627545593</v>
      </c>
      <c r="D17" s="20">
        <f>+'[1]Nómina y honorarios 2018'!U66</f>
        <v>2894555.6192025598</v>
      </c>
      <c r="E17" s="20">
        <f>+'[1]Nómina y honorarios 2018'!U75</f>
        <v>492676.04409599997</v>
      </c>
      <c r="F17" s="20">
        <f>+'[1]Nómina y honorarios 2018'!U43</f>
        <v>3541527.7270041592</v>
      </c>
      <c r="G17" s="20">
        <f>+'[1]Nómina y honorarios 2018'!U80</f>
        <v>10274679.202728959</v>
      </c>
      <c r="H17" s="21">
        <f t="shared" si="2"/>
        <v>30587680.761945594</v>
      </c>
      <c r="I17" s="20">
        <f>+'[1]Nómina y honorarios 2018'!U13</f>
        <v>1430349.6231936</v>
      </c>
      <c r="J17" s="20">
        <f t="shared" si="3"/>
        <v>32018030.385139193</v>
      </c>
      <c r="K17" s="20">
        <v>29818600</v>
      </c>
      <c r="L17" s="20">
        <f t="shared" si="4"/>
        <v>-2199430.3851391934</v>
      </c>
      <c r="M17" s="22">
        <f t="shared" si="1"/>
        <v>0.93130650578181617</v>
      </c>
    </row>
    <row r="18" spans="1:13" ht="14.25" x14ac:dyDescent="0.2">
      <c r="A18" s="19" t="s">
        <v>28</v>
      </c>
      <c r="B18" s="20">
        <f>+'[1]Nómina y honorarios 2018'!X22</f>
        <v>12429315.757699197</v>
      </c>
      <c r="C18" s="20">
        <f>+'[1]Nómina y honorarios 2018'!X55</f>
        <v>4300986.9534431994</v>
      </c>
      <c r="D18" s="20">
        <f>+'[1]Nómina y honorarios 2018'!X66</f>
        <v>3618194.5240031998</v>
      </c>
      <c r="E18" s="20">
        <f>+'[1]Nómina y honorarios 2018'!X75</f>
        <v>615845.05511999992</v>
      </c>
      <c r="F18" s="20">
        <f>+'[1]Nómina y honorarios 2018'!X43</f>
        <v>4426909.6587551991</v>
      </c>
      <c r="G18" s="20">
        <f>+'[1]Nómina y honorarios 2018'!X80</f>
        <v>12843349.003411196</v>
      </c>
      <c r="H18" s="21">
        <f t="shared" si="2"/>
        <v>38234600.952431992</v>
      </c>
      <c r="I18" s="20">
        <f>+'[1]Nómina y honorarios 2018'!X13</f>
        <v>1787937.0289919998</v>
      </c>
      <c r="J18" s="20">
        <f t="shared" si="3"/>
        <v>40022537.981423989</v>
      </c>
      <c r="K18" s="20">
        <v>37286600</v>
      </c>
      <c r="L18" s="20">
        <f t="shared" si="4"/>
        <v>-2735937.9814239889</v>
      </c>
      <c r="M18" s="22">
        <f t="shared" si="1"/>
        <v>0.9316400678364315</v>
      </c>
    </row>
    <row r="19" spans="1:13" ht="15" x14ac:dyDescent="0.25">
      <c r="A19" s="24" t="s">
        <v>29</v>
      </c>
      <c r="B19" s="25">
        <f t="shared" ref="B19:G19" si="5">SUM(B9:B18)</f>
        <v>380758184.80192941</v>
      </c>
      <c r="C19" s="25">
        <f t="shared" si="5"/>
        <v>129546737.1741253</v>
      </c>
      <c r="D19" s="25">
        <f t="shared" si="5"/>
        <v>110104032.01499574</v>
      </c>
      <c r="E19" s="25">
        <f t="shared" si="5"/>
        <v>18158773.489600867</v>
      </c>
      <c r="F19" s="25">
        <f t="shared" si="5"/>
        <v>133146284.92648329</v>
      </c>
      <c r="G19" s="25">
        <f t="shared" si="5"/>
        <v>376443899.13771629</v>
      </c>
      <c r="H19" s="25">
        <f t="shared" si="2"/>
        <v>1148157911.5448511</v>
      </c>
      <c r="I19" s="25">
        <f>SUM(I9:I18)</f>
        <v>100814683.68108274</v>
      </c>
      <c r="J19" s="25">
        <f>SUM(J9:J18)</f>
        <v>1248972595.2259336</v>
      </c>
      <c r="K19" s="25">
        <f>SUM(K9:K18)</f>
        <v>1206777836</v>
      </c>
      <c r="L19" s="25">
        <f t="shared" si="4"/>
        <v>-42194759.225933552</v>
      </c>
      <c r="M19" s="18">
        <f t="shared" si="1"/>
        <v>0.96621642509433869</v>
      </c>
    </row>
    <row r="20" spans="1:13" ht="15" x14ac:dyDescent="0.25">
      <c r="A20" s="13" t="s">
        <v>30</v>
      </c>
      <c r="B20" s="20"/>
      <c r="C20" s="20"/>
      <c r="D20" s="20"/>
      <c r="E20" s="20"/>
      <c r="F20" s="20"/>
      <c r="G20" s="20"/>
      <c r="H20" s="20"/>
      <c r="I20" s="25"/>
      <c r="J20" s="20"/>
      <c r="K20" s="20"/>
      <c r="L20" s="20"/>
      <c r="M20" s="18"/>
    </row>
    <row r="21" spans="1:13" ht="14.25" x14ac:dyDescent="0.2">
      <c r="A21" s="26" t="s">
        <v>31</v>
      </c>
      <c r="B21" s="27">
        <f>+[1]Funcionamiento!I10</f>
        <v>31898202</v>
      </c>
      <c r="C21" s="27">
        <f>+[1]Funcionamiento!J10</f>
        <v>0</v>
      </c>
      <c r="D21" s="27">
        <v>0</v>
      </c>
      <c r="E21" s="27">
        <v>0</v>
      </c>
      <c r="F21" s="27">
        <f>+[1]Funcionamiento!L10</f>
        <v>0</v>
      </c>
      <c r="G21" s="27">
        <f>+[1]Funcionamiento!G10</f>
        <v>35000000</v>
      </c>
      <c r="H21" s="27">
        <f t="shared" ref="H21:H35" si="6">+B21+C21+D21+G21+E21+F21</f>
        <v>66898202</v>
      </c>
      <c r="I21" s="20">
        <f>+[1]Funcionamiento!F10</f>
        <v>34599146.220275</v>
      </c>
      <c r="J21" s="20">
        <f>+I21+H21</f>
        <v>101497348.220275</v>
      </c>
      <c r="K21" s="20">
        <v>93066118</v>
      </c>
      <c r="L21" s="20">
        <f t="shared" ref="L21:L37" si="7">+K21-J21</f>
        <v>-8431230.2202749997</v>
      </c>
      <c r="M21" s="22">
        <f t="shared" ref="M21:M33" si="8">+K21/J21</f>
        <v>0.91693152217162277</v>
      </c>
    </row>
    <row r="22" spans="1:13" ht="14.25" x14ac:dyDescent="0.2">
      <c r="A22" s="26" t="s">
        <v>32</v>
      </c>
      <c r="B22" s="20">
        <f>+[1]Funcionamiento!I24</f>
        <v>0</v>
      </c>
      <c r="C22" s="27">
        <f>+[1]Funcionamiento!J24</f>
        <v>1180274</v>
      </c>
      <c r="D22" s="27">
        <v>0</v>
      </c>
      <c r="E22" s="20">
        <f>+[1]Funcionamiento!H24</f>
        <v>0</v>
      </c>
      <c r="F22" s="27">
        <f>+[1]Funcionamiento!L24</f>
        <v>0</v>
      </c>
      <c r="G22" s="20">
        <f>+[1]Funcionamiento!G24</f>
        <v>3122700</v>
      </c>
      <c r="H22" s="27">
        <f t="shared" si="6"/>
        <v>4302974</v>
      </c>
      <c r="I22" s="20">
        <f>+[1]Funcionamiento!F24</f>
        <v>3328231.6901750001</v>
      </c>
      <c r="J22" s="20">
        <f t="shared" ref="J22:J35" si="9">+H22+I22</f>
        <v>7631205.6901750006</v>
      </c>
      <c r="K22" s="20">
        <v>3819473</v>
      </c>
      <c r="L22" s="20">
        <f t="shared" si="7"/>
        <v>-3811732.6901750006</v>
      </c>
      <c r="M22" s="22">
        <f t="shared" si="8"/>
        <v>0.5005071485515693</v>
      </c>
    </row>
    <row r="23" spans="1:13" ht="14.25" x14ac:dyDescent="0.2">
      <c r="A23" s="26" t="s">
        <v>33</v>
      </c>
      <c r="B23" s="27">
        <v>0</v>
      </c>
      <c r="C23" s="27">
        <v>0</v>
      </c>
      <c r="D23" s="27">
        <v>0</v>
      </c>
      <c r="E23" s="27">
        <v>0</v>
      </c>
      <c r="F23" s="27">
        <v>0</v>
      </c>
      <c r="G23" s="27">
        <f>+[1]Funcionamiento!G14</f>
        <v>3434970</v>
      </c>
      <c r="H23" s="27">
        <f t="shared" si="6"/>
        <v>3434970</v>
      </c>
      <c r="I23" s="20">
        <f>+[1]Funcionamiento!F14</f>
        <v>5620183.9354499998</v>
      </c>
      <c r="J23" s="20">
        <f t="shared" si="9"/>
        <v>9055153.9354499988</v>
      </c>
      <c r="K23" s="20">
        <v>7118179</v>
      </c>
      <c r="L23" s="20">
        <f t="shared" si="7"/>
        <v>-1936974.9354499988</v>
      </c>
      <c r="M23" s="22">
        <f t="shared" si="8"/>
        <v>0.78609144038215184</v>
      </c>
    </row>
    <row r="24" spans="1:13" ht="14.25" x14ac:dyDescent="0.2">
      <c r="A24" s="26" t="s">
        <v>34</v>
      </c>
      <c r="B24" s="20">
        <f>+[1]Funcionamiento!I26</f>
        <v>2500000</v>
      </c>
      <c r="C24" s="27">
        <f>+[1]Funcionamiento!J26</f>
        <v>2659658.6666666665</v>
      </c>
      <c r="D24" s="27">
        <f>+[1]Funcionamiento!K26</f>
        <v>1865236</v>
      </c>
      <c r="E24" s="27">
        <f>+[1]Funcionamiento!H26</f>
        <v>2940000</v>
      </c>
      <c r="F24" s="27">
        <f>+[1]Funcionamiento!L26</f>
        <v>2939752</v>
      </c>
      <c r="G24" s="27">
        <f>+[1]Funcionamiento!G26</f>
        <v>63000000</v>
      </c>
      <c r="H24" s="27">
        <f t="shared" si="6"/>
        <v>75904646.666666672</v>
      </c>
      <c r="I24" s="20">
        <f>+[1]Funcionamiento!F26</f>
        <v>7739339.3178999992</v>
      </c>
      <c r="J24" s="20">
        <f t="shared" si="9"/>
        <v>83643985.984566674</v>
      </c>
      <c r="K24" s="20">
        <v>76222977</v>
      </c>
      <c r="L24" s="20">
        <f t="shared" si="7"/>
        <v>-7421008.9845666736</v>
      </c>
      <c r="M24" s="22">
        <f t="shared" si="8"/>
        <v>0.91127863052896663</v>
      </c>
    </row>
    <row r="25" spans="1:13" ht="14.25" x14ac:dyDescent="0.2">
      <c r="A25" s="26" t="s">
        <v>35</v>
      </c>
      <c r="B25" s="27">
        <f>+[1]Funcionamiento!I28</f>
        <v>500000</v>
      </c>
      <c r="C25" s="27">
        <f>+[1]Funcionamiento!J28</f>
        <v>677324.25</v>
      </c>
      <c r="D25" s="27">
        <f>+[1]Funcionamiento!K28</f>
        <v>550746</v>
      </c>
      <c r="E25" s="27">
        <v>0</v>
      </c>
      <c r="F25" s="27">
        <f>+[1]Funcionamiento!L28</f>
        <v>598920</v>
      </c>
      <c r="G25" s="27">
        <f>+[1]Funcionamiento!G28</f>
        <v>710000</v>
      </c>
      <c r="H25" s="27">
        <f t="shared" si="6"/>
        <v>3036990.25</v>
      </c>
      <c r="I25" s="20">
        <f>+[1]Funcionamiento!F28</f>
        <v>1332860.739875</v>
      </c>
      <c r="J25" s="20">
        <f t="shared" si="9"/>
        <v>4369850.989875</v>
      </c>
      <c r="K25" s="20">
        <v>2785800</v>
      </c>
      <c r="L25" s="20">
        <f t="shared" si="7"/>
        <v>-1584050.989875</v>
      </c>
      <c r="M25" s="22">
        <f t="shared" si="8"/>
        <v>0.63750457543168726</v>
      </c>
    </row>
    <row r="26" spans="1:13" ht="14.25" x14ac:dyDescent="0.2">
      <c r="A26" s="19" t="s">
        <v>36</v>
      </c>
      <c r="B26" s="27">
        <v>0</v>
      </c>
      <c r="C26" s="27">
        <v>0</v>
      </c>
      <c r="D26" s="27">
        <v>0</v>
      </c>
      <c r="E26" s="27">
        <v>0</v>
      </c>
      <c r="F26" s="27">
        <v>0</v>
      </c>
      <c r="G26" s="27"/>
      <c r="H26" s="27">
        <f t="shared" si="6"/>
        <v>0</v>
      </c>
      <c r="I26" s="20">
        <f>+[1]Funcionamiento!F8</f>
        <v>5000000</v>
      </c>
      <c r="J26" s="20">
        <f t="shared" si="9"/>
        <v>5000000</v>
      </c>
      <c r="K26" s="20">
        <v>3127395</v>
      </c>
      <c r="L26" s="20">
        <f t="shared" si="7"/>
        <v>-1872605</v>
      </c>
      <c r="M26" s="22">
        <f t="shared" si="8"/>
        <v>0.62547900000000001</v>
      </c>
    </row>
    <row r="27" spans="1:13" ht="14.25" x14ac:dyDescent="0.2">
      <c r="A27" s="26" t="s">
        <v>37</v>
      </c>
      <c r="B27" s="27">
        <f>+[1]Funcionamiento!I16</f>
        <v>2512431</v>
      </c>
      <c r="C27" s="27">
        <f>+[1]Funcionamiento!J16</f>
        <v>2512431</v>
      </c>
      <c r="D27" s="27">
        <f>+[1]Funcionamiento!K16</f>
        <v>2512431</v>
      </c>
      <c r="E27" s="27">
        <f>+[1]Funcionamiento!H16</f>
        <v>2512431</v>
      </c>
      <c r="F27" s="27">
        <f>+[1]Funcionamiento!L16</f>
        <v>2512431</v>
      </c>
      <c r="G27" s="27">
        <f>+[1]Funcionamiento!G16</f>
        <v>2512431</v>
      </c>
      <c r="H27" s="27">
        <f t="shared" si="6"/>
        <v>15074586</v>
      </c>
      <c r="I27" s="20">
        <f>+[1]Funcionamiento!F16</f>
        <v>6325486.8467749991</v>
      </c>
      <c r="J27" s="20">
        <f t="shared" si="9"/>
        <v>21400072.846774999</v>
      </c>
      <c r="K27" s="20">
        <v>17586999</v>
      </c>
      <c r="L27" s="20">
        <f t="shared" si="7"/>
        <v>-3813073.8467749991</v>
      </c>
      <c r="M27" s="22">
        <f t="shared" si="8"/>
        <v>0.82181958565857727</v>
      </c>
    </row>
    <row r="28" spans="1:13" ht="14.25" x14ac:dyDescent="0.2">
      <c r="A28" s="26" t="s">
        <v>38</v>
      </c>
      <c r="B28" s="27">
        <f>+[1]Funcionamiento!I30</f>
        <v>3752604</v>
      </c>
      <c r="C28" s="27">
        <f>+[1]Funcionamiento!J30</f>
        <v>0</v>
      </c>
      <c r="D28" s="27">
        <f>+[1]Funcionamiento!K30</f>
        <v>1376865</v>
      </c>
      <c r="E28" s="27">
        <f>+[1]Funcionamiento!H30</f>
        <v>0</v>
      </c>
      <c r="F28" s="27">
        <v>0</v>
      </c>
      <c r="G28" s="27">
        <f>+[1]Funcionamiento!G30</f>
        <v>10416000</v>
      </c>
      <c r="H28" s="27">
        <f t="shared" si="6"/>
        <v>15545469</v>
      </c>
      <c r="I28" s="20">
        <f>+[1]Funcionamiento!F30</f>
        <v>2509990.8694000002</v>
      </c>
      <c r="J28" s="20">
        <f t="shared" si="9"/>
        <v>18055459.869400002</v>
      </c>
      <c r="K28" s="20">
        <v>14316007</v>
      </c>
      <c r="L28" s="20">
        <f t="shared" si="7"/>
        <v>-3739452.8694000021</v>
      </c>
      <c r="M28" s="22">
        <f t="shared" si="8"/>
        <v>0.79289074349540412</v>
      </c>
    </row>
    <row r="29" spans="1:13" ht="14.25" x14ac:dyDescent="0.2">
      <c r="A29" s="26" t="s">
        <v>39</v>
      </c>
      <c r="B29" s="27">
        <v>0</v>
      </c>
      <c r="C29" s="27">
        <v>0</v>
      </c>
      <c r="D29" s="27">
        <v>0</v>
      </c>
      <c r="E29" s="27">
        <v>0</v>
      </c>
      <c r="F29" s="27">
        <v>0</v>
      </c>
      <c r="G29" s="27">
        <f>+[1]Funcionamiento!G34</f>
        <v>18228000</v>
      </c>
      <c r="H29" s="27">
        <f t="shared" si="6"/>
        <v>18228000</v>
      </c>
      <c r="I29" s="20">
        <f>+[1]Funcionamiento!F34</f>
        <v>31058587.324274998</v>
      </c>
      <c r="J29" s="20">
        <f t="shared" si="9"/>
        <v>49286587.324275002</v>
      </c>
      <c r="K29" s="20">
        <v>36646532</v>
      </c>
      <c r="L29" s="20">
        <f t="shared" si="7"/>
        <v>-12640055.324275002</v>
      </c>
      <c r="M29" s="22">
        <f t="shared" si="8"/>
        <v>0.74353965225647856</v>
      </c>
    </row>
    <row r="30" spans="1:13" ht="14.25" x14ac:dyDescent="0.2">
      <c r="A30" s="26" t="s">
        <v>40</v>
      </c>
      <c r="B30" s="20">
        <f>+[1]Funcionamiento!I22</f>
        <v>4500000</v>
      </c>
      <c r="C30" s="20">
        <f>+[1]Funcionamiento!J22</f>
        <v>4605436.2779999999</v>
      </c>
      <c r="D30" s="20">
        <f>+[1]Funcionamiento!K22</f>
        <v>2269346</v>
      </c>
      <c r="E30" s="20">
        <v>0</v>
      </c>
      <c r="F30" s="27">
        <f>+[1]Funcionamiento!L22</f>
        <v>8000000</v>
      </c>
      <c r="G30" s="20">
        <f>+[1]Funcionamiento!G22</f>
        <v>83795016</v>
      </c>
      <c r="H30" s="27">
        <f t="shared" si="6"/>
        <v>103169798.278</v>
      </c>
      <c r="I30" s="20">
        <f>+[1]Funcionamiento!F22</f>
        <v>6673125</v>
      </c>
      <c r="J30" s="20">
        <f t="shared" si="9"/>
        <v>109842923.278</v>
      </c>
      <c r="K30" s="20">
        <v>92989366</v>
      </c>
      <c r="L30" s="20">
        <f t="shared" si="7"/>
        <v>-16853557.277999997</v>
      </c>
      <c r="M30" s="22">
        <f t="shared" si="8"/>
        <v>0.84656674481117411</v>
      </c>
    </row>
    <row r="31" spans="1:13" ht="14.25" x14ac:dyDescent="0.2">
      <c r="A31" s="26" t="s">
        <v>41</v>
      </c>
      <c r="B31" s="27">
        <v>0</v>
      </c>
      <c r="C31" s="27">
        <v>0</v>
      </c>
      <c r="D31" s="27">
        <v>0</v>
      </c>
      <c r="E31" s="27">
        <v>0</v>
      </c>
      <c r="F31" s="27">
        <v>0</v>
      </c>
      <c r="G31" s="27"/>
      <c r="H31" s="27">
        <f t="shared" si="6"/>
        <v>0</v>
      </c>
      <c r="I31" s="20">
        <f>+[1]Funcionamiento!F12</f>
        <v>2801274.3040999998</v>
      </c>
      <c r="J31" s="20">
        <f t="shared" si="9"/>
        <v>2801274.3040999998</v>
      </c>
      <c r="K31" s="20">
        <v>2786100</v>
      </c>
      <c r="L31" s="20">
        <f t="shared" si="7"/>
        <v>-15174.304099999834</v>
      </c>
      <c r="M31" s="22">
        <f t="shared" si="8"/>
        <v>0.99458307096959753</v>
      </c>
    </row>
    <row r="32" spans="1:13" ht="14.25" x14ac:dyDescent="0.2">
      <c r="A32" s="26" t="s">
        <v>42</v>
      </c>
      <c r="B32" s="20">
        <f>+[1]Funcionamiento!I18</f>
        <v>3636135</v>
      </c>
      <c r="C32" s="20">
        <f>+[1]Funcionamiento!J18</f>
        <v>1117934.25</v>
      </c>
      <c r="D32" s="20">
        <f>+[1]Funcionamiento!K18</f>
        <v>477406</v>
      </c>
      <c r="E32" s="20">
        <v>0</v>
      </c>
      <c r="F32" s="20">
        <f>+[1]Funcionamiento!L18</f>
        <v>2750031</v>
      </c>
      <c r="G32" s="20">
        <f>+[1]Funcionamiento!G18</f>
        <v>7894987.2860000003</v>
      </c>
      <c r="H32" s="27">
        <f t="shared" si="6"/>
        <v>15876493.536</v>
      </c>
      <c r="I32" s="20">
        <f>+[1]Funcionamiento!F18</f>
        <v>7972085.5150999995</v>
      </c>
      <c r="J32" s="20">
        <f t="shared" si="9"/>
        <v>23848579.051100001</v>
      </c>
      <c r="K32" s="20">
        <v>23197050</v>
      </c>
      <c r="L32" s="20">
        <f t="shared" si="7"/>
        <v>-651529.05110000074</v>
      </c>
      <c r="M32" s="22">
        <f t="shared" si="8"/>
        <v>0.97268059242842186</v>
      </c>
    </row>
    <row r="33" spans="1:13" ht="14.25" x14ac:dyDescent="0.2">
      <c r="A33" s="26" t="s">
        <v>43</v>
      </c>
      <c r="B33" s="27">
        <f>+[1]Funcionamiento!I20</f>
        <v>890676</v>
      </c>
      <c r="C33" s="27">
        <v>0</v>
      </c>
      <c r="D33" s="27">
        <v>0</v>
      </c>
      <c r="E33" s="27">
        <v>0</v>
      </c>
      <c r="F33" s="27">
        <f>+[1]Funcionamiento!L20</f>
        <v>0</v>
      </c>
      <c r="G33" s="27">
        <f>+[1]Funcionamiento!G20</f>
        <v>2431233.5</v>
      </c>
      <c r="H33" s="27">
        <f t="shared" si="6"/>
        <v>3321909.5</v>
      </c>
      <c r="I33" s="20">
        <f>+[1]Funcionamiento!F20</f>
        <v>5000000</v>
      </c>
      <c r="J33" s="20">
        <f>+H33+I33</f>
        <v>8321909.5</v>
      </c>
      <c r="K33" s="20">
        <v>3161516</v>
      </c>
      <c r="L33" s="20">
        <f t="shared" si="7"/>
        <v>-5160393.5</v>
      </c>
      <c r="M33" s="22">
        <f t="shared" si="8"/>
        <v>0.37990271343373777</v>
      </c>
    </row>
    <row r="34" spans="1:13" ht="14.25" x14ac:dyDescent="0.2">
      <c r="A34" s="26" t="s">
        <v>44</v>
      </c>
      <c r="B34" s="27">
        <v>0</v>
      </c>
      <c r="C34" s="27">
        <v>0</v>
      </c>
      <c r="D34" s="27">
        <v>0</v>
      </c>
      <c r="E34" s="27">
        <v>0</v>
      </c>
      <c r="F34" s="27">
        <v>0</v>
      </c>
      <c r="G34" s="27"/>
      <c r="H34" s="27">
        <f t="shared" si="6"/>
        <v>0</v>
      </c>
      <c r="I34" s="20">
        <f>+[1]Funcionamiento!F36</f>
        <v>0</v>
      </c>
      <c r="J34" s="20">
        <f t="shared" si="9"/>
        <v>0</v>
      </c>
      <c r="K34" s="20">
        <v>0</v>
      </c>
      <c r="L34" s="20">
        <f t="shared" si="7"/>
        <v>0</v>
      </c>
      <c r="M34" s="22">
        <v>0</v>
      </c>
    </row>
    <row r="35" spans="1:13" ht="14.25" x14ac:dyDescent="0.2">
      <c r="A35" s="26" t="s">
        <v>45</v>
      </c>
      <c r="B35" s="27">
        <v>0</v>
      </c>
      <c r="C35" s="27">
        <v>0</v>
      </c>
      <c r="D35" s="27">
        <v>0</v>
      </c>
      <c r="E35" s="27">
        <v>0</v>
      </c>
      <c r="F35" s="27">
        <v>0</v>
      </c>
      <c r="G35" s="27"/>
      <c r="H35" s="27">
        <f t="shared" si="6"/>
        <v>0</v>
      </c>
      <c r="I35" s="20">
        <f>+[1]Funcionamiento!F32</f>
        <v>6166444.3520749994</v>
      </c>
      <c r="J35" s="20">
        <f t="shared" si="9"/>
        <v>6166444.3520749994</v>
      </c>
      <c r="K35" s="20">
        <v>1804940</v>
      </c>
      <c r="L35" s="20">
        <f t="shared" si="7"/>
        <v>-4361504.3520749994</v>
      </c>
      <c r="M35" s="22">
        <f>+K35/J35</f>
        <v>0.29270352523211213</v>
      </c>
    </row>
    <row r="36" spans="1:13" ht="15" x14ac:dyDescent="0.25">
      <c r="A36" s="24" t="s">
        <v>46</v>
      </c>
      <c r="B36" s="25">
        <f>SUM(B21:B35)</f>
        <v>50190048</v>
      </c>
      <c r="C36" s="25">
        <f t="shared" ref="C36:I36" si="10">SUM(C21:C35)</f>
        <v>12753058.444666665</v>
      </c>
      <c r="D36" s="25">
        <f t="shared" si="10"/>
        <v>9052030</v>
      </c>
      <c r="E36" s="25">
        <f>SUM(E21:E35)</f>
        <v>5452431</v>
      </c>
      <c r="F36" s="25">
        <f t="shared" si="10"/>
        <v>16801134</v>
      </c>
      <c r="G36" s="25">
        <f>SUM(G21:G35)</f>
        <v>230545337.78600001</v>
      </c>
      <c r="H36" s="28">
        <f t="shared" si="10"/>
        <v>324794039.2306667</v>
      </c>
      <c r="I36" s="25">
        <f t="shared" si="10"/>
        <v>126126756.1154</v>
      </c>
      <c r="J36" s="25">
        <f>SUM(J21:J35)</f>
        <v>450920795.34606665</v>
      </c>
      <c r="K36" s="25">
        <f>SUM(K21:K35)</f>
        <v>378628452</v>
      </c>
      <c r="L36" s="25">
        <f t="shared" si="7"/>
        <v>-72292343.346066654</v>
      </c>
      <c r="M36" s="18">
        <f>+K36/J36</f>
        <v>0.83967840008224792</v>
      </c>
    </row>
    <row r="37" spans="1:13" ht="15" x14ac:dyDescent="0.25">
      <c r="A37" s="24" t="s">
        <v>47</v>
      </c>
      <c r="B37" s="25">
        <f t="shared" ref="B37:G37" si="11">+B36+B19</f>
        <v>430948232.80192941</v>
      </c>
      <c r="C37" s="25">
        <f t="shared" si="11"/>
        <v>142299795.61879197</v>
      </c>
      <c r="D37" s="25">
        <f t="shared" si="11"/>
        <v>119156062.01499574</v>
      </c>
      <c r="E37" s="25">
        <f t="shared" si="11"/>
        <v>23611204.489600867</v>
      </c>
      <c r="F37" s="25">
        <f t="shared" si="11"/>
        <v>149947418.92648327</v>
      </c>
      <c r="G37" s="25">
        <f t="shared" si="11"/>
        <v>606989236.92371631</v>
      </c>
      <c r="H37" s="28">
        <f>+B37+C37+D37+G37+E37+F37</f>
        <v>1472951950.7755175</v>
      </c>
      <c r="I37" s="25">
        <f>+I36+I19</f>
        <v>226941439.79648274</v>
      </c>
      <c r="J37" s="25">
        <f>+J36+J19</f>
        <v>1699893390.5720003</v>
      </c>
      <c r="K37" s="25">
        <f>+K36+K19</f>
        <v>1585406288</v>
      </c>
      <c r="L37" s="25">
        <f t="shared" si="7"/>
        <v>-114487102.57200027</v>
      </c>
      <c r="M37" s="18">
        <f>+K37/J37</f>
        <v>0.93265042195765213</v>
      </c>
    </row>
    <row r="38" spans="1:13" ht="15" x14ac:dyDescent="0.25">
      <c r="A38" s="24"/>
      <c r="B38" s="25"/>
      <c r="C38" s="25"/>
      <c r="D38" s="25"/>
      <c r="E38" s="25"/>
      <c r="F38" s="25"/>
      <c r="G38" s="25"/>
      <c r="H38" s="28"/>
      <c r="I38" s="25"/>
      <c r="J38" s="25"/>
      <c r="K38" s="25"/>
      <c r="L38" s="25"/>
      <c r="M38" s="18"/>
    </row>
    <row r="39" spans="1:13" ht="15" x14ac:dyDescent="0.25">
      <c r="A39" s="29" t="s">
        <v>48</v>
      </c>
      <c r="B39" s="30">
        <f>+B41</f>
        <v>1111963307.6613352</v>
      </c>
      <c r="C39" s="30">
        <f>+C127</f>
        <v>461817914.12827206</v>
      </c>
      <c r="D39" s="30">
        <f>+D141</f>
        <v>665530000</v>
      </c>
      <c r="E39" s="30">
        <f>+E175</f>
        <v>592839174</v>
      </c>
      <c r="F39" s="30">
        <f>+F72</f>
        <v>3693539495.5250664</v>
      </c>
      <c r="G39" s="30">
        <f>+G109</f>
        <v>3550168135</v>
      </c>
      <c r="H39" s="30">
        <f>+B39+C39+D39+G39+E39+F39</f>
        <v>10075858026.314674</v>
      </c>
      <c r="I39" s="30">
        <v>0</v>
      </c>
      <c r="J39" s="30">
        <f>+I39+H39</f>
        <v>10075858026.314674</v>
      </c>
      <c r="K39" s="30">
        <f>+K41+K72+K109+K127+K141+K175</f>
        <v>8651037713.6118279</v>
      </c>
      <c r="L39" s="30">
        <f>+K39-J39</f>
        <v>-1424820312.7028465</v>
      </c>
      <c r="M39" s="31">
        <f>+K39/J39</f>
        <v>0.85859067198230599</v>
      </c>
    </row>
    <row r="40" spans="1:13" ht="15" x14ac:dyDescent="0.25">
      <c r="A40" s="29"/>
      <c r="B40" s="30"/>
      <c r="C40" s="30"/>
      <c r="D40" s="30"/>
      <c r="E40" s="30"/>
      <c r="F40" s="30"/>
      <c r="G40" s="30"/>
      <c r="H40" s="30"/>
      <c r="I40" s="30"/>
      <c r="J40" s="30"/>
      <c r="K40" s="30"/>
      <c r="L40" s="30"/>
      <c r="M40" s="31"/>
    </row>
    <row r="41" spans="1:13" ht="15" x14ac:dyDescent="0.25">
      <c r="A41" s="29" t="s">
        <v>49</v>
      </c>
      <c r="B41" s="30">
        <f>+B42+B44+B56+B60+B64+B68</f>
        <v>1111963307.6613352</v>
      </c>
      <c r="C41" s="30"/>
      <c r="D41" s="30"/>
      <c r="E41" s="30"/>
      <c r="F41" s="30"/>
      <c r="G41" s="30"/>
      <c r="H41" s="30">
        <f>+H42+H44+H56+H60+H64+H68</f>
        <v>1111963307.6613352</v>
      </c>
      <c r="I41" s="30"/>
      <c r="J41" s="30">
        <f>+J42+J44+J56+J60+J64+J68</f>
        <v>1111963307.6613352</v>
      </c>
      <c r="K41" s="30">
        <f>+K42+K44+K56+K60+K64+K68</f>
        <v>819009188</v>
      </c>
      <c r="L41" s="30">
        <f t="shared" ref="L41:L70" si="12">+K41-J41</f>
        <v>-292954119.66133523</v>
      </c>
      <c r="M41" s="18">
        <f t="shared" ref="M41:M48" si="13">+K41/J41</f>
        <v>0.73654335746251198</v>
      </c>
    </row>
    <row r="42" spans="1:13" s="33" customFormat="1" ht="15" x14ac:dyDescent="0.25">
      <c r="A42" s="32" t="s">
        <v>50</v>
      </c>
      <c r="B42" s="25">
        <f>+SUM(B43:B43)</f>
        <v>208318718.63929999</v>
      </c>
      <c r="C42" s="25"/>
      <c r="D42" s="25"/>
      <c r="E42" s="25"/>
      <c r="F42" s="25"/>
      <c r="G42" s="25"/>
      <c r="H42" s="25">
        <f>+SUM(H43:H43)</f>
        <v>208318718.63929999</v>
      </c>
      <c r="I42" s="25"/>
      <c r="J42" s="25">
        <f>+SUM(J43:J43)</f>
        <v>208318718.63929999</v>
      </c>
      <c r="K42" s="25">
        <f>+SUM(K43:K43)</f>
        <v>80808261</v>
      </c>
      <c r="L42" s="25">
        <f t="shared" si="12"/>
        <v>-127510457.63929999</v>
      </c>
      <c r="M42" s="18">
        <f t="shared" si="13"/>
        <v>0.38790686467267499</v>
      </c>
    </row>
    <row r="43" spans="1:13" s="33" customFormat="1" ht="15" hidden="1" outlineLevel="1" x14ac:dyDescent="0.25">
      <c r="A43" s="34" t="s">
        <v>51</v>
      </c>
      <c r="B43" s="20">
        <f>+[2]Agregado!$G$26</f>
        <v>208318718.63929999</v>
      </c>
      <c r="C43" s="25"/>
      <c r="D43" s="25"/>
      <c r="E43" s="25"/>
      <c r="F43" s="25"/>
      <c r="G43" s="25"/>
      <c r="H43" s="20">
        <f>+B43+C43+D43+G43+E43+F43</f>
        <v>208318718.63929999</v>
      </c>
      <c r="I43" s="25"/>
      <c r="J43" s="21">
        <f>+H43+I43</f>
        <v>208318718.63929999</v>
      </c>
      <c r="K43" s="21">
        <v>80808261</v>
      </c>
      <c r="L43" s="21">
        <f t="shared" si="12"/>
        <v>-127510457.63929999</v>
      </c>
      <c r="M43" s="22">
        <f t="shared" si="13"/>
        <v>0.38790686467267499</v>
      </c>
    </row>
    <row r="44" spans="1:13" s="33" customFormat="1" ht="15" collapsed="1" x14ac:dyDescent="0.25">
      <c r="A44" s="35" t="s">
        <v>52</v>
      </c>
      <c r="B44" s="17">
        <f>+B45+B46+B47+B55</f>
        <v>393131359.23500001</v>
      </c>
      <c r="C44" s="25"/>
      <c r="D44" s="25"/>
      <c r="E44" s="25"/>
      <c r="F44" s="25"/>
      <c r="G44" s="25"/>
      <c r="H44" s="17">
        <f>+H45+H46+H47+H55</f>
        <v>393131359.23500001</v>
      </c>
      <c r="I44" s="25"/>
      <c r="J44" s="17">
        <f>+J45+J47+J55+J46</f>
        <v>393131359.23500001</v>
      </c>
      <c r="K44" s="17">
        <f>+K45+K46+K47+K55</f>
        <v>383942268</v>
      </c>
      <c r="L44" s="17">
        <f t="shared" si="12"/>
        <v>-9189091.2350000143</v>
      </c>
      <c r="M44" s="18">
        <f t="shared" si="13"/>
        <v>0.97662590119271786</v>
      </c>
    </row>
    <row r="45" spans="1:13" s="33" customFormat="1" ht="15" hidden="1" outlineLevel="1" x14ac:dyDescent="0.25">
      <c r="A45" s="34" t="s">
        <v>53</v>
      </c>
      <c r="B45" s="20">
        <f>+[2]Agregado!$G$30+900000+14525000</f>
        <v>92954726</v>
      </c>
      <c r="C45" s="25"/>
      <c r="D45" s="25"/>
      <c r="E45" s="25"/>
      <c r="F45" s="25"/>
      <c r="G45" s="25"/>
      <c r="H45" s="20">
        <f>+B45+C45+D45+G45+E45+F45</f>
        <v>92954726</v>
      </c>
      <c r="I45" s="25"/>
      <c r="J45" s="21">
        <f t="shared" ref="J45:J55" si="14">+H45+I45</f>
        <v>92954726</v>
      </c>
      <c r="K45" s="21">
        <v>92823767</v>
      </c>
      <c r="L45" s="21">
        <f t="shared" si="12"/>
        <v>-130959</v>
      </c>
      <c r="M45" s="22">
        <f t="shared" si="13"/>
        <v>0.99859115285865074</v>
      </c>
    </row>
    <row r="46" spans="1:13" s="33" customFormat="1" ht="15" hidden="1" outlineLevel="1" x14ac:dyDescent="0.25">
      <c r="A46" s="34" t="s">
        <v>54</v>
      </c>
      <c r="B46" s="20">
        <f>+[2]Agregado!$G$31-14525000</f>
        <v>26505872</v>
      </c>
      <c r="C46" s="25"/>
      <c r="D46" s="25"/>
      <c r="E46" s="25"/>
      <c r="F46" s="25"/>
      <c r="G46" s="25"/>
      <c r="H46" s="20">
        <f>+B46+C46+D46+G46+E46+F46</f>
        <v>26505872</v>
      </c>
      <c r="I46" s="25"/>
      <c r="J46" s="21">
        <f t="shared" si="14"/>
        <v>26505872</v>
      </c>
      <c r="K46" s="21">
        <v>26403824</v>
      </c>
      <c r="L46" s="21">
        <f t="shared" si="12"/>
        <v>-102048</v>
      </c>
      <c r="M46" s="22">
        <f t="shared" si="13"/>
        <v>0.99614998518064224</v>
      </c>
    </row>
    <row r="47" spans="1:13" s="33" customFormat="1" ht="15" hidden="1" outlineLevel="1" x14ac:dyDescent="0.25">
      <c r="A47" s="34" t="s">
        <v>55</v>
      </c>
      <c r="B47" s="17">
        <f>+B48+B51</f>
        <v>122112488</v>
      </c>
      <c r="C47" s="25"/>
      <c r="D47" s="25"/>
      <c r="E47" s="25"/>
      <c r="F47" s="25"/>
      <c r="G47" s="25"/>
      <c r="H47" s="17">
        <f>+B47+C47+D47+G47+E47+F47</f>
        <v>122112488</v>
      </c>
      <c r="I47" s="17"/>
      <c r="J47" s="17">
        <f t="shared" si="14"/>
        <v>122112488</v>
      </c>
      <c r="K47" s="17">
        <f>+K48+K51</f>
        <v>113848955</v>
      </c>
      <c r="L47" s="17">
        <f t="shared" si="12"/>
        <v>-8263533</v>
      </c>
      <c r="M47" s="18">
        <f t="shared" si="13"/>
        <v>0.93232851827570662</v>
      </c>
    </row>
    <row r="48" spans="1:13" s="33" customFormat="1" ht="15" hidden="1" outlineLevel="2" x14ac:dyDescent="0.25">
      <c r="A48" s="34" t="s">
        <v>56</v>
      </c>
      <c r="B48" s="17">
        <f>SUM(B49:B50)</f>
        <v>68000000</v>
      </c>
      <c r="C48" s="25"/>
      <c r="D48" s="25"/>
      <c r="E48" s="25"/>
      <c r="F48" s="25"/>
      <c r="G48" s="25"/>
      <c r="H48" s="17">
        <f>SUM(H49:H50)</f>
        <v>68000000</v>
      </c>
      <c r="I48" s="17"/>
      <c r="J48" s="17">
        <f t="shared" si="14"/>
        <v>68000000</v>
      </c>
      <c r="K48" s="17">
        <f>SUM(K49:K50)</f>
        <v>60559896</v>
      </c>
      <c r="L48" s="17">
        <f t="shared" si="12"/>
        <v>-7440104</v>
      </c>
      <c r="M48" s="18">
        <f t="shared" si="13"/>
        <v>0.89058670588235289</v>
      </c>
    </row>
    <row r="49" spans="1:13" s="33" customFormat="1" ht="15" hidden="1" outlineLevel="2" x14ac:dyDescent="0.25">
      <c r="A49" s="34" t="s">
        <v>57</v>
      </c>
      <c r="B49" s="20"/>
      <c r="C49" s="25"/>
      <c r="D49" s="25"/>
      <c r="E49" s="25"/>
      <c r="F49" s="25"/>
      <c r="G49" s="25"/>
      <c r="H49" s="20">
        <f>+B49+C49+D49+G49+E49+F49</f>
        <v>0</v>
      </c>
      <c r="I49" s="25"/>
      <c r="J49" s="21">
        <f>+H49+I49</f>
        <v>0</v>
      </c>
      <c r="K49" s="21"/>
      <c r="L49" s="21">
        <f t="shared" si="12"/>
        <v>0</v>
      </c>
      <c r="M49" s="22">
        <v>0</v>
      </c>
    </row>
    <row r="50" spans="1:13" s="33" customFormat="1" ht="15" hidden="1" outlineLevel="2" x14ac:dyDescent="0.25">
      <c r="A50" s="34" t="s">
        <v>58</v>
      </c>
      <c r="B50" s="20">
        <f>+[2]Agregado!$G$36</f>
        <v>68000000</v>
      </c>
      <c r="C50" s="25"/>
      <c r="D50" s="25"/>
      <c r="E50" s="25"/>
      <c r="F50" s="25"/>
      <c r="G50" s="25"/>
      <c r="H50" s="20">
        <f>+B50+C50+D50+G50+E50+F50</f>
        <v>68000000</v>
      </c>
      <c r="I50" s="25"/>
      <c r="J50" s="21">
        <f>+H50+I50</f>
        <v>68000000</v>
      </c>
      <c r="K50" s="21">
        <v>60559896</v>
      </c>
      <c r="L50" s="21">
        <f t="shared" si="12"/>
        <v>-7440104</v>
      </c>
      <c r="M50" s="22">
        <f>+K50/J50</f>
        <v>0.89058670588235289</v>
      </c>
    </row>
    <row r="51" spans="1:13" s="33" customFormat="1" ht="15" hidden="1" outlineLevel="2" x14ac:dyDescent="0.25">
      <c r="A51" s="34" t="s">
        <v>59</v>
      </c>
      <c r="B51" s="17">
        <f>SUM(B52:B54)</f>
        <v>54112488</v>
      </c>
      <c r="C51" s="25"/>
      <c r="D51" s="25"/>
      <c r="E51" s="25"/>
      <c r="F51" s="25"/>
      <c r="G51" s="25"/>
      <c r="H51" s="17">
        <f>SUM(H52:H54)</f>
        <v>54112488</v>
      </c>
      <c r="I51" s="17"/>
      <c r="J51" s="17">
        <f>+H51+I51</f>
        <v>54112488</v>
      </c>
      <c r="K51" s="17">
        <f>SUM(K52:K54)</f>
        <v>53289059</v>
      </c>
      <c r="L51" s="17">
        <f t="shared" si="12"/>
        <v>-823429</v>
      </c>
      <c r="M51" s="18">
        <f>+K51/J51</f>
        <v>0.98478301348849451</v>
      </c>
    </row>
    <row r="52" spans="1:13" s="33" customFormat="1" ht="15" hidden="1" outlineLevel="2" x14ac:dyDescent="0.25">
      <c r="A52" s="34" t="s">
        <v>60</v>
      </c>
      <c r="B52" s="20"/>
      <c r="C52" s="25"/>
      <c r="D52" s="25"/>
      <c r="E52" s="25"/>
      <c r="F52" s="25"/>
      <c r="G52" s="25"/>
      <c r="H52" s="20">
        <f>+B52+C52+D52+G52+E52+F52</f>
        <v>0</v>
      </c>
      <c r="I52" s="25"/>
      <c r="J52" s="21">
        <f>+H52+I52</f>
        <v>0</v>
      </c>
      <c r="K52" s="21"/>
      <c r="L52" s="21">
        <f t="shared" si="12"/>
        <v>0</v>
      </c>
      <c r="M52" s="22">
        <v>0</v>
      </c>
    </row>
    <row r="53" spans="1:13" s="33" customFormat="1" ht="15" hidden="1" outlineLevel="2" x14ac:dyDescent="0.25">
      <c r="A53" s="34" t="s">
        <v>61</v>
      </c>
      <c r="B53" s="20">
        <f>+[2]Agregado!$G$39-900000</f>
        <v>40100000</v>
      </c>
      <c r="C53" s="25"/>
      <c r="D53" s="25"/>
      <c r="E53" s="25"/>
      <c r="F53" s="25"/>
      <c r="G53" s="25"/>
      <c r="H53" s="20">
        <f>+B53+C53+D53+G53+E53+F53</f>
        <v>40100000</v>
      </c>
      <c r="I53" s="25"/>
      <c r="J53" s="21">
        <f t="shared" si="14"/>
        <v>40100000</v>
      </c>
      <c r="K53" s="21">
        <v>39412209</v>
      </c>
      <c r="L53" s="21">
        <f t="shared" si="12"/>
        <v>-687791</v>
      </c>
      <c r="M53" s="22">
        <f t="shared" ref="M53:M62" si="15">+K53/J53</f>
        <v>0.98284810473815465</v>
      </c>
    </row>
    <row r="54" spans="1:13" s="33" customFormat="1" ht="15" hidden="1" outlineLevel="2" x14ac:dyDescent="0.25">
      <c r="A54" s="34" t="s">
        <v>62</v>
      </c>
      <c r="B54" s="20">
        <f>+[2]Agregado!$G$40</f>
        <v>14012488</v>
      </c>
      <c r="C54" s="25"/>
      <c r="D54" s="25"/>
      <c r="E54" s="25"/>
      <c r="F54" s="25"/>
      <c r="G54" s="25"/>
      <c r="H54" s="20">
        <f>+B54+C54+D54+G54+E54+F54</f>
        <v>14012488</v>
      </c>
      <c r="I54" s="25"/>
      <c r="J54" s="21">
        <f>+H54+I54</f>
        <v>14012488</v>
      </c>
      <c r="K54" s="21">
        <v>13876850</v>
      </c>
      <c r="L54" s="21">
        <f t="shared" si="12"/>
        <v>-135638</v>
      </c>
      <c r="M54" s="22">
        <f t="shared" si="15"/>
        <v>0.99032020580499336</v>
      </c>
    </row>
    <row r="55" spans="1:13" s="33" customFormat="1" ht="15" hidden="1" outlineLevel="1" x14ac:dyDescent="0.25">
      <c r="A55" s="34" t="s">
        <v>63</v>
      </c>
      <c r="B55" s="17">
        <f>+[2]Agregado!$G$32</f>
        <v>151558273.23500001</v>
      </c>
      <c r="C55" s="25"/>
      <c r="D55" s="25"/>
      <c r="E55" s="25"/>
      <c r="F55" s="25"/>
      <c r="G55" s="25"/>
      <c r="H55" s="20">
        <f>+B55+C55+D55+G55+E55+F55</f>
        <v>151558273.23500001</v>
      </c>
      <c r="I55" s="25"/>
      <c r="J55" s="21">
        <f t="shared" si="14"/>
        <v>151558273.23500001</v>
      </c>
      <c r="K55" s="21">
        <v>150865722</v>
      </c>
      <c r="L55" s="21">
        <f t="shared" si="12"/>
        <v>-692551.23500001431</v>
      </c>
      <c r="M55" s="22">
        <f t="shared" si="15"/>
        <v>0.99543046235472632</v>
      </c>
    </row>
    <row r="56" spans="1:13" s="33" customFormat="1" ht="15" collapsed="1" x14ac:dyDescent="0.25">
      <c r="A56" s="35" t="s">
        <v>64</v>
      </c>
      <c r="B56" s="17">
        <f>SUM(B57:B59)</f>
        <v>75236138.810000002</v>
      </c>
      <c r="C56" s="25"/>
      <c r="D56" s="25"/>
      <c r="E56" s="25"/>
      <c r="F56" s="25"/>
      <c r="G56" s="25"/>
      <c r="H56" s="17">
        <f>SUM(H57:H59)</f>
        <v>75236138.810000002</v>
      </c>
      <c r="I56" s="25"/>
      <c r="J56" s="17">
        <f>SUM(J57:J59)</f>
        <v>75236138.810000002</v>
      </c>
      <c r="K56" s="17">
        <f>SUM(K57:K59)</f>
        <v>59906977</v>
      </c>
      <c r="L56" s="17">
        <f t="shared" si="12"/>
        <v>-15329161.810000002</v>
      </c>
      <c r="M56" s="18">
        <f t="shared" si="15"/>
        <v>0.79625267786918208</v>
      </c>
    </row>
    <row r="57" spans="1:13" s="33" customFormat="1" ht="15" hidden="1" outlineLevel="1" x14ac:dyDescent="0.25">
      <c r="A57" s="34" t="s">
        <v>65</v>
      </c>
      <c r="B57" s="20">
        <f>+[2]Agregado!$G$48+2500000</f>
        <v>57994713.310000002</v>
      </c>
      <c r="C57" s="25"/>
      <c r="D57" s="25"/>
      <c r="E57" s="25"/>
      <c r="F57" s="25"/>
      <c r="G57" s="25"/>
      <c r="H57" s="20">
        <f>+B57+C57+D57+G57+E57+F57</f>
        <v>57994713.310000002</v>
      </c>
      <c r="I57" s="25"/>
      <c r="J57" s="21">
        <f>+H57+I57</f>
        <v>57994713.310000002</v>
      </c>
      <c r="K57" s="21">
        <v>55064029</v>
      </c>
      <c r="L57" s="21">
        <f t="shared" si="12"/>
        <v>-2930684.3100000024</v>
      </c>
      <c r="M57" s="22">
        <f t="shared" si="15"/>
        <v>0.94946635403929713</v>
      </c>
    </row>
    <row r="58" spans="1:13" s="33" customFormat="1" ht="15" hidden="1" outlineLevel="1" x14ac:dyDescent="0.25">
      <c r="A58" s="34" t="s">
        <v>66</v>
      </c>
      <c r="B58" s="20">
        <f>+[2]Agregado!$G$49</f>
        <v>5065470.5</v>
      </c>
      <c r="C58" s="25"/>
      <c r="D58" s="25"/>
      <c r="E58" s="25"/>
      <c r="F58" s="25"/>
      <c r="G58" s="25"/>
      <c r="H58" s="20">
        <f>+B58+C58+D58+G58+E58+F58</f>
        <v>5065470.5</v>
      </c>
      <c r="I58" s="25"/>
      <c r="J58" s="21">
        <f>+H58+I58</f>
        <v>5065470.5</v>
      </c>
      <c r="K58" s="21">
        <v>4971590</v>
      </c>
      <c r="L58" s="21">
        <f t="shared" si="12"/>
        <v>-93880.5</v>
      </c>
      <c r="M58" s="22">
        <f t="shared" si="15"/>
        <v>0.98146657847479324</v>
      </c>
    </row>
    <row r="59" spans="1:13" s="33" customFormat="1" ht="15" hidden="1" outlineLevel="1" x14ac:dyDescent="0.25">
      <c r="A59" s="34" t="s">
        <v>67</v>
      </c>
      <c r="B59" s="20">
        <f>+[2]Agregado!$G$50-2500000</f>
        <v>12175955</v>
      </c>
      <c r="C59" s="25"/>
      <c r="D59" s="25"/>
      <c r="E59" s="25"/>
      <c r="F59" s="25"/>
      <c r="G59" s="25"/>
      <c r="H59" s="20">
        <f>+B59+C59+D59+G59+E59+F59</f>
        <v>12175955</v>
      </c>
      <c r="I59" s="25"/>
      <c r="J59" s="21">
        <f>+H59+I59</f>
        <v>12175955</v>
      </c>
      <c r="K59" s="21">
        <v>-128642</v>
      </c>
      <c r="L59" s="21">
        <f t="shared" si="12"/>
        <v>-12304597</v>
      </c>
      <c r="M59" s="22">
        <f t="shared" si="15"/>
        <v>-1.0565249296667079E-2</v>
      </c>
    </row>
    <row r="60" spans="1:13" s="33" customFormat="1" ht="15" collapsed="1" x14ac:dyDescent="0.25">
      <c r="A60" s="35" t="s">
        <v>68</v>
      </c>
      <c r="B60" s="17">
        <f>SUM(B61:B63)</f>
        <v>85898839.482035235</v>
      </c>
      <c r="C60" s="25"/>
      <c r="D60" s="25"/>
      <c r="E60" s="25"/>
      <c r="F60" s="25"/>
      <c r="G60" s="25"/>
      <c r="H60" s="17">
        <f>SUM(H61:H63)</f>
        <v>85898839.482035235</v>
      </c>
      <c r="I60" s="25"/>
      <c r="J60" s="17">
        <f>SUM(J61:J63)</f>
        <v>85898839.482035235</v>
      </c>
      <c r="K60" s="17">
        <f>SUM(K61:K63)</f>
        <v>80871863</v>
      </c>
      <c r="L60" s="17">
        <f t="shared" si="12"/>
        <v>-5026976.4820352346</v>
      </c>
      <c r="M60" s="18">
        <f t="shared" si="15"/>
        <v>0.94147794647346117</v>
      </c>
    </row>
    <row r="61" spans="1:13" s="33" customFormat="1" ht="15" hidden="1" outlineLevel="1" x14ac:dyDescent="0.25">
      <c r="A61" s="34" t="s">
        <v>69</v>
      </c>
      <c r="B61" s="20">
        <f>+[2]Agregado!$G$53</f>
        <v>37105258.555227742</v>
      </c>
      <c r="C61" s="25"/>
      <c r="D61" s="25"/>
      <c r="E61" s="25"/>
      <c r="F61" s="25"/>
      <c r="G61" s="25"/>
      <c r="H61" s="20">
        <f>+B61+C61+D61+G61+E61+F61</f>
        <v>37105258.555227742</v>
      </c>
      <c r="I61" s="25"/>
      <c r="J61" s="21">
        <f>+H61+I61</f>
        <v>37105258.555227742</v>
      </c>
      <c r="K61" s="21">
        <v>35909318</v>
      </c>
      <c r="L61" s="21">
        <f t="shared" si="12"/>
        <v>-1195940.5552277416</v>
      </c>
      <c r="M61" s="22">
        <f t="shared" si="15"/>
        <v>0.96776897394616734</v>
      </c>
    </row>
    <row r="62" spans="1:13" s="33" customFormat="1" ht="15" hidden="1" outlineLevel="1" x14ac:dyDescent="0.25">
      <c r="A62" s="34" t="s">
        <v>70</v>
      </c>
      <c r="B62" s="20">
        <f>+[2]Agregado!$G$54</f>
        <v>48793580.926807493</v>
      </c>
      <c r="C62" s="25"/>
      <c r="D62" s="25"/>
      <c r="E62" s="25"/>
      <c r="F62" s="25"/>
      <c r="G62" s="25"/>
      <c r="H62" s="20">
        <f>+B62+C62+D62+G62+E62+F62</f>
        <v>48793580.926807493</v>
      </c>
      <c r="I62" s="25"/>
      <c r="J62" s="21">
        <f>+H62+I62</f>
        <v>48793580.926807493</v>
      </c>
      <c r="K62" s="21">
        <v>44962545</v>
      </c>
      <c r="L62" s="21">
        <f t="shared" si="12"/>
        <v>-3831035.926807493</v>
      </c>
      <c r="M62" s="22">
        <f t="shared" si="15"/>
        <v>0.92148483767661538</v>
      </c>
    </row>
    <row r="63" spans="1:13" s="33" customFormat="1" ht="15" hidden="1" outlineLevel="1" x14ac:dyDescent="0.25">
      <c r="A63" s="34" t="s">
        <v>71</v>
      </c>
      <c r="B63" s="20"/>
      <c r="C63" s="25"/>
      <c r="D63" s="25"/>
      <c r="E63" s="25"/>
      <c r="F63" s="25"/>
      <c r="G63" s="25"/>
      <c r="H63" s="20">
        <f>+B63+C63+D63+G63+E63+F63</f>
        <v>0</v>
      </c>
      <c r="I63" s="25"/>
      <c r="J63" s="21">
        <f>+H63+I63</f>
        <v>0</v>
      </c>
      <c r="K63" s="21"/>
      <c r="L63" s="21">
        <f t="shared" si="12"/>
        <v>0</v>
      </c>
      <c r="M63" s="22">
        <v>0</v>
      </c>
    </row>
    <row r="64" spans="1:13" s="33" customFormat="1" ht="15" collapsed="1" x14ac:dyDescent="0.25">
      <c r="A64" s="35" t="s">
        <v>72</v>
      </c>
      <c r="B64" s="17">
        <f>SUM(B65:B67)</f>
        <v>59410707.800000004</v>
      </c>
      <c r="C64" s="25"/>
      <c r="D64" s="25"/>
      <c r="E64" s="25"/>
      <c r="F64" s="25"/>
      <c r="G64" s="25"/>
      <c r="H64" s="17">
        <f>SUM(H65:H67)</f>
        <v>59410707.800000004</v>
      </c>
      <c r="I64" s="25"/>
      <c r="J64" s="17">
        <f>SUM(J65:J67)</f>
        <v>59410707.800000004</v>
      </c>
      <c r="K64" s="17">
        <f>SUM(K65:K67)</f>
        <v>50414595</v>
      </c>
      <c r="L64" s="17">
        <f t="shared" si="12"/>
        <v>-8996112.8000000045</v>
      </c>
      <c r="M64" s="18">
        <f t="shared" ref="M64:M70" si="16">+K64/J64</f>
        <v>0.84857758587417464</v>
      </c>
    </row>
    <row r="65" spans="1:13" s="33" customFormat="1" ht="15" hidden="1" outlineLevel="1" x14ac:dyDescent="0.25">
      <c r="A65" s="34" t="s">
        <v>73</v>
      </c>
      <c r="B65" s="20">
        <f>+[2]Agregado!$G$58+204015</f>
        <v>5454460.2000000002</v>
      </c>
      <c r="C65" s="25"/>
      <c r="D65" s="25"/>
      <c r="E65" s="25"/>
      <c r="F65" s="25"/>
      <c r="G65" s="25"/>
      <c r="H65" s="20">
        <f>+B65+C65+D65+G65+E65+F65</f>
        <v>5454460.2000000002</v>
      </c>
      <c r="I65" s="25"/>
      <c r="J65" s="21">
        <f>+H65+I65</f>
        <v>5454460.2000000002</v>
      </c>
      <c r="K65" s="21">
        <v>5454460</v>
      </c>
      <c r="L65" s="21">
        <f t="shared" si="12"/>
        <v>-0.20000000018626451</v>
      </c>
      <c r="M65" s="22">
        <f t="shared" si="16"/>
        <v>0.9999999633327602</v>
      </c>
    </row>
    <row r="66" spans="1:13" s="33" customFormat="1" ht="15" hidden="1" outlineLevel="1" x14ac:dyDescent="0.25">
      <c r="A66" s="34" t="s">
        <v>74</v>
      </c>
      <c r="B66" s="20">
        <f>+[2]Agregado!$G$59</f>
        <v>48778809.600000001</v>
      </c>
      <c r="C66" s="25"/>
      <c r="D66" s="25"/>
      <c r="E66" s="25"/>
      <c r="F66" s="25"/>
      <c r="G66" s="25"/>
      <c r="H66" s="20">
        <f>+B66+C66+D66+G66+E66+F66</f>
        <v>48778809.600000001</v>
      </c>
      <c r="I66" s="25"/>
      <c r="J66" s="21">
        <f>+H66+I66</f>
        <v>48778809.600000001</v>
      </c>
      <c r="K66" s="21">
        <v>39860305</v>
      </c>
      <c r="L66" s="21">
        <f t="shared" si="12"/>
        <v>-8918504.6000000015</v>
      </c>
      <c r="M66" s="22">
        <f t="shared" si="16"/>
        <v>0.81716436556910155</v>
      </c>
    </row>
    <row r="67" spans="1:13" s="33" customFormat="1" ht="15" hidden="1" outlineLevel="1" x14ac:dyDescent="0.25">
      <c r="A67" s="34" t="s">
        <v>75</v>
      </c>
      <c r="B67" s="20">
        <f>+[2]Agregado!$G$60-204015</f>
        <v>5177438</v>
      </c>
      <c r="C67" s="25"/>
      <c r="D67" s="25"/>
      <c r="E67" s="25"/>
      <c r="F67" s="25"/>
      <c r="G67" s="25"/>
      <c r="H67" s="20">
        <f>+B67+C67+D67+G67+E67+F67</f>
        <v>5177438</v>
      </c>
      <c r="I67" s="25"/>
      <c r="J67" s="21">
        <f>+H67+I67</f>
        <v>5177438</v>
      </c>
      <c r="K67" s="21">
        <v>5099830</v>
      </c>
      <c r="L67" s="21">
        <f t="shared" si="12"/>
        <v>-77608</v>
      </c>
      <c r="M67" s="22">
        <f t="shared" si="16"/>
        <v>0.98501034681632116</v>
      </c>
    </row>
    <row r="68" spans="1:13" s="33" customFormat="1" ht="15" collapsed="1" x14ac:dyDescent="0.25">
      <c r="A68" s="35" t="s">
        <v>76</v>
      </c>
      <c r="B68" s="17">
        <f>SUM(B69:B70)</f>
        <v>289967543.69499999</v>
      </c>
      <c r="C68" s="25"/>
      <c r="D68" s="25"/>
      <c r="E68" s="25"/>
      <c r="F68" s="25"/>
      <c r="G68" s="25"/>
      <c r="H68" s="17">
        <f>SUM(H69:H70)</f>
        <v>289967543.69499999</v>
      </c>
      <c r="I68" s="25"/>
      <c r="J68" s="17">
        <f>SUM(J69:J70)</f>
        <v>289967543.69499999</v>
      </c>
      <c r="K68" s="17">
        <f>SUM(K69:K70)</f>
        <v>163065224</v>
      </c>
      <c r="L68" s="17">
        <f t="shared" si="12"/>
        <v>-126902319.69499999</v>
      </c>
      <c r="M68" s="18">
        <f t="shared" si="16"/>
        <v>0.56235681387679315</v>
      </c>
    </row>
    <row r="69" spans="1:13" s="33" customFormat="1" ht="15" hidden="1" outlineLevel="1" x14ac:dyDescent="0.25">
      <c r="A69" s="34" t="s">
        <v>77</v>
      </c>
      <c r="B69" s="20">
        <f>+[2]Agregado!$G$43</f>
        <v>262135982.31</v>
      </c>
      <c r="C69" s="25"/>
      <c r="D69" s="25"/>
      <c r="E69" s="25"/>
      <c r="F69" s="25"/>
      <c r="G69" s="25"/>
      <c r="H69" s="20">
        <f>+B69+C69+D69+G69+E69+F69</f>
        <v>262135982.31</v>
      </c>
      <c r="I69" s="25"/>
      <c r="J69" s="21">
        <f>+H69+I69</f>
        <v>262135982.31</v>
      </c>
      <c r="K69" s="21">
        <v>147049160</v>
      </c>
      <c r="L69" s="21">
        <f t="shared" si="12"/>
        <v>-115086822.31</v>
      </c>
      <c r="M69" s="22">
        <f t="shared" si="16"/>
        <v>0.56096518571838339</v>
      </c>
    </row>
    <row r="70" spans="1:13" s="33" customFormat="1" ht="15" hidden="1" outlineLevel="1" x14ac:dyDescent="0.25">
      <c r="A70" s="34" t="s">
        <v>78</v>
      </c>
      <c r="B70" s="20">
        <f>+[2]Agregado!$G$44</f>
        <v>27831561.385000002</v>
      </c>
      <c r="C70" s="25"/>
      <c r="D70" s="25"/>
      <c r="E70" s="25"/>
      <c r="F70" s="25"/>
      <c r="G70" s="25"/>
      <c r="H70" s="20">
        <f>+B70+C70+D70+G70+E70+F70</f>
        <v>27831561.385000002</v>
      </c>
      <c r="I70" s="25"/>
      <c r="J70" s="21">
        <f>+H70+I70</f>
        <v>27831561.385000002</v>
      </c>
      <c r="K70" s="21">
        <v>16016064</v>
      </c>
      <c r="L70" s="21">
        <f t="shared" si="12"/>
        <v>-11815497.385000002</v>
      </c>
      <c r="M70" s="22">
        <f t="shared" si="16"/>
        <v>0.5754640847650021</v>
      </c>
    </row>
    <row r="71" spans="1:13" s="33" customFormat="1" ht="15" collapsed="1" x14ac:dyDescent="0.25">
      <c r="A71" s="34"/>
      <c r="B71" s="20"/>
      <c r="C71" s="25"/>
      <c r="D71" s="25"/>
      <c r="E71" s="25"/>
      <c r="F71" s="25"/>
      <c r="G71" s="25"/>
      <c r="H71" s="20"/>
      <c r="I71" s="25"/>
      <c r="J71" s="21"/>
      <c r="K71" s="21"/>
      <c r="L71" s="21"/>
      <c r="M71" s="22"/>
    </row>
    <row r="72" spans="1:13" s="33" customFormat="1" ht="15" x14ac:dyDescent="0.25">
      <c r="A72" s="35" t="s">
        <v>79</v>
      </c>
      <c r="B72" s="20"/>
      <c r="C72" s="25"/>
      <c r="D72" s="25"/>
      <c r="E72" s="25"/>
      <c r="F72" s="25">
        <f>+F73+F81+F92+F101</f>
        <v>3693539495.5250664</v>
      </c>
      <c r="G72" s="25"/>
      <c r="H72" s="25">
        <f>+H73+H81+H92+H101</f>
        <v>3693539495.5250664</v>
      </c>
      <c r="I72" s="25"/>
      <c r="J72" s="25">
        <f>+J73+J81+J92+J101</f>
        <v>3693539495.5250664</v>
      </c>
      <c r="K72" s="25">
        <f>+K73+K81+K92+K101</f>
        <v>3322856785</v>
      </c>
      <c r="L72" s="25">
        <f t="shared" ref="L72:L107" si="17">+K72-J72</f>
        <v>-370682710.52506638</v>
      </c>
      <c r="M72" s="18">
        <f>+K72/J72</f>
        <v>0.89964024725492453</v>
      </c>
    </row>
    <row r="73" spans="1:13" s="33" customFormat="1" ht="15" x14ac:dyDescent="0.25">
      <c r="A73" s="35" t="s">
        <v>80</v>
      </c>
      <c r="B73" s="20"/>
      <c r="C73" s="25"/>
      <c r="D73" s="25"/>
      <c r="E73" s="25"/>
      <c r="F73" s="25">
        <f>SUM(F74:F80)</f>
        <v>150967902</v>
      </c>
      <c r="G73" s="25"/>
      <c r="H73" s="25">
        <f>SUM(H74:H80)</f>
        <v>150967902</v>
      </c>
      <c r="I73" s="25"/>
      <c r="J73" s="25">
        <f>SUM(J74:J80)</f>
        <v>150967902</v>
      </c>
      <c r="K73" s="25">
        <f>SUM(K74:K80)</f>
        <v>150069820</v>
      </c>
      <c r="L73" s="25">
        <f t="shared" si="17"/>
        <v>-898082</v>
      </c>
      <c r="M73" s="18">
        <f>+K73/J73</f>
        <v>0.99405117254659869</v>
      </c>
    </row>
    <row r="74" spans="1:13" s="33" customFormat="1" ht="15" hidden="1" outlineLevel="1" x14ac:dyDescent="0.25">
      <c r="A74" s="34" t="s">
        <v>81</v>
      </c>
      <c r="B74" s="20"/>
      <c r="C74" s="25"/>
      <c r="D74" s="25"/>
      <c r="E74" s="25"/>
      <c r="F74" s="21"/>
      <c r="G74" s="25"/>
      <c r="H74" s="20">
        <f t="shared" ref="H74:H80" si="18">+B74+C74+D74+G74+E74+F74</f>
        <v>0</v>
      </c>
      <c r="I74" s="25"/>
      <c r="J74" s="21">
        <f t="shared" ref="J74:J80" si="19">+H74+I74</f>
        <v>0</v>
      </c>
      <c r="K74" s="21"/>
      <c r="L74" s="21">
        <f t="shared" si="17"/>
        <v>0</v>
      </c>
      <c r="M74" s="22">
        <v>0</v>
      </c>
    </row>
    <row r="75" spans="1:13" s="33" customFormat="1" ht="15" hidden="1" outlineLevel="1" x14ac:dyDescent="0.25">
      <c r="A75" s="34" t="s">
        <v>82</v>
      </c>
      <c r="B75" s="20"/>
      <c r="C75" s="25"/>
      <c r="D75" s="25"/>
      <c r="E75" s="25"/>
      <c r="F75" s="21"/>
      <c r="G75" s="25"/>
      <c r="H75" s="20">
        <f t="shared" si="18"/>
        <v>0</v>
      </c>
      <c r="I75" s="25"/>
      <c r="J75" s="21">
        <f t="shared" si="19"/>
        <v>0</v>
      </c>
      <c r="K75" s="21"/>
      <c r="L75" s="21">
        <f t="shared" si="17"/>
        <v>0</v>
      </c>
      <c r="M75" s="22">
        <v>0</v>
      </c>
    </row>
    <row r="76" spans="1:13" s="33" customFormat="1" ht="15" hidden="1" outlineLevel="1" x14ac:dyDescent="0.25">
      <c r="A76" s="34" t="s">
        <v>83</v>
      </c>
      <c r="B76" s="20"/>
      <c r="C76" s="25"/>
      <c r="D76" s="25"/>
      <c r="E76" s="25"/>
      <c r="F76" s="21">
        <f>+[3]Hoja1!$M$18</f>
        <v>7022000</v>
      </c>
      <c r="G76" s="25"/>
      <c r="H76" s="20">
        <f t="shared" si="18"/>
        <v>7022000</v>
      </c>
      <c r="I76" s="25"/>
      <c r="J76" s="21">
        <f t="shared" si="19"/>
        <v>7022000</v>
      </c>
      <c r="K76" s="21">
        <v>6188000</v>
      </c>
      <c r="L76" s="21">
        <f t="shared" si="17"/>
        <v>-834000</v>
      </c>
      <c r="M76" s="22">
        <f>+K76/J76</f>
        <v>0.88123041868413554</v>
      </c>
    </row>
    <row r="77" spans="1:13" s="33" customFormat="1" ht="15" hidden="1" outlineLevel="1" x14ac:dyDescent="0.25">
      <c r="A77" s="34" t="s">
        <v>84</v>
      </c>
      <c r="B77" s="20"/>
      <c r="C77" s="25"/>
      <c r="D77" s="25"/>
      <c r="E77" s="25"/>
      <c r="F77" s="21">
        <v>103945902</v>
      </c>
      <c r="G77" s="25"/>
      <c r="H77" s="20">
        <f t="shared" si="18"/>
        <v>103945902</v>
      </c>
      <c r="I77" s="25"/>
      <c r="J77" s="21">
        <f t="shared" si="19"/>
        <v>103945902</v>
      </c>
      <c r="K77" s="21">
        <v>103881820</v>
      </c>
      <c r="L77" s="21">
        <f t="shared" si="17"/>
        <v>-64082</v>
      </c>
      <c r="M77" s="22">
        <f>+K77/J77</f>
        <v>0.99938350623962069</v>
      </c>
    </row>
    <row r="78" spans="1:13" s="33" customFormat="1" ht="15" hidden="1" outlineLevel="1" x14ac:dyDescent="0.25">
      <c r="A78" s="34" t="s">
        <v>85</v>
      </c>
      <c r="B78" s="20"/>
      <c r="C78" s="25"/>
      <c r="D78" s="25"/>
      <c r="E78" s="25"/>
      <c r="F78" s="21"/>
      <c r="G78" s="25"/>
      <c r="H78" s="20">
        <f t="shared" si="18"/>
        <v>0</v>
      </c>
      <c r="I78" s="25"/>
      <c r="J78" s="21">
        <f t="shared" si="19"/>
        <v>0</v>
      </c>
      <c r="K78" s="21"/>
      <c r="L78" s="21">
        <f t="shared" si="17"/>
        <v>0</v>
      </c>
      <c r="M78" s="22">
        <v>0</v>
      </c>
    </row>
    <row r="79" spans="1:13" s="33" customFormat="1" ht="15" hidden="1" outlineLevel="1" x14ac:dyDescent="0.25">
      <c r="A79" s="34" t="s">
        <v>86</v>
      </c>
      <c r="B79" s="20"/>
      <c r="C79" s="25"/>
      <c r="D79" s="25"/>
      <c r="E79" s="25"/>
      <c r="F79" s="21"/>
      <c r="G79" s="25"/>
      <c r="H79" s="20">
        <f t="shared" si="18"/>
        <v>0</v>
      </c>
      <c r="I79" s="25"/>
      <c r="J79" s="21">
        <f t="shared" si="19"/>
        <v>0</v>
      </c>
      <c r="K79" s="21"/>
      <c r="L79" s="21">
        <f t="shared" si="17"/>
        <v>0</v>
      </c>
      <c r="M79" s="22">
        <v>0</v>
      </c>
    </row>
    <row r="80" spans="1:13" s="33" customFormat="1" ht="15" hidden="1" outlineLevel="1" x14ac:dyDescent="0.25">
      <c r="A80" s="34" t="s">
        <v>87</v>
      </c>
      <c r="B80" s="20"/>
      <c r="C80" s="25"/>
      <c r="D80" s="25"/>
      <c r="E80" s="25"/>
      <c r="F80" s="21">
        <f>+[3]Hoja1!$M$22</f>
        <v>40000000</v>
      </c>
      <c r="G80" s="25"/>
      <c r="H80" s="20">
        <f t="shared" si="18"/>
        <v>40000000</v>
      </c>
      <c r="I80" s="25"/>
      <c r="J80" s="21">
        <f t="shared" si="19"/>
        <v>40000000</v>
      </c>
      <c r="K80" s="21">
        <v>40000000</v>
      </c>
      <c r="L80" s="21">
        <f t="shared" si="17"/>
        <v>0</v>
      </c>
      <c r="M80" s="22">
        <f t="shared" ref="M80:M87" si="20">+K80/J80</f>
        <v>1</v>
      </c>
    </row>
    <row r="81" spans="1:13" s="33" customFormat="1" ht="15" collapsed="1" x14ac:dyDescent="0.25">
      <c r="A81" s="35" t="s">
        <v>88</v>
      </c>
      <c r="B81" s="20"/>
      <c r="C81" s="25"/>
      <c r="D81" s="25"/>
      <c r="E81" s="25"/>
      <c r="F81" s="25">
        <f>SUM(F82:F91)</f>
        <v>3214589152.5250664</v>
      </c>
      <c r="G81" s="25"/>
      <c r="H81" s="25">
        <f>SUM(H82:H91)</f>
        <v>3214589152.5250664</v>
      </c>
      <c r="I81" s="25"/>
      <c r="J81" s="25">
        <f>SUM(J82:J91)</f>
        <v>3214589152.5250664</v>
      </c>
      <c r="K81" s="25">
        <f>SUM(K82:K91)</f>
        <v>2918333433</v>
      </c>
      <c r="L81" s="25">
        <f t="shared" si="17"/>
        <v>-296255719.52506638</v>
      </c>
      <c r="M81" s="18">
        <f t="shared" si="20"/>
        <v>0.90784025408274738</v>
      </c>
    </row>
    <row r="82" spans="1:13" s="33" customFormat="1" ht="15" hidden="1" outlineLevel="1" x14ac:dyDescent="0.25">
      <c r="A82" s="34" t="s">
        <v>89</v>
      </c>
      <c r="B82" s="20"/>
      <c r="C82" s="25"/>
      <c r="D82" s="25"/>
      <c r="E82" s="25"/>
      <c r="F82" s="21">
        <f>+[3]Hoja1!$M$26+387975000</f>
        <v>2791987000</v>
      </c>
      <c r="G82" s="25"/>
      <c r="H82" s="20">
        <f>+B82+C82+D82+G82+E82+F82</f>
        <v>2791987000</v>
      </c>
      <c r="I82" s="25"/>
      <c r="J82" s="21">
        <f>+H82+I82</f>
        <v>2791987000</v>
      </c>
      <c r="K82" s="21">
        <v>2655073338</v>
      </c>
      <c r="L82" s="21">
        <f t="shared" si="17"/>
        <v>-136913662</v>
      </c>
      <c r="M82" s="22">
        <f t="shared" si="20"/>
        <v>0.95096192711499017</v>
      </c>
    </row>
    <row r="83" spans="1:13" s="33" customFormat="1" ht="15" hidden="1" outlineLevel="1" x14ac:dyDescent="0.25">
      <c r="A83" s="34" t="s">
        <v>90</v>
      </c>
      <c r="B83" s="20"/>
      <c r="C83" s="25"/>
      <c r="D83" s="25"/>
      <c r="E83" s="25"/>
      <c r="F83" s="21">
        <f>+[3]Hoja1!$M$27</f>
        <v>14670579</v>
      </c>
      <c r="G83" s="25"/>
      <c r="H83" s="20">
        <f>+B83+C83+D83+G83+E83+F83</f>
        <v>14670579</v>
      </c>
      <c r="I83" s="25"/>
      <c r="J83" s="21">
        <f>+H83+I83</f>
        <v>14670579</v>
      </c>
      <c r="K83" s="21">
        <v>14519536</v>
      </c>
      <c r="L83" s="21">
        <f t="shared" si="17"/>
        <v>-151043</v>
      </c>
      <c r="M83" s="22">
        <f t="shared" si="20"/>
        <v>0.98970435999833406</v>
      </c>
    </row>
    <row r="84" spans="1:13" s="33" customFormat="1" ht="15" hidden="1" outlineLevel="1" x14ac:dyDescent="0.25">
      <c r="A84" s="34" t="s">
        <v>91</v>
      </c>
      <c r="B84" s="20"/>
      <c r="C84" s="25"/>
      <c r="D84" s="25"/>
      <c r="E84" s="25"/>
      <c r="F84" s="21">
        <f>+[3]Hoja1!$M$28</f>
        <v>13149719</v>
      </c>
      <c r="G84" s="25"/>
      <c r="H84" s="20">
        <f>+B84+C84+D84+G84+E84+F84</f>
        <v>13149719</v>
      </c>
      <c r="I84" s="25"/>
      <c r="J84" s="21">
        <f>+H84+I84</f>
        <v>13149719</v>
      </c>
      <c r="K84" s="21">
        <v>9305325</v>
      </c>
      <c r="L84" s="21">
        <f t="shared" si="17"/>
        <v>-3844394</v>
      </c>
      <c r="M84" s="22">
        <f t="shared" si="20"/>
        <v>0.70764439909324295</v>
      </c>
    </row>
    <row r="85" spans="1:13" s="33" customFormat="1" ht="15" hidden="1" outlineLevel="1" x14ac:dyDescent="0.25">
      <c r="A85" s="34" t="s">
        <v>92</v>
      </c>
      <c r="B85" s="20"/>
      <c r="C85" s="25"/>
      <c r="D85" s="25"/>
      <c r="E85" s="25"/>
      <c r="F85" s="21">
        <f>+[3]Hoja1!$M$30</f>
        <v>18526369</v>
      </c>
      <c r="G85" s="25"/>
      <c r="H85" s="20">
        <f t="shared" ref="H85:H91" si="21">+B85+C85+D85+G85+E85+F85</f>
        <v>18526369</v>
      </c>
      <c r="I85" s="25"/>
      <c r="J85" s="21">
        <f t="shared" ref="J85:J91" si="22">+H85+I85</f>
        <v>18526369</v>
      </c>
      <c r="K85" s="21">
        <v>14706369</v>
      </c>
      <c r="L85" s="21">
        <f t="shared" si="17"/>
        <v>-3820000</v>
      </c>
      <c r="M85" s="22">
        <f t="shared" si="20"/>
        <v>0.7938074103997389</v>
      </c>
    </row>
    <row r="86" spans="1:13" s="33" customFormat="1" ht="15" hidden="1" outlineLevel="1" x14ac:dyDescent="0.25">
      <c r="A86" s="34" t="s">
        <v>93</v>
      </c>
      <c r="B86" s="20"/>
      <c r="C86" s="25"/>
      <c r="D86" s="25"/>
      <c r="E86" s="25"/>
      <c r="F86" s="21">
        <f>+[3]Hoja1!$M$31</f>
        <v>73774081</v>
      </c>
      <c r="G86" s="25"/>
      <c r="H86" s="20">
        <f t="shared" si="21"/>
        <v>73774081</v>
      </c>
      <c r="I86" s="25"/>
      <c r="J86" s="21">
        <f t="shared" si="22"/>
        <v>73774081</v>
      </c>
      <c r="K86" s="21">
        <v>70677074</v>
      </c>
      <c r="L86" s="21">
        <f t="shared" si="17"/>
        <v>-3097007</v>
      </c>
      <c r="M86" s="22">
        <f t="shared" si="20"/>
        <v>0.95802039201274491</v>
      </c>
    </row>
    <row r="87" spans="1:13" s="33" customFormat="1" ht="15" hidden="1" outlineLevel="1" x14ac:dyDescent="0.25">
      <c r="A87" s="34" t="s">
        <v>94</v>
      </c>
      <c r="B87" s="20"/>
      <c r="C87" s="25"/>
      <c r="D87" s="25"/>
      <c r="E87" s="25"/>
      <c r="F87" s="21">
        <f>+[3]Hoja1!$M$32</f>
        <v>30000000</v>
      </c>
      <c r="G87" s="25"/>
      <c r="H87" s="20">
        <f t="shared" si="21"/>
        <v>30000000</v>
      </c>
      <c r="I87" s="25"/>
      <c r="J87" s="21">
        <f t="shared" si="22"/>
        <v>30000000</v>
      </c>
      <c r="K87" s="21">
        <v>30000000</v>
      </c>
      <c r="L87" s="21">
        <f t="shared" si="17"/>
        <v>0</v>
      </c>
      <c r="M87" s="22">
        <f t="shared" si="20"/>
        <v>1</v>
      </c>
    </row>
    <row r="88" spans="1:13" s="33" customFormat="1" ht="15" hidden="1" outlineLevel="1" x14ac:dyDescent="0.25">
      <c r="A88" s="34" t="s">
        <v>95</v>
      </c>
      <c r="B88" s="20"/>
      <c r="C88" s="25"/>
      <c r="D88" s="25"/>
      <c r="E88" s="25"/>
      <c r="F88" s="21"/>
      <c r="G88" s="25"/>
      <c r="H88" s="20">
        <f t="shared" si="21"/>
        <v>0</v>
      </c>
      <c r="I88" s="25"/>
      <c r="J88" s="21">
        <f t="shared" si="22"/>
        <v>0</v>
      </c>
      <c r="K88" s="21">
        <v>0</v>
      </c>
      <c r="L88" s="21">
        <f t="shared" si="17"/>
        <v>0</v>
      </c>
      <c r="M88" s="22">
        <v>0</v>
      </c>
    </row>
    <row r="89" spans="1:13" s="33" customFormat="1" ht="15" hidden="1" outlineLevel="1" x14ac:dyDescent="0.25">
      <c r="A89" s="34" t="s">
        <v>96</v>
      </c>
      <c r="B89" s="20"/>
      <c r="C89" s="25"/>
      <c r="D89" s="25"/>
      <c r="E89" s="25"/>
      <c r="F89" s="21">
        <f>+[3]Hoja1!$M$34</f>
        <v>65481404.525066242</v>
      </c>
      <c r="G89" s="25"/>
      <c r="H89" s="20">
        <f t="shared" si="21"/>
        <v>65481404.525066242</v>
      </c>
      <c r="I89" s="25"/>
      <c r="J89" s="21">
        <f t="shared" si="22"/>
        <v>65481404.525066242</v>
      </c>
      <c r="K89" s="21">
        <v>45000000</v>
      </c>
      <c r="L89" s="21">
        <f t="shared" si="17"/>
        <v>-20481404.525066242</v>
      </c>
      <c r="M89" s="22">
        <f t="shared" ref="M89:M97" si="23">+K89/J89</f>
        <v>0.68721800221578977</v>
      </c>
    </row>
    <row r="90" spans="1:13" s="33" customFormat="1" ht="15" hidden="1" outlineLevel="1" x14ac:dyDescent="0.25">
      <c r="A90" s="34" t="s">
        <v>97</v>
      </c>
      <c r="B90" s="20"/>
      <c r="C90" s="25"/>
      <c r="D90" s="25"/>
      <c r="E90" s="25"/>
      <c r="F90" s="21">
        <f>+[3]Hoja1!$M$35+27000000</f>
        <v>127000000</v>
      </c>
      <c r="G90" s="25"/>
      <c r="H90" s="20">
        <f>+B90+C90+D90+G90+E90+F90</f>
        <v>127000000</v>
      </c>
      <c r="I90" s="25"/>
      <c r="J90" s="21">
        <f>+H90+I90</f>
        <v>127000000</v>
      </c>
      <c r="K90" s="21">
        <v>79051791</v>
      </c>
      <c r="L90" s="21">
        <f t="shared" si="17"/>
        <v>-47948209</v>
      </c>
      <c r="M90" s="22">
        <f t="shared" si="23"/>
        <v>0.62245504724409451</v>
      </c>
    </row>
    <row r="91" spans="1:13" s="33" customFormat="1" ht="15" hidden="1" outlineLevel="1" x14ac:dyDescent="0.25">
      <c r="A91" s="34" t="s">
        <v>98</v>
      </c>
      <c r="B91" s="20"/>
      <c r="C91" s="25"/>
      <c r="D91" s="25"/>
      <c r="E91" s="25"/>
      <c r="F91" s="21">
        <f>+[3]Hoja1!$M$36</f>
        <v>80000000</v>
      </c>
      <c r="G91" s="25"/>
      <c r="H91" s="20">
        <f t="shared" si="21"/>
        <v>80000000</v>
      </c>
      <c r="I91" s="25"/>
      <c r="J91" s="21">
        <f t="shared" si="22"/>
        <v>80000000</v>
      </c>
      <c r="K91" s="21">
        <v>0</v>
      </c>
      <c r="L91" s="21">
        <f t="shared" si="17"/>
        <v>-80000000</v>
      </c>
      <c r="M91" s="22">
        <f t="shared" si="23"/>
        <v>0</v>
      </c>
    </row>
    <row r="92" spans="1:13" s="33" customFormat="1" ht="15" collapsed="1" x14ac:dyDescent="0.25">
      <c r="A92" s="35" t="s">
        <v>99</v>
      </c>
      <c r="B92" s="20"/>
      <c r="C92" s="25"/>
      <c r="D92" s="25"/>
      <c r="E92" s="25"/>
      <c r="F92" s="25">
        <f>SUM(F93:F100)</f>
        <v>154088749</v>
      </c>
      <c r="G92" s="25"/>
      <c r="H92" s="25">
        <f>SUM(H93:H100)</f>
        <v>154088749</v>
      </c>
      <c r="I92" s="25"/>
      <c r="J92" s="25">
        <f>SUM(J93:J100)</f>
        <v>154088749</v>
      </c>
      <c r="K92" s="25">
        <f>SUM(K93:K100)</f>
        <v>98415238</v>
      </c>
      <c r="L92" s="25">
        <f t="shared" si="17"/>
        <v>-55673511</v>
      </c>
      <c r="M92" s="18">
        <f t="shared" si="23"/>
        <v>0.63869191383986124</v>
      </c>
    </row>
    <row r="93" spans="1:13" s="33" customFormat="1" ht="15" hidden="1" outlineLevel="1" x14ac:dyDescent="0.25">
      <c r="A93" s="34" t="s">
        <v>100</v>
      </c>
      <c r="B93" s="20"/>
      <c r="C93" s="25"/>
      <c r="D93" s="25"/>
      <c r="E93" s="25"/>
      <c r="F93" s="21">
        <f>+[3]Hoja1!$M$39</f>
        <v>19405000</v>
      </c>
      <c r="G93" s="25"/>
      <c r="H93" s="20">
        <f>+B93+C93+D93+G93+E93+F93</f>
        <v>19405000</v>
      </c>
      <c r="I93" s="25"/>
      <c r="J93" s="21">
        <f>+H93+I93</f>
        <v>19405000</v>
      </c>
      <c r="K93" s="21">
        <v>16312661</v>
      </c>
      <c r="L93" s="21">
        <f t="shared" si="17"/>
        <v>-3092339</v>
      </c>
      <c r="M93" s="22">
        <f t="shared" si="23"/>
        <v>0.840642154083999</v>
      </c>
    </row>
    <row r="94" spans="1:13" s="33" customFormat="1" ht="15" hidden="1" outlineLevel="1" x14ac:dyDescent="0.25">
      <c r="A94" s="34" t="s">
        <v>101</v>
      </c>
      <c r="B94" s="20"/>
      <c r="C94" s="25"/>
      <c r="D94" s="25"/>
      <c r="E94" s="25"/>
      <c r="F94" s="21">
        <f>+[3]Hoja1!$M$40</f>
        <v>12207249</v>
      </c>
      <c r="G94" s="25"/>
      <c r="H94" s="20">
        <f>+B94+C94+D94+G94+E94+F94</f>
        <v>12207249</v>
      </c>
      <c r="I94" s="25"/>
      <c r="J94" s="21">
        <f>+H94+I94</f>
        <v>12207249</v>
      </c>
      <c r="K94" s="21">
        <v>12207249</v>
      </c>
      <c r="L94" s="21">
        <f t="shared" si="17"/>
        <v>0</v>
      </c>
      <c r="M94" s="22">
        <f t="shared" si="23"/>
        <v>1</v>
      </c>
    </row>
    <row r="95" spans="1:13" s="33" customFormat="1" ht="15" hidden="1" outlineLevel="1" x14ac:dyDescent="0.25">
      <c r="A95" s="34" t="s">
        <v>102</v>
      </c>
      <c r="B95" s="20"/>
      <c r="C95" s="25"/>
      <c r="D95" s="25"/>
      <c r="E95" s="25"/>
      <c r="F95" s="21">
        <f>+[3]Hoja1!$M$41</f>
        <v>8000000</v>
      </c>
      <c r="G95" s="25"/>
      <c r="H95" s="20">
        <f>+B95+C95+D95+G95+E95+F95</f>
        <v>8000000</v>
      </c>
      <c r="I95" s="25"/>
      <c r="J95" s="21">
        <f>+H95+I95</f>
        <v>8000000</v>
      </c>
      <c r="K95" s="21">
        <v>7757473</v>
      </c>
      <c r="L95" s="21">
        <f t="shared" si="17"/>
        <v>-242527</v>
      </c>
      <c r="M95" s="22">
        <f t="shared" si="23"/>
        <v>0.96968412500000001</v>
      </c>
    </row>
    <row r="96" spans="1:13" s="33" customFormat="1" ht="15" hidden="1" outlineLevel="1" x14ac:dyDescent="0.25">
      <c r="A96" s="34" t="s">
        <v>103</v>
      </c>
      <c r="B96" s="20"/>
      <c r="C96" s="25"/>
      <c r="D96" s="25"/>
      <c r="E96" s="25"/>
      <c r="F96" s="21">
        <f>+[3]Hoja1!$M$42</f>
        <v>8000000</v>
      </c>
      <c r="G96" s="25"/>
      <c r="H96" s="20">
        <f>+B96+C96+D96+G96+E96+F96</f>
        <v>8000000</v>
      </c>
      <c r="I96" s="25"/>
      <c r="J96" s="21">
        <f>+H96+I96</f>
        <v>8000000</v>
      </c>
      <c r="K96" s="21">
        <v>2973700</v>
      </c>
      <c r="L96" s="21">
        <f t="shared" si="17"/>
        <v>-5026300</v>
      </c>
      <c r="M96" s="22">
        <f t="shared" si="23"/>
        <v>0.3717125</v>
      </c>
    </row>
    <row r="97" spans="1:13" s="33" customFormat="1" ht="15" hidden="1" outlineLevel="1" x14ac:dyDescent="0.25">
      <c r="A97" s="34" t="s">
        <v>104</v>
      </c>
      <c r="B97" s="20"/>
      <c r="C97" s="25"/>
      <c r="D97" s="25"/>
      <c r="E97" s="25"/>
      <c r="F97" s="21">
        <f>+[3]Hoja1!$M$44</f>
        <v>28476500</v>
      </c>
      <c r="G97" s="25"/>
      <c r="H97" s="20">
        <f>+B97+C97+D97+G97+E97+F97</f>
        <v>28476500</v>
      </c>
      <c r="I97" s="25"/>
      <c r="J97" s="21">
        <f>+H97+I97</f>
        <v>28476500</v>
      </c>
      <c r="K97" s="21">
        <v>27625915</v>
      </c>
      <c r="L97" s="21">
        <f t="shared" si="17"/>
        <v>-850585</v>
      </c>
      <c r="M97" s="22">
        <f t="shared" si="23"/>
        <v>0.97013028286481839</v>
      </c>
    </row>
    <row r="98" spans="1:13" s="33" customFormat="1" ht="15" hidden="1" outlineLevel="1" x14ac:dyDescent="0.25">
      <c r="A98" s="34" t="s">
        <v>105</v>
      </c>
      <c r="B98" s="20"/>
      <c r="C98" s="25"/>
      <c r="D98" s="25"/>
      <c r="E98" s="25"/>
      <c r="F98" s="21"/>
      <c r="G98" s="25"/>
      <c r="H98" s="20">
        <f t="shared" ref="H98:H107" si="24">+B98+C98+D98+G98+E98+F98</f>
        <v>0</v>
      </c>
      <c r="I98" s="25"/>
      <c r="J98" s="21">
        <f t="shared" ref="J98:J107" si="25">+H98+I98</f>
        <v>0</v>
      </c>
      <c r="K98" s="21">
        <v>0</v>
      </c>
      <c r="L98" s="21">
        <f t="shared" si="17"/>
        <v>0</v>
      </c>
      <c r="M98" s="22">
        <v>0</v>
      </c>
    </row>
    <row r="99" spans="1:13" s="33" customFormat="1" ht="15" hidden="1" outlineLevel="1" x14ac:dyDescent="0.25">
      <c r="A99" s="34" t="s">
        <v>106</v>
      </c>
      <c r="B99" s="20"/>
      <c r="C99" s="25"/>
      <c r="D99" s="25"/>
      <c r="E99" s="25"/>
      <c r="F99" s="21">
        <f>+[3]Hoja1!$M$47</f>
        <v>3000000</v>
      </c>
      <c r="G99" s="25"/>
      <c r="H99" s="20">
        <f>+B99+C99+D99+G99+E99+F99</f>
        <v>3000000</v>
      </c>
      <c r="I99" s="25"/>
      <c r="J99" s="21">
        <f t="shared" si="25"/>
        <v>3000000</v>
      </c>
      <c r="K99" s="21">
        <v>2588240</v>
      </c>
      <c r="L99" s="21">
        <f t="shared" si="17"/>
        <v>-411760</v>
      </c>
      <c r="M99" s="22">
        <f t="shared" ref="M99:M107" si="26">+K99/J99</f>
        <v>0.86274666666666666</v>
      </c>
    </row>
    <row r="100" spans="1:13" s="33" customFormat="1" ht="15" hidden="1" outlineLevel="1" x14ac:dyDescent="0.25">
      <c r="A100" s="34" t="s">
        <v>107</v>
      </c>
      <c r="B100" s="20"/>
      <c r="C100" s="25"/>
      <c r="D100" s="25"/>
      <c r="E100" s="25"/>
      <c r="F100" s="21">
        <f>+[3]Hoja1!$M$49</f>
        <v>75000000</v>
      </c>
      <c r="G100" s="25"/>
      <c r="H100" s="20">
        <f>+B100+C100+D100+G100+E100+F100</f>
        <v>75000000</v>
      </c>
      <c r="I100" s="25"/>
      <c r="J100" s="21">
        <f t="shared" si="25"/>
        <v>75000000</v>
      </c>
      <c r="K100" s="21">
        <v>28950000</v>
      </c>
      <c r="L100" s="21">
        <f t="shared" si="17"/>
        <v>-46050000</v>
      </c>
      <c r="M100" s="22">
        <f t="shared" si="26"/>
        <v>0.38600000000000001</v>
      </c>
    </row>
    <row r="101" spans="1:13" s="33" customFormat="1" ht="15" collapsed="1" x14ac:dyDescent="0.25">
      <c r="A101" s="35" t="s">
        <v>108</v>
      </c>
      <c r="B101" s="17"/>
      <c r="C101" s="17"/>
      <c r="D101" s="17"/>
      <c r="E101" s="17"/>
      <c r="F101" s="17">
        <f>SUM(F102:F107)</f>
        <v>173893692</v>
      </c>
      <c r="G101" s="17"/>
      <c r="H101" s="17">
        <f t="shared" si="24"/>
        <v>173893692</v>
      </c>
      <c r="I101" s="17"/>
      <c r="J101" s="17">
        <f t="shared" si="25"/>
        <v>173893692</v>
      </c>
      <c r="K101" s="17">
        <f>SUM(K102:K107)</f>
        <v>156038294</v>
      </c>
      <c r="L101" s="17">
        <f t="shared" si="17"/>
        <v>-17855398</v>
      </c>
      <c r="M101" s="18">
        <f t="shared" si="26"/>
        <v>0.89732003619774781</v>
      </c>
    </row>
    <row r="102" spans="1:13" s="33" customFormat="1" ht="15" hidden="1" outlineLevel="1" x14ac:dyDescent="0.25">
      <c r="A102" s="34" t="s">
        <v>109</v>
      </c>
      <c r="B102" s="20"/>
      <c r="C102" s="25"/>
      <c r="D102" s="25"/>
      <c r="E102" s="25"/>
      <c r="F102" s="21">
        <f>+[3]Hoja1!$M$52</f>
        <v>3000000</v>
      </c>
      <c r="G102" s="25"/>
      <c r="H102" s="20">
        <f t="shared" si="24"/>
        <v>3000000</v>
      </c>
      <c r="I102" s="25"/>
      <c r="J102" s="21">
        <f t="shared" si="25"/>
        <v>3000000</v>
      </c>
      <c r="K102" s="21">
        <v>2328740</v>
      </c>
      <c r="L102" s="21">
        <f t="shared" si="17"/>
        <v>-671260</v>
      </c>
      <c r="M102" s="22">
        <f t="shared" si="26"/>
        <v>0.77624666666666664</v>
      </c>
    </row>
    <row r="103" spans="1:13" s="33" customFormat="1" ht="15" hidden="1" outlineLevel="1" x14ac:dyDescent="0.25">
      <c r="A103" s="34" t="s">
        <v>110</v>
      </c>
      <c r="B103" s="20"/>
      <c r="C103" s="25"/>
      <c r="D103" s="25"/>
      <c r="E103" s="25"/>
      <c r="F103" s="21">
        <f>+[3]Hoja1!$M$53</f>
        <v>48828998</v>
      </c>
      <c r="G103" s="25"/>
      <c r="H103" s="20">
        <f t="shared" si="24"/>
        <v>48828998</v>
      </c>
      <c r="I103" s="25"/>
      <c r="J103" s="21">
        <f t="shared" si="25"/>
        <v>48828998</v>
      </c>
      <c r="K103" s="21">
        <v>48828998</v>
      </c>
      <c r="L103" s="21">
        <f t="shared" si="17"/>
        <v>0</v>
      </c>
      <c r="M103" s="22">
        <f t="shared" si="26"/>
        <v>1</v>
      </c>
    </row>
    <row r="104" spans="1:13" s="33" customFormat="1" ht="15" hidden="1" outlineLevel="1" x14ac:dyDescent="0.25">
      <c r="A104" s="34" t="s">
        <v>111</v>
      </c>
      <c r="B104" s="20"/>
      <c r="C104" s="25"/>
      <c r="D104" s="25"/>
      <c r="E104" s="25"/>
      <c r="F104" s="21">
        <f>+[3]Hoja1!$M$54</f>
        <v>10000000</v>
      </c>
      <c r="G104" s="25"/>
      <c r="H104" s="20">
        <f t="shared" si="24"/>
        <v>10000000</v>
      </c>
      <c r="I104" s="25"/>
      <c r="J104" s="21">
        <f t="shared" si="25"/>
        <v>10000000</v>
      </c>
      <c r="K104" s="21">
        <v>4864958</v>
      </c>
      <c r="L104" s="21">
        <f t="shared" si="17"/>
        <v>-5135042</v>
      </c>
      <c r="M104" s="22">
        <f t="shared" si="26"/>
        <v>0.48649579999999998</v>
      </c>
    </row>
    <row r="105" spans="1:13" s="33" customFormat="1" ht="15" hidden="1" outlineLevel="1" x14ac:dyDescent="0.25">
      <c r="A105" s="34" t="s">
        <v>112</v>
      </c>
      <c r="B105" s="20"/>
      <c r="C105" s="25"/>
      <c r="D105" s="25"/>
      <c r="E105" s="25"/>
      <c r="F105" s="21">
        <f>+[3]Hoja1!$M$55</f>
        <v>16000000</v>
      </c>
      <c r="G105" s="25"/>
      <c r="H105" s="20">
        <f>+B105+C105+D105+G105+E105+F105</f>
        <v>16000000</v>
      </c>
      <c r="I105" s="25"/>
      <c r="J105" s="21">
        <f>+H105+I105</f>
        <v>16000000</v>
      </c>
      <c r="K105" s="21">
        <v>12995283</v>
      </c>
      <c r="L105" s="21">
        <f t="shared" si="17"/>
        <v>-3004717</v>
      </c>
      <c r="M105" s="22">
        <f t="shared" si="26"/>
        <v>0.81220518750000004</v>
      </c>
    </row>
    <row r="106" spans="1:13" s="33" customFormat="1" ht="15" hidden="1" outlineLevel="1" x14ac:dyDescent="0.25">
      <c r="A106" s="34" t="s">
        <v>113</v>
      </c>
      <c r="B106" s="20"/>
      <c r="C106" s="25"/>
      <c r="D106" s="25"/>
      <c r="E106" s="25"/>
      <c r="F106" s="21">
        <f>+[3]Hoja1!$M$56+10937797</f>
        <v>46937797</v>
      </c>
      <c r="G106" s="25"/>
      <c r="H106" s="20">
        <f>+B106+C106+D106+G106+E106+F106</f>
        <v>46937797</v>
      </c>
      <c r="I106" s="25"/>
      <c r="J106" s="21">
        <f>+H106+I106</f>
        <v>46937797</v>
      </c>
      <c r="K106" s="21">
        <v>44898550</v>
      </c>
      <c r="L106" s="21">
        <f t="shared" si="17"/>
        <v>-2039247</v>
      </c>
      <c r="M106" s="22">
        <f t="shared" si="26"/>
        <v>0.95655426691627643</v>
      </c>
    </row>
    <row r="107" spans="1:13" s="33" customFormat="1" ht="15" hidden="1" outlineLevel="1" x14ac:dyDescent="0.25">
      <c r="A107" s="34" t="s">
        <v>114</v>
      </c>
      <c r="B107" s="20"/>
      <c r="C107" s="25"/>
      <c r="D107" s="25"/>
      <c r="E107" s="25"/>
      <c r="F107" s="21">
        <f>+[3]Hoja1!$M$57</f>
        <v>49126897</v>
      </c>
      <c r="G107" s="25"/>
      <c r="H107" s="20">
        <f t="shared" si="24"/>
        <v>49126897</v>
      </c>
      <c r="I107" s="25"/>
      <c r="J107" s="21">
        <f t="shared" si="25"/>
        <v>49126897</v>
      </c>
      <c r="K107" s="21">
        <v>42121765</v>
      </c>
      <c r="L107" s="21">
        <f t="shared" si="17"/>
        <v>-7005132</v>
      </c>
      <c r="M107" s="22">
        <f t="shared" si="26"/>
        <v>0.85740739945370459</v>
      </c>
    </row>
    <row r="108" spans="1:13" s="33" customFormat="1" ht="15" collapsed="1" x14ac:dyDescent="0.25">
      <c r="A108" s="34"/>
      <c r="B108" s="20"/>
      <c r="C108" s="25"/>
      <c r="D108" s="25"/>
      <c r="E108" s="25"/>
      <c r="F108" s="21"/>
      <c r="G108" s="25"/>
      <c r="H108" s="20"/>
      <c r="I108" s="25"/>
      <c r="J108" s="21"/>
      <c r="K108" s="21"/>
      <c r="L108" s="21"/>
      <c r="M108" s="22"/>
    </row>
    <row r="109" spans="1:13" s="33" customFormat="1" ht="15" x14ac:dyDescent="0.25">
      <c r="A109" s="35" t="s">
        <v>115</v>
      </c>
      <c r="B109" s="25"/>
      <c r="C109" s="25"/>
      <c r="D109" s="25"/>
      <c r="E109" s="25"/>
      <c r="F109" s="25"/>
      <c r="G109" s="25">
        <f>+G110+G117+G120+G123</f>
        <v>3550168135</v>
      </c>
      <c r="H109" s="25">
        <f>+H110+H117+H120+H123</f>
        <v>3550168135</v>
      </c>
      <c r="I109" s="25"/>
      <c r="J109" s="25">
        <f>+J110+J117+J120+J123</f>
        <v>3550168135</v>
      </c>
      <c r="K109" s="25">
        <f>+K110+K117+K120+K123</f>
        <v>3305543360</v>
      </c>
      <c r="L109" s="25">
        <f t="shared" ref="L109:L125" si="27">+K109-J109</f>
        <v>-244624775</v>
      </c>
      <c r="M109" s="18">
        <f t="shared" ref="M109:M125" si="28">+K109/J109</f>
        <v>0.93109487615859077</v>
      </c>
    </row>
    <row r="110" spans="1:13" s="33" customFormat="1" ht="15" x14ac:dyDescent="0.25">
      <c r="A110" s="35" t="s">
        <v>116</v>
      </c>
      <c r="B110" s="25"/>
      <c r="C110" s="25"/>
      <c r="D110" s="25"/>
      <c r="E110" s="17"/>
      <c r="F110" s="25"/>
      <c r="G110" s="17">
        <f>SUM(G111:G116)</f>
        <v>2918610000</v>
      </c>
      <c r="H110" s="17">
        <f>SUM(H111:H116)</f>
        <v>2918610000</v>
      </c>
      <c r="I110" s="25"/>
      <c r="J110" s="17">
        <f>SUM(J111:J116)</f>
        <v>2918610000</v>
      </c>
      <c r="K110" s="17">
        <f>SUM(K111:K116)</f>
        <v>2883038359</v>
      </c>
      <c r="L110" s="17">
        <f t="shared" si="27"/>
        <v>-35571641</v>
      </c>
      <c r="M110" s="18">
        <f t="shared" si="28"/>
        <v>0.9878121294040656</v>
      </c>
    </row>
    <row r="111" spans="1:13" s="33" customFormat="1" ht="15" hidden="1" outlineLevel="1" x14ac:dyDescent="0.25">
      <c r="A111" s="34" t="s">
        <v>117</v>
      </c>
      <c r="B111" s="25"/>
      <c r="C111" s="25"/>
      <c r="D111" s="25"/>
      <c r="E111" s="20"/>
      <c r="F111" s="25"/>
      <c r="G111" s="20">
        <f>+'[4]Ppto PPC II trimestre 2018'!$F$46-102000000-7000000</f>
        <v>417300000</v>
      </c>
      <c r="H111" s="20">
        <f t="shared" ref="H111:H116" si="29">+B111+C111+D111+G111+E111+F111</f>
        <v>417300000</v>
      </c>
      <c r="I111" s="25"/>
      <c r="J111" s="21">
        <f t="shared" ref="J111:J116" si="30">+H111+I111</f>
        <v>417300000</v>
      </c>
      <c r="K111" s="21">
        <v>398886538</v>
      </c>
      <c r="L111" s="21">
        <f t="shared" si="27"/>
        <v>-18413462</v>
      </c>
      <c r="M111" s="22">
        <f t="shared" si="28"/>
        <v>0.95587476156242512</v>
      </c>
    </row>
    <row r="112" spans="1:13" s="33" customFormat="1" ht="15" hidden="1" outlineLevel="1" x14ac:dyDescent="0.25">
      <c r="A112" s="34" t="s">
        <v>118</v>
      </c>
      <c r="B112" s="25"/>
      <c r="C112" s="25"/>
      <c r="D112" s="25"/>
      <c r="E112" s="20"/>
      <c r="F112" s="25"/>
      <c r="G112" s="20">
        <f>+'[4]Ppto PPC II trimestre 2018'!$F$56</f>
        <v>110000000</v>
      </c>
      <c r="H112" s="20">
        <f t="shared" si="29"/>
        <v>110000000</v>
      </c>
      <c r="I112" s="25"/>
      <c r="J112" s="21">
        <f t="shared" si="30"/>
        <v>110000000</v>
      </c>
      <c r="K112" s="21">
        <v>106858525</v>
      </c>
      <c r="L112" s="21">
        <f t="shared" si="27"/>
        <v>-3141475</v>
      </c>
      <c r="M112" s="22">
        <f t="shared" si="28"/>
        <v>0.97144113636363638</v>
      </c>
    </row>
    <row r="113" spans="1:13" s="33" customFormat="1" ht="15" hidden="1" outlineLevel="1" x14ac:dyDescent="0.25">
      <c r="A113" s="34" t="s">
        <v>119</v>
      </c>
      <c r="B113" s="25"/>
      <c r="C113" s="25"/>
      <c r="D113" s="25"/>
      <c r="E113" s="20"/>
      <c r="F113" s="25"/>
      <c r="G113" s="20">
        <f>+'[4]Ppto PPC II trimestre 2018'!$F$60</f>
        <v>52500000</v>
      </c>
      <c r="H113" s="20">
        <f t="shared" si="29"/>
        <v>52500000</v>
      </c>
      <c r="I113" s="25"/>
      <c r="J113" s="21">
        <f t="shared" si="30"/>
        <v>52500000</v>
      </c>
      <c r="K113" s="21">
        <v>47581957</v>
      </c>
      <c r="L113" s="21">
        <f t="shared" si="27"/>
        <v>-4918043</v>
      </c>
      <c r="M113" s="22">
        <f t="shared" si="28"/>
        <v>0.90632299047619047</v>
      </c>
    </row>
    <row r="114" spans="1:13" s="33" customFormat="1" ht="15" hidden="1" outlineLevel="1" x14ac:dyDescent="0.25">
      <c r="A114" s="34" t="s">
        <v>120</v>
      </c>
      <c r="B114" s="25"/>
      <c r="C114" s="25"/>
      <c r="D114" s="25"/>
      <c r="E114" s="20"/>
      <c r="F114" s="25"/>
      <c r="G114" s="20">
        <f>+'[4]Ppto PPC II trimestre 2018'!$F$65</f>
        <v>240210000</v>
      </c>
      <c r="H114" s="20">
        <f t="shared" si="29"/>
        <v>240210000</v>
      </c>
      <c r="I114" s="25"/>
      <c r="J114" s="21">
        <f t="shared" si="30"/>
        <v>240210000</v>
      </c>
      <c r="K114" s="21">
        <v>232308740</v>
      </c>
      <c r="L114" s="21">
        <f t="shared" si="27"/>
        <v>-7901260</v>
      </c>
      <c r="M114" s="22">
        <f t="shared" si="28"/>
        <v>0.96710686482661001</v>
      </c>
    </row>
    <row r="115" spans="1:13" s="33" customFormat="1" ht="15" hidden="1" outlineLevel="1" x14ac:dyDescent="0.25">
      <c r="A115" s="34" t="s">
        <v>121</v>
      </c>
      <c r="B115" s="25"/>
      <c r="C115" s="25"/>
      <c r="D115" s="25"/>
      <c r="E115" s="20"/>
      <c r="F115" s="25"/>
      <c r="G115" s="20">
        <f>+'[4]Ppto PPC II trimestre 2018'!$F$68+102000000</f>
        <v>2088000000</v>
      </c>
      <c r="H115" s="20">
        <f t="shared" si="29"/>
        <v>2088000000</v>
      </c>
      <c r="I115" s="25"/>
      <c r="J115" s="21">
        <f t="shared" si="30"/>
        <v>2088000000</v>
      </c>
      <c r="K115" s="21">
        <v>2087251979</v>
      </c>
      <c r="L115" s="21">
        <f t="shared" si="27"/>
        <v>-748021</v>
      </c>
      <c r="M115" s="22">
        <f t="shared" si="28"/>
        <v>0.99964175239463604</v>
      </c>
    </row>
    <row r="116" spans="1:13" s="33" customFormat="1" ht="15" hidden="1" outlineLevel="1" x14ac:dyDescent="0.25">
      <c r="A116" s="34" t="s">
        <v>122</v>
      </c>
      <c r="B116" s="25"/>
      <c r="C116" s="25"/>
      <c r="D116" s="25"/>
      <c r="E116" s="20"/>
      <c r="F116" s="25"/>
      <c r="G116" s="20">
        <f>+'[4]Ppto PPC II trimestre 2018'!$F$71+7000000</f>
        <v>10600000</v>
      </c>
      <c r="H116" s="20">
        <f t="shared" si="29"/>
        <v>10600000</v>
      </c>
      <c r="I116" s="25"/>
      <c r="J116" s="21">
        <f t="shared" si="30"/>
        <v>10600000</v>
      </c>
      <c r="K116" s="21">
        <v>10150620</v>
      </c>
      <c r="L116" s="21">
        <f t="shared" si="27"/>
        <v>-449380</v>
      </c>
      <c r="M116" s="22">
        <f t="shared" si="28"/>
        <v>0.9576056603773585</v>
      </c>
    </row>
    <row r="117" spans="1:13" s="33" customFormat="1" ht="15" collapsed="1" x14ac:dyDescent="0.25">
      <c r="A117" s="35" t="s">
        <v>123</v>
      </c>
      <c r="B117" s="25"/>
      <c r="C117" s="25"/>
      <c r="D117" s="25"/>
      <c r="E117" s="17"/>
      <c r="F117" s="25"/>
      <c r="G117" s="17">
        <f>SUM(G118:G119)</f>
        <v>146493460</v>
      </c>
      <c r="H117" s="17">
        <f>SUM(H118:H119)</f>
        <v>146493460</v>
      </c>
      <c r="I117" s="25"/>
      <c r="J117" s="17">
        <f>SUM(J118:J119)</f>
        <v>146493460</v>
      </c>
      <c r="K117" s="17">
        <f>SUM(K118:K119)</f>
        <v>83629770</v>
      </c>
      <c r="L117" s="17">
        <f t="shared" si="27"/>
        <v>-62863690</v>
      </c>
      <c r="M117" s="18">
        <f t="shared" si="28"/>
        <v>0.5708771572464737</v>
      </c>
    </row>
    <row r="118" spans="1:13" s="33" customFormat="1" ht="15" hidden="1" outlineLevel="1" x14ac:dyDescent="0.25">
      <c r="A118" s="34" t="s">
        <v>124</v>
      </c>
      <c r="B118" s="25"/>
      <c r="C118" s="25"/>
      <c r="D118" s="25"/>
      <c r="E118" s="20"/>
      <c r="F118" s="25"/>
      <c r="G118" s="20">
        <f>+'[4]Ppto PPC II trimestre 2018'!$F$75</f>
        <v>50493460</v>
      </c>
      <c r="H118" s="20">
        <f>+B118+C118+D118+G118+E118+F118</f>
        <v>50493460</v>
      </c>
      <c r="I118" s="25"/>
      <c r="J118" s="21">
        <f>+H118+I118</f>
        <v>50493460</v>
      </c>
      <c r="K118" s="21">
        <v>49679510</v>
      </c>
      <c r="L118" s="21">
        <f t="shared" si="27"/>
        <v>-813950</v>
      </c>
      <c r="M118" s="22">
        <f t="shared" si="28"/>
        <v>0.98388009060975423</v>
      </c>
    </row>
    <row r="119" spans="1:13" s="33" customFormat="1" ht="15" hidden="1" outlineLevel="1" x14ac:dyDescent="0.25">
      <c r="A119" s="34" t="s">
        <v>125</v>
      </c>
      <c r="B119" s="25"/>
      <c r="C119" s="25"/>
      <c r="D119" s="25"/>
      <c r="E119" s="20"/>
      <c r="F119" s="25"/>
      <c r="G119" s="20">
        <f>+'[4]Ppto PPC II trimestre 2018'!$F$89+36000000</f>
        <v>96000000</v>
      </c>
      <c r="H119" s="20">
        <f>+B119+C119+D119+G119+E119+F119</f>
        <v>96000000</v>
      </c>
      <c r="I119" s="25"/>
      <c r="J119" s="21">
        <f>+H119+I119</f>
        <v>96000000</v>
      </c>
      <c r="K119" s="21">
        <v>33950260</v>
      </c>
      <c r="L119" s="21">
        <f t="shared" si="27"/>
        <v>-62049740</v>
      </c>
      <c r="M119" s="22">
        <f t="shared" si="28"/>
        <v>0.35364854166666665</v>
      </c>
    </row>
    <row r="120" spans="1:13" s="33" customFormat="1" ht="15" collapsed="1" x14ac:dyDescent="0.25">
      <c r="A120" s="35" t="s">
        <v>126</v>
      </c>
      <c r="B120" s="25"/>
      <c r="C120" s="25"/>
      <c r="D120" s="25"/>
      <c r="E120" s="17"/>
      <c r="F120" s="25"/>
      <c r="G120" s="17">
        <f>SUM(G121:G122)</f>
        <v>302064675</v>
      </c>
      <c r="H120" s="17">
        <f>SUM(H121:H122)</f>
        <v>302064675</v>
      </c>
      <c r="I120" s="25"/>
      <c r="J120" s="17">
        <f>SUM(J121:J122)</f>
        <v>302064675</v>
      </c>
      <c r="K120" s="17">
        <f>SUM(K121:K122)</f>
        <v>166387146</v>
      </c>
      <c r="L120" s="17">
        <f t="shared" si="27"/>
        <v>-135677529</v>
      </c>
      <c r="M120" s="18">
        <f t="shared" si="28"/>
        <v>0.55083285061386278</v>
      </c>
    </row>
    <row r="121" spans="1:13" s="33" customFormat="1" ht="15" hidden="1" outlineLevel="1" x14ac:dyDescent="0.25">
      <c r="A121" s="34" t="str">
        <f>+'[5]Presupuesto 2017 vs 2018'!$B$37</f>
        <v>Diagnóstico Rutinario</v>
      </c>
      <c r="B121" s="25"/>
      <c r="C121" s="25"/>
      <c r="D121" s="25"/>
      <c r="E121" s="20"/>
      <c r="F121" s="25"/>
      <c r="G121" s="20">
        <f>+'[4]Ppto PPC II trimestre 2018'!$F$94</f>
        <v>225000000</v>
      </c>
      <c r="H121" s="20">
        <f>+B121+C121+D121+G121+E121+F121</f>
        <v>225000000</v>
      </c>
      <c r="I121" s="25"/>
      <c r="J121" s="21">
        <f>+H121+I121</f>
        <v>225000000</v>
      </c>
      <c r="K121" s="21">
        <v>119072468</v>
      </c>
      <c r="L121" s="21">
        <f t="shared" si="27"/>
        <v>-105927532</v>
      </c>
      <c r="M121" s="22">
        <f t="shared" si="28"/>
        <v>0.52921096888888886</v>
      </c>
    </row>
    <row r="122" spans="1:13" s="33" customFormat="1" ht="15" hidden="1" outlineLevel="1" x14ac:dyDescent="0.25">
      <c r="A122" s="34" t="str">
        <f>+'[5]Presupuesto 2017 vs 2018'!$B$40</f>
        <v>Trabajo con autoridades y puestos de control</v>
      </c>
      <c r="B122" s="25"/>
      <c r="C122" s="25"/>
      <c r="D122" s="25"/>
      <c r="E122" s="20"/>
      <c r="F122" s="25"/>
      <c r="G122" s="20">
        <f>+'[4]Ppto PPC II trimestre 2018'!$F$98</f>
        <v>77064675</v>
      </c>
      <c r="H122" s="20">
        <f>+B122+C122+D122+G122+E122+F122</f>
        <v>77064675</v>
      </c>
      <c r="I122" s="25"/>
      <c r="J122" s="21">
        <f>+H122+I122</f>
        <v>77064675</v>
      </c>
      <c r="K122" s="21">
        <v>47314678</v>
      </c>
      <c r="L122" s="21">
        <f t="shared" si="27"/>
        <v>-29749997</v>
      </c>
      <c r="M122" s="22">
        <f t="shared" si="28"/>
        <v>0.61396065058342231</v>
      </c>
    </row>
    <row r="123" spans="1:13" s="33" customFormat="1" ht="15" collapsed="1" x14ac:dyDescent="0.25">
      <c r="A123" s="35" t="s">
        <v>127</v>
      </c>
      <c r="B123" s="25"/>
      <c r="C123" s="25"/>
      <c r="D123" s="25"/>
      <c r="E123" s="17"/>
      <c r="F123" s="25"/>
      <c r="G123" s="17">
        <f>SUM(G124:G125)</f>
        <v>183000000</v>
      </c>
      <c r="H123" s="17">
        <f>SUM(H124:H125)</f>
        <v>183000000</v>
      </c>
      <c r="I123" s="17"/>
      <c r="J123" s="17">
        <f>SUM(J124:J125)</f>
        <v>183000000</v>
      </c>
      <c r="K123" s="17">
        <f>SUM(K124:K125)</f>
        <v>172488085</v>
      </c>
      <c r="L123" s="17">
        <f t="shared" si="27"/>
        <v>-10511915</v>
      </c>
      <c r="M123" s="18">
        <f t="shared" si="28"/>
        <v>0.94255784153005462</v>
      </c>
    </row>
    <row r="124" spans="1:13" s="33" customFormat="1" ht="15" hidden="1" outlineLevel="1" x14ac:dyDescent="0.25">
      <c r="A124" s="34" t="s">
        <v>128</v>
      </c>
      <c r="B124" s="25"/>
      <c r="C124" s="25"/>
      <c r="D124" s="25"/>
      <c r="E124" s="20"/>
      <c r="F124" s="25"/>
      <c r="G124" s="20">
        <f>+'[4]Ppto PPC II trimestre 2018'!$F$105-4000000</f>
        <v>135000000</v>
      </c>
      <c r="H124" s="20">
        <f>+B124+C124+D124+G124+E124+F124</f>
        <v>135000000</v>
      </c>
      <c r="I124" s="25"/>
      <c r="J124" s="21">
        <f>+H124+I124</f>
        <v>135000000</v>
      </c>
      <c r="K124" s="21">
        <v>124565667</v>
      </c>
      <c r="L124" s="21">
        <f t="shared" si="27"/>
        <v>-10434333</v>
      </c>
      <c r="M124" s="22">
        <f t="shared" si="28"/>
        <v>0.92270864444444445</v>
      </c>
    </row>
    <row r="125" spans="1:13" s="33" customFormat="1" ht="15" hidden="1" outlineLevel="1" x14ac:dyDescent="0.25">
      <c r="A125" s="34" t="s">
        <v>129</v>
      </c>
      <c r="B125" s="25"/>
      <c r="C125" s="25"/>
      <c r="D125" s="25"/>
      <c r="E125" s="20"/>
      <c r="F125" s="25"/>
      <c r="G125" s="20">
        <f>+'[4]Ppto PPC II trimestre 2018'!$F$106+4000000</f>
        <v>48000000</v>
      </c>
      <c r="H125" s="20">
        <f>+B125+C125+D125+G125+E125+F125</f>
        <v>48000000</v>
      </c>
      <c r="I125" s="25"/>
      <c r="J125" s="21">
        <f>+H125+I125</f>
        <v>48000000</v>
      </c>
      <c r="K125" s="21">
        <v>47922418</v>
      </c>
      <c r="L125" s="21">
        <f t="shared" si="27"/>
        <v>-77582</v>
      </c>
      <c r="M125" s="22">
        <f t="shared" si="28"/>
        <v>0.99838370833333334</v>
      </c>
    </row>
    <row r="126" spans="1:13" s="33" customFormat="1" ht="15" collapsed="1" x14ac:dyDescent="0.25">
      <c r="A126" s="34"/>
      <c r="B126" s="25"/>
      <c r="C126" s="25"/>
      <c r="D126" s="25"/>
      <c r="E126" s="21"/>
      <c r="F126" s="25"/>
      <c r="G126" s="21"/>
      <c r="H126" s="20"/>
      <c r="I126" s="25"/>
      <c r="J126" s="21"/>
      <c r="K126" s="21"/>
      <c r="L126" s="21"/>
      <c r="M126" s="22"/>
    </row>
    <row r="127" spans="1:13" s="38" customFormat="1" ht="15" x14ac:dyDescent="0.25">
      <c r="A127" s="35" t="s">
        <v>130</v>
      </c>
      <c r="B127" s="36"/>
      <c r="C127" s="17">
        <f>+C128+C132+C135+C138</f>
        <v>461817914.12827206</v>
      </c>
      <c r="D127" s="36"/>
      <c r="E127" s="37"/>
      <c r="F127" s="36"/>
      <c r="G127" s="37"/>
      <c r="H127" s="17">
        <f>+H128+H132+H135+H138</f>
        <v>461817914.12827206</v>
      </c>
      <c r="I127" s="36"/>
      <c r="J127" s="17">
        <f>+H127+I127</f>
        <v>461817914.12827206</v>
      </c>
      <c r="K127" s="17">
        <f>+K128+K132+K135+K138</f>
        <v>400097528.61182797</v>
      </c>
      <c r="L127" s="17">
        <f t="shared" ref="L127:L139" si="31">+K127-J127</f>
        <v>-61720385.516444087</v>
      </c>
      <c r="M127" s="18">
        <f>+K127/J127</f>
        <v>0.86635341846158664</v>
      </c>
    </row>
    <row r="128" spans="1:13" s="33" customFormat="1" ht="15" x14ac:dyDescent="0.25">
      <c r="A128" s="35" t="s">
        <v>131</v>
      </c>
      <c r="B128" s="36"/>
      <c r="C128" s="25">
        <f>SUM(C129:C131)</f>
        <v>136937849.7401</v>
      </c>
      <c r="D128" s="25"/>
      <c r="E128" s="25"/>
      <c r="F128" s="25"/>
      <c r="G128" s="25"/>
      <c r="H128" s="17">
        <f>+B128+C128+D128+G128+E128+F128</f>
        <v>136937849.7401</v>
      </c>
      <c r="I128" s="17"/>
      <c r="J128" s="25">
        <f>SUM(J129:J131)</f>
        <v>136937849.7401</v>
      </c>
      <c r="K128" s="25">
        <f>SUM(K129:K131)</f>
        <v>106980110</v>
      </c>
      <c r="L128" s="25">
        <f t="shared" si="31"/>
        <v>-29957739.740099996</v>
      </c>
      <c r="M128" s="18">
        <f>+K128/J128</f>
        <v>0.78123112202391065</v>
      </c>
    </row>
    <row r="129" spans="1:13" s="33" customFormat="1" ht="15" hidden="1" outlineLevel="1" x14ac:dyDescent="0.25">
      <c r="A129" s="34" t="s">
        <v>132</v>
      </c>
      <c r="B129" s="36"/>
      <c r="C129" s="21">
        <f>+[6]General!$G$22+19000000</f>
        <v>105127173.7401</v>
      </c>
      <c r="D129" s="25"/>
      <c r="E129" s="25"/>
      <c r="F129" s="25"/>
      <c r="G129" s="25"/>
      <c r="H129" s="21">
        <f>+B129+C129+D129+G129+E129+F129</f>
        <v>105127173.7401</v>
      </c>
      <c r="I129" s="17"/>
      <c r="J129" s="21">
        <f t="shared" ref="J129:J136" si="32">+H129+I129</f>
        <v>105127173.7401</v>
      </c>
      <c r="K129" s="21">
        <v>78835815</v>
      </c>
      <c r="L129" s="21">
        <f t="shared" si="31"/>
        <v>-26291358.740099996</v>
      </c>
      <c r="M129" s="22">
        <f>+K129/J129</f>
        <v>0.74990901205906435</v>
      </c>
    </row>
    <row r="130" spans="1:13" s="33" customFormat="1" ht="15" hidden="1" outlineLevel="1" x14ac:dyDescent="0.25">
      <c r="A130" s="34" t="s">
        <v>133</v>
      </c>
      <c r="B130" s="36"/>
      <c r="C130" s="21"/>
      <c r="D130" s="25"/>
      <c r="E130" s="25"/>
      <c r="F130" s="25"/>
      <c r="G130" s="25"/>
      <c r="H130" s="21">
        <f t="shared" ref="H130:H136" si="33">+B130+C130+D130+G130+E130+F130</f>
        <v>0</v>
      </c>
      <c r="I130" s="17"/>
      <c r="J130" s="21">
        <f t="shared" si="32"/>
        <v>0</v>
      </c>
      <c r="K130" s="21">
        <v>0</v>
      </c>
      <c r="L130" s="21">
        <f t="shared" si="31"/>
        <v>0</v>
      </c>
      <c r="M130" s="22">
        <v>0</v>
      </c>
    </row>
    <row r="131" spans="1:13" s="33" customFormat="1" ht="15" hidden="1" outlineLevel="1" x14ac:dyDescent="0.25">
      <c r="A131" s="34" t="s">
        <v>134</v>
      </c>
      <c r="B131" s="36"/>
      <c r="C131" s="21">
        <f>+[6]General!$G$24+22000000</f>
        <v>31810676</v>
      </c>
      <c r="D131" s="25"/>
      <c r="E131" s="25"/>
      <c r="F131" s="25"/>
      <c r="G131" s="25"/>
      <c r="H131" s="21">
        <f t="shared" si="33"/>
        <v>31810676</v>
      </c>
      <c r="I131" s="17"/>
      <c r="J131" s="21">
        <f t="shared" si="32"/>
        <v>31810676</v>
      </c>
      <c r="K131" s="21">
        <v>28144295</v>
      </c>
      <c r="L131" s="21">
        <f t="shared" si="31"/>
        <v>-3666381</v>
      </c>
      <c r="M131" s="22">
        <f t="shared" ref="M131:M139" si="34">+K131/J131</f>
        <v>0.88474369422391397</v>
      </c>
    </row>
    <row r="132" spans="1:13" s="33" customFormat="1" ht="15" collapsed="1" x14ac:dyDescent="0.25">
      <c r="A132" s="35" t="s">
        <v>135</v>
      </c>
      <c r="B132" s="36"/>
      <c r="C132" s="25">
        <f>SUM(C133:C134)</f>
        <v>293895530.38817203</v>
      </c>
      <c r="D132" s="25"/>
      <c r="E132" s="25"/>
      <c r="F132" s="25"/>
      <c r="G132" s="25"/>
      <c r="H132" s="17">
        <f>+B132+C132+D132+G132+E132+F132</f>
        <v>293895530.38817203</v>
      </c>
      <c r="I132" s="17"/>
      <c r="J132" s="25">
        <f>SUM(J133:J134)</f>
        <v>293895530.38817203</v>
      </c>
      <c r="K132" s="25">
        <f>SUM(K133:K134)</f>
        <v>265846356.61182797</v>
      </c>
      <c r="L132" s="25">
        <f t="shared" si="31"/>
        <v>-28049173.776344061</v>
      </c>
      <c r="M132" s="18">
        <f t="shared" si="34"/>
        <v>0.90456073374339108</v>
      </c>
    </row>
    <row r="133" spans="1:13" s="33" customFormat="1" ht="15" hidden="1" outlineLevel="1" x14ac:dyDescent="0.25">
      <c r="A133" s="34" t="s">
        <v>136</v>
      </c>
      <c r="B133" s="36"/>
      <c r="C133" s="21">
        <f>+[6]General!$G$26</f>
        <v>187226800.38817203</v>
      </c>
      <c r="D133" s="25"/>
      <c r="E133" s="25"/>
      <c r="F133" s="25"/>
      <c r="G133" s="25"/>
      <c r="H133" s="21">
        <f t="shared" si="33"/>
        <v>187226800.38817203</v>
      </c>
      <c r="I133" s="17"/>
      <c r="J133" s="21">
        <f t="shared" si="32"/>
        <v>187226800.38817203</v>
      </c>
      <c r="K133" s="21">
        <v>187226799.61182797</v>
      </c>
      <c r="L133" s="21">
        <f t="shared" si="31"/>
        <v>-0.77634406089782715</v>
      </c>
      <c r="M133" s="22">
        <f t="shared" si="34"/>
        <v>0.99999999585345656</v>
      </c>
    </row>
    <row r="134" spans="1:13" s="33" customFormat="1" ht="15" hidden="1" outlineLevel="1" x14ac:dyDescent="0.25">
      <c r="A134" s="34" t="s">
        <v>137</v>
      </c>
      <c r="B134" s="36"/>
      <c r="C134" s="21">
        <f>+[6]General!$G$27</f>
        <v>106668730</v>
      </c>
      <c r="D134" s="25"/>
      <c r="E134" s="25"/>
      <c r="F134" s="25"/>
      <c r="G134" s="25"/>
      <c r="H134" s="21">
        <f t="shared" si="33"/>
        <v>106668730</v>
      </c>
      <c r="I134" s="17"/>
      <c r="J134" s="21">
        <f t="shared" si="32"/>
        <v>106668730</v>
      </c>
      <c r="K134" s="21">
        <v>78619557</v>
      </c>
      <c r="L134" s="21">
        <f t="shared" si="31"/>
        <v>-28049173</v>
      </c>
      <c r="M134" s="22">
        <f t="shared" si="34"/>
        <v>0.7370440896783903</v>
      </c>
    </row>
    <row r="135" spans="1:13" s="33" customFormat="1" ht="15" collapsed="1" x14ac:dyDescent="0.25">
      <c r="A135" s="35" t="s">
        <v>138</v>
      </c>
      <c r="B135" s="36"/>
      <c r="C135" s="25">
        <f>SUM(C136:C137)</f>
        <v>14244989</v>
      </c>
      <c r="D135" s="25"/>
      <c r="E135" s="25"/>
      <c r="F135" s="25"/>
      <c r="G135" s="25"/>
      <c r="H135" s="17">
        <f>+B135+C135+D135+G135+E135+F135</f>
        <v>14244989</v>
      </c>
      <c r="I135" s="17"/>
      <c r="J135" s="25">
        <f>SUM(J136:J137)</f>
        <v>14244989</v>
      </c>
      <c r="K135" s="25">
        <f>SUM(K136:K137)</f>
        <v>13729444</v>
      </c>
      <c r="L135" s="25">
        <f t="shared" si="31"/>
        <v>-515545</v>
      </c>
      <c r="M135" s="18">
        <f t="shared" si="34"/>
        <v>0.9638086768617371</v>
      </c>
    </row>
    <row r="136" spans="1:13" s="33" customFormat="1" ht="15" hidden="1" outlineLevel="1" x14ac:dyDescent="0.25">
      <c r="A136" s="34" t="s">
        <v>139</v>
      </c>
      <c r="B136" s="36"/>
      <c r="C136" s="21">
        <f>+[6]General!$G$29</f>
        <v>4287312</v>
      </c>
      <c r="D136" s="25"/>
      <c r="E136" s="25"/>
      <c r="F136" s="25"/>
      <c r="G136" s="25"/>
      <c r="H136" s="21">
        <f t="shared" si="33"/>
        <v>4287312</v>
      </c>
      <c r="I136" s="17"/>
      <c r="J136" s="21">
        <f t="shared" si="32"/>
        <v>4287312</v>
      </c>
      <c r="K136" s="21">
        <v>4254693</v>
      </c>
      <c r="L136" s="21">
        <f t="shared" si="31"/>
        <v>-32619</v>
      </c>
      <c r="M136" s="22">
        <f t="shared" si="34"/>
        <v>0.99239173636068478</v>
      </c>
    </row>
    <row r="137" spans="1:13" s="33" customFormat="1" ht="15" hidden="1" outlineLevel="1" x14ac:dyDescent="0.25">
      <c r="A137" s="34" t="s">
        <v>140</v>
      </c>
      <c r="B137" s="36"/>
      <c r="C137" s="21">
        <f>+[6]General!$G$30</f>
        <v>9957677</v>
      </c>
      <c r="D137" s="25"/>
      <c r="E137" s="25"/>
      <c r="F137" s="25"/>
      <c r="G137" s="25"/>
      <c r="H137" s="21">
        <f>+B137+C137+D137+G137+E137+F137</f>
        <v>9957677</v>
      </c>
      <c r="I137" s="17"/>
      <c r="J137" s="21">
        <f>+H137+I137</f>
        <v>9957677</v>
      </c>
      <c r="K137" s="21">
        <v>9474751</v>
      </c>
      <c r="L137" s="21">
        <f t="shared" si="31"/>
        <v>-482926</v>
      </c>
      <c r="M137" s="22">
        <f t="shared" si="34"/>
        <v>0.95150214251777798</v>
      </c>
    </row>
    <row r="138" spans="1:13" s="33" customFormat="1" ht="15" collapsed="1" x14ac:dyDescent="0.25">
      <c r="A138" s="35" t="s">
        <v>141</v>
      </c>
      <c r="B138" s="36"/>
      <c r="C138" s="25">
        <f>SUM(C139)</f>
        <v>16739545</v>
      </c>
      <c r="D138" s="25"/>
      <c r="E138" s="25"/>
      <c r="F138" s="25"/>
      <c r="G138" s="25"/>
      <c r="H138" s="17">
        <f>+B138+C138+D138+G138+E138+F138</f>
        <v>16739545</v>
      </c>
      <c r="I138" s="17"/>
      <c r="J138" s="25">
        <f>SUM(J139)</f>
        <v>16739545</v>
      </c>
      <c r="K138" s="25">
        <f>SUM(K139)</f>
        <v>13541618</v>
      </c>
      <c r="L138" s="25">
        <f t="shared" si="31"/>
        <v>-3197927</v>
      </c>
      <c r="M138" s="18">
        <f t="shared" si="34"/>
        <v>0.80895974173730534</v>
      </c>
    </row>
    <row r="139" spans="1:13" s="33" customFormat="1" ht="15" hidden="1" outlineLevel="1" x14ac:dyDescent="0.25">
      <c r="A139" s="34" t="s">
        <v>142</v>
      </c>
      <c r="B139" s="36"/>
      <c r="C139" s="21">
        <f>+[6]General!$G$32</f>
        <v>16739545</v>
      </c>
      <c r="D139" s="25"/>
      <c r="E139" s="25"/>
      <c r="F139" s="25"/>
      <c r="G139" s="25"/>
      <c r="H139" s="21">
        <f>+B139+C139+D139+G139+E139+F139</f>
        <v>16739545</v>
      </c>
      <c r="I139" s="17"/>
      <c r="J139" s="21">
        <f>+H139+I139</f>
        <v>16739545</v>
      </c>
      <c r="K139" s="21">
        <v>13541618</v>
      </c>
      <c r="L139" s="21">
        <f t="shared" si="31"/>
        <v>-3197927</v>
      </c>
      <c r="M139" s="22">
        <f t="shared" si="34"/>
        <v>0.80895974173730534</v>
      </c>
    </row>
    <row r="140" spans="1:13" s="33" customFormat="1" ht="15" collapsed="1" x14ac:dyDescent="0.25">
      <c r="A140" s="34"/>
      <c r="B140" s="36"/>
      <c r="C140" s="25"/>
      <c r="D140" s="25"/>
      <c r="E140" s="25"/>
      <c r="F140" s="25"/>
      <c r="G140" s="25"/>
      <c r="H140" s="21"/>
      <c r="I140" s="25"/>
      <c r="J140" s="21"/>
      <c r="K140" s="21"/>
      <c r="L140" s="21"/>
      <c r="M140" s="22"/>
    </row>
    <row r="141" spans="1:13" s="33" customFormat="1" ht="15" x14ac:dyDescent="0.25">
      <c r="A141" s="35" t="s">
        <v>143</v>
      </c>
      <c r="B141" s="36"/>
      <c r="C141" s="25"/>
      <c r="D141" s="25">
        <f>+D142+D146+D159</f>
        <v>665530000</v>
      </c>
      <c r="E141" s="25"/>
      <c r="F141" s="25"/>
      <c r="G141" s="25"/>
      <c r="H141" s="25">
        <f>+H142+H146+H159</f>
        <v>665530000</v>
      </c>
      <c r="I141" s="25"/>
      <c r="J141" s="17">
        <f>+H141+I141</f>
        <v>665530000</v>
      </c>
      <c r="K141" s="25">
        <f>+K142+K146+K159</f>
        <v>482928779</v>
      </c>
      <c r="L141" s="17">
        <f t="shared" ref="L141:L173" si="35">+K141-J141</f>
        <v>-182601221</v>
      </c>
      <c r="M141" s="18">
        <f>+K141/J141</f>
        <v>0.72563036827791383</v>
      </c>
    </row>
    <row r="142" spans="1:13" s="33" customFormat="1" ht="15" x14ac:dyDescent="0.25">
      <c r="A142" s="35" t="s">
        <v>144</v>
      </c>
      <c r="B142" s="25"/>
      <c r="C142" s="25"/>
      <c r="D142" s="25">
        <f>SUM(D143:D145)</f>
        <v>157400000</v>
      </c>
      <c r="E142" s="25"/>
      <c r="F142" s="25"/>
      <c r="G142" s="25"/>
      <c r="H142" s="25">
        <f>SUM(H143:H145)</f>
        <v>157400000</v>
      </c>
      <c r="I142" s="25"/>
      <c r="J142" s="25">
        <f>SUM(J143:J145)</f>
        <v>157400000</v>
      </c>
      <c r="K142" s="25">
        <f>SUM(K143:K145)</f>
        <v>81497620</v>
      </c>
      <c r="L142" s="25">
        <f t="shared" si="35"/>
        <v>-75902380</v>
      </c>
      <c r="M142" s="18">
        <f>+K142/J142</f>
        <v>0.51777395171537488</v>
      </c>
    </row>
    <row r="143" spans="1:13" s="33" customFormat="1" ht="15" hidden="1" outlineLevel="1" x14ac:dyDescent="0.25">
      <c r="A143" s="34" t="s">
        <v>145</v>
      </c>
      <c r="B143" s="25"/>
      <c r="C143" s="25"/>
      <c r="D143" s="21">
        <f>+'[7]Ejecución ene-mar 2018'!$J$8</f>
        <v>153000000</v>
      </c>
      <c r="E143" s="25"/>
      <c r="F143" s="25"/>
      <c r="G143" s="25"/>
      <c r="H143" s="20">
        <f>+B143+C143+D143+G143+E143+F143</f>
        <v>153000000</v>
      </c>
      <c r="I143" s="25"/>
      <c r="J143" s="21">
        <f>+H143+I143</f>
        <v>153000000</v>
      </c>
      <c r="K143" s="21">
        <v>77535501</v>
      </c>
      <c r="L143" s="21">
        <f t="shared" si="35"/>
        <v>-75464499</v>
      </c>
      <c r="M143" s="22">
        <f>+K143/J143</f>
        <v>0.50676798039215687</v>
      </c>
    </row>
    <row r="144" spans="1:13" s="33" customFormat="1" ht="15" hidden="1" outlineLevel="1" x14ac:dyDescent="0.25">
      <c r="A144" s="34" t="s">
        <v>146</v>
      </c>
      <c r="B144" s="25"/>
      <c r="C144" s="25"/>
      <c r="D144" s="21">
        <f>+'[7]Ejecución ene-mar 2018'!$J$9</f>
        <v>4400000</v>
      </c>
      <c r="E144" s="25"/>
      <c r="F144" s="25"/>
      <c r="G144" s="25"/>
      <c r="H144" s="20">
        <f>+B144+C144+D144+G144+E144+F144</f>
        <v>4400000</v>
      </c>
      <c r="I144" s="25"/>
      <c r="J144" s="21">
        <f>+H144+I144</f>
        <v>4400000</v>
      </c>
      <c r="K144" s="21">
        <v>3962119</v>
      </c>
      <c r="L144" s="21">
        <f t="shared" si="35"/>
        <v>-437881</v>
      </c>
      <c r="M144" s="22">
        <f>+K144/J144</f>
        <v>0.90048159090909086</v>
      </c>
    </row>
    <row r="145" spans="1:13" s="33" customFormat="1" ht="15" hidden="1" outlineLevel="1" x14ac:dyDescent="0.25">
      <c r="A145" s="34" t="s">
        <v>147</v>
      </c>
      <c r="B145" s="25"/>
      <c r="C145" s="25"/>
      <c r="D145" s="21"/>
      <c r="E145" s="25"/>
      <c r="F145" s="25"/>
      <c r="G145" s="25"/>
      <c r="H145" s="20">
        <f>+B145+C145+D145+G145+E145+F145</f>
        <v>0</v>
      </c>
      <c r="I145" s="25"/>
      <c r="J145" s="21">
        <f>+H145+I145</f>
        <v>0</v>
      </c>
      <c r="K145" s="21"/>
      <c r="L145" s="21">
        <f t="shared" si="35"/>
        <v>0</v>
      </c>
      <c r="M145" s="22">
        <v>0</v>
      </c>
    </row>
    <row r="146" spans="1:13" s="33" customFormat="1" ht="15" collapsed="1" x14ac:dyDescent="0.25">
      <c r="A146" s="35" t="s">
        <v>148</v>
      </c>
      <c r="B146" s="25"/>
      <c r="C146" s="25"/>
      <c r="D146" s="25">
        <f>+D147+D155</f>
        <v>240330000</v>
      </c>
      <c r="E146" s="25"/>
      <c r="F146" s="25"/>
      <c r="G146" s="25"/>
      <c r="H146" s="25">
        <f>+H147+H155</f>
        <v>240330000</v>
      </c>
      <c r="I146" s="25"/>
      <c r="J146" s="25">
        <f>+J147+J155</f>
        <v>240330000</v>
      </c>
      <c r="K146" s="25">
        <f>+K147+K155</f>
        <v>189130917</v>
      </c>
      <c r="L146" s="25">
        <f t="shared" si="35"/>
        <v>-51199083</v>
      </c>
      <c r="M146" s="18">
        <f>+K146/J146</f>
        <v>0.78696341280738979</v>
      </c>
    </row>
    <row r="147" spans="1:13" s="33" customFormat="1" ht="15" hidden="1" outlineLevel="1" x14ac:dyDescent="0.25">
      <c r="A147" s="35" t="s">
        <v>149</v>
      </c>
      <c r="B147" s="25"/>
      <c r="C147" s="25"/>
      <c r="D147" s="25">
        <f>SUM(D148:D154)</f>
        <v>126000000</v>
      </c>
      <c r="E147" s="25"/>
      <c r="F147" s="25"/>
      <c r="G147" s="25"/>
      <c r="H147" s="25">
        <f>SUM(H148:H154)</f>
        <v>126000000</v>
      </c>
      <c r="I147" s="25"/>
      <c r="J147" s="25">
        <f>SUM(J148:J154)</f>
        <v>126000000</v>
      </c>
      <c r="K147" s="25">
        <f>SUM(K148:K154)</f>
        <v>105318060</v>
      </c>
      <c r="L147" s="25">
        <f t="shared" si="35"/>
        <v>-20681940</v>
      </c>
      <c r="M147" s="18">
        <f>+K147/J147</f>
        <v>0.83585761904761902</v>
      </c>
    </row>
    <row r="148" spans="1:13" s="33" customFormat="1" ht="15" hidden="1" outlineLevel="2" x14ac:dyDescent="0.25">
      <c r="A148" s="34" t="str">
        <f>+[8]Hoja1!$A$23</f>
        <v>Gira técnica</v>
      </c>
      <c r="B148" s="25"/>
      <c r="C148" s="25"/>
      <c r="D148" s="21">
        <f>+'[7]Ejecución ene-mar 2018'!$J$11</f>
        <v>10000000</v>
      </c>
      <c r="E148" s="25"/>
      <c r="F148" s="25"/>
      <c r="G148" s="25"/>
      <c r="H148" s="20">
        <f t="shared" ref="H148:H154" si="36">+B148+C148+D148+G148+E148+F148</f>
        <v>10000000</v>
      </c>
      <c r="I148" s="25"/>
      <c r="J148" s="21">
        <f t="shared" ref="J148:J154" si="37">+H148+I148</f>
        <v>10000000</v>
      </c>
      <c r="K148" s="21">
        <v>2208520</v>
      </c>
      <c r="L148" s="21">
        <f t="shared" si="35"/>
        <v>-7791480</v>
      </c>
      <c r="M148" s="22">
        <f>+K148/J148</f>
        <v>0.22085199999999999</v>
      </c>
    </row>
    <row r="149" spans="1:13" s="33" customFormat="1" ht="15" hidden="1" outlineLevel="2" x14ac:dyDescent="0.25">
      <c r="A149" s="34" t="str">
        <f>+[8]Hoja1!$A$24</f>
        <v>Capacitación en desposte y transformación de la carne de cerdo</v>
      </c>
      <c r="B149" s="25"/>
      <c r="C149" s="25"/>
      <c r="D149" s="21">
        <f>+'[7]Ejecución ene-mar 2018'!$J$12</f>
        <v>14000000</v>
      </c>
      <c r="E149" s="25"/>
      <c r="F149" s="25"/>
      <c r="G149" s="25"/>
      <c r="H149" s="20">
        <f t="shared" si="36"/>
        <v>14000000</v>
      </c>
      <c r="I149" s="25"/>
      <c r="J149" s="21">
        <f t="shared" si="37"/>
        <v>14000000</v>
      </c>
      <c r="K149" s="21">
        <v>13690140</v>
      </c>
      <c r="L149" s="21">
        <f t="shared" si="35"/>
        <v>-309860</v>
      </c>
      <c r="M149" s="22">
        <f>+K149/J149</f>
        <v>0.97786714285714282</v>
      </c>
    </row>
    <row r="150" spans="1:13" s="33" customFormat="1" ht="15" hidden="1" outlineLevel="2" x14ac:dyDescent="0.25">
      <c r="A150" s="34" t="str">
        <f>+[8]Hoja1!$A$26</f>
        <v>Curso virtual en tecnologías ambientales para porcicultura</v>
      </c>
      <c r="B150" s="25"/>
      <c r="C150" s="25"/>
      <c r="D150" s="21">
        <f>+'[7]Ejecución ene-mar 2018'!$J$10</f>
        <v>18000000</v>
      </c>
      <c r="E150" s="25"/>
      <c r="F150" s="25"/>
      <c r="G150" s="25"/>
      <c r="H150" s="20">
        <f t="shared" si="36"/>
        <v>18000000</v>
      </c>
      <c r="I150" s="25"/>
      <c r="J150" s="21">
        <f t="shared" si="37"/>
        <v>18000000</v>
      </c>
      <c r="K150" s="21">
        <v>16247500</v>
      </c>
      <c r="L150" s="21">
        <f t="shared" si="35"/>
        <v>-1752500</v>
      </c>
      <c r="M150" s="22">
        <f>+K150/J150</f>
        <v>0.90263888888888888</v>
      </c>
    </row>
    <row r="151" spans="1:13" s="33" customFormat="1" ht="15" hidden="1" outlineLevel="2" x14ac:dyDescent="0.25">
      <c r="A151" s="34" t="str">
        <f>+[8]Hoja1!$A$27</f>
        <v>Curso virtual innovación en productos</v>
      </c>
      <c r="B151" s="25"/>
      <c r="C151" s="25"/>
      <c r="D151" s="21"/>
      <c r="E151" s="25"/>
      <c r="F151" s="25"/>
      <c r="G151" s="25"/>
      <c r="H151" s="20">
        <f>+B151+C151+D151+G151+E151+F151</f>
        <v>0</v>
      </c>
      <c r="I151" s="25"/>
      <c r="J151" s="21">
        <f>+H151+I151</f>
        <v>0</v>
      </c>
      <c r="K151" s="21">
        <v>0</v>
      </c>
      <c r="L151" s="21">
        <f t="shared" si="35"/>
        <v>0</v>
      </c>
      <c r="M151" s="22">
        <v>0</v>
      </c>
    </row>
    <row r="152" spans="1:13" s="33" customFormat="1" ht="15" hidden="1" outlineLevel="2" x14ac:dyDescent="0.25">
      <c r="A152" s="34" t="str">
        <f>+[8]Hoja1!$A$28</f>
        <v>Campus virtual</v>
      </c>
      <c r="B152" s="25"/>
      <c r="C152" s="25"/>
      <c r="D152" s="21">
        <f>+'[7]Ejecución ene-mar 2018'!$J$13</f>
        <v>18000000</v>
      </c>
      <c r="E152" s="25"/>
      <c r="F152" s="25"/>
      <c r="G152" s="25"/>
      <c r="H152" s="20">
        <f t="shared" si="36"/>
        <v>18000000</v>
      </c>
      <c r="I152" s="25"/>
      <c r="J152" s="21">
        <f t="shared" si="37"/>
        <v>18000000</v>
      </c>
      <c r="K152" s="21">
        <v>17999940</v>
      </c>
      <c r="L152" s="21">
        <f t="shared" si="35"/>
        <v>-60</v>
      </c>
      <c r="M152" s="22">
        <f t="shared" ref="M152:M169" si="38">+K152/J152</f>
        <v>0.99999666666666664</v>
      </c>
    </row>
    <row r="153" spans="1:13" s="33" customFormat="1" ht="15" hidden="1" outlineLevel="2" x14ac:dyDescent="0.25">
      <c r="A153" s="34" t="str">
        <f>+[8]Hoja1!$A$30</f>
        <v>Encuentros regionales porcicolas</v>
      </c>
      <c r="B153" s="25"/>
      <c r="C153" s="25"/>
      <c r="D153" s="21">
        <f>+'[7]Ejecución ene-mar 2018'!$J$14</f>
        <v>41000000</v>
      </c>
      <c r="E153" s="25"/>
      <c r="F153" s="25"/>
      <c r="G153" s="25"/>
      <c r="H153" s="20">
        <f t="shared" si="36"/>
        <v>41000000</v>
      </c>
      <c r="I153" s="25"/>
      <c r="J153" s="21">
        <f t="shared" si="37"/>
        <v>41000000</v>
      </c>
      <c r="K153" s="21">
        <v>30918084</v>
      </c>
      <c r="L153" s="21">
        <f t="shared" si="35"/>
        <v>-10081916</v>
      </c>
      <c r="M153" s="22">
        <f t="shared" si="38"/>
        <v>0.75409960975609758</v>
      </c>
    </row>
    <row r="154" spans="1:13" s="33" customFormat="1" ht="15" hidden="1" outlineLevel="2" x14ac:dyDescent="0.25">
      <c r="A154" s="34" t="str">
        <f>+[8]Hoja1!$A$32</f>
        <v>Curso de operarios</v>
      </c>
      <c r="B154" s="25"/>
      <c r="C154" s="25"/>
      <c r="D154" s="21">
        <f>+'[7]Ejecución ene-mar 2018'!$J$15</f>
        <v>25000000</v>
      </c>
      <c r="E154" s="25"/>
      <c r="F154" s="25"/>
      <c r="G154" s="25"/>
      <c r="H154" s="20">
        <f t="shared" si="36"/>
        <v>25000000</v>
      </c>
      <c r="I154" s="25"/>
      <c r="J154" s="21">
        <f t="shared" si="37"/>
        <v>25000000</v>
      </c>
      <c r="K154" s="21">
        <v>24253876</v>
      </c>
      <c r="L154" s="21">
        <f t="shared" si="35"/>
        <v>-746124</v>
      </c>
      <c r="M154" s="22">
        <f t="shared" si="38"/>
        <v>0.97015503999999997</v>
      </c>
    </row>
    <row r="155" spans="1:13" s="33" customFormat="1" ht="15" hidden="1" outlineLevel="1" x14ac:dyDescent="0.25">
      <c r="A155" s="35" t="s">
        <v>150</v>
      </c>
      <c r="B155" s="25"/>
      <c r="C155" s="25"/>
      <c r="D155" s="25">
        <f>SUM(D156:D158)</f>
        <v>114330000</v>
      </c>
      <c r="E155" s="25"/>
      <c r="F155" s="25"/>
      <c r="G155" s="25"/>
      <c r="H155" s="25">
        <f>SUM(H156:H158)</f>
        <v>114330000</v>
      </c>
      <c r="I155" s="25"/>
      <c r="J155" s="25">
        <f>SUM(J156:J158)</f>
        <v>114330000</v>
      </c>
      <c r="K155" s="25">
        <f>SUM(K156:K158)</f>
        <v>83812857</v>
      </c>
      <c r="L155" s="25">
        <f t="shared" si="35"/>
        <v>-30517143</v>
      </c>
      <c r="M155" s="18">
        <f t="shared" si="38"/>
        <v>0.73307843085804247</v>
      </c>
    </row>
    <row r="156" spans="1:13" s="33" customFormat="1" ht="15" hidden="1" outlineLevel="2" x14ac:dyDescent="0.25">
      <c r="A156" s="34" t="str">
        <f>+[8]Hoja1!$A$34</f>
        <v>Buenas practicas en el manejo de medicamentos veterinarios</v>
      </c>
      <c r="B156" s="25"/>
      <c r="C156" s="25"/>
      <c r="D156" s="21">
        <f>+'[7]Ejecución ene-mar 2018'!$J$17</f>
        <v>13330000</v>
      </c>
      <c r="E156" s="25"/>
      <c r="F156" s="25"/>
      <c r="G156" s="25"/>
      <c r="H156" s="20">
        <f>+B156+C156+D156+G156+E156+F156</f>
        <v>13330000</v>
      </c>
      <c r="I156" s="25"/>
      <c r="J156" s="21">
        <f>+H156+I156</f>
        <v>13330000</v>
      </c>
      <c r="K156" s="21">
        <v>8840757</v>
      </c>
      <c r="L156" s="21">
        <f t="shared" si="35"/>
        <v>-4489243</v>
      </c>
      <c r="M156" s="22">
        <f t="shared" si="38"/>
        <v>0.66322258064516126</v>
      </c>
    </row>
    <row r="157" spans="1:13" s="33" customFormat="1" ht="15" hidden="1" outlineLevel="2" x14ac:dyDescent="0.25">
      <c r="A157" s="34" t="s">
        <v>151</v>
      </c>
      <c r="B157" s="25"/>
      <c r="C157" s="25"/>
      <c r="D157" s="21">
        <f>+'[7]Ejecución ene-mar 2018'!$J$16</f>
        <v>36000000</v>
      </c>
      <c r="E157" s="25"/>
      <c r="F157" s="25"/>
      <c r="G157" s="25"/>
      <c r="H157" s="20">
        <f>+B157+C157+D157+G157+E157+F157</f>
        <v>36000000</v>
      </c>
      <c r="I157" s="25"/>
      <c r="J157" s="21">
        <f>+H157+I157</f>
        <v>36000000</v>
      </c>
      <c r="K157" s="21">
        <v>23610220</v>
      </c>
      <c r="L157" s="21">
        <f t="shared" si="35"/>
        <v>-12389780</v>
      </c>
      <c r="M157" s="22">
        <f t="shared" si="38"/>
        <v>0.65583944444444442</v>
      </c>
    </row>
    <row r="158" spans="1:13" s="33" customFormat="1" ht="15" hidden="1" outlineLevel="2" x14ac:dyDescent="0.25">
      <c r="A158" s="34" t="s">
        <v>152</v>
      </c>
      <c r="B158" s="25"/>
      <c r="C158" s="25"/>
      <c r="D158" s="21">
        <f>+'[7]Ejecución ene-mar 2018'!$J$18</f>
        <v>65000000</v>
      </c>
      <c r="E158" s="25"/>
      <c r="F158" s="25"/>
      <c r="G158" s="25"/>
      <c r="H158" s="20">
        <f>+B158+C158+D158+G158+E158+F158</f>
        <v>65000000</v>
      </c>
      <c r="I158" s="25"/>
      <c r="J158" s="21">
        <f>+H158+I158</f>
        <v>65000000</v>
      </c>
      <c r="K158" s="21">
        <v>51361880</v>
      </c>
      <c r="L158" s="21">
        <f t="shared" si="35"/>
        <v>-13638120</v>
      </c>
      <c r="M158" s="22">
        <f t="shared" si="38"/>
        <v>0.79018276923076924</v>
      </c>
    </row>
    <row r="159" spans="1:13" s="33" customFormat="1" ht="15" collapsed="1" x14ac:dyDescent="0.25">
      <c r="A159" s="35" t="s">
        <v>153</v>
      </c>
      <c r="B159" s="25"/>
      <c r="C159" s="25"/>
      <c r="D159" s="25">
        <f>+D160+D166+D172+D173</f>
        <v>267800000</v>
      </c>
      <c r="E159" s="25"/>
      <c r="F159" s="25"/>
      <c r="G159" s="25"/>
      <c r="H159" s="25">
        <f>+H160+H166+H172+H173</f>
        <v>267800000</v>
      </c>
      <c r="I159" s="25"/>
      <c r="J159" s="25">
        <f>+J160+J166+J172+J173</f>
        <v>267800000</v>
      </c>
      <c r="K159" s="25">
        <f>+K160+K166+K172+K173</f>
        <v>212300242</v>
      </c>
      <c r="L159" s="25">
        <f t="shared" si="35"/>
        <v>-55499758</v>
      </c>
      <c r="M159" s="18">
        <f t="shared" si="38"/>
        <v>0.79275669156086637</v>
      </c>
    </row>
    <row r="160" spans="1:13" s="33" customFormat="1" ht="15" hidden="1" outlineLevel="1" x14ac:dyDescent="0.25">
      <c r="A160" s="35" t="s">
        <v>154</v>
      </c>
      <c r="B160" s="25"/>
      <c r="C160" s="25"/>
      <c r="D160" s="25">
        <f>SUM(D161:D165)</f>
        <v>63800000</v>
      </c>
      <c r="E160" s="25"/>
      <c r="F160" s="25"/>
      <c r="G160" s="25"/>
      <c r="H160" s="25">
        <f>SUM(H161:H165)</f>
        <v>63800000</v>
      </c>
      <c r="I160" s="25"/>
      <c r="J160" s="25">
        <f>SUM(J161:J165)</f>
        <v>63800000</v>
      </c>
      <c r="K160" s="25">
        <f>SUM(K161:K165)</f>
        <v>63046008</v>
      </c>
      <c r="L160" s="25">
        <f t="shared" si="35"/>
        <v>-753992</v>
      </c>
      <c r="M160" s="18">
        <f t="shared" si="38"/>
        <v>0.98818194357366773</v>
      </c>
    </row>
    <row r="161" spans="1:13" s="33" customFormat="1" ht="15" hidden="1" outlineLevel="2" x14ac:dyDescent="0.25">
      <c r="A161" s="34" t="str">
        <f>+[8]Hoja1!$A$40</f>
        <v>Diagnóstico rutinario</v>
      </c>
      <c r="B161" s="25"/>
      <c r="C161" s="25"/>
      <c r="D161" s="20">
        <f>+'[7]Ejecución ene-mar 2018'!$J$19+1800000</f>
        <v>6800000</v>
      </c>
      <c r="E161" s="25"/>
      <c r="F161" s="25"/>
      <c r="G161" s="25"/>
      <c r="H161" s="20">
        <f>+B161+C161+D161+G161+E161+F161</f>
        <v>6800000</v>
      </c>
      <c r="I161" s="25"/>
      <c r="J161" s="21">
        <f>+H161+I161</f>
        <v>6800000</v>
      </c>
      <c r="K161" s="21">
        <v>6681888</v>
      </c>
      <c r="L161" s="21">
        <f t="shared" si="35"/>
        <v>-118112</v>
      </c>
      <c r="M161" s="22">
        <f t="shared" si="38"/>
        <v>0.98263058823529414</v>
      </c>
    </row>
    <row r="162" spans="1:13" s="33" customFormat="1" ht="15" hidden="1" outlineLevel="2" x14ac:dyDescent="0.25">
      <c r="A162" s="34" t="str">
        <f>+[8]Hoja1!$A$41</f>
        <v>Diagnóstico integrado</v>
      </c>
      <c r="B162" s="25"/>
      <c r="C162" s="25"/>
      <c r="D162" s="20">
        <f>+'[7]Ejecución ene-mar 2018'!$J$20-1800000-3900000</f>
        <v>600000</v>
      </c>
      <c r="E162" s="25"/>
      <c r="F162" s="25"/>
      <c r="G162" s="25"/>
      <c r="H162" s="20">
        <f>+B162+C162+D162+G162+E162+F162</f>
        <v>600000</v>
      </c>
      <c r="I162" s="25"/>
      <c r="J162" s="21">
        <f>+H162+I162</f>
        <v>600000</v>
      </c>
      <c r="K162" s="21">
        <v>525724</v>
      </c>
      <c r="L162" s="21">
        <f t="shared" si="35"/>
        <v>-74276</v>
      </c>
      <c r="M162" s="22">
        <f t="shared" si="38"/>
        <v>0.87620666666666669</v>
      </c>
    </row>
    <row r="163" spans="1:13" s="33" customFormat="1" ht="15" hidden="1" outlineLevel="2" x14ac:dyDescent="0.25">
      <c r="A163" s="34" t="str">
        <f>+[8]Hoja1!$A$42</f>
        <v>Diagnóstico PRRS (incluido IFA)</v>
      </c>
      <c r="B163" s="25"/>
      <c r="C163" s="25"/>
      <c r="D163" s="20">
        <f>+'[7]Ejecución ene-mar 2018'!$J$21+3900000</f>
        <v>11400000</v>
      </c>
      <c r="E163" s="25"/>
      <c r="F163" s="25"/>
      <c r="G163" s="25"/>
      <c r="H163" s="20">
        <f>+B163+C163+D163+G163+E163+F163</f>
        <v>11400000</v>
      </c>
      <c r="I163" s="25"/>
      <c r="J163" s="21">
        <f>+H163+I163</f>
        <v>11400000</v>
      </c>
      <c r="K163" s="21">
        <v>10913958</v>
      </c>
      <c r="L163" s="21">
        <f t="shared" si="35"/>
        <v>-486042</v>
      </c>
      <c r="M163" s="22">
        <f t="shared" si="38"/>
        <v>0.95736473684210521</v>
      </c>
    </row>
    <row r="164" spans="1:13" s="33" customFormat="1" ht="15" hidden="1" outlineLevel="2" x14ac:dyDescent="0.25">
      <c r="A164" s="34" t="str">
        <f>+[8]Hoja1!$A$43</f>
        <v>Compras de insumos</v>
      </c>
      <c r="B164" s="25"/>
      <c r="C164" s="25"/>
      <c r="D164" s="20">
        <f>+'[7]Ejecución ene-mar 2018'!$J$22</f>
        <v>30000000</v>
      </c>
      <c r="E164" s="25"/>
      <c r="F164" s="25"/>
      <c r="G164" s="25"/>
      <c r="H164" s="20">
        <f>+B164+C164+D164+G164+E164+F164</f>
        <v>30000000</v>
      </c>
      <c r="I164" s="25"/>
      <c r="J164" s="21">
        <f>+H164+I164</f>
        <v>30000000</v>
      </c>
      <c r="K164" s="21">
        <v>29938738</v>
      </c>
      <c r="L164" s="21">
        <f t="shared" si="35"/>
        <v>-61262</v>
      </c>
      <c r="M164" s="22">
        <f t="shared" si="38"/>
        <v>0.99795793333333338</v>
      </c>
    </row>
    <row r="165" spans="1:13" s="33" customFormat="1" ht="15" hidden="1" outlineLevel="2" x14ac:dyDescent="0.25">
      <c r="A165" s="34" t="str">
        <f>+[8]Hoja1!$A$44</f>
        <v>Diagnóstico importados</v>
      </c>
      <c r="B165" s="25"/>
      <c r="C165" s="25"/>
      <c r="D165" s="20">
        <f>+'[7]Ejecución ene-mar 2018'!$J$23</f>
        <v>15000000</v>
      </c>
      <c r="E165" s="25"/>
      <c r="F165" s="25"/>
      <c r="G165" s="25"/>
      <c r="H165" s="20">
        <f>+B165+C165+D165+G165+E165+F165</f>
        <v>15000000</v>
      </c>
      <c r="I165" s="25"/>
      <c r="J165" s="21">
        <f>+H165+I165</f>
        <v>15000000</v>
      </c>
      <c r="K165" s="21">
        <v>14985700</v>
      </c>
      <c r="L165" s="21">
        <f t="shared" si="35"/>
        <v>-14300</v>
      </c>
      <c r="M165" s="22">
        <f t="shared" si="38"/>
        <v>0.99904666666666664</v>
      </c>
    </row>
    <row r="166" spans="1:13" s="33" customFormat="1" ht="15" hidden="1" outlineLevel="1" x14ac:dyDescent="0.25">
      <c r="A166" s="35" t="s">
        <v>155</v>
      </c>
      <c r="B166" s="25"/>
      <c r="C166" s="25"/>
      <c r="D166" s="25">
        <f>SUM(D167:D171)</f>
        <v>91400000</v>
      </c>
      <c r="E166" s="25"/>
      <c r="F166" s="25"/>
      <c r="G166" s="25"/>
      <c r="H166" s="25">
        <f>SUM(H167:H171)</f>
        <v>91400000</v>
      </c>
      <c r="I166" s="25"/>
      <c r="J166" s="25">
        <f>SUM(J167:J171)</f>
        <v>91400000</v>
      </c>
      <c r="K166" s="25">
        <f>SUM(K167:K171)</f>
        <v>88158821</v>
      </c>
      <c r="L166" s="25">
        <f t="shared" si="35"/>
        <v>-3241179</v>
      </c>
      <c r="M166" s="18">
        <f t="shared" si="38"/>
        <v>0.96453852297593001</v>
      </c>
    </row>
    <row r="167" spans="1:13" s="33" customFormat="1" ht="15" hidden="1" outlineLevel="2" x14ac:dyDescent="0.25">
      <c r="A167" s="34" t="str">
        <f>+[8]Hoja1!$A$47</f>
        <v>Rutinario</v>
      </c>
      <c r="B167" s="25"/>
      <c r="C167" s="25"/>
      <c r="D167" s="20">
        <f>+'[7]Ejecución ene-mar 2018'!$J$24+20000000+10000000-5300000</f>
        <v>41700000</v>
      </c>
      <c r="E167" s="25"/>
      <c r="F167" s="25"/>
      <c r="G167" s="25"/>
      <c r="H167" s="20">
        <f t="shared" ref="H167:H173" si="39">+B167+C167+D167+G167+E167+F167</f>
        <v>41700000</v>
      </c>
      <c r="I167" s="25"/>
      <c r="J167" s="21">
        <f t="shared" ref="J167:J173" si="40">+H167+I167</f>
        <v>41700000</v>
      </c>
      <c r="K167" s="21">
        <v>41599954</v>
      </c>
      <c r="L167" s="21">
        <f t="shared" si="35"/>
        <v>-100046</v>
      </c>
      <c r="M167" s="22">
        <f t="shared" si="38"/>
        <v>0.99760081534772183</v>
      </c>
    </row>
    <row r="168" spans="1:13" s="33" customFormat="1" ht="15" hidden="1" outlineLevel="2" x14ac:dyDescent="0.25">
      <c r="A168" s="34" t="str">
        <f>+[8]Hoja1!$A$48</f>
        <v>Combos</v>
      </c>
      <c r="B168" s="25"/>
      <c r="C168" s="25"/>
      <c r="D168" s="20">
        <f>+'[7]Ejecución ene-mar 2018'!$J$25-10000000-4800000</f>
        <v>2200000</v>
      </c>
      <c r="E168" s="25"/>
      <c r="F168" s="25"/>
      <c r="G168" s="25"/>
      <c r="H168" s="20">
        <f t="shared" si="39"/>
        <v>2200000</v>
      </c>
      <c r="I168" s="25"/>
      <c r="J168" s="21">
        <f t="shared" si="40"/>
        <v>2200000</v>
      </c>
      <c r="K168" s="21">
        <v>2147849</v>
      </c>
      <c r="L168" s="21">
        <f t="shared" si="35"/>
        <v>-52151</v>
      </c>
      <c r="M168" s="22">
        <f t="shared" si="38"/>
        <v>0.97629500000000002</v>
      </c>
    </row>
    <row r="169" spans="1:13" s="33" customFormat="1" ht="15" hidden="1" outlineLevel="2" x14ac:dyDescent="0.25">
      <c r="A169" s="34" t="str">
        <f>+[8]Hoja1!$A$49</f>
        <v>PRRS</v>
      </c>
      <c r="B169" s="25"/>
      <c r="C169" s="25"/>
      <c r="D169" s="20">
        <f>+'[7]Ejecución ene-mar 2018'!$J$26-20000000+5300000+4800000+2100000+4400000</f>
        <v>38600000</v>
      </c>
      <c r="E169" s="25"/>
      <c r="F169" s="25"/>
      <c r="G169" s="25"/>
      <c r="H169" s="20">
        <f t="shared" si="39"/>
        <v>38600000</v>
      </c>
      <c r="I169" s="25"/>
      <c r="J169" s="21">
        <f t="shared" si="40"/>
        <v>38600000</v>
      </c>
      <c r="K169" s="21">
        <v>38528040</v>
      </c>
      <c r="L169" s="21">
        <f t="shared" si="35"/>
        <v>-71960</v>
      </c>
      <c r="M169" s="22">
        <f t="shared" si="38"/>
        <v>0.99813575129533683</v>
      </c>
    </row>
    <row r="170" spans="1:13" s="33" customFormat="1" ht="15" hidden="1" outlineLevel="1" x14ac:dyDescent="0.25">
      <c r="A170" s="34" t="str">
        <f>+[8]Hoja1!$A$50</f>
        <v>Pruebas interlaboratorios</v>
      </c>
      <c r="B170" s="25"/>
      <c r="C170" s="25"/>
      <c r="D170" s="21"/>
      <c r="E170" s="21"/>
      <c r="F170" s="21"/>
      <c r="G170" s="21"/>
      <c r="H170" s="21">
        <f t="shared" si="39"/>
        <v>0</v>
      </c>
      <c r="I170" s="21"/>
      <c r="J170" s="21">
        <f t="shared" si="40"/>
        <v>0</v>
      </c>
      <c r="K170" s="21">
        <v>0</v>
      </c>
      <c r="L170" s="21">
        <f t="shared" si="35"/>
        <v>0</v>
      </c>
      <c r="M170" s="22">
        <v>0</v>
      </c>
    </row>
    <row r="171" spans="1:13" s="33" customFormat="1" ht="15" hidden="1" outlineLevel="1" x14ac:dyDescent="0.25">
      <c r="A171" s="34" t="str">
        <f>+[8]Hoja1!$A$51</f>
        <v>Promoción al diagnóstico</v>
      </c>
      <c r="B171" s="25"/>
      <c r="C171" s="25"/>
      <c r="D171" s="21">
        <f>+'[7]Ejecución ene-mar 2018'!$J$27-2100000</f>
        <v>8900000</v>
      </c>
      <c r="E171" s="21"/>
      <c r="F171" s="21"/>
      <c r="G171" s="21"/>
      <c r="H171" s="21">
        <f t="shared" si="39"/>
        <v>8900000</v>
      </c>
      <c r="I171" s="21"/>
      <c r="J171" s="21">
        <f t="shared" si="40"/>
        <v>8900000</v>
      </c>
      <c r="K171" s="21">
        <v>5882978</v>
      </c>
      <c r="L171" s="21">
        <f t="shared" si="35"/>
        <v>-3017022</v>
      </c>
      <c r="M171" s="22">
        <f>+K171/J171</f>
        <v>0.6610087640449438</v>
      </c>
    </row>
    <row r="172" spans="1:13" s="33" customFormat="1" ht="15" hidden="1" outlineLevel="1" x14ac:dyDescent="0.25">
      <c r="A172" s="35" t="str">
        <f>+[8]Hoja1!$A$52</f>
        <v>Inocuidad y ambiente</v>
      </c>
      <c r="B172" s="25"/>
      <c r="C172" s="25"/>
      <c r="D172" s="25">
        <f>+'[7]Ejecución ene-mar 2018'!$J$28</f>
        <v>5000000</v>
      </c>
      <c r="E172" s="25"/>
      <c r="F172" s="25"/>
      <c r="G172" s="25"/>
      <c r="H172" s="17">
        <f t="shared" si="39"/>
        <v>5000000</v>
      </c>
      <c r="I172" s="17"/>
      <c r="J172" s="17">
        <f t="shared" si="40"/>
        <v>5000000</v>
      </c>
      <c r="K172" s="17">
        <v>3496743</v>
      </c>
      <c r="L172" s="17">
        <f t="shared" si="35"/>
        <v>-1503257</v>
      </c>
      <c r="M172" s="18">
        <f>+K172/J172</f>
        <v>0.69934859999999999</v>
      </c>
    </row>
    <row r="173" spans="1:13" s="33" customFormat="1" ht="15" hidden="1" outlineLevel="1" x14ac:dyDescent="0.25">
      <c r="A173" s="35" t="s">
        <v>156</v>
      </c>
      <c r="B173" s="25"/>
      <c r="C173" s="25"/>
      <c r="D173" s="25">
        <f>+'[7]Ejecución ene-mar 2018'!$J$29-4400000</f>
        <v>107600000</v>
      </c>
      <c r="E173" s="25"/>
      <c r="F173" s="25"/>
      <c r="G173" s="25"/>
      <c r="H173" s="17">
        <f t="shared" si="39"/>
        <v>107600000</v>
      </c>
      <c r="I173" s="17"/>
      <c r="J173" s="17">
        <f t="shared" si="40"/>
        <v>107600000</v>
      </c>
      <c r="K173" s="17">
        <v>57598670</v>
      </c>
      <c r="L173" s="17">
        <f t="shared" si="35"/>
        <v>-50001330</v>
      </c>
      <c r="M173" s="18">
        <f>+K173/J173</f>
        <v>0.53530362453531599</v>
      </c>
    </row>
    <row r="174" spans="1:13" s="33" customFormat="1" ht="15" collapsed="1" x14ac:dyDescent="0.25">
      <c r="A174" s="34"/>
      <c r="B174" s="25"/>
      <c r="C174" s="25"/>
      <c r="D174" s="25"/>
      <c r="E174" s="25"/>
      <c r="F174" s="25"/>
      <c r="G174" s="25"/>
      <c r="H174" s="20"/>
      <c r="I174" s="25"/>
      <c r="J174" s="21"/>
      <c r="K174" s="21"/>
      <c r="L174" s="21"/>
      <c r="M174" s="22"/>
    </row>
    <row r="175" spans="1:13" s="33" customFormat="1" ht="15" x14ac:dyDescent="0.25">
      <c r="A175" s="35" t="s">
        <v>157</v>
      </c>
      <c r="B175" s="25"/>
      <c r="C175" s="25"/>
      <c r="D175" s="25"/>
      <c r="E175" s="17">
        <f>+E176</f>
        <v>592839174</v>
      </c>
      <c r="F175" s="17"/>
      <c r="G175" s="17"/>
      <c r="H175" s="17">
        <f>+H176</f>
        <v>592839174</v>
      </c>
      <c r="I175" s="17"/>
      <c r="J175" s="17">
        <f>+H175+I175</f>
        <v>592839174</v>
      </c>
      <c r="K175" s="17">
        <f>+K176</f>
        <v>320602073</v>
      </c>
      <c r="L175" s="17">
        <f t="shared" ref="L175:L180" si="41">+K175-J175</f>
        <v>-272237101</v>
      </c>
      <c r="M175" s="18">
        <f t="shared" ref="M175:M180" si="42">+K175/J175</f>
        <v>0.54079097175180935</v>
      </c>
    </row>
    <row r="176" spans="1:13" s="33" customFormat="1" ht="15" x14ac:dyDescent="0.25">
      <c r="A176" s="35" t="s">
        <v>158</v>
      </c>
      <c r="B176" s="25"/>
      <c r="C176" s="25"/>
      <c r="D176" s="25"/>
      <c r="E176" s="25">
        <f>SUM(E177:E180)</f>
        <v>592839174</v>
      </c>
      <c r="F176" s="25"/>
      <c r="G176" s="25"/>
      <c r="H176" s="25">
        <f>SUM(H177:H180)</f>
        <v>592839174</v>
      </c>
      <c r="I176" s="25"/>
      <c r="J176" s="25">
        <f>SUM(J177:J180)</f>
        <v>592839174</v>
      </c>
      <c r="K176" s="25">
        <f>SUM(K177:K180)</f>
        <v>320602073</v>
      </c>
      <c r="L176" s="25">
        <f t="shared" si="41"/>
        <v>-272237101</v>
      </c>
      <c r="M176" s="18">
        <f t="shared" si="42"/>
        <v>0.54079097175180935</v>
      </c>
    </row>
    <row r="177" spans="1:13" s="33" customFormat="1" ht="15" hidden="1" outlineLevel="2" x14ac:dyDescent="0.25">
      <c r="A177" s="34" t="str">
        <f>+'[9]Presupuesto 2018 vs 2017'!$B$16</f>
        <v>Control y monitoreo de PRRS</v>
      </c>
      <c r="B177" s="25"/>
      <c r="C177" s="25"/>
      <c r="D177" s="25"/>
      <c r="E177" s="21">
        <f>+'[4]Ppto Sanidad II trimestre 2018'!$F$10</f>
        <v>13600000</v>
      </c>
      <c r="F177" s="25"/>
      <c r="G177" s="25"/>
      <c r="H177" s="20">
        <f>+B177+C177+D177+G177+E177+F177</f>
        <v>13600000</v>
      </c>
      <c r="I177" s="25"/>
      <c r="J177" s="21">
        <f>+H177+I177</f>
        <v>13600000</v>
      </c>
      <c r="K177" s="21">
        <v>2400000</v>
      </c>
      <c r="L177" s="21">
        <f t="shared" si="41"/>
        <v>-11200000</v>
      </c>
      <c r="M177" s="22">
        <f t="shared" si="42"/>
        <v>0.17647058823529413</v>
      </c>
    </row>
    <row r="178" spans="1:13" s="33" customFormat="1" ht="15" hidden="1" outlineLevel="2" x14ac:dyDescent="0.25">
      <c r="A178" s="34" t="str">
        <f>+'[9]Presupuesto 2018 vs 2017'!$B$17</f>
        <v>Vigilancia de Influenza Porcina</v>
      </c>
      <c r="B178" s="25"/>
      <c r="C178" s="25"/>
      <c r="D178" s="25"/>
      <c r="E178" s="21">
        <f>+'[4]Ppto Sanidad II trimestre 2018'!$F$15</f>
        <v>30000000</v>
      </c>
      <c r="F178" s="25"/>
      <c r="G178" s="25"/>
      <c r="H178" s="20">
        <f>+B178+C178+D178+G178+E178+F178</f>
        <v>30000000</v>
      </c>
      <c r="I178" s="25"/>
      <c r="J178" s="21">
        <f>+H178+I178</f>
        <v>30000000</v>
      </c>
      <c r="K178" s="21"/>
      <c r="L178" s="21">
        <f t="shared" si="41"/>
        <v>-30000000</v>
      </c>
      <c r="M178" s="22">
        <f t="shared" si="42"/>
        <v>0</v>
      </c>
    </row>
    <row r="179" spans="1:13" s="33" customFormat="1" ht="15" hidden="1" outlineLevel="2" x14ac:dyDescent="0.25">
      <c r="A179" s="34" t="str">
        <f>+'[9]Presupuesto 2018 vs 2017'!$B$18</f>
        <v>Programa Nacional de Sanidad Porcina</v>
      </c>
      <c r="B179" s="25"/>
      <c r="C179" s="25"/>
      <c r="D179" s="25"/>
      <c r="E179" s="21">
        <f>+'[4]Ppto Sanidad II trimestre 2018'!$F$20</f>
        <v>542775185</v>
      </c>
      <c r="F179" s="25"/>
      <c r="G179" s="25"/>
      <c r="H179" s="20">
        <f>+B179+C179+D179+G179+E179+F179</f>
        <v>542775185</v>
      </c>
      <c r="I179" s="25"/>
      <c r="J179" s="21">
        <f>+H179+I179</f>
        <v>542775185</v>
      </c>
      <c r="K179" s="21">
        <v>312766037</v>
      </c>
      <c r="L179" s="21">
        <f t="shared" si="41"/>
        <v>-230009148</v>
      </c>
      <c r="M179" s="22">
        <f t="shared" si="42"/>
        <v>0.57623495996781793</v>
      </c>
    </row>
    <row r="180" spans="1:13" s="33" customFormat="1" ht="15" hidden="1" outlineLevel="2" x14ac:dyDescent="0.25">
      <c r="A180" s="34" t="str">
        <f>+'[9]Presupuesto 2018 vs 2017'!$B$19</f>
        <v>Divulgación sanitaria</v>
      </c>
      <c r="B180" s="25"/>
      <c r="C180" s="25"/>
      <c r="D180" s="25"/>
      <c r="E180" s="21">
        <f>+'[4]Ppto Sanidad II trimestre 2018'!$F$36</f>
        <v>6463989</v>
      </c>
      <c r="F180" s="25"/>
      <c r="G180" s="25"/>
      <c r="H180" s="20">
        <f>+B180+C180+D180+G180+E180+F180</f>
        <v>6463989</v>
      </c>
      <c r="I180" s="25"/>
      <c r="J180" s="21">
        <f>+H180+I180</f>
        <v>6463989</v>
      </c>
      <c r="K180" s="21">
        <v>5436036</v>
      </c>
      <c r="L180" s="21">
        <f t="shared" si="41"/>
        <v>-1027953</v>
      </c>
      <c r="M180" s="22">
        <f t="shared" si="42"/>
        <v>0.84097234695170431</v>
      </c>
    </row>
    <row r="181" spans="1:13" s="33" customFormat="1" ht="15" collapsed="1" x14ac:dyDescent="0.25">
      <c r="A181" s="34"/>
      <c r="B181" s="20"/>
      <c r="C181" s="25"/>
      <c r="D181" s="25"/>
      <c r="E181" s="25"/>
      <c r="F181" s="25"/>
      <c r="G181" s="25"/>
      <c r="H181" s="20"/>
      <c r="I181" s="25"/>
      <c r="J181" s="21"/>
      <c r="K181" s="21"/>
      <c r="L181" s="21"/>
      <c r="M181" s="22"/>
    </row>
    <row r="182" spans="1:13" ht="15" x14ac:dyDescent="0.25">
      <c r="A182" s="32" t="s">
        <v>159</v>
      </c>
      <c r="B182" s="20"/>
      <c r="C182" s="20"/>
      <c r="D182" s="20"/>
      <c r="E182" s="20"/>
      <c r="F182" s="20"/>
      <c r="G182" s="20"/>
      <c r="H182" s="20"/>
      <c r="I182" s="25">
        <f>+I183+I184</f>
        <v>869622913.70000005</v>
      </c>
      <c r="J182" s="25">
        <f>+I182+H182</f>
        <v>869622913.70000005</v>
      </c>
      <c r="K182" s="25">
        <f>+K183+K184</f>
        <v>880886919</v>
      </c>
      <c r="L182" s="25">
        <f>+K182-J182</f>
        <v>11264005.299999952</v>
      </c>
      <c r="M182" s="18">
        <f>+K182/J182</f>
        <v>1.0129527466704791</v>
      </c>
    </row>
    <row r="183" spans="1:13" ht="14.25" outlineLevel="1" x14ac:dyDescent="0.2">
      <c r="A183" s="39" t="s">
        <v>160</v>
      </c>
      <c r="B183" s="20"/>
      <c r="C183" s="20"/>
      <c r="D183" s="20"/>
      <c r="E183" s="20"/>
      <c r="F183" s="20"/>
      <c r="G183" s="20"/>
      <c r="H183" s="20"/>
      <c r="I183" s="21">
        <f>+('[1]Anexo 1'!B15+'[1]Anexo 1'!B19)*0.1</f>
        <v>543514321.0625</v>
      </c>
      <c r="J183" s="21">
        <f>+I183+H183</f>
        <v>543514321.0625</v>
      </c>
      <c r="K183" s="21">
        <v>550554324</v>
      </c>
      <c r="L183" s="21">
        <f>+K183-J183</f>
        <v>7040002.9375</v>
      </c>
      <c r="M183" s="22">
        <f>+K183/J183</f>
        <v>1.0129527459805248</v>
      </c>
    </row>
    <row r="184" spans="1:13" ht="14.25" outlineLevel="1" x14ac:dyDescent="0.2">
      <c r="A184" s="39" t="s">
        <v>161</v>
      </c>
      <c r="B184" s="20"/>
      <c r="C184" s="20"/>
      <c r="D184" s="20"/>
      <c r="E184" s="20"/>
      <c r="F184" s="20"/>
      <c r="G184" s="20"/>
      <c r="H184" s="20"/>
      <c r="I184" s="21">
        <f>+('[1]Anexo 1'!B16+'[1]Anexo 1'!B20)*0.1</f>
        <v>326108592.63750005</v>
      </c>
      <c r="J184" s="21">
        <f>+I184+H184</f>
        <v>326108592.63750005</v>
      </c>
      <c r="K184" s="21">
        <v>330332595</v>
      </c>
      <c r="L184" s="21">
        <f>+K184-J184</f>
        <v>4224002.3624999523</v>
      </c>
      <c r="M184" s="22">
        <f>+K184/J184</f>
        <v>1.0129527478204026</v>
      </c>
    </row>
    <row r="185" spans="1:13" ht="15" x14ac:dyDescent="0.25">
      <c r="A185" s="24"/>
      <c r="B185" s="20"/>
      <c r="C185" s="20"/>
      <c r="D185" s="20"/>
      <c r="E185" s="20"/>
      <c r="F185" s="20"/>
      <c r="G185" s="20"/>
      <c r="H185" s="20"/>
      <c r="I185" s="20"/>
      <c r="J185" s="20"/>
      <c r="K185" s="20"/>
      <c r="L185" s="20"/>
      <c r="M185" s="18"/>
    </row>
    <row r="186" spans="1:13" ht="15" x14ac:dyDescent="0.25">
      <c r="A186" s="40" t="s">
        <v>162</v>
      </c>
      <c r="B186" s="17"/>
      <c r="C186" s="17"/>
      <c r="D186" s="17"/>
      <c r="E186" s="17"/>
      <c r="F186" s="17"/>
      <c r="G186" s="17"/>
      <c r="H186" s="17"/>
      <c r="I186" s="17">
        <v>0</v>
      </c>
      <c r="J186" s="41">
        <f>+I186+H186</f>
        <v>0</v>
      </c>
      <c r="K186" s="41">
        <f>+J186+I186</f>
        <v>0</v>
      </c>
      <c r="L186" s="41">
        <f>+K186-J186</f>
        <v>0</v>
      </c>
      <c r="M186" s="18">
        <f>+J186/$J$194</f>
        <v>0</v>
      </c>
    </row>
    <row r="187" spans="1:13" ht="15" x14ac:dyDescent="0.25">
      <c r="A187" s="40"/>
      <c r="B187" s="17"/>
      <c r="C187" s="17"/>
      <c r="D187" s="17"/>
      <c r="E187" s="17"/>
      <c r="F187" s="17"/>
      <c r="G187" s="17"/>
      <c r="H187" s="17"/>
      <c r="I187" s="17"/>
      <c r="J187" s="41"/>
      <c r="K187" s="41"/>
      <c r="L187" s="41"/>
      <c r="M187" s="18"/>
    </row>
    <row r="188" spans="1:13" ht="15" x14ac:dyDescent="0.25">
      <c r="A188" s="40" t="s">
        <v>163</v>
      </c>
      <c r="B188" s="17"/>
      <c r="C188" s="17"/>
      <c r="D188" s="17"/>
      <c r="E188" s="17"/>
      <c r="F188" s="17"/>
      <c r="G188" s="17">
        <v>0</v>
      </c>
      <c r="H188" s="17">
        <f>+B188+C188+D188+G188+F188</f>
        <v>0</v>
      </c>
      <c r="I188" s="17"/>
      <c r="J188" s="41">
        <f>+I188+H188</f>
        <v>0</v>
      </c>
      <c r="K188" s="41">
        <f>+J188+I188</f>
        <v>0</v>
      </c>
      <c r="L188" s="41">
        <f>+K188-J188</f>
        <v>0</v>
      </c>
      <c r="M188" s="18">
        <f>+J188/$J$194</f>
        <v>0</v>
      </c>
    </row>
    <row r="189" spans="1:13" ht="15" x14ac:dyDescent="0.25">
      <c r="A189" s="24"/>
      <c r="B189" s="20"/>
      <c r="C189" s="20"/>
      <c r="D189" s="20"/>
      <c r="E189" s="20"/>
      <c r="F189" s="20"/>
      <c r="G189" s="20"/>
      <c r="H189" s="20"/>
      <c r="I189" s="20"/>
      <c r="J189" s="20"/>
      <c r="K189" s="20"/>
      <c r="L189" s="20"/>
      <c r="M189" s="18"/>
    </row>
    <row r="190" spans="1:13" ht="15" x14ac:dyDescent="0.25">
      <c r="A190" s="32" t="s">
        <v>164</v>
      </c>
      <c r="B190" s="20"/>
      <c r="C190" s="20"/>
      <c r="D190" s="20"/>
      <c r="E190" s="20"/>
      <c r="F190" s="20"/>
      <c r="G190" s="20"/>
      <c r="H190" s="25"/>
      <c r="I190" s="25">
        <f>+I191+I192</f>
        <v>0</v>
      </c>
      <c r="J190" s="25">
        <f t="shared" ref="J190:K192" si="43">+I190+H190</f>
        <v>0</v>
      </c>
      <c r="K190" s="25">
        <f t="shared" si="43"/>
        <v>0</v>
      </c>
      <c r="L190" s="25">
        <f>+K190-J190</f>
        <v>0</v>
      </c>
      <c r="M190" s="18">
        <f>+J190/$J$194</f>
        <v>0</v>
      </c>
    </row>
    <row r="191" spans="1:13" s="42" customFormat="1" ht="14.25" hidden="1" outlineLevel="1" x14ac:dyDescent="0.2">
      <c r="A191" s="26" t="s">
        <v>165</v>
      </c>
      <c r="B191" s="20"/>
      <c r="C191" s="20"/>
      <c r="D191" s="20"/>
      <c r="E191" s="20"/>
      <c r="F191" s="20"/>
      <c r="G191" s="20"/>
      <c r="H191" s="20"/>
      <c r="I191" s="20">
        <v>0</v>
      </c>
      <c r="J191" s="20">
        <f t="shared" si="43"/>
        <v>0</v>
      </c>
      <c r="K191" s="20">
        <f t="shared" si="43"/>
        <v>0</v>
      </c>
      <c r="L191" s="20">
        <f>+K191-J191</f>
        <v>0</v>
      </c>
      <c r="M191" s="22">
        <f>+J191/$J$194</f>
        <v>0</v>
      </c>
    </row>
    <row r="192" spans="1:13" s="42" customFormat="1" ht="14.25" hidden="1" outlineLevel="1" x14ac:dyDescent="0.2">
      <c r="A192" s="26" t="s">
        <v>166</v>
      </c>
      <c r="B192" s="20"/>
      <c r="C192" s="20"/>
      <c r="D192" s="20"/>
      <c r="E192" s="20"/>
      <c r="F192" s="20"/>
      <c r="G192" s="20"/>
      <c r="H192" s="20"/>
      <c r="I192" s="20">
        <v>0</v>
      </c>
      <c r="J192" s="20">
        <f t="shared" si="43"/>
        <v>0</v>
      </c>
      <c r="K192" s="20">
        <f t="shared" si="43"/>
        <v>0</v>
      </c>
      <c r="L192" s="20">
        <f>+K192-J192</f>
        <v>0</v>
      </c>
      <c r="M192" s="22">
        <f>+J192/$J$194</f>
        <v>0</v>
      </c>
    </row>
    <row r="193" spans="1:14" ht="15" collapsed="1" x14ac:dyDescent="0.25">
      <c r="A193" s="24"/>
      <c r="B193" s="20"/>
      <c r="C193" s="20"/>
      <c r="D193" s="20"/>
      <c r="E193" s="20"/>
      <c r="F193" s="20"/>
      <c r="G193" s="20"/>
      <c r="H193" s="20"/>
      <c r="I193" s="20"/>
      <c r="J193" s="20"/>
      <c r="K193" s="20"/>
      <c r="L193" s="20"/>
      <c r="M193" s="18"/>
    </row>
    <row r="194" spans="1:14" ht="15" x14ac:dyDescent="0.25">
      <c r="A194" s="24" t="s">
        <v>167</v>
      </c>
      <c r="B194" s="25">
        <f>+B39+B37</f>
        <v>1542911540.4632647</v>
      </c>
      <c r="C194" s="25">
        <f>+C37+C39</f>
        <v>604117709.74706399</v>
      </c>
      <c r="D194" s="25">
        <f>+D39+D37</f>
        <v>784686062.01499569</v>
      </c>
      <c r="E194" s="25">
        <f>+E39+E37</f>
        <v>616450378.4896009</v>
      </c>
      <c r="F194" s="25">
        <f>+F39+F37</f>
        <v>3843486914.4515495</v>
      </c>
      <c r="G194" s="25">
        <f>+G37+G39+G188</f>
        <v>4157157371.9237165</v>
      </c>
      <c r="H194" s="25">
        <f>+B194+C194+D194+G194+E194+F194</f>
        <v>11548809977.090191</v>
      </c>
      <c r="I194" s="25">
        <f>+I190+I182+I37+I186</f>
        <v>1096564353.4964828</v>
      </c>
      <c r="J194" s="25">
        <f>+I194+H194</f>
        <v>12645374330.586674</v>
      </c>
      <c r="K194" s="25">
        <f>+K37+K39+K182+K186+K188+K190</f>
        <v>11117330920.611828</v>
      </c>
      <c r="L194" s="25">
        <f>+K194-J194</f>
        <v>-1528043409.9748459</v>
      </c>
      <c r="M194" s="18">
        <f>+K194/J194</f>
        <v>0.87916186820355258</v>
      </c>
    </row>
    <row r="195" spans="1:14" ht="15.75" thickBot="1" x14ac:dyDescent="0.3">
      <c r="A195" s="43"/>
      <c r="B195" s="44"/>
      <c r="C195" s="45"/>
      <c r="D195" s="45"/>
      <c r="E195" s="46"/>
      <c r="F195" s="45"/>
      <c r="G195" s="46"/>
      <c r="H195" s="45"/>
      <c r="I195" s="45"/>
      <c r="J195" s="45"/>
      <c r="K195" s="45"/>
      <c r="L195" s="45"/>
      <c r="M195" s="47"/>
      <c r="N195" s="48"/>
    </row>
    <row r="196" spans="1:14" ht="13.5" thickTop="1" x14ac:dyDescent="0.2">
      <c r="A196" s="49"/>
      <c r="B196" s="50"/>
      <c r="C196" s="50"/>
      <c r="D196" s="50"/>
      <c r="E196" s="50"/>
      <c r="F196" s="50"/>
      <c r="G196" s="51"/>
      <c r="H196" s="52"/>
      <c r="I196" s="50"/>
      <c r="J196" s="50"/>
      <c r="K196" s="50"/>
      <c r="L196" s="50"/>
      <c r="M196" s="53"/>
    </row>
    <row r="197" spans="1:14" x14ac:dyDescent="0.2">
      <c r="A197" s="49"/>
      <c r="B197" s="50"/>
      <c r="C197" s="50"/>
      <c r="D197" s="50"/>
      <c r="E197" s="50"/>
      <c r="F197" s="50"/>
      <c r="G197" s="54"/>
      <c r="H197" s="50"/>
      <c r="I197" s="50"/>
      <c r="J197" s="55"/>
      <c r="K197" s="55"/>
      <c r="L197" s="55"/>
      <c r="M197" s="56"/>
    </row>
    <row r="198" spans="1:14" x14ac:dyDescent="0.2">
      <c r="A198" s="52"/>
      <c r="B198" s="52"/>
      <c r="C198" s="52"/>
      <c r="D198" s="52"/>
      <c r="E198" s="52"/>
      <c r="F198" s="52"/>
      <c r="G198" s="50"/>
      <c r="H198" s="50"/>
      <c r="I198" s="50"/>
      <c r="J198" s="52"/>
      <c r="K198" s="52"/>
      <c r="L198" s="52"/>
      <c r="M198" s="52"/>
    </row>
    <row r="199" spans="1:14" x14ac:dyDescent="0.2">
      <c r="A199" s="52"/>
      <c r="B199" s="52"/>
      <c r="C199" s="52"/>
      <c r="D199" s="52"/>
      <c r="E199" s="52"/>
      <c r="F199" s="52"/>
      <c r="G199" s="52"/>
      <c r="H199" s="52"/>
      <c r="I199" s="52"/>
      <c r="J199" s="52"/>
      <c r="K199" s="52"/>
      <c r="L199" s="52"/>
      <c r="M199" s="52"/>
    </row>
    <row r="200" spans="1:14" x14ac:dyDescent="0.2">
      <c r="A200" s="52"/>
      <c r="B200" s="52"/>
      <c r="C200" s="52"/>
      <c r="D200" s="52"/>
      <c r="E200" s="52"/>
      <c r="F200" s="52"/>
      <c r="G200" s="52"/>
      <c r="H200" s="52"/>
      <c r="I200" s="52"/>
      <c r="J200" s="52"/>
      <c r="K200" s="52"/>
      <c r="L200" s="52"/>
      <c r="M200" s="52"/>
    </row>
    <row r="201" spans="1:14" x14ac:dyDescent="0.2">
      <c r="A201" s="52"/>
      <c r="B201" s="52"/>
      <c r="C201" s="52"/>
      <c r="D201" s="52"/>
      <c r="E201" s="52"/>
      <c r="F201" s="52"/>
      <c r="G201" s="52"/>
      <c r="H201" s="52"/>
      <c r="I201" s="57"/>
      <c r="J201" s="52"/>
      <c r="K201" s="52"/>
      <c r="L201" s="52"/>
      <c r="M201" s="52"/>
    </row>
    <row r="202" spans="1:14" x14ac:dyDescent="0.2">
      <c r="A202" s="52"/>
      <c r="B202" s="52"/>
      <c r="C202" s="52"/>
      <c r="D202" s="52"/>
      <c r="E202" s="52"/>
      <c r="F202" s="52"/>
      <c r="G202" s="52"/>
      <c r="H202" s="52"/>
      <c r="I202" s="52"/>
      <c r="J202" s="52"/>
      <c r="K202" s="52"/>
      <c r="L202" s="52"/>
      <c r="M202" s="52"/>
    </row>
    <row r="203" spans="1:14" x14ac:dyDescent="0.2">
      <c r="A203" s="52"/>
      <c r="B203" s="52"/>
      <c r="C203" s="52"/>
      <c r="D203" s="52"/>
      <c r="E203" s="52"/>
      <c r="F203" s="52"/>
      <c r="G203" s="52"/>
      <c r="H203" s="52"/>
      <c r="I203" s="52"/>
      <c r="J203" s="52"/>
      <c r="K203" s="52"/>
      <c r="L203" s="52"/>
      <c r="M203" s="52"/>
    </row>
    <row r="204" spans="1:14" x14ac:dyDescent="0.2">
      <c r="A204" s="52"/>
      <c r="B204" s="52"/>
      <c r="C204" s="52"/>
      <c r="D204" s="52"/>
      <c r="E204" s="52"/>
      <c r="F204" s="52"/>
      <c r="G204" s="52"/>
      <c r="H204" s="52"/>
      <c r="I204" s="52"/>
      <c r="J204" s="52"/>
      <c r="K204" s="52"/>
      <c r="L204" s="52"/>
      <c r="M204" s="52"/>
    </row>
    <row r="205" spans="1:14" x14ac:dyDescent="0.2">
      <c r="A205" s="52"/>
      <c r="B205" s="52"/>
      <c r="C205" s="52"/>
      <c r="D205" s="52"/>
      <c r="E205" s="52"/>
      <c r="F205" s="52"/>
      <c r="G205" s="52"/>
      <c r="H205" s="52"/>
      <c r="I205" s="52"/>
      <c r="J205" s="52"/>
      <c r="K205" s="52"/>
      <c r="L205" s="52"/>
      <c r="M205" s="52"/>
    </row>
    <row r="206" spans="1:14" x14ac:dyDescent="0.2">
      <c r="A206" s="52"/>
      <c r="B206" s="52"/>
      <c r="C206" s="52"/>
      <c r="D206" s="52"/>
      <c r="E206" s="52"/>
      <c r="F206" s="52"/>
      <c r="G206" s="52"/>
      <c r="H206" s="52"/>
      <c r="I206" s="52"/>
      <c r="J206" s="52"/>
      <c r="K206" s="52"/>
      <c r="L206" s="52"/>
      <c r="M206" s="52"/>
    </row>
    <row r="207" spans="1:14" x14ac:dyDescent="0.2">
      <c r="A207" s="52"/>
      <c r="B207" s="52"/>
      <c r="C207" s="52"/>
      <c r="D207" s="52"/>
      <c r="E207" s="52"/>
      <c r="F207" s="52"/>
      <c r="G207" s="52"/>
      <c r="H207" s="52"/>
      <c r="I207" s="52"/>
      <c r="J207" s="52"/>
      <c r="K207" s="52"/>
      <c r="L207" s="52"/>
      <c r="M207" s="52"/>
    </row>
    <row r="208" spans="1:14" x14ac:dyDescent="0.2">
      <c r="A208" s="52"/>
      <c r="B208" s="52"/>
      <c r="C208" s="52"/>
      <c r="D208" s="52"/>
      <c r="E208" s="52"/>
      <c r="F208" s="52"/>
      <c r="G208" s="52"/>
      <c r="H208" s="52"/>
      <c r="I208" s="52"/>
      <c r="J208" s="52"/>
      <c r="K208" s="52"/>
      <c r="L208" s="52"/>
      <c r="M208" s="52"/>
    </row>
    <row r="209" spans="1:13" x14ac:dyDescent="0.2">
      <c r="A209" s="52"/>
      <c r="B209" s="52"/>
      <c r="C209" s="52"/>
      <c r="D209" s="52"/>
      <c r="E209" s="52"/>
      <c r="F209" s="52"/>
      <c r="G209" s="52"/>
      <c r="H209" s="52"/>
      <c r="I209" s="52"/>
      <c r="J209" s="52"/>
      <c r="K209" s="52"/>
      <c r="L209" s="52"/>
      <c r="M209" s="52"/>
    </row>
    <row r="210" spans="1:13" x14ac:dyDescent="0.2">
      <c r="A210" s="52"/>
      <c r="B210" s="52"/>
      <c r="C210" s="52"/>
      <c r="D210" s="52"/>
      <c r="E210" s="52"/>
      <c r="F210" s="52"/>
      <c r="G210" s="52"/>
      <c r="H210" s="52"/>
      <c r="I210" s="52"/>
      <c r="J210" s="52"/>
      <c r="K210" s="52"/>
      <c r="L210" s="52"/>
      <c r="M210" s="52"/>
    </row>
    <row r="211" spans="1:13" x14ac:dyDescent="0.2">
      <c r="A211" s="52"/>
      <c r="B211" s="52"/>
      <c r="C211" s="52"/>
      <c r="D211" s="52"/>
      <c r="E211" s="52"/>
      <c r="F211" s="52"/>
      <c r="G211" s="52"/>
      <c r="H211" s="52"/>
      <c r="I211" s="52"/>
      <c r="J211" s="52"/>
      <c r="K211" s="52"/>
      <c r="L211" s="52"/>
      <c r="M211" s="52"/>
    </row>
    <row r="212" spans="1:13" x14ac:dyDescent="0.2">
      <c r="A212" s="52"/>
      <c r="B212" s="52"/>
      <c r="C212" s="52"/>
      <c r="D212" s="52"/>
      <c r="E212" s="52"/>
      <c r="F212" s="52"/>
      <c r="G212" s="52"/>
      <c r="H212" s="52"/>
      <c r="I212" s="52"/>
      <c r="J212" s="52"/>
      <c r="K212" s="52"/>
      <c r="L212" s="52"/>
      <c r="M212" s="52"/>
    </row>
    <row r="213" spans="1:13" x14ac:dyDescent="0.2">
      <c r="A213" s="52"/>
      <c r="B213" s="52"/>
      <c r="C213" s="52"/>
      <c r="D213" s="52"/>
      <c r="E213" s="52"/>
      <c r="F213" s="52"/>
      <c r="G213" s="52"/>
      <c r="H213" s="52"/>
      <c r="I213" s="52"/>
      <c r="J213" s="52"/>
      <c r="K213" s="52"/>
      <c r="L213" s="52"/>
      <c r="M213" s="52"/>
    </row>
    <row r="214" spans="1:13" x14ac:dyDescent="0.2">
      <c r="A214" s="52"/>
      <c r="B214" s="52"/>
      <c r="C214" s="52"/>
      <c r="D214" s="52"/>
      <c r="E214" s="52"/>
      <c r="F214" s="52"/>
      <c r="G214" s="52"/>
      <c r="H214" s="52"/>
      <c r="I214" s="52"/>
      <c r="J214" s="52"/>
      <c r="K214" s="52"/>
      <c r="L214" s="52"/>
      <c r="M214" s="52"/>
    </row>
    <row r="215" spans="1:13" x14ac:dyDescent="0.2">
      <c r="A215" s="52"/>
      <c r="B215" s="52"/>
      <c r="C215" s="52"/>
      <c r="D215" s="52"/>
      <c r="E215" s="52"/>
      <c r="F215" s="52"/>
      <c r="G215" s="52"/>
      <c r="H215" s="52"/>
      <c r="I215" s="52"/>
      <c r="J215" s="52"/>
      <c r="K215" s="52"/>
      <c r="L215" s="52"/>
      <c r="M215" s="52"/>
    </row>
    <row r="216" spans="1:13" x14ac:dyDescent="0.2">
      <c r="A216" s="52"/>
      <c r="B216" s="52"/>
      <c r="C216" s="52"/>
      <c r="D216" s="52"/>
      <c r="E216" s="52"/>
      <c r="F216" s="52"/>
      <c r="G216" s="52"/>
      <c r="H216" s="52"/>
      <c r="I216" s="52"/>
      <c r="J216" s="52"/>
      <c r="K216" s="52"/>
      <c r="L216" s="52"/>
      <c r="M216" s="52"/>
    </row>
    <row r="217" spans="1:13" x14ac:dyDescent="0.2">
      <c r="A217" s="52"/>
      <c r="B217" s="52"/>
      <c r="C217" s="52"/>
      <c r="D217" s="52"/>
      <c r="E217" s="52"/>
      <c r="F217" s="52"/>
      <c r="G217" s="52"/>
      <c r="H217" s="52"/>
      <c r="I217" s="52"/>
      <c r="J217" s="52"/>
      <c r="K217" s="52"/>
      <c r="L217" s="52"/>
      <c r="M217" s="52"/>
    </row>
    <row r="218" spans="1:13" x14ac:dyDescent="0.2">
      <c r="A218" s="52"/>
      <c r="B218" s="52"/>
      <c r="C218" s="52"/>
      <c r="D218" s="52"/>
      <c r="E218" s="52"/>
      <c r="F218" s="52"/>
      <c r="G218" s="52"/>
      <c r="H218" s="52"/>
      <c r="I218" s="52"/>
      <c r="J218" s="52"/>
      <c r="K218" s="52"/>
      <c r="L218" s="52"/>
      <c r="M218" s="52"/>
    </row>
    <row r="219" spans="1:13" x14ac:dyDescent="0.2">
      <c r="A219" s="52"/>
      <c r="B219" s="52"/>
      <c r="C219" s="52"/>
      <c r="D219" s="52"/>
      <c r="E219" s="52"/>
      <c r="F219" s="52"/>
      <c r="G219" s="52"/>
      <c r="H219" s="52"/>
      <c r="I219" s="52"/>
      <c r="J219" s="52"/>
      <c r="K219" s="52"/>
      <c r="L219" s="52"/>
      <c r="M219" s="52"/>
    </row>
    <row r="220" spans="1:13" x14ac:dyDescent="0.2">
      <c r="A220" s="52"/>
      <c r="B220" s="52"/>
      <c r="C220" s="52"/>
      <c r="D220" s="52"/>
      <c r="E220" s="52"/>
      <c r="F220" s="52"/>
      <c r="G220" s="52"/>
      <c r="H220" s="52"/>
      <c r="I220" s="52"/>
      <c r="J220" s="52"/>
      <c r="K220" s="52"/>
      <c r="L220" s="52"/>
      <c r="M220" s="52"/>
    </row>
    <row r="221" spans="1:13" x14ac:dyDescent="0.2">
      <c r="A221" s="52"/>
      <c r="B221" s="52"/>
      <c r="C221" s="52"/>
      <c r="D221" s="52"/>
      <c r="E221" s="52"/>
      <c r="F221" s="52"/>
      <c r="G221" s="52"/>
      <c r="H221" s="52"/>
      <c r="I221" s="52"/>
      <c r="J221" s="52"/>
      <c r="K221" s="52"/>
      <c r="L221" s="52"/>
      <c r="M221" s="52"/>
    </row>
    <row r="222" spans="1:13" x14ac:dyDescent="0.2">
      <c r="A222" s="52"/>
      <c r="B222" s="52"/>
      <c r="C222" s="52"/>
      <c r="D222" s="52"/>
      <c r="E222" s="52"/>
      <c r="F222" s="52"/>
      <c r="G222" s="52"/>
      <c r="H222" s="52"/>
      <c r="I222" s="52"/>
      <c r="J222" s="52"/>
      <c r="K222" s="52"/>
      <c r="L222" s="52"/>
      <c r="M222" s="52"/>
    </row>
    <row r="223" spans="1:13" x14ac:dyDescent="0.2">
      <c r="A223" s="52"/>
      <c r="B223" s="52"/>
      <c r="C223" s="52"/>
      <c r="D223" s="52"/>
      <c r="E223" s="52"/>
      <c r="F223" s="52"/>
      <c r="G223" s="52"/>
      <c r="H223" s="52"/>
      <c r="I223" s="52"/>
      <c r="J223" s="52"/>
      <c r="K223" s="52"/>
      <c r="L223" s="52"/>
      <c r="M223" s="52"/>
    </row>
    <row r="224" spans="1:13" x14ac:dyDescent="0.2">
      <c r="A224" s="52"/>
      <c r="B224" s="52"/>
      <c r="C224" s="52"/>
      <c r="D224" s="52"/>
      <c r="E224" s="52"/>
      <c r="F224" s="52"/>
      <c r="G224" s="52"/>
      <c r="H224" s="52"/>
      <c r="I224" s="52"/>
      <c r="J224" s="52"/>
      <c r="K224" s="52"/>
      <c r="L224" s="52"/>
      <c r="M224" s="52"/>
    </row>
    <row r="225" spans="1:13" x14ac:dyDescent="0.2">
      <c r="A225" s="52"/>
      <c r="B225" s="52"/>
      <c r="C225" s="52"/>
      <c r="D225" s="52"/>
      <c r="E225" s="52"/>
      <c r="F225" s="52"/>
      <c r="G225" s="52"/>
      <c r="H225" s="52"/>
      <c r="I225" s="52"/>
      <c r="J225" s="52"/>
      <c r="K225" s="52"/>
      <c r="L225" s="52"/>
      <c r="M225" s="52"/>
    </row>
    <row r="226" spans="1:13" x14ac:dyDescent="0.2">
      <c r="A226" s="52"/>
      <c r="B226" s="52"/>
      <c r="C226" s="52"/>
      <c r="D226" s="52"/>
      <c r="E226" s="52"/>
      <c r="F226" s="52"/>
      <c r="G226" s="52"/>
      <c r="H226" s="52"/>
      <c r="I226" s="52"/>
      <c r="J226" s="52"/>
      <c r="K226" s="52"/>
      <c r="L226" s="52"/>
      <c r="M226" s="52"/>
    </row>
    <row r="227" spans="1:13" x14ac:dyDescent="0.2">
      <c r="A227" s="52"/>
      <c r="B227" s="52"/>
      <c r="C227" s="52"/>
      <c r="D227" s="52"/>
      <c r="E227" s="52"/>
      <c r="F227" s="52"/>
      <c r="G227" s="52"/>
      <c r="H227" s="52"/>
      <c r="I227" s="52"/>
      <c r="J227" s="52"/>
      <c r="K227" s="52"/>
      <c r="L227" s="52"/>
      <c r="M227" s="52"/>
    </row>
    <row r="228" spans="1:13" x14ac:dyDescent="0.2">
      <c r="A228" s="52"/>
      <c r="B228" s="52"/>
      <c r="C228" s="52"/>
      <c r="D228" s="52"/>
      <c r="E228" s="52"/>
      <c r="F228" s="52"/>
      <c r="G228" s="52"/>
      <c r="H228" s="52"/>
      <c r="I228" s="52"/>
      <c r="J228" s="52"/>
      <c r="K228" s="52"/>
      <c r="L228" s="52"/>
      <c r="M228" s="52"/>
    </row>
    <row r="229" spans="1:13" x14ac:dyDescent="0.2">
      <c r="A229" s="52"/>
      <c r="B229" s="52"/>
      <c r="C229" s="52"/>
      <c r="D229" s="52"/>
      <c r="E229" s="52"/>
      <c r="F229" s="52"/>
      <c r="G229" s="52"/>
      <c r="H229" s="52"/>
      <c r="I229" s="52"/>
      <c r="J229" s="52"/>
      <c r="K229" s="52"/>
      <c r="L229" s="52"/>
      <c r="M229" s="52"/>
    </row>
    <row r="230" spans="1:13" x14ac:dyDescent="0.2">
      <c r="A230" s="52"/>
      <c r="B230" s="52"/>
      <c r="C230" s="52"/>
      <c r="D230" s="52"/>
      <c r="E230" s="52"/>
      <c r="F230" s="52"/>
      <c r="G230" s="52"/>
      <c r="H230" s="52"/>
      <c r="I230" s="52"/>
      <c r="J230" s="52"/>
      <c r="K230" s="52"/>
      <c r="L230" s="52"/>
      <c r="M230" s="52"/>
    </row>
    <row r="231" spans="1:13" x14ac:dyDescent="0.2">
      <c r="A231" s="52"/>
      <c r="B231" s="52"/>
      <c r="C231" s="52"/>
      <c r="D231" s="52"/>
      <c r="E231" s="52"/>
      <c r="F231" s="52"/>
      <c r="G231" s="52"/>
      <c r="H231" s="52"/>
      <c r="I231" s="52"/>
      <c r="J231" s="52"/>
      <c r="K231" s="52"/>
      <c r="L231" s="52"/>
      <c r="M231" s="52"/>
    </row>
    <row r="232" spans="1:13" x14ac:dyDescent="0.2">
      <c r="A232" s="52"/>
      <c r="B232" s="52"/>
      <c r="C232" s="52"/>
      <c r="D232" s="52"/>
      <c r="E232" s="52"/>
      <c r="F232" s="52"/>
      <c r="G232" s="52"/>
      <c r="H232" s="52"/>
      <c r="I232" s="52"/>
      <c r="J232" s="52"/>
      <c r="K232" s="52"/>
      <c r="L232" s="52"/>
      <c r="M232" s="52"/>
    </row>
    <row r="233" spans="1:13" x14ac:dyDescent="0.2">
      <c r="A233" s="52"/>
      <c r="B233" s="52"/>
      <c r="C233" s="52"/>
      <c r="D233" s="52"/>
      <c r="E233" s="52"/>
      <c r="F233" s="52"/>
      <c r="G233" s="52"/>
      <c r="H233" s="52"/>
      <c r="I233" s="52"/>
      <c r="J233" s="52"/>
      <c r="K233" s="52"/>
      <c r="L233" s="52"/>
      <c r="M233" s="52"/>
    </row>
    <row r="234" spans="1:13" x14ac:dyDescent="0.2">
      <c r="A234" s="52"/>
      <c r="B234" s="52"/>
      <c r="C234" s="52"/>
      <c r="D234" s="52"/>
      <c r="E234" s="52"/>
      <c r="F234" s="52"/>
      <c r="G234" s="52"/>
      <c r="H234" s="52"/>
      <c r="I234" s="52"/>
      <c r="J234" s="52"/>
      <c r="K234" s="52"/>
      <c r="L234" s="52"/>
      <c r="M234" s="52"/>
    </row>
    <row r="235" spans="1:13" x14ac:dyDescent="0.2">
      <c r="A235" s="52"/>
      <c r="B235" s="52"/>
      <c r="C235" s="52"/>
      <c r="D235" s="52"/>
      <c r="E235" s="52"/>
      <c r="F235" s="52"/>
      <c r="G235" s="52"/>
      <c r="H235" s="52"/>
      <c r="I235" s="52"/>
      <c r="J235" s="52"/>
      <c r="K235" s="52"/>
      <c r="L235" s="52"/>
      <c r="M235" s="52"/>
    </row>
    <row r="236" spans="1:13" x14ac:dyDescent="0.2">
      <c r="A236" s="52"/>
      <c r="B236" s="52"/>
      <c r="C236" s="52"/>
      <c r="D236" s="52"/>
      <c r="E236" s="52"/>
      <c r="F236" s="52"/>
      <c r="G236" s="52"/>
      <c r="H236" s="52"/>
      <c r="I236" s="52"/>
      <c r="J236" s="52"/>
      <c r="K236" s="52"/>
      <c r="L236" s="52"/>
      <c r="M236" s="52"/>
    </row>
    <row r="237" spans="1:13" x14ac:dyDescent="0.2">
      <c r="A237" s="52"/>
      <c r="B237" s="52"/>
      <c r="C237" s="52"/>
      <c r="D237" s="52"/>
      <c r="E237" s="52"/>
      <c r="F237" s="52"/>
      <c r="G237" s="52"/>
      <c r="H237" s="52"/>
      <c r="I237" s="52"/>
      <c r="J237" s="52"/>
      <c r="K237" s="52"/>
      <c r="L237" s="52"/>
      <c r="M237" s="52"/>
    </row>
    <row r="238" spans="1:13" x14ac:dyDescent="0.2">
      <c r="A238" s="52"/>
      <c r="B238" s="52"/>
      <c r="C238" s="52"/>
      <c r="D238" s="52"/>
      <c r="E238" s="52"/>
      <c r="F238" s="52"/>
      <c r="G238" s="52"/>
      <c r="H238" s="52"/>
      <c r="I238" s="52"/>
      <c r="J238" s="52"/>
      <c r="K238" s="52"/>
      <c r="L238" s="52"/>
      <c r="M238" s="52"/>
    </row>
    <row r="239" spans="1:13" x14ac:dyDescent="0.2">
      <c r="A239" s="52"/>
      <c r="B239" s="52"/>
      <c r="C239" s="52"/>
      <c r="D239" s="52"/>
      <c r="E239" s="52"/>
      <c r="F239" s="52"/>
      <c r="G239" s="52"/>
      <c r="H239" s="52"/>
      <c r="I239" s="52"/>
      <c r="J239" s="52"/>
      <c r="K239" s="52"/>
      <c r="L239" s="52"/>
      <c r="M239" s="52"/>
    </row>
    <row r="240" spans="1:13" x14ac:dyDescent="0.2">
      <c r="A240" s="52"/>
      <c r="B240" s="52"/>
      <c r="C240" s="52"/>
      <c r="D240" s="52"/>
      <c r="E240" s="52"/>
      <c r="F240" s="52"/>
      <c r="G240" s="52"/>
      <c r="H240" s="52"/>
      <c r="I240" s="52"/>
      <c r="J240" s="52"/>
      <c r="K240" s="52"/>
      <c r="L240" s="52"/>
      <c r="M240" s="52"/>
    </row>
    <row r="241" spans="1:13" x14ac:dyDescent="0.2">
      <c r="A241" s="52"/>
      <c r="B241" s="52"/>
      <c r="C241" s="52"/>
      <c r="D241" s="52"/>
      <c r="E241" s="52"/>
      <c r="F241" s="52"/>
      <c r="G241" s="52"/>
      <c r="H241" s="52"/>
      <c r="I241" s="52"/>
      <c r="J241" s="52"/>
      <c r="K241" s="52"/>
      <c r="L241" s="52"/>
      <c r="M241" s="52"/>
    </row>
    <row r="242" spans="1:13" x14ac:dyDescent="0.2">
      <c r="A242" s="52"/>
      <c r="B242" s="52"/>
      <c r="C242" s="52"/>
      <c r="D242" s="52"/>
      <c r="E242" s="52"/>
      <c r="F242" s="52"/>
      <c r="G242" s="52"/>
      <c r="H242" s="52"/>
      <c r="I242" s="52"/>
      <c r="J242" s="52"/>
      <c r="K242" s="52"/>
      <c r="L242" s="52"/>
      <c r="M242" s="52"/>
    </row>
    <row r="243" spans="1:13" x14ac:dyDescent="0.2">
      <c r="A243" s="52"/>
      <c r="B243" s="52"/>
      <c r="C243" s="52"/>
      <c r="D243" s="52"/>
      <c r="E243" s="52"/>
      <c r="F243" s="52"/>
      <c r="G243" s="52"/>
      <c r="H243" s="52"/>
      <c r="I243" s="52"/>
      <c r="J243" s="52"/>
      <c r="K243" s="52"/>
      <c r="L243" s="52"/>
      <c r="M243" s="52"/>
    </row>
    <row r="244" spans="1:13" x14ac:dyDescent="0.2">
      <c r="A244" s="52"/>
      <c r="B244" s="52"/>
      <c r="C244" s="52"/>
      <c r="D244" s="52"/>
      <c r="E244" s="52"/>
      <c r="F244" s="52"/>
      <c r="G244" s="52"/>
      <c r="H244" s="52"/>
      <c r="I244" s="52"/>
      <c r="J244" s="52"/>
      <c r="K244" s="52"/>
      <c r="L244" s="52"/>
      <c r="M244" s="52"/>
    </row>
    <row r="245" spans="1:13" x14ac:dyDescent="0.2">
      <c r="A245" s="52"/>
      <c r="B245" s="52"/>
      <c r="C245" s="52"/>
      <c r="D245" s="52"/>
      <c r="E245" s="52"/>
      <c r="F245" s="52"/>
      <c r="G245" s="52"/>
      <c r="H245" s="52"/>
      <c r="I245" s="52"/>
      <c r="J245" s="52"/>
      <c r="K245" s="52"/>
      <c r="L245" s="52"/>
      <c r="M245" s="52"/>
    </row>
    <row r="246" spans="1:13" x14ac:dyDescent="0.2">
      <c r="A246" s="52"/>
      <c r="B246" s="52"/>
      <c r="C246" s="52"/>
      <c r="D246" s="52"/>
      <c r="E246" s="52"/>
      <c r="F246" s="52"/>
      <c r="G246" s="52"/>
      <c r="H246" s="52"/>
      <c r="I246" s="52"/>
      <c r="J246" s="52"/>
      <c r="K246" s="52"/>
      <c r="L246" s="52"/>
      <c r="M246" s="52"/>
    </row>
    <row r="247" spans="1:13" x14ac:dyDescent="0.2">
      <c r="A247" s="52"/>
      <c r="B247" s="52"/>
      <c r="C247" s="52"/>
      <c r="D247" s="52"/>
      <c r="E247" s="52"/>
      <c r="F247" s="52"/>
      <c r="G247" s="52"/>
      <c r="H247" s="52"/>
      <c r="I247" s="52"/>
      <c r="J247" s="52"/>
      <c r="K247" s="52"/>
      <c r="L247" s="52"/>
      <c r="M247" s="52"/>
    </row>
    <row r="248" spans="1:13" x14ac:dyDescent="0.2">
      <c r="A248" s="52"/>
      <c r="B248" s="52"/>
      <c r="C248" s="52"/>
      <c r="D248" s="52"/>
      <c r="E248" s="52"/>
      <c r="F248" s="52"/>
      <c r="G248" s="52"/>
      <c r="H248" s="52"/>
      <c r="I248" s="52"/>
      <c r="J248" s="52"/>
      <c r="K248" s="52"/>
      <c r="L248" s="52"/>
      <c r="M248" s="52"/>
    </row>
    <row r="249" spans="1:13" x14ac:dyDescent="0.2">
      <c r="A249" s="52"/>
      <c r="B249" s="52"/>
      <c r="C249" s="52"/>
      <c r="D249" s="52"/>
      <c r="E249" s="52"/>
      <c r="F249" s="52"/>
      <c r="G249" s="52"/>
      <c r="H249" s="52"/>
      <c r="I249" s="52"/>
      <c r="J249" s="52"/>
      <c r="K249" s="52"/>
      <c r="L249" s="52"/>
      <c r="M249" s="52"/>
    </row>
    <row r="250" spans="1:13" x14ac:dyDescent="0.2">
      <c r="A250" s="52"/>
      <c r="B250" s="52"/>
      <c r="C250" s="52"/>
      <c r="D250" s="52"/>
      <c r="E250" s="52"/>
      <c r="F250" s="52"/>
      <c r="G250" s="52"/>
      <c r="H250" s="52"/>
      <c r="I250" s="52"/>
      <c r="J250" s="52"/>
      <c r="K250" s="52"/>
      <c r="L250" s="52"/>
      <c r="M250" s="52"/>
    </row>
    <row r="251" spans="1:13" x14ac:dyDescent="0.2">
      <c r="A251" s="52"/>
      <c r="B251" s="52"/>
      <c r="C251" s="52"/>
      <c r="D251" s="52"/>
      <c r="E251" s="52"/>
      <c r="F251" s="52"/>
      <c r="G251" s="52"/>
      <c r="H251" s="52"/>
      <c r="I251" s="52"/>
      <c r="J251" s="52"/>
      <c r="K251" s="52"/>
      <c r="L251" s="52"/>
      <c r="M251" s="52"/>
    </row>
    <row r="252" spans="1:13" x14ac:dyDescent="0.2">
      <c r="A252" s="52"/>
      <c r="B252" s="52"/>
      <c r="C252" s="52"/>
      <c r="D252" s="52"/>
      <c r="E252" s="52"/>
      <c r="F252" s="52"/>
      <c r="G252" s="52"/>
      <c r="H252" s="52"/>
      <c r="I252" s="52"/>
      <c r="J252" s="52"/>
      <c r="K252" s="52"/>
      <c r="L252" s="52"/>
      <c r="M252" s="52"/>
    </row>
    <row r="253" spans="1:13" x14ac:dyDescent="0.2">
      <c r="A253" s="52"/>
      <c r="B253" s="52"/>
      <c r="C253" s="52"/>
      <c r="D253" s="52"/>
      <c r="E253" s="52"/>
      <c r="F253" s="52"/>
      <c r="G253" s="52"/>
      <c r="H253" s="52"/>
      <c r="I253" s="52"/>
      <c r="J253" s="52"/>
      <c r="K253" s="52"/>
      <c r="L253" s="52"/>
      <c r="M253" s="52"/>
    </row>
    <row r="254" spans="1:13" x14ac:dyDescent="0.2">
      <c r="A254" s="52"/>
      <c r="B254" s="52"/>
      <c r="C254" s="52"/>
      <c r="D254" s="52"/>
      <c r="E254" s="52"/>
      <c r="F254" s="52"/>
      <c r="G254" s="52"/>
      <c r="H254" s="52"/>
      <c r="I254" s="52"/>
      <c r="J254" s="52"/>
      <c r="K254" s="52"/>
      <c r="L254" s="52"/>
      <c r="M254" s="52"/>
    </row>
    <row r="255" spans="1:13" x14ac:dyDescent="0.2">
      <c r="A255" s="52"/>
      <c r="B255" s="52"/>
      <c r="C255" s="52"/>
      <c r="D255" s="52"/>
      <c r="E255" s="52"/>
      <c r="F255" s="52"/>
      <c r="G255" s="52"/>
      <c r="H255" s="52"/>
      <c r="I255" s="52"/>
      <c r="J255" s="52"/>
      <c r="K255" s="52"/>
      <c r="L255" s="52"/>
      <c r="M255" s="52"/>
    </row>
    <row r="256" spans="1:13" x14ac:dyDescent="0.2">
      <c r="A256" s="52"/>
      <c r="B256" s="52"/>
      <c r="C256" s="52"/>
      <c r="D256" s="52"/>
      <c r="E256" s="52"/>
      <c r="F256" s="52"/>
      <c r="G256" s="52"/>
      <c r="H256" s="52"/>
      <c r="I256" s="52"/>
      <c r="J256" s="52"/>
      <c r="K256" s="52"/>
      <c r="L256" s="52"/>
      <c r="M256" s="52"/>
    </row>
    <row r="257" spans="1:13" x14ac:dyDescent="0.2">
      <c r="A257" s="52"/>
      <c r="B257" s="52"/>
      <c r="C257" s="52"/>
      <c r="D257" s="52"/>
      <c r="E257" s="52"/>
      <c r="F257" s="52"/>
      <c r="G257" s="52"/>
      <c r="H257" s="52"/>
      <c r="I257" s="52"/>
      <c r="J257" s="52"/>
      <c r="K257" s="52"/>
      <c r="L257" s="52"/>
      <c r="M257" s="52"/>
    </row>
    <row r="258" spans="1:13" x14ac:dyDescent="0.2">
      <c r="A258" s="52"/>
      <c r="B258" s="52"/>
      <c r="C258" s="52"/>
      <c r="D258" s="52"/>
      <c r="E258" s="52"/>
      <c r="F258" s="52"/>
      <c r="G258" s="52"/>
      <c r="H258" s="52"/>
      <c r="I258" s="52"/>
      <c r="J258" s="52"/>
      <c r="K258" s="52"/>
      <c r="L258" s="52"/>
      <c r="M258" s="52"/>
    </row>
    <row r="259" spans="1:13" x14ac:dyDescent="0.2">
      <c r="A259" s="52"/>
      <c r="B259" s="52"/>
      <c r="C259" s="52"/>
      <c r="D259" s="52"/>
      <c r="E259" s="52"/>
      <c r="F259" s="52"/>
      <c r="G259" s="52"/>
      <c r="H259" s="52"/>
      <c r="I259" s="52"/>
      <c r="J259" s="52"/>
      <c r="K259" s="52"/>
      <c r="L259" s="52"/>
      <c r="M259" s="52"/>
    </row>
    <row r="260" spans="1:13" x14ac:dyDescent="0.2">
      <c r="A260" s="52"/>
      <c r="B260" s="52"/>
      <c r="C260" s="52"/>
      <c r="D260" s="52"/>
      <c r="E260" s="52"/>
      <c r="F260" s="52"/>
      <c r="G260" s="52"/>
      <c r="H260" s="52"/>
      <c r="I260" s="52"/>
      <c r="J260" s="52"/>
      <c r="K260" s="52"/>
      <c r="L260" s="52"/>
      <c r="M260" s="52"/>
    </row>
    <row r="261" spans="1:13" x14ac:dyDescent="0.2">
      <c r="A261" s="52"/>
      <c r="B261" s="52"/>
      <c r="C261" s="52"/>
      <c r="D261" s="52"/>
      <c r="E261" s="52"/>
      <c r="F261" s="52"/>
      <c r="G261" s="52"/>
      <c r="H261" s="52"/>
      <c r="I261" s="52"/>
      <c r="J261" s="52"/>
      <c r="K261" s="52"/>
      <c r="L261" s="52"/>
      <c r="M261" s="52"/>
    </row>
    <row r="262" spans="1:13" x14ac:dyDescent="0.2">
      <c r="A262" s="52"/>
      <c r="B262" s="52"/>
      <c r="C262" s="52"/>
      <c r="D262" s="52"/>
      <c r="E262" s="52"/>
      <c r="F262" s="52"/>
      <c r="G262" s="52"/>
      <c r="H262" s="52"/>
      <c r="I262" s="52"/>
      <c r="J262" s="52"/>
      <c r="K262" s="52"/>
      <c r="L262" s="52"/>
      <c r="M262" s="52"/>
    </row>
    <row r="263" spans="1:13" x14ac:dyDescent="0.2">
      <c r="A263" s="52"/>
      <c r="B263" s="52"/>
      <c r="C263" s="52"/>
      <c r="D263" s="52"/>
      <c r="E263" s="52"/>
      <c r="F263" s="52"/>
      <c r="G263" s="52"/>
      <c r="H263" s="52"/>
      <c r="I263" s="52"/>
      <c r="J263" s="52"/>
      <c r="K263" s="52"/>
      <c r="L263" s="52"/>
      <c r="M263" s="52"/>
    </row>
    <row r="264" spans="1:13" x14ac:dyDescent="0.2">
      <c r="A264" s="52"/>
      <c r="B264" s="52"/>
      <c r="C264" s="52"/>
      <c r="D264" s="52"/>
      <c r="E264" s="52"/>
      <c r="F264" s="52"/>
      <c r="G264" s="52"/>
      <c r="H264" s="52"/>
      <c r="I264" s="52"/>
      <c r="J264" s="52"/>
      <c r="K264" s="52"/>
      <c r="L264" s="52"/>
      <c r="M264" s="52"/>
    </row>
    <row r="265" spans="1:13" x14ac:dyDescent="0.2">
      <c r="A265" s="52"/>
      <c r="B265" s="52"/>
      <c r="C265" s="52"/>
      <c r="D265" s="52"/>
      <c r="E265" s="52"/>
      <c r="F265" s="52"/>
      <c r="G265" s="52"/>
      <c r="H265" s="52"/>
      <c r="I265" s="52"/>
      <c r="J265" s="52"/>
      <c r="K265" s="52"/>
      <c r="L265" s="52"/>
      <c r="M265" s="52"/>
    </row>
    <row r="266" spans="1:13" x14ac:dyDescent="0.2">
      <c r="A266" s="52"/>
      <c r="B266" s="52"/>
      <c r="C266" s="52"/>
      <c r="D266" s="52"/>
      <c r="E266" s="52"/>
      <c r="F266" s="52"/>
      <c r="G266" s="52"/>
      <c r="H266" s="52"/>
      <c r="I266" s="52"/>
      <c r="J266" s="52"/>
      <c r="K266" s="52"/>
      <c r="L266" s="52"/>
      <c r="M266" s="52"/>
    </row>
    <row r="267" spans="1:13" x14ac:dyDescent="0.2">
      <c r="A267" s="52"/>
      <c r="B267" s="52"/>
      <c r="C267" s="52"/>
      <c r="D267" s="52"/>
      <c r="E267" s="52"/>
      <c r="F267" s="52"/>
      <c r="G267" s="52"/>
      <c r="H267" s="52"/>
      <c r="I267" s="52"/>
      <c r="J267" s="52"/>
      <c r="K267" s="52"/>
      <c r="L267" s="52"/>
      <c r="M267" s="52"/>
    </row>
  </sheetData>
  <mergeCells count="4">
    <mergeCell ref="A1:M1"/>
    <mergeCell ref="A2:M2"/>
    <mergeCell ref="A3:M3"/>
    <mergeCell ref="A4:M4"/>
  </mergeCells>
  <printOptions horizontalCentered="1"/>
  <pageMargins left="0.39370078740157483" right="0.39370078740157483" top="0.39370078740157483" bottom="0.39370078740157483" header="0" footer="0"/>
  <pageSetup scale="38"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2 </vt:lpstr>
      <vt:lpstr>'Anexo 2 '!Área_de_impresión</vt:lpstr>
      <vt:lpstr>'Anexo 2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Rubio</dc:creator>
  <cp:lastModifiedBy>Oscar Rubio</cp:lastModifiedBy>
  <dcterms:created xsi:type="dcterms:W3CDTF">2019-10-16T17:08:51Z</dcterms:created>
  <dcterms:modified xsi:type="dcterms:W3CDTF">2019-10-16T17:09:17Z</dcterms:modified>
</cp:coreProperties>
</file>