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Año 2020\información y soportes ley de transparencia 2020\5. PRESUPUESTO\Ejecución presupuestal historica anual\2020\Gasto\"/>
    </mc:Choice>
  </mc:AlternateContent>
  <xr:revisionPtr revIDLastSave="0" documentId="8_{8E19B0E5-4BB4-4019-A009-1261BC402D30}" xr6:coauthVersionLast="45" xr6:coauthVersionMax="45" xr10:uidLastSave="{00000000-0000-0000-0000-000000000000}"/>
  <bookViews>
    <workbookView xWindow="-120" yWindow="-120" windowWidth="20730" windowHeight="11160" xr2:uid="{C52411BE-E395-4FE0-AC38-179925C44FF6}"/>
  </bookViews>
  <sheets>
    <sheet name="Anexo 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hidden="1">#REF!</definedName>
    <definedName name="ANEXO" hidden="1">'[4]Inversión total en programas'!$50:$50,'[4]Inversión total en programas'!$60:$63</definedName>
    <definedName name="_xlnm.Print_Area" localSheetId="0">'Anexo 2 '!$B$1:$N$207</definedName>
    <definedName name="_xlnm.Print_Area">#REF!</definedName>
    <definedName name="AREAS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'[7]Anexo 1 Minagricultura'!#REF!</definedName>
    <definedName name="CABEZAS_PROYEC" localSheetId="0">'[8]Anexo 1 Minagricultura'!$C$46</definedName>
    <definedName name="CABEZAS_PROYEC">'[9]Anexo 1'!#REF!</definedName>
    <definedName name="CONTRATOS">#REF!</definedName>
    <definedName name="CUOTAPPC2005" localSheetId="0">'[8]Anexo 1 Minagricultura'!#REF!</definedName>
    <definedName name="CUOTAPPC2005">'[9]Anexo 1'!#REF!</definedName>
    <definedName name="CUOTAPPC2013" localSheetId="0">'[8]Anexo 1 Minagricultura'!#REF!</definedName>
    <definedName name="CUOTAPPC2013">'[9]Anexo 1'!#REF!</definedName>
    <definedName name="CUOTAPPC203" localSheetId="0">'[8]Anexo 1 Minagricultura'!#REF!</definedName>
    <definedName name="CUOTAPPC203">'[9]Anexo 1'!#REF!</definedName>
    <definedName name="DIAG_PPC">#REF!</definedName>
    <definedName name="DIRECCION">[10]consecutivo!$M$9:$M$13</definedName>
    <definedName name="DISTRIBUIDOR">#REF!</definedName>
    <definedName name="Dólar" localSheetId="0">#REF!</definedName>
    <definedName name="Dólar">#REF!</definedName>
    <definedName name="eeeee" localSheetId="0">'[8]Ejecución ingresos 2014'!#REF!</definedName>
    <definedName name="eeeee">'[3]Ejecución ingresos 2019'!#REF!</definedName>
    <definedName name="EPPC" localSheetId="0">'[8]Anexo 1 Minagricultura'!$C$54</definedName>
    <definedName name="EPPC">'[9]Anexo 1'!#REF!</definedName>
    <definedName name="Euro" localSheetId="0">#REF!</definedName>
    <definedName name="Euro">#REF!</definedName>
    <definedName name="FDGFDG">#REF!</definedName>
    <definedName name="FECHA_DE_RECIBIDO">[11]BASE!$E$3:$E$177</definedName>
    <definedName name="FOMENTO" localSheetId="0">'[8]Anexo 1 Minagricultura'!$C$53</definedName>
    <definedName name="FOMENTO">'[9]Anexo 1'!#REF!</definedName>
    <definedName name="FOMENTOS">'[14]Anexo 1 Minagricultura'!$C$51</definedName>
    <definedName name="GTOSEPPC">#REF!</definedName>
    <definedName name="HONORAUDI_JURIDIC">#REF!</definedName>
    <definedName name="HONTOTAL">#REF!</definedName>
    <definedName name="Incremento" localSheetId="0">#REF!</definedName>
    <definedName name="Incremento">#REF!</definedName>
    <definedName name="Inflación" localSheetId="0">#REF!</definedName>
    <definedName name="Inflación">#REF!</definedName>
    <definedName name="JORTIZ">#REF!</definedName>
    <definedName name="LABORATORIOS">#REF!</definedName>
    <definedName name="NOMBDISTRI">#REF!</definedName>
    <definedName name="Pasajes" localSheetId="0">#REF!</definedName>
    <definedName name="Pasajes">#REF!</definedName>
    <definedName name="ppc">'[9]Anexo 1'!$B$15</definedName>
    <definedName name="RESERV_FUTU">#REF!</definedName>
    <definedName name="saldo" localSheetId="0">'[8]Ejecución ingresos 2014'!#REF!</definedName>
    <definedName name="saldo">'[3]Ejecución ingresos 2019'!#REF!</definedName>
    <definedName name="saldos" localSheetId="0">'[8]Ejecución ingresos 2014'!#REF!</definedName>
    <definedName name="saldos">'[3]Ejecución ingresos 2019'!#REF!</definedName>
    <definedName name="SUPERA2004" localSheetId="0">'[8]Anexo 1 Minagricultura'!#REF!</definedName>
    <definedName name="SUPERA2004">'[9]Anexo 1'!#REF!</definedName>
    <definedName name="SUPERA2005" localSheetId="0">'[8]Anexo 1 Minagricultura'!#REF!</definedName>
    <definedName name="SUPERA2005">'[9]Anexo 1'!#REF!</definedName>
    <definedName name="SUPERA2010">'[16]Anexo 1 Minagricultura'!$C$21</definedName>
    <definedName name="SUPERA2012" localSheetId="0">'[8]Anexo 1 Minagricultura'!#REF!</definedName>
    <definedName name="SUPERA2012">'[9]Anexo 1'!#REF!</definedName>
    <definedName name="SUPERAVIT">#REF!</definedName>
    <definedName name="SUPERAVIT2005_FNP">#REF!</definedName>
    <definedName name="SUPERAVITPPC_2005">#REF!</definedName>
    <definedName name="TIPOS">#REF!</definedName>
    <definedName name="_xlnm.Print_Titles" localSheetId="0">'Anexo 2 '!$1:$6</definedName>
    <definedName name="_xlnm.Print_Titles">#REF!</definedName>
    <definedName name="VTAS2005">'[9]Anexo 1'!$B$32</definedName>
    <definedName name="xx">[17]Ingresos!$C$19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 localSheetId="0">'[19]Ingresos 2014'!#REF!</definedName>
    <definedName name="ZFRONTERA">'[19]Ingresos 2014'!#REF!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F8" i="1" s="1"/>
  <c r="G9" i="1"/>
  <c r="H9" i="1"/>
  <c r="J9" i="1"/>
  <c r="J19" i="1" s="1"/>
  <c r="C10" i="1"/>
  <c r="D10" i="1"/>
  <c r="E10" i="1"/>
  <c r="F10" i="1"/>
  <c r="F19" i="1" s="1"/>
  <c r="G10" i="1"/>
  <c r="H10" i="1"/>
  <c r="J10" i="1"/>
  <c r="C11" i="1"/>
  <c r="C8" i="1" s="1"/>
  <c r="D11" i="1"/>
  <c r="E11" i="1"/>
  <c r="F11" i="1"/>
  <c r="G11" i="1"/>
  <c r="H11" i="1"/>
  <c r="I11" i="1"/>
  <c r="L11" i="1" s="1"/>
  <c r="J11" i="1"/>
  <c r="I12" i="1"/>
  <c r="L12" i="1" s="1"/>
  <c r="N12" i="1" s="1"/>
  <c r="J12" i="1"/>
  <c r="C13" i="1"/>
  <c r="I13" i="1" s="1"/>
  <c r="L13" i="1" s="1"/>
  <c r="M13" i="1" s="1"/>
  <c r="D13" i="1"/>
  <c r="E13" i="1"/>
  <c r="G13" i="1"/>
  <c r="H13" i="1"/>
  <c r="J13" i="1"/>
  <c r="J8" i="1" s="1"/>
  <c r="C14" i="1"/>
  <c r="D14" i="1"/>
  <c r="E14" i="1"/>
  <c r="E19" i="1" s="1"/>
  <c r="F14" i="1"/>
  <c r="G14" i="1"/>
  <c r="H14" i="1"/>
  <c r="H19" i="1" s="1"/>
  <c r="J14" i="1"/>
  <c r="C15" i="1"/>
  <c r="D15" i="1"/>
  <c r="E15" i="1"/>
  <c r="F15" i="1"/>
  <c r="G15" i="1"/>
  <c r="H15" i="1"/>
  <c r="J15" i="1"/>
  <c r="C16" i="1"/>
  <c r="I16" i="1" s="1"/>
  <c r="D16" i="1"/>
  <c r="E16" i="1"/>
  <c r="F16" i="1"/>
  <c r="G16" i="1"/>
  <c r="H16" i="1"/>
  <c r="J16" i="1"/>
  <c r="C17" i="1"/>
  <c r="D17" i="1"/>
  <c r="E17" i="1"/>
  <c r="F17" i="1"/>
  <c r="G17" i="1"/>
  <c r="I17" i="1" s="1"/>
  <c r="L17" i="1" s="1"/>
  <c r="H17" i="1"/>
  <c r="J17" i="1"/>
  <c r="C18" i="1"/>
  <c r="D18" i="1"/>
  <c r="I18" i="1" s="1"/>
  <c r="L18" i="1" s="1"/>
  <c r="N18" i="1" s="1"/>
  <c r="E18" i="1"/>
  <c r="F18" i="1"/>
  <c r="G18" i="1"/>
  <c r="H18" i="1"/>
  <c r="J18" i="1"/>
  <c r="C19" i="1"/>
  <c r="C21" i="1"/>
  <c r="D21" i="1"/>
  <c r="G21" i="1"/>
  <c r="H21" i="1"/>
  <c r="J21" i="1"/>
  <c r="C22" i="1"/>
  <c r="D22" i="1"/>
  <c r="F22" i="1"/>
  <c r="F36" i="1" s="1"/>
  <c r="F49" i="1" s="1"/>
  <c r="G22" i="1"/>
  <c r="H22" i="1"/>
  <c r="J22" i="1"/>
  <c r="H23" i="1"/>
  <c r="I23" i="1" s="1"/>
  <c r="L23" i="1" s="1"/>
  <c r="J23" i="1"/>
  <c r="C24" i="1"/>
  <c r="D24" i="1"/>
  <c r="E24" i="1"/>
  <c r="F24" i="1"/>
  <c r="G24" i="1"/>
  <c r="H24" i="1"/>
  <c r="J24" i="1"/>
  <c r="C25" i="1"/>
  <c r="I25" i="1" s="1"/>
  <c r="L25" i="1" s="1"/>
  <c r="D25" i="1"/>
  <c r="E25" i="1"/>
  <c r="G25" i="1"/>
  <c r="H25" i="1"/>
  <c r="J25" i="1"/>
  <c r="I26" i="1"/>
  <c r="L26" i="1" s="1"/>
  <c r="J26" i="1"/>
  <c r="C27" i="1"/>
  <c r="D27" i="1"/>
  <c r="E27" i="1"/>
  <c r="F27" i="1"/>
  <c r="G27" i="1"/>
  <c r="H27" i="1"/>
  <c r="J27" i="1"/>
  <c r="C28" i="1"/>
  <c r="D28" i="1"/>
  <c r="E28" i="1"/>
  <c r="F28" i="1"/>
  <c r="H28" i="1"/>
  <c r="I28" i="1"/>
  <c r="L28" i="1" s="1"/>
  <c r="J28" i="1"/>
  <c r="H29" i="1"/>
  <c r="I29" i="1" s="1"/>
  <c r="J29" i="1"/>
  <c r="L29" i="1"/>
  <c r="C30" i="1"/>
  <c r="D30" i="1"/>
  <c r="E30" i="1"/>
  <c r="G30" i="1"/>
  <c r="H30" i="1"/>
  <c r="I30" i="1"/>
  <c r="L30" i="1" s="1"/>
  <c r="J30" i="1"/>
  <c r="I31" i="1"/>
  <c r="L31" i="1" s="1"/>
  <c r="N31" i="1" s="1"/>
  <c r="J31" i="1"/>
  <c r="C32" i="1"/>
  <c r="D32" i="1"/>
  <c r="E32" i="1"/>
  <c r="F32" i="1"/>
  <c r="G32" i="1"/>
  <c r="H32" i="1"/>
  <c r="I32" i="1"/>
  <c r="L32" i="1" s="1"/>
  <c r="J32" i="1"/>
  <c r="C33" i="1"/>
  <c r="G33" i="1"/>
  <c r="H33" i="1"/>
  <c r="I33" i="1"/>
  <c r="L33" i="1" s="1"/>
  <c r="J33" i="1"/>
  <c r="I34" i="1"/>
  <c r="L34" i="1" s="1"/>
  <c r="N34" i="1" s="1"/>
  <c r="J34" i="1"/>
  <c r="I35" i="1"/>
  <c r="L35" i="1" s="1"/>
  <c r="J35" i="1"/>
  <c r="D36" i="1"/>
  <c r="G36" i="1"/>
  <c r="J39" i="1"/>
  <c r="L39" i="1" s="1"/>
  <c r="J40" i="1"/>
  <c r="J38" i="1" s="1"/>
  <c r="L40" i="1"/>
  <c r="M40" i="1" s="1"/>
  <c r="J41" i="1"/>
  <c r="L41" i="1" s="1"/>
  <c r="N41" i="1" s="1"/>
  <c r="J43" i="1"/>
  <c r="L43" i="1"/>
  <c r="M43" i="1"/>
  <c r="N43" i="1"/>
  <c r="J44" i="1"/>
  <c r="J42" i="1" s="1"/>
  <c r="L44" i="1"/>
  <c r="L42" i="1" s="1"/>
  <c r="J45" i="1"/>
  <c r="L45" i="1"/>
  <c r="M45" i="1"/>
  <c r="N45" i="1"/>
  <c r="L46" i="1"/>
  <c r="M46" i="1"/>
  <c r="C54" i="1"/>
  <c r="C55" i="1"/>
  <c r="I55" i="1"/>
  <c r="C56" i="1"/>
  <c r="I56" i="1"/>
  <c r="L56" i="1" s="1"/>
  <c r="M56" i="1" s="1"/>
  <c r="N56" i="1"/>
  <c r="C58" i="1"/>
  <c r="I58" i="1"/>
  <c r="L58" i="1"/>
  <c r="C59" i="1"/>
  <c r="C60" i="1"/>
  <c r="I60" i="1" s="1"/>
  <c r="L60" i="1" s="1"/>
  <c r="I64" i="1"/>
  <c r="L64" i="1"/>
  <c r="I65" i="1"/>
  <c r="G66" i="1"/>
  <c r="I66" i="1" s="1"/>
  <c r="L66" i="1" s="1"/>
  <c r="N66" i="1" s="1"/>
  <c r="M66" i="1"/>
  <c r="G67" i="1"/>
  <c r="G63" i="1" s="1"/>
  <c r="I68" i="1"/>
  <c r="L68" i="1"/>
  <c r="M68" i="1" s="1"/>
  <c r="I69" i="1"/>
  <c r="L69" i="1" s="1"/>
  <c r="M69" i="1" s="1"/>
  <c r="G70" i="1"/>
  <c r="I70" i="1" s="1"/>
  <c r="L70" i="1" s="1"/>
  <c r="N70" i="1" s="1"/>
  <c r="M70" i="1"/>
  <c r="G71" i="1"/>
  <c r="G72" i="1"/>
  <c r="I72" i="1"/>
  <c r="G73" i="1"/>
  <c r="I73" i="1"/>
  <c r="L73" i="1" s="1"/>
  <c r="M73" i="1" s="1"/>
  <c r="G74" i="1"/>
  <c r="I74" i="1"/>
  <c r="L74" i="1" s="1"/>
  <c r="I75" i="1"/>
  <c r="L75" i="1"/>
  <c r="M75" i="1"/>
  <c r="G76" i="1"/>
  <c r="I76" i="1"/>
  <c r="L76" i="1" s="1"/>
  <c r="I77" i="1"/>
  <c r="L77" i="1"/>
  <c r="M77" i="1"/>
  <c r="G78" i="1"/>
  <c r="I78" i="1"/>
  <c r="L78" i="1" s="1"/>
  <c r="I79" i="1"/>
  <c r="L79" i="1"/>
  <c r="M79" i="1"/>
  <c r="I80" i="1"/>
  <c r="L80" i="1"/>
  <c r="M80" i="1" s="1"/>
  <c r="G82" i="1"/>
  <c r="I82" i="1"/>
  <c r="L82" i="1" s="1"/>
  <c r="I83" i="1"/>
  <c r="L83" i="1" s="1"/>
  <c r="N83" i="1" s="1"/>
  <c r="M83" i="1"/>
  <c r="G84" i="1"/>
  <c r="I84" i="1" s="1"/>
  <c r="L84" i="1" s="1"/>
  <c r="I85" i="1"/>
  <c r="L85" i="1"/>
  <c r="G86" i="1"/>
  <c r="I86" i="1" s="1"/>
  <c r="L86" i="1" s="1"/>
  <c r="G87" i="1"/>
  <c r="I87" i="1" s="1"/>
  <c r="L87" i="1" s="1"/>
  <c r="I88" i="1"/>
  <c r="L88" i="1" s="1"/>
  <c r="M88" i="1" s="1"/>
  <c r="G89" i="1"/>
  <c r="I89" i="1" s="1"/>
  <c r="L89" i="1" s="1"/>
  <c r="G91" i="1"/>
  <c r="I91" i="1" s="1"/>
  <c r="G92" i="1"/>
  <c r="I92" i="1"/>
  <c r="L92" i="1" s="1"/>
  <c r="G93" i="1"/>
  <c r="I93" i="1"/>
  <c r="L93" i="1" s="1"/>
  <c r="M93" i="1" s="1"/>
  <c r="N93" i="1"/>
  <c r="G94" i="1"/>
  <c r="I94" i="1"/>
  <c r="L94" i="1" s="1"/>
  <c r="G95" i="1"/>
  <c r="I95" i="1"/>
  <c r="L95" i="1"/>
  <c r="G96" i="1"/>
  <c r="I96" i="1" s="1"/>
  <c r="L96" i="1" s="1"/>
  <c r="G97" i="1"/>
  <c r="I97" i="1" s="1"/>
  <c r="L97" i="1" s="1"/>
  <c r="G98" i="1"/>
  <c r="I98" i="1" s="1"/>
  <c r="L98" i="1" s="1"/>
  <c r="N98" i="1" s="1"/>
  <c r="G99" i="1"/>
  <c r="G100" i="1"/>
  <c r="I100" i="1"/>
  <c r="G101" i="1"/>
  <c r="I101" i="1"/>
  <c r="L101" i="1" s="1"/>
  <c r="M101" i="1" s="1"/>
  <c r="I102" i="1"/>
  <c r="L102" i="1"/>
  <c r="M102" i="1" s="1"/>
  <c r="G104" i="1"/>
  <c r="G103" i="1" s="1"/>
  <c r="I104" i="1"/>
  <c r="L104" i="1" s="1"/>
  <c r="G105" i="1"/>
  <c r="I105" i="1"/>
  <c r="L105" i="1"/>
  <c r="G106" i="1"/>
  <c r="I106" i="1" s="1"/>
  <c r="L106" i="1" s="1"/>
  <c r="I110" i="1"/>
  <c r="L110" i="1" s="1"/>
  <c r="H111" i="1"/>
  <c r="H109" i="1" s="1"/>
  <c r="H112" i="1"/>
  <c r="I112" i="1" s="1"/>
  <c r="L112" i="1" s="1"/>
  <c r="H113" i="1"/>
  <c r="I113" i="1"/>
  <c r="L113" i="1" s="1"/>
  <c r="H114" i="1"/>
  <c r="I114" i="1"/>
  <c r="L114" i="1" s="1"/>
  <c r="M114" i="1" s="1"/>
  <c r="H115" i="1"/>
  <c r="I115" i="1"/>
  <c r="L115" i="1" s="1"/>
  <c r="H116" i="1"/>
  <c r="I116" i="1"/>
  <c r="L116" i="1"/>
  <c r="H118" i="1"/>
  <c r="B120" i="1"/>
  <c r="H120" i="1"/>
  <c r="I120" i="1" s="1"/>
  <c r="H121" i="1"/>
  <c r="I121" i="1" s="1"/>
  <c r="L121" i="1"/>
  <c r="H123" i="1"/>
  <c r="D127" i="1"/>
  <c r="D126" i="1" s="1"/>
  <c r="I127" i="1"/>
  <c r="D128" i="1"/>
  <c r="I128" i="1"/>
  <c r="L128" i="1"/>
  <c r="M128" i="1" s="1"/>
  <c r="I129" i="1"/>
  <c r="L129" i="1" s="1"/>
  <c r="M129" i="1" s="1"/>
  <c r="D131" i="1"/>
  <c r="I131" i="1" s="1"/>
  <c r="D132" i="1"/>
  <c r="I132" i="1" s="1"/>
  <c r="L132" i="1" s="1"/>
  <c r="D133" i="1"/>
  <c r="I133" i="1" s="1"/>
  <c r="L133" i="1" s="1"/>
  <c r="N133" i="1" s="1"/>
  <c r="D134" i="1"/>
  <c r="I134" i="1" s="1"/>
  <c r="L134" i="1" s="1"/>
  <c r="M134" i="1" s="1"/>
  <c r="D135" i="1"/>
  <c r="I136" i="1"/>
  <c r="D137" i="1"/>
  <c r="I137" i="1" s="1"/>
  <c r="L137" i="1" s="1"/>
  <c r="M137" i="1" s="1"/>
  <c r="I138" i="1"/>
  <c r="L138" i="1"/>
  <c r="M138" i="1" s="1"/>
  <c r="D140" i="1"/>
  <c r="D139" i="1" s="1"/>
  <c r="I140" i="1"/>
  <c r="D141" i="1"/>
  <c r="I141" i="1"/>
  <c r="L141" i="1"/>
  <c r="M141" i="1" s="1"/>
  <c r="N141" i="1"/>
  <c r="D142" i="1"/>
  <c r="I142" i="1" s="1"/>
  <c r="L142" i="1" s="1"/>
  <c r="D143" i="1"/>
  <c r="D144" i="1"/>
  <c r="I144" i="1" s="1"/>
  <c r="D145" i="1"/>
  <c r="I145" i="1"/>
  <c r="L145" i="1" s="1"/>
  <c r="D146" i="1"/>
  <c r="I146" i="1"/>
  <c r="L146" i="1" s="1"/>
  <c r="M146" i="1" s="1"/>
  <c r="E150" i="1"/>
  <c r="I150" i="1"/>
  <c r="L150" i="1"/>
  <c r="M150" i="1" s="1"/>
  <c r="E151" i="1"/>
  <c r="I152" i="1"/>
  <c r="L152" i="1" s="1"/>
  <c r="M152" i="1"/>
  <c r="B155" i="1"/>
  <c r="I155" i="1"/>
  <c r="L155" i="1"/>
  <c r="M155" i="1"/>
  <c r="B156" i="1"/>
  <c r="E156" i="1"/>
  <c r="E154" i="1" s="1"/>
  <c r="B157" i="1"/>
  <c r="E157" i="1"/>
  <c r="I157" i="1"/>
  <c r="L157" i="1"/>
  <c r="N157" i="1" s="1"/>
  <c r="E158" i="1"/>
  <c r="I158" i="1" s="1"/>
  <c r="L158" i="1" s="1"/>
  <c r="E159" i="1"/>
  <c r="I159" i="1"/>
  <c r="L159" i="1" s="1"/>
  <c r="N159" i="1" s="1"/>
  <c r="M159" i="1"/>
  <c r="I160" i="1"/>
  <c r="L160" i="1"/>
  <c r="M160" i="1" s="1"/>
  <c r="E162" i="1"/>
  <c r="I162" i="1"/>
  <c r="I163" i="1"/>
  <c r="L163" i="1"/>
  <c r="M163" i="1" s="1"/>
  <c r="I164" i="1"/>
  <c r="L164" i="1"/>
  <c r="M164" i="1"/>
  <c r="E165" i="1"/>
  <c r="I165" i="1"/>
  <c r="L165" i="1" s="1"/>
  <c r="N165" i="1" s="1"/>
  <c r="E166" i="1"/>
  <c r="I166" i="1" s="1"/>
  <c r="L166" i="1" s="1"/>
  <c r="E168" i="1"/>
  <c r="E169" i="1"/>
  <c r="I169" i="1"/>
  <c r="I168" i="1" s="1"/>
  <c r="L169" i="1"/>
  <c r="L168" i="1" s="1"/>
  <c r="N169" i="1"/>
  <c r="B170" i="1"/>
  <c r="E170" i="1"/>
  <c r="I170" i="1"/>
  <c r="L170" i="1" s="1"/>
  <c r="N170" i="1" s="1"/>
  <c r="M170" i="1"/>
  <c r="B171" i="1"/>
  <c r="E171" i="1"/>
  <c r="I171" i="1"/>
  <c r="L171" i="1" s="1"/>
  <c r="N171" i="1" s="1"/>
  <c r="E173" i="1"/>
  <c r="E172" i="1" s="1"/>
  <c r="I173" i="1"/>
  <c r="L173" i="1" s="1"/>
  <c r="M173" i="1" s="1"/>
  <c r="B174" i="1"/>
  <c r="I174" i="1"/>
  <c r="L174" i="1" s="1"/>
  <c r="M174" i="1" s="1"/>
  <c r="B175" i="1"/>
  <c r="E175" i="1"/>
  <c r="I175" i="1"/>
  <c r="L175" i="1" s="1"/>
  <c r="B176" i="1"/>
  <c r="E176" i="1"/>
  <c r="I176" i="1" s="1"/>
  <c r="L176" i="1" s="1"/>
  <c r="E177" i="1"/>
  <c r="I177" i="1"/>
  <c r="L177" i="1"/>
  <c r="M177" i="1" s="1"/>
  <c r="F181" i="1"/>
  <c r="I181" i="1"/>
  <c r="L181" i="1" s="1"/>
  <c r="F182" i="1"/>
  <c r="I182" i="1" s="1"/>
  <c r="L182" i="1" s="1"/>
  <c r="F183" i="1"/>
  <c r="I183" i="1" s="1"/>
  <c r="L183" i="1" s="1"/>
  <c r="F184" i="1"/>
  <c r="I184" i="1" s="1"/>
  <c r="L184" i="1" s="1"/>
  <c r="F185" i="1"/>
  <c r="I185" i="1" s="1"/>
  <c r="L185" i="1" s="1"/>
  <c r="F187" i="1"/>
  <c r="I187" i="1"/>
  <c r="L187" i="1"/>
  <c r="M187" i="1" s="1"/>
  <c r="F188" i="1"/>
  <c r="F186" i="1" s="1"/>
  <c r="I188" i="1"/>
  <c r="L188" i="1" s="1"/>
  <c r="I189" i="1"/>
  <c r="L189" i="1"/>
  <c r="M189" i="1" s="1"/>
  <c r="F190" i="1"/>
  <c r="I190" i="1" s="1"/>
  <c r="L190" i="1" s="1"/>
  <c r="J192" i="1"/>
  <c r="L192" i="1"/>
  <c r="N192" i="1" s="1"/>
  <c r="M192" i="1"/>
  <c r="L193" i="1"/>
  <c r="N193" i="1" s="1"/>
  <c r="L194" i="1"/>
  <c r="M194" i="1" s="1"/>
  <c r="L196" i="1"/>
  <c r="M196" i="1"/>
  <c r="I198" i="1"/>
  <c r="L198" i="1"/>
  <c r="M198" i="1" s="1"/>
  <c r="J200" i="1"/>
  <c r="L200" i="1"/>
  <c r="M200" i="1" s="1"/>
  <c r="L201" i="1"/>
  <c r="M201" i="1"/>
  <c r="L202" i="1"/>
  <c r="M202" i="1" s="1"/>
  <c r="M184" i="1" l="1"/>
  <c r="N184" i="1"/>
  <c r="N183" i="1"/>
  <c r="M183" i="1"/>
  <c r="M168" i="1"/>
  <c r="N168" i="1"/>
  <c r="E153" i="1"/>
  <c r="M132" i="1"/>
  <c r="N132" i="1"/>
  <c r="M25" i="1"/>
  <c r="N25" i="1"/>
  <c r="N176" i="1"/>
  <c r="M176" i="1"/>
  <c r="M188" i="1"/>
  <c r="N188" i="1"/>
  <c r="M182" i="1"/>
  <c r="N182" i="1"/>
  <c r="M175" i="1"/>
  <c r="N175" i="1"/>
  <c r="M181" i="1"/>
  <c r="N181" i="1"/>
  <c r="L180" i="1"/>
  <c r="N158" i="1"/>
  <c r="M158" i="1"/>
  <c r="M166" i="1"/>
  <c r="N166" i="1"/>
  <c r="I161" i="1"/>
  <c r="M190" i="1"/>
  <c r="N190" i="1"/>
  <c r="M185" i="1"/>
  <c r="N185" i="1"/>
  <c r="E167" i="1"/>
  <c r="E161" i="1"/>
  <c r="M94" i="1"/>
  <c r="N94" i="1"/>
  <c r="M60" i="1"/>
  <c r="N60" i="1"/>
  <c r="L55" i="1"/>
  <c r="I54" i="1"/>
  <c r="N39" i="1"/>
  <c r="L38" i="1"/>
  <c r="M29" i="1"/>
  <c r="N29" i="1"/>
  <c r="M193" i="1"/>
  <c r="L186" i="1"/>
  <c r="M169" i="1"/>
  <c r="M165" i="1"/>
  <c r="I156" i="1"/>
  <c r="M142" i="1"/>
  <c r="N142" i="1"/>
  <c r="M133" i="1"/>
  <c r="N128" i="1"/>
  <c r="I118" i="1"/>
  <c r="H117" i="1"/>
  <c r="M98" i="1"/>
  <c r="M89" i="1"/>
  <c r="N89" i="1"/>
  <c r="L72" i="1"/>
  <c r="I71" i="1"/>
  <c r="G62" i="1"/>
  <c r="G51" i="1" s="1"/>
  <c r="C57" i="1"/>
  <c r="I27" i="1"/>
  <c r="L27" i="1" s="1"/>
  <c r="C36" i="1"/>
  <c r="C49" i="1" s="1"/>
  <c r="M11" i="1"/>
  <c r="N11" i="1"/>
  <c r="H8" i="1"/>
  <c r="N187" i="1"/>
  <c r="I186" i="1"/>
  <c r="N177" i="1"/>
  <c r="M145" i="1"/>
  <c r="N145" i="1"/>
  <c r="I123" i="1"/>
  <c r="H122" i="1"/>
  <c r="M116" i="1"/>
  <c r="N116" i="1"/>
  <c r="M113" i="1"/>
  <c r="N113" i="1"/>
  <c r="M106" i="1"/>
  <c r="N106" i="1"/>
  <c r="M82" i="1"/>
  <c r="N82" i="1"/>
  <c r="L81" i="1"/>
  <c r="M78" i="1"/>
  <c r="N78" i="1"/>
  <c r="M58" i="1"/>
  <c r="N58" i="1"/>
  <c r="C53" i="1"/>
  <c r="C51" i="1" s="1"/>
  <c r="M33" i="1"/>
  <c r="N33" i="1"/>
  <c r="M30" i="1"/>
  <c r="N30" i="1"/>
  <c r="M18" i="1"/>
  <c r="I9" i="1"/>
  <c r="G8" i="1"/>
  <c r="G19" i="1"/>
  <c r="E36" i="1"/>
  <c r="E49" i="1" s="1"/>
  <c r="I24" i="1"/>
  <c r="L24" i="1" s="1"/>
  <c r="L162" i="1"/>
  <c r="M157" i="1"/>
  <c r="M105" i="1"/>
  <c r="N105" i="1"/>
  <c r="N101" i="1"/>
  <c r="M97" i="1"/>
  <c r="N97" i="1"/>
  <c r="M87" i="1"/>
  <c r="N87" i="1"/>
  <c r="G81" i="1"/>
  <c r="M41" i="1"/>
  <c r="M26" i="1"/>
  <c r="N26" i="1"/>
  <c r="I180" i="1"/>
  <c r="I179" i="1" s="1"/>
  <c r="L172" i="1"/>
  <c r="L167" i="1" s="1"/>
  <c r="M121" i="1"/>
  <c r="N121" i="1"/>
  <c r="M112" i="1"/>
  <c r="N112" i="1"/>
  <c r="M96" i="1"/>
  <c r="N96" i="1"/>
  <c r="M86" i="1"/>
  <c r="N86" i="1"/>
  <c r="M74" i="1"/>
  <c r="N74" i="1"/>
  <c r="M28" i="1"/>
  <c r="N28" i="1"/>
  <c r="M23" i="1"/>
  <c r="N23" i="1"/>
  <c r="H36" i="1"/>
  <c r="H49" i="1" s="1"/>
  <c r="M17" i="1"/>
  <c r="N17" i="1"/>
  <c r="F180" i="1"/>
  <c r="F179" i="1" s="1"/>
  <c r="F51" i="1" s="1"/>
  <c r="F204" i="1" s="1"/>
  <c r="I172" i="1"/>
  <c r="I167" i="1" s="1"/>
  <c r="I143" i="1"/>
  <c r="L144" i="1"/>
  <c r="L136" i="1"/>
  <c r="I135" i="1"/>
  <c r="L131" i="1"/>
  <c r="I130" i="1"/>
  <c r="L127" i="1"/>
  <c r="I126" i="1"/>
  <c r="M115" i="1"/>
  <c r="N115" i="1"/>
  <c r="M95" i="1"/>
  <c r="N95" i="1"/>
  <c r="M92" i="1"/>
  <c r="N92" i="1"/>
  <c r="M85" i="1"/>
  <c r="N85" i="1"/>
  <c r="M64" i="1"/>
  <c r="M42" i="1"/>
  <c r="N42" i="1"/>
  <c r="M35" i="1"/>
  <c r="N35" i="1"/>
  <c r="E8" i="1"/>
  <c r="I15" i="1"/>
  <c r="L15" i="1" s="1"/>
  <c r="M12" i="1"/>
  <c r="N194" i="1"/>
  <c r="N173" i="1"/>
  <c r="E149" i="1"/>
  <c r="I151" i="1"/>
  <c r="N146" i="1"/>
  <c r="L140" i="1"/>
  <c r="I139" i="1"/>
  <c r="L120" i="1"/>
  <c r="I119" i="1"/>
  <c r="M104" i="1"/>
  <c r="N104" i="1"/>
  <c r="L103" i="1"/>
  <c r="L100" i="1"/>
  <c r="I99" i="1"/>
  <c r="N73" i="1"/>
  <c r="J47" i="1"/>
  <c r="M34" i="1"/>
  <c r="M31" i="1"/>
  <c r="I22" i="1"/>
  <c r="L22" i="1" s="1"/>
  <c r="I14" i="1"/>
  <c r="L14" i="1" s="1"/>
  <c r="D8" i="1"/>
  <c r="D19" i="1"/>
  <c r="I10" i="1"/>
  <c r="L10" i="1" s="1"/>
  <c r="M171" i="1"/>
  <c r="N150" i="1"/>
  <c r="N114" i="1"/>
  <c r="M110" i="1"/>
  <c r="L109" i="1"/>
  <c r="L91" i="1"/>
  <c r="I90" i="1"/>
  <c r="L90" i="1" s="1"/>
  <c r="M84" i="1"/>
  <c r="N84" i="1"/>
  <c r="M76" i="1"/>
  <c r="N76" i="1"/>
  <c r="M39" i="1"/>
  <c r="M32" i="1"/>
  <c r="N32" i="1"/>
  <c r="I21" i="1"/>
  <c r="I36" i="1" s="1"/>
  <c r="L16" i="1"/>
  <c r="D130" i="1"/>
  <c r="D125" i="1" s="1"/>
  <c r="D51" i="1" s="1"/>
  <c r="I111" i="1"/>
  <c r="L111" i="1" s="1"/>
  <c r="I109" i="1"/>
  <c r="J36" i="1"/>
  <c r="J49" i="1" s="1"/>
  <c r="J204" i="1" s="1"/>
  <c r="H119" i="1"/>
  <c r="I103" i="1"/>
  <c r="G90" i="1"/>
  <c r="I81" i="1"/>
  <c r="N44" i="1"/>
  <c r="N40" i="1"/>
  <c r="I59" i="1"/>
  <c r="M44" i="1"/>
  <c r="I67" i="1"/>
  <c r="L67" i="1" s="1"/>
  <c r="L65" i="1"/>
  <c r="M65" i="1" s="1"/>
  <c r="M167" i="1" l="1"/>
  <c r="N167" i="1"/>
  <c r="L161" i="1"/>
  <c r="M162" i="1"/>
  <c r="N162" i="1"/>
  <c r="M180" i="1"/>
  <c r="N180" i="1"/>
  <c r="L179" i="1"/>
  <c r="M16" i="1"/>
  <c r="N16" i="1"/>
  <c r="N10" i="1"/>
  <c r="M10" i="1"/>
  <c r="L63" i="1"/>
  <c r="N144" i="1"/>
  <c r="L143" i="1"/>
  <c r="M144" i="1"/>
  <c r="L21" i="1"/>
  <c r="M24" i="1"/>
  <c r="N24" i="1"/>
  <c r="N90" i="1"/>
  <c r="M90" i="1"/>
  <c r="I19" i="1"/>
  <c r="M81" i="1"/>
  <c r="N81" i="1"/>
  <c r="M72" i="1"/>
  <c r="N72" i="1"/>
  <c r="L71" i="1"/>
  <c r="M136" i="1"/>
  <c r="L135" i="1"/>
  <c r="M135" i="1" s="1"/>
  <c r="M91" i="1"/>
  <c r="N91" i="1"/>
  <c r="M100" i="1"/>
  <c r="N100" i="1"/>
  <c r="L99" i="1"/>
  <c r="M140" i="1"/>
  <c r="N140" i="1"/>
  <c r="L139" i="1"/>
  <c r="M15" i="1"/>
  <c r="N15" i="1"/>
  <c r="I125" i="1"/>
  <c r="G49" i="1"/>
  <c r="N109" i="1"/>
  <c r="M109" i="1"/>
  <c r="I63" i="1"/>
  <c r="I62" i="1" s="1"/>
  <c r="D49" i="1"/>
  <c r="D204" i="1" s="1"/>
  <c r="I51" i="1"/>
  <c r="L51" i="1" s="1"/>
  <c r="C204" i="1"/>
  <c r="L123" i="1"/>
  <c r="I122" i="1"/>
  <c r="I154" i="1"/>
  <c r="I153" i="1" s="1"/>
  <c r="L156" i="1"/>
  <c r="M120" i="1"/>
  <c r="L119" i="1"/>
  <c r="N120" i="1"/>
  <c r="M55" i="1"/>
  <c r="N55" i="1"/>
  <c r="L54" i="1"/>
  <c r="M14" i="1"/>
  <c r="N14" i="1"/>
  <c r="M22" i="1"/>
  <c r="N22" i="1"/>
  <c r="L151" i="1"/>
  <c r="I149" i="1"/>
  <c r="L9" i="1"/>
  <c r="I8" i="1"/>
  <c r="I49" i="1"/>
  <c r="M38" i="1"/>
  <c r="N38" i="1"/>
  <c r="L47" i="1"/>
  <c r="M67" i="1"/>
  <c r="N67" i="1"/>
  <c r="E148" i="1"/>
  <c r="E51" i="1" s="1"/>
  <c r="E204" i="1" s="1"/>
  <c r="M131" i="1"/>
  <c r="N131" i="1"/>
  <c r="L130" i="1"/>
  <c r="M27" i="1"/>
  <c r="N27" i="1"/>
  <c r="H108" i="1"/>
  <c r="H51" i="1" s="1"/>
  <c r="G204" i="1"/>
  <c r="M103" i="1"/>
  <c r="N103" i="1"/>
  <c r="M127" i="1"/>
  <c r="N127" i="1"/>
  <c r="L126" i="1"/>
  <c r="I57" i="1"/>
  <c r="I53" i="1" s="1"/>
  <c r="L59" i="1"/>
  <c r="N111" i="1"/>
  <c r="M111" i="1"/>
  <c r="H204" i="1"/>
  <c r="M172" i="1"/>
  <c r="N172" i="1"/>
  <c r="L118" i="1"/>
  <c r="I117" i="1"/>
  <c r="I108" i="1" s="1"/>
  <c r="N186" i="1"/>
  <c r="M186" i="1"/>
  <c r="M118" i="1" l="1"/>
  <c r="N118" i="1"/>
  <c r="L117" i="1"/>
  <c r="L125" i="1"/>
  <c r="M126" i="1"/>
  <c r="N126" i="1"/>
  <c r="M47" i="1"/>
  <c r="N47" i="1"/>
  <c r="N119" i="1"/>
  <c r="M119" i="1"/>
  <c r="N143" i="1"/>
  <c r="M143" i="1"/>
  <c r="M139" i="1"/>
  <c r="N139" i="1"/>
  <c r="M151" i="1"/>
  <c r="N151" i="1"/>
  <c r="L149" i="1"/>
  <c r="N156" i="1"/>
  <c r="L154" i="1"/>
  <c r="M156" i="1"/>
  <c r="M63" i="1"/>
  <c r="N63" i="1"/>
  <c r="L62" i="1"/>
  <c r="M54" i="1"/>
  <c r="N54" i="1"/>
  <c r="M99" i="1"/>
  <c r="N99" i="1"/>
  <c r="N161" i="1"/>
  <c r="M161" i="1"/>
  <c r="L8" i="1"/>
  <c r="L19" i="1"/>
  <c r="N19" i="1" s="1"/>
  <c r="M9" i="1"/>
  <c r="M19" i="1" s="1"/>
  <c r="N9" i="1"/>
  <c r="M123" i="1"/>
  <c r="N123" i="1"/>
  <c r="L122" i="1"/>
  <c r="M130" i="1"/>
  <c r="N130" i="1"/>
  <c r="M71" i="1"/>
  <c r="N71" i="1"/>
  <c r="M59" i="1"/>
  <c r="N59" i="1"/>
  <c r="L57" i="1"/>
  <c r="I148" i="1"/>
  <c r="I204" i="1"/>
  <c r="L204" i="1" s="1"/>
  <c r="M21" i="1"/>
  <c r="N21" i="1"/>
  <c r="L36" i="1"/>
  <c r="M51" i="1"/>
  <c r="N51" i="1"/>
  <c r="M179" i="1"/>
  <c r="N179" i="1"/>
  <c r="M57" i="1" l="1"/>
  <c r="N57" i="1"/>
  <c r="N36" i="1"/>
  <c r="L49" i="1"/>
  <c r="M36" i="1"/>
  <c r="L53" i="1"/>
  <c r="N125" i="1"/>
  <c r="M125" i="1"/>
  <c r="M204" i="1"/>
  <c r="N204" i="1"/>
  <c r="N154" i="1"/>
  <c r="L153" i="1"/>
  <c r="M154" i="1"/>
  <c r="M149" i="1"/>
  <c r="N149" i="1"/>
  <c r="L148" i="1"/>
  <c r="M117" i="1"/>
  <c r="N117" i="1"/>
  <c r="L108" i="1"/>
  <c r="N122" i="1"/>
  <c r="M122" i="1"/>
  <c r="M8" i="1"/>
  <c r="N8" i="1"/>
  <c r="N62" i="1"/>
  <c r="M62" i="1"/>
  <c r="M148" i="1" l="1"/>
  <c r="N148" i="1"/>
  <c r="N53" i="1"/>
  <c r="M53" i="1"/>
  <c r="M49" i="1"/>
  <c r="N49" i="1"/>
  <c r="M108" i="1"/>
  <c r="N108" i="1"/>
  <c r="M153" i="1"/>
  <c r="N153" i="1"/>
</calcChain>
</file>

<file path=xl/sharedStrings.xml><?xml version="1.0" encoding="utf-8"?>
<sst xmlns="http://schemas.openxmlformats.org/spreadsheetml/2006/main" count="193" uniqueCount="193">
  <si>
    <t xml:space="preserve">TOTAL GASTOS </t>
  </si>
  <si>
    <t>Cuota de erradicación Peste Porcina Clásica</t>
  </si>
  <si>
    <t>Cuota de fomento porcícola</t>
  </si>
  <si>
    <t xml:space="preserve">RESERVA FUTURAS INVERSIONES Y GASTOS </t>
  </si>
  <si>
    <t>FONDO DE EMERGENCIA PPC</t>
  </si>
  <si>
    <t>FONDO DE EMERGENCIA FNP</t>
  </si>
  <si>
    <t>Cuota de administración PPC</t>
  </si>
  <si>
    <t>Cuota de administración FNP</t>
  </si>
  <si>
    <t>CUOTA DE ADMINISTRACIÓN</t>
  </si>
  <si>
    <t>Divulgación sanitaria</t>
  </si>
  <si>
    <t>Interpretacion de resultados</t>
  </si>
  <si>
    <t>Estudios de vigilancia epidemiologica</t>
  </si>
  <si>
    <t xml:space="preserve">Estructuracion bases de datos de muestreo </t>
  </si>
  <si>
    <t>Gestión Sanitaria</t>
  </si>
  <si>
    <t>Caracterización de asilvestrados</t>
  </si>
  <si>
    <t>Mycoplasma</t>
  </si>
  <si>
    <t>Vigilancia de vesiculares - Senecavirus</t>
  </si>
  <si>
    <t>Vigilancia Influenza Porcina</t>
  </si>
  <si>
    <t>Control y monitoreo de PRRS</t>
  </si>
  <si>
    <t>Programa Nacional Para la Certificación del estatus sanitario</t>
  </si>
  <si>
    <t>TOTAL ÁREA SANIDAD</t>
  </si>
  <si>
    <t>Apoyo Diagnostico lineas base (ICA)</t>
  </si>
  <si>
    <t>Diagnostico Rutinario, Combos y PRRS</t>
  </si>
  <si>
    <t>Diagnostico rutinario con laboratorios privados</t>
  </si>
  <si>
    <t>Diagnóstico Rutinario, Integrado y PRRS</t>
  </si>
  <si>
    <t>Diagnostico rutinario con laboratorios oficiales</t>
  </si>
  <si>
    <t>Diagnostico</t>
  </si>
  <si>
    <t>Material de apoyo</t>
  </si>
  <si>
    <t>Jornadas de actualizacion tecnica (precongreso)</t>
  </si>
  <si>
    <t>Talleres diagnóstico animal</t>
  </si>
  <si>
    <t>Talleres manejo tributario</t>
  </si>
  <si>
    <t>Buenas prácticas en el manejo de medicamentos veterinarios</t>
  </si>
  <si>
    <t xml:space="preserve">  Talleres y seminarios</t>
  </si>
  <si>
    <t>Curso ABC de Asociatividad</t>
  </si>
  <si>
    <t>Escuela de carniceros</t>
  </si>
  <si>
    <t>Escuela de lideres y operarios</t>
  </si>
  <si>
    <t xml:space="preserve">  Vinculación tecnologica</t>
  </si>
  <si>
    <t>Transferencia de tecnología</t>
  </si>
  <si>
    <t>Jornadas de divulgación resultados de investigación</t>
  </si>
  <si>
    <t>Capacitación anual</t>
  </si>
  <si>
    <t>Proyectos</t>
  </si>
  <si>
    <t>Investigación y desarrollo</t>
  </si>
  <si>
    <t>TOTAL ÁREA INVESTIGACIÓN Y TRANSFERENCIA</t>
  </si>
  <si>
    <t xml:space="preserve">Asistencia nutricional magro </t>
  </si>
  <si>
    <t>Calidad e Inocuidad en la Cadena de Transformacion</t>
  </si>
  <si>
    <t>Herramientas del programa</t>
  </si>
  <si>
    <t>Aseguramiento de  la Calidad</t>
  </si>
  <si>
    <t>Variabilidad, cambio climático, y suelos fértiles sostenibles</t>
  </si>
  <si>
    <t>Acompañamiento y fortalecimiento cadena productiva porcícola en sostenibilidad ambiental y R.S.E</t>
  </si>
  <si>
    <t>Heramientas del programa Sostenibilidad ambiental  y RSE</t>
  </si>
  <si>
    <t>Sostenibilidad Ambiental y Responsabilidad Social Empresarial</t>
  </si>
  <si>
    <t xml:space="preserve">     Contrapartidas Gobernaciones / Alcaldias FNP</t>
  </si>
  <si>
    <t xml:space="preserve">   Contrapartidas FNP</t>
  </si>
  <si>
    <t xml:space="preserve">     Contrapartidas Gobernaciones / Alcaldias</t>
  </si>
  <si>
    <t xml:space="preserve">   Contrapartidas Gobernaciones y/o Alcaldias</t>
  </si>
  <si>
    <t>Convenios</t>
  </si>
  <si>
    <t>Gestión empresarial</t>
  </si>
  <si>
    <t>Fortalecimiento Asociativo</t>
  </si>
  <si>
    <t>Herramientas del programa FE</t>
  </si>
  <si>
    <t>Fortalecimiento Empresarial</t>
  </si>
  <si>
    <t>Actualización y Reconocimiento</t>
  </si>
  <si>
    <t>Excelencia Técnica en Producción Primaria</t>
  </si>
  <si>
    <t>Herramientas del Programa IPP</t>
  </si>
  <si>
    <t>Inocuidad en Producción primaria - IPP</t>
  </si>
  <si>
    <t>TOTAL ÁREA TÉCNICA</t>
  </si>
  <si>
    <t>Mantenimiento, actualización y soporte de la plataforma</t>
  </si>
  <si>
    <t>Administración de la base de datos</t>
  </si>
  <si>
    <t>Apoyo actividades de vigilancia activa</t>
  </si>
  <si>
    <t>Vigilancia Epidemiológica</t>
  </si>
  <si>
    <t>Capacitación divulgación</t>
  </si>
  <si>
    <t>Capacitación y divulgación</t>
  </si>
  <si>
    <t>Disposición de residuos biológicos</t>
  </si>
  <si>
    <t>Contratación de personal</t>
  </si>
  <si>
    <t>Distribución vacuna y chapetas</t>
  </si>
  <si>
    <t>Biológico</t>
  </si>
  <si>
    <t>Auxilios distribuidores</t>
  </si>
  <si>
    <t>Suministros clínicos y dotaciones</t>
  </si>
  <si>
    <t>Identificación</t>
  </si>
  <si>
    <t>Vacunacion e identificacion de Porcinos</t>
  </si>
  <si>
    <t>TOTAL ÁREA ERRADICACIÓN PPC</t>
  </si>
  <si>
    <t xml:space="preserve">Relacionamiento Periodistas / medios de comunicación / free press / Pauta medios de comunicación </t>
  </si>
  <si>
    <t>Monitoreo Redes y Canales de Comunicación</t>
  </si>
  <si>
    <t>Seguimiento y gestión comunicación integral.</t>
  </si>
  <si>
    <t>Comunicación Integral</t>
  </si>
  <si>
    <t>Fomento al sello de producto (Marca País)</t>
  </si>
  <si>
    <t>Gestión y seguimiento desarrollo de marca y marketing</t>
  </si>
  <si>
    <t>Desarrollo Material de Apoyo</t>
  </si>
  <si>
    <t>Marca y Marketing</t>
  </si>
  <si>
    <t>Escuela de Carniceros</t>
  </si>
  <si>
    <t>Viajes Gestión Regional</t>
  </si>
  <si>
    <t>ChefRegionales PorkColombia</t>
  </si>
  <si>
    <t>Cerdificado PorkColombia (Expertos de carne de cerdo)</t>
  </si>
  <si>
    <t>Actividades Apertura Nuevos Negocios</t>
  </si>
  <si>
    <t>Material gestión de la comercialización</t>
  </si>
  <si>
    <t xml:space="preserve">Gestion de actividades nutricionales </t>
  </si>
  <si>
    <t>Gestion y seguimiento comercializacion y nuevos negocios</t>
  </si>
  <si>
    <t>Comercialización y Nuevos Negocios</t>
  </si>
  <si>
    <t>Eventos especializados (Sector, gastronomicos , sector salud)</t>
  </si>
  <si>
    <t>Planeación Porkámericas</t>
  </si>
  <si>
    <t>Seguimiento gestión a eventos de sensibilización de las bondades de la carne de cerdo</t>
  </si>
  <si>
    <t>Festival PorkColombia</t>
  </si>
  <si>
    <t>Material de promocion al consumo</t>
  </si>
  <si>
    <t>Capacitación anual contratistas</t>
  </si>
  <si>
    <t>Asesor Gastronómico Ejecutivo</t>
  </si>
  <si>
    <t>Cocina PorkColombia</t>
  </si>
  <si>
    <t>Activaciones de consumo</t>
  </si>
  <si>
    <t>Fomento al Consumo Regional</t>
  </si>
  <si>
    <t>Producción Digital</t>
  </si>
  <si>
    <t>Pauta digital</t>
  </si>
  <si>
    <t>Desarrollo Digital (Concurso Sabor Porkcolombia)</t>
  </si>
  <si>
    <t>Sostenimiento y Desarrollo Digital</t>
  </si>
  <si>
    <t>Aval sello Fundación Colombiana del Corazón</t>
  </si>
  <si>
    <t>Pauta institucional</t>
  </si>
  <si>
    <t>Consultoría Mercado</t>
  </si>
  <si>
    <t>Campaña de publicidad</t>
  </si>
  <si>
    <t>Campaña de fomento al consumo</t>
  </si>
  <si>
    <t>Estudio Neuro de Conceptos (Colombiano - Fresco)</t>
  </si>
  <si>
    <t>Estudio NSOP (Carnicerias)</t>
  </si>
  <si>
    <t>Estudio del Consumidor</t>
  </si>
  <si>
    <t>Evaluación Neurologica de la  Campaña Vigente/Eye Tracking</t>
  </si>
  <si>
    <t>Monitoreo de Medios</t>
  </si>
  <si>
    <t>Brand Equity Tracking</t>
  </si>
  <si>
    <t xml:space="preserve">Home Panel </t>
  </si>
  <si>
    <t>Investigación de mercados</t>
  </si>
  <si>
    <t>TOTAL ÁREA MERCADEO</t>
  </si>
  <si>
    <t>Seguimiento Mercados Internacionales</t>
  </si>
  <si>
    <t>Actualización Información Nacional</t>
  </si>
  <si>
    <t>Monitoreo Precios de la Carne al Consumidor</t>
  </si>
  <si>
    <t>Sistemas de información de mercados</t>
  </si>
  <si>
    <t>Asistencia Financiera</t>
  </si>
  <si>
    <t>Acceso a Mercados</t>
  </si>
  <si>
    <t>Fortalecimiento institucional</t>
  </si>
  <si>
    <t>TOTAL ÁREA ECONÓMICA</t>
  </si>
  <si>
    <t>TOTAL PROGRAMAS Y PROYECTOS</t>
  </si>
  <si>
    <t>TOTAL FUNCIONAMIENTO</t>
  </si>
  <si>
    <t>SUBTOTAL GASTOS ADMINISTRATIVOS DE RECAUDO</t>
  </si>
  <si>
    <t xml:space="preserve"> Jornadas de trabajo con los coordinadores regionales(trabajo con autoridades)</t>
  </si>
  <si>
    <t xml:space="preserve"> Trabajo con autoridades</t>
  </si>
  <si>
    <t>Comunicación y divulgación</t>
  </si>
  <si>
    <t>Movilización Subdirector de programa</t>
  </si>
  <si>
    <t>Fortalecimiento del beneficio formal</t>
  </si>
  <si>
    <t xml:space="preserve"> Jornadas de trabajo con los coordinadores regionales (visita plantas)</t>
  </si>
  <si>
    <t xml:space="preserve"> Movilización coordinadores</t>
  </si>
  <si>
    <t xml:space="preserve"> Seguimiento al recaudo regional</t>
  </si>
  <si>
    <t>Control al recaudo</t>
  </si>
  <si>
    <t>GASTOS ADMINISTRATIVOS DE RECAUDO</t>
  </si>
  <si>
    <t>SUBTOTAL GASTOS GENERALES</t>
  </si>
  <si>
    <t>Gastos comisión de fomento</t>
  </si>
  <si>
    <t>Cuota auditaje CGR</t>
  </si>
  <si>
    <t>Arriendos</t>
  </si>
  <si>
    <t>Servicios públicos</t>
  </si>
  <si>
    <t>Aseo, vigilancia y cafetería</t>
  </si>
  <si>
    <t>Gastos de viaje</t>
  </si>
  <si>
    <t>Comisiones y gastos bancarios</t>
  </si>
  <si>
    <t>Seguros, impuestos y gastos legales</t>
  </si>
  <si>
    <t xml:space="preserve">Mantenimiento </t>
  </si>
  <si>
    <t xml:space="preserve">Capacitación </t>
  </si>
  <si>
    <t>Transportes, fletes y acarreos</t>
  </si>
  <si>
    <t>Correo</t>
  </si>
  <si>
    <t>Materiales y suministros</t>
  </si>
  <si>
    <t>Impresos y publicaciones</t>
  </si>
  <si>
    <t>Muebles, equipos de oficina y software</t>
  </si>
  <si>
    <t>GASTOS GENERALES</t>
  </si>
  <si>
    <t>SUBTOTAL GASTOS PERSONAL</t>
  </si>
  <si>
    <t>Aportes ICBF y SENA</t>
  </si>
  <si>
    <t>Caja de compensación</t>
  </si>
  <si>
    <t>Seguros y/o fondos privados</t>
  </si>
  <si>
    <t>Intereses de cesantías</t>
  </si>
  <si>
    <t>Cesantías</t>
  </si>
  <si>
    <t xml:space="preserve">Dotación y suministro </t>
  </si>
  <si>
    <t>Honorarios</t>
  </si>
  <si>
    <t>Prima legal</t>
  </si>
  <si>
    <t>Vacaciones</t>
  </si>
  <si>
    <t>Sueldos</t>
  </si>
  <si>
    <t>Servicios de personal</t>
  </si>
  <si>
    <t>GASTOS DE PERSONAL</t>
  </si>
  <si>
    <t>% PARTICI-PACIÓN</t>
  </si>
  <si>
    <t>ACUERDO 08/20</t>
  </si>
  <si>
    <t>TOTAL EJECUTADO</t>
  </si>
  <si>
    <t>TOTAL PRESUPUESTO</t>
  </si>
  <si>
    <t>GASTOS DE FUNCIONAMIENTO</t>
  </si>
  <si>
    <t>TOTAL INVERSIÓN</t>
  </si>
  <si>
    <t xml:space="preserve">PROGRAMA PPC </t>
  </si>
  <si>
    <t>PROGRAMAS MERCADEO</t>
  </si>
  <si>
    <t>PROGRAMA SANIDAD</t>
  </si>
  <si>
    <t>PROGRAMAS INVESTIGACIÓN Y TRANSFERENCIA DE TÉCNOLOGÍA</t>
  </si>
  <si>
    <t>PROGRAMAS TÉCNICA</t>
  </si>
  <si>
    <t>PROGRAMAS ECONÓMICA</t>
  </si>
  <si>
    <t>CUENTAS</t>
  </si>
  <si>
    <t>ANEXO 2</t>
  </si>
  <si>
    <t>PRESUPUESTO DE GASTOS DE FUNCIONAMIENTO E INVERSIÓN 2.020</t>
  </si>
  <si>
    <t>DIRECCIÓN DE PLANEACIÓN Y SEGUIMIENTO PRESUPUESTAL</t>
  </si>
  <si>
    <t>MINISTERIO DE AGRICULTURA  Y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</si>
</sst>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_ * #,##0_ ;_ * \-#,##0_ ;_ * &quot;-&quot;_ ;_ @_ 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  <charset val="186"/>
    </font>
    <font>
      <b/>
      <sz val="11"/>
      <color indexed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0">
    <xf numFmtId="0" fontId="0" fillId="0" borderId="0" xfId="0"/>
    <xf numFmtId="9" fontId="3" fillId="0" borderId="0" xfId="2" applyFont="1" applyFill="1"/>
    <xf numFmtId="165" fontId="3" fillId="0" borderId="0" xfId="3" applyNumberFormat="1" applyFont="1" applyFill="1"/>
    <xf numFmtId="164" fontId="3" fillId="0" borderId="0" xfId="3" applyFont="1" applyFill="1"/>
    <xf numFmtId="3" fontId="3" fillId="0" borderId="0" xfId="0" applyNumberFormat="1" applyFont="1"/>
    <xf numFmtId="37" fontId="0" fillId="0" borderId="0" xfId="0" applyNumberFormat="1"/>
    <xf numFmtId="0" fontId="3" fillId="0" borderId="0" xfId="0" applyFont="1"/>
    <xf numFmtId="10" fontId="3" fillId="0" borderId="0" xfId="0" applyNumberFormat="1" applyFont="1"/>
    <xf numFmtId="37" fontId="3" fillId="0" borderId="0" xfId="0" applyNumberFormat="1" applyFont="1"/>
    <xf numFmtId="10" fontId="0" fillId="0" borderId="0" xfId="2" applyNumberFormat="1" applyFont="1" applyFill="1"/>
    <xf numFmtId="0" fontId="4" fillId="0" borderId="1" xfId="0" applyFont="1" applyBorder="1"/>
    <xf numFmtId="0" fontId="4" fillId="0" borderId="2" xfId="0" applyFont="1" applyBorder="1"/>
    <xf numFmtId="3" fontId="4" fillId="0" borderId="2" xfId="0" applyNumberFormat="1" applyFont="1" applyBorder="1"/>
    <xf numFmtId="3" fontId="5" fillId="0" borderId="2" xfId="0" applyNumberFormat="1" applyFont="1" applyBorder="1"/>
    <xf numFmtId="0" fontId="4" fillId="0" borderId="3" xfId="0" applyFont="1" applyBorder="1"/>
    <xf numFmtId="10" fontId="6" fillId="0" borderId="4" xfId="2" applyNumberFormat="1" applyFont="1" applyFill="1" applyBorder="1"/>
    <xf numFmtId="3" fontId="6" fillId="0" borderId="5" xfId="0" applyNumberFormat="1" applyFont="1" applyBorder="1"/>
    <xf numFmtId="3" fontId="5" fillId="0" borderId="5" xfId="0" applyNumberFormat="1" applyFont="1" applyBorder="1"/>
    <xf numFmtId="0" fontId="5" fillId="0" borderId="6" xfId="0" applyFont="1" applyBorder="1"/>
    <xf numFmtId="10" fontId="7" fillId="0" borderId="4" xfId="2" applyNumberFormat="1" applyFont="1" applyFill="1" applyBorder="1"/>
    <xf numFmtId="3" fontId="7" fillId="0" borderId="5" xfId="0" applyNumberFormat="1" applyFont="1" applyBorder="1"/>
    <xf numFmtId="3" fontId="4" fillId="0" borderId="5" xfId="0" applyNumberFormat="1" applyFont="1" applyBorder="1"/>
    <xf numFmtId="0" fontId="2" fillId="0" borderId="0" xfId="0" applyFont="1"/>
    <xf numFmtId="3" fontId="2" fillId="0" borderId="0" xfId="0" applyNumberFormat="1" applyFont="1"/>
    <xf numFmtId="0" fontId="4" fillId="0" borderId="6" xfId="0" applyFont="1" applyBorder="1"/>
    <xf numFmtId="165" fontId="2" fillId="0" borderId="0" xfId="0" applyNumberFormat="1" applyFont="1"/>
    <xf numFmtId="3" fontId="0" fillId="0" borderId="0" xfId="0" applyNumberFormat="1"/>
    <xf numFmtId="37" fontId="5" fillId="0" borderId="6" xfId="0" applyNumberFormat="1" applyFont="1" applyBorder="1"/>
    <xf numFmtId="3" fontId="6" fillId="0" borderId="5" xfId="4" applyNumberFormat="1" applyFont="1" applyFill="1" applyBorder="1"/>
    <xf numFmtId="37" fontId="6" fillId="0" borderId="6" xfId="0" applyNumberFormat="1" applyFont="1" applyBorder="1"/>
    <xf numFmtId="37" fontId="7" fillId="0" borderId="6" xfId="0" applyNumberFormat="1" applyFont="1" applyBorder="1"/>
    <xf numFmtId="0" fontId="8" fillId="0" borderId="0" xfId="0" applyFont="1"/>
    <xf numFmtId="37" fontId="7" fillId="0" borderId="6" xfId="0" applyNumberFormat="1" applyFont="1" applyBorder="1" applyAlignment="1">
      <alignment horizontal="left"/>
    </xf>
    <xf numFmtId="37" fontId="6" fillId="0" borderId="6" xfId="0" applyNumberFormat="1" applyFont="1" applyBorder="1" applyAlignment="1">
      <alignment horizontal="left"/>
    </xf>
    <xf numFmtId="37" fontId="7" fillId="0" borderId="6" xfId="0" applyNumberFormat="1" applyFont="1" applyBorder="1" applyAlignment="1">
      <alignment horizontal="left" wrapText="1"/>
    </xf>
    <xf numFmtId="164" fontId="5" fillId="0" borderId="5" xfId="3" applyFont="1" applyFill="1" applyBorder="1"/>
    <xf numFmtId="164" fontId="6" fillId="0" borderId="5" xfId="3" applyFont="1" applyFill="1" applyBorder="1"/>
    <xf numFmtId="37" fontId="6" fillId="0" borderId="6" xfId="0" applyNumberFormat="1" applyFont="1" applyBorder="1" applyAlignment="1">
      <alignment horizontal="left" wrapText="1"/>
    </xf>
    <xf numFmtId="3" fontId="7" fillId="0" borderId="7" xfId="0" applyNumberFormat="1" applyFont="1" applyBorder="1"/>
    <xf numFmtId="37" fontId="7" fillId="0" borderId="8" xfId="0" applyNumberFormat="1" applyFont="1" applyBorder="1" applyAlignment="1">
      <alignment horizontal="left"/>
    </xf>
    <xf numFmtId="3" fontId="4" fillId="0" borderId="7" xfId="0" applyNumberFormat="1" applyFont="1" applyBorder="1"/>
    <xf numFmtId="0" fontId="8" fillId="0" borderId="5" xfId="0" applyFont="1" applyBorder="1"/>
    <xf numFmtId="3" fontId="5" fillId="0" borderId="7" xfId="0" applyNumberFormat="1" applyFont="1" applyBorder="1"/>
    <xf numFmtId="37" fontId="6" fillId="0" borderId="8" xfId="0" applyNumberFormat="1" applyFont="1" applyBorder="1" applyAlignment="1">
      <alignment horizontal="left"/>
    </xf>
    <xf numFmtId="164" fontId="8" fillId="0" borderId="0" xfId="3" applyFont="1" applyFill="1"/>
    <xf numFmtId="164" fontId="7" fillId="0" borderId="5" xfId="3" applyFont="1" applyFill="1" applyBorder="1"/>
    <xf numFmtId="3" fontId="8" fillId="0" borderId="0" xfId="0" applyNumberFormat="1" applyFont="1"/>
    <xf numFmtId="3" fontId="5" fillId="0" borderId="9" xfId="0" applyNumberFormat="1" applyFont="1" applyBorder="1"/>
    <xf numFmtId="0" fontId="5" fillId="0" borderId="10" xfId="0" applyFont="1" applyBorder="1"/>
    <xf numFmtId="3" fontId="6" fillId="0" borderId="5" xfId="3" applyNumberFormat="1" applyFont="1" applyFill="1" applyBorder="1"/>
    <xf numFmtId="0" fontId="6" fillId="0" borderId="6" xfId="0" applyFont="1" applyBorder="1"/>
    <xf numFmtId="3" fontId="4" fillId="0" borderId="5" xfId="3" applyNumberFormat="1" applyFont="1" applyFill="1" applyBorder="1"/>
    <xf numFmtId="3" fontId="4" fillId="0" borderId="6" xfId="0" applyNumberFormat="1" applyFont="1" applyBorder="1"/>
    <xf numFmtId="3" fontId="5" fillId="0" borderId="6" xfId="0" applyNumberFormat="1" applyFont="1" applyBorder="1"/>
    <xf numFmtId="166" fontId="0" fillId="0" borderId="0" xfId="1" applyFont="1" applyFill="1"/>
    <xf numFmtId="3" fontId="9" fillId="0" borderId="5" xfId="0" applyNumberFormat="1" applyFont="1" applyBorder="1"/>
    <xf numFmtId="166" fontId="0" fillId="0" borderId="0" xfId="1" applyFont="1" applyFill="1" applyAlignment="1">
      <alignment horizontal="center"/>
    </xf>
    <xf numFmtId="3" fontId="6" fillId="0" borderId="6" xfId="0" applyNumberFormat="1" applyFont="1" applyBorder="1"/>
    <xf numFmtId="0" fontId="4" fillId="0" borderId="4" xfId="0" applyFont="1" applyBorder="1"/>
    <xf numFmtId="0" fontId="4" fillId="0" borderId="5" xfId="0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10" fillId="0" borderId="14" xfId="0" applyFont="1" applyBorder="1" applyAlignment="1">
      <alignment horizontal="centerContinuous"/>
    </xf>
    <xf numFmtId="0" fontId="11" fillId="0" borderId="14" xfId="0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3" fontId="11" fillId="0" borderId="14" xfId="0" applyNumberFormat="1" applyFont="1" applyBorder="1" applyAlignment="1">
      <alignment horizontal="centerContinuous"/>
    </xf>
    <xf numFmtId="0" fontId="5" fillId="0" borderId="0" xfId="0" applyFont="1" applyAlignment="1">
      <alignment horizontal="center"/>
    </xf>
  </cellXfs>
  <cellStyles count="5">
    <cellStyle name="Millares [0]" xfId="1" builtinId="6"/>
    <cellStyle name="Millares 2 2" xfId="4" xr:uid="{B25E99DA-4B4F-4BEF-8F0C-83EA03C45659}"/>
    <cellStyle name="Millares 23" xfId="3" xr:uid="{7D3A160C-7AD9-4DBA-8BA5-B3E763359C28}"/>
    <cellStyle name="Normal" xfId="0" builtinId="0"/>
    <cellStyle name="Porcentaje 10" xfId="2" xr:uid="{E049D363-3ECB-40A9-9B8A-8F68F6195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0/Presupuesto%202020/Presupuesto%202020%201ra%20versi&#243;n/Anexos/Presupuestos%20Investigaci&#243;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S%20ACP%20FNP\MATRIZ%20DE%20CONTROL%20A&#209;O%202011(borrador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torppc/AppData/Local/Microsoft/Windows/Temporary%20Internet%20Files/Content.IE5/68SX2PI0/Desagregado%20&#193;rea%20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7/Presupuesto%202017/Presupuesto%202017%203ra%20version/Anexos/Presupuesto%20PPC%20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Ortiz/Desktop/PPC2013/PRESUPUESTO%202014/PRESUPUESTO%20DEFINITIVO%202014%20NOV/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0/Presupuesto%202020/Presupuesto%202020%201ra%20versi&#243;n/Anexos/presupuesto%20PPC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0/Acuerdos/Definitivo/ANEXO%20ACUERDO%2008-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7/AJUSTE%20SALARIOSdef/Ajuste%20salariosde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PRESUPUESTO%202015/PRESUPUESTO%202015%20V.6/Presupuesto%202015%20version%2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nexos"/>
      <sheetName val="ingresos"/>
    </sheetNames>
    <sheetDataSet>
      <sheetData sheetId="0" refreshError="1">
        <row r="23">
          <cell r="A23" t="str">
            <v>Gira técnica</v>
          </cell>
        </row>
        <row r="28">
          <cell r="A28" t="str">
            <v>Campus virtual</v>
          </cell>
        </row>
        <row r="30">
          <cell r="A30" t="str">
            <v>Encuentros regionales porcicolas</v>
          </cell>
        </row>
        <row r="43">
          <cell r="A43" t="str">
            <v>Compras de insumos</v>
          </cell>
        </row>
        <row r="44">
          <cell r="A44" t="str">
            <v>Diagnóstico importados</v>
          </cell>
        </row>
        <row r="50">
          <cell r="A50" t="str">
            <v>Pruebas interlaboratorios</v>
          </cell>
        </row>
        <row r="51">
          <cell r="A51" t="str">
            <v>Promoción al diagnóstico</v>
          </cell>
        </row>
        <row r="52">
          <cell r="A52" t="str">
            <v>Inocuidad y ambiente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cutivo"/>
      <sheetName val="Vencimientos"/>
      <sheetName val="CONTROL CONTRATOS 2011"/>
      <sheetName val="Hoja1"/>
    </sheetNames>
    <sheetDataSet>
      <sheetData sheetId="0">
        <row r="9">
          <cell r="M9" t="str">
            <v>FUNCIONAMIENTO</v>
          </cell>
        </row>
        <row r="10">
          <cell r="M10" t="str">
            <v>MERCADEO</v>
          </cell>
        </row>
        <row r="11">
          <cell r="M11" t="str">
            <v>PPC</v>
          </cell>
        </row>
        <row r="12">
          <cell r="M12" t="str">
            <v>ECONOMICA</v>
          </cell>
        </row>
        <row r="13">
          <cell r="M13" t="str">
            <v>TECNICA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7 vs 2018"/>
      <sheetName val="Presupuesto desagregado 2018"/>
      <sheetName val="Suministros clínic y dotación "/>
      <sheetName val="Contratación personal"/>
      <sheetName val="Diagnóstico rutinario"/>
      <sheetName val="Autoridades y puestos control"/>
      <sheetName val="Sistema información"/>
    </sheetNames>
    <sheetDataSet>
      <sheetData sheetId="0" refreshError="1">
        <row r="37">
          <cell r="B37" t="str">
            <v>Diagnóstico Rutinario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 ingresos"/>
      <sheetName val="Rendimientos "/>
      <sheetName val="Ejecución ingresos 2019"/>
      <sheetName val="Ventas EPPC"/>
      <sheetName val="Ejecución gastos 2019"/>
      <sheetName val="Superavit 2019"/>
      <sheetName val="Proyectos incluir superávit"/>
      <sheetName val="HT"/>
      <sheetName val="Anexo 3"/>
      <sheetName val="Anexo 4"/>
      <sheetName val="Funcionamiento"/>
      <sheetName val="Nómina y honorarios 2020"/>
      <sheetName val="Comparativo nómina 2019-2020"/>
      <sheetName val="Comparativo gastos personal "/>
    </sheetNames>
    <sheetDataSet>
      <sheetData sheetId="0">
        <row r="17">
          <cell r="C17">
            <v>80000000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8">
          <cell r="G8">
            <v>15000000</v>
          </cell>
        </row>
        <row r="10">
          <cell r="G10">
            <v>138282163.141</v>
          </cell>
          <cell r="H10">
            <v>2000000</v>
          </cell>
          <cell r="K10">
            <v>674700</v>
          </cell>
          <cell r="M10">
            <v>0</v>
          </cell>
        </row>
        <row r="12">
          <cell r="G12">
            <v>5514312.6365</v>
          </cell>
        </row>
        <row r="14">
          <cell r="G14">
            <v>6019264.4280000003</v>
          </cell>
          <cell r="H14">
            <v>3206834.5</v>
          </cell>
        </row>
        <row r="16">
          <cell r="G16">
            <v>5401714.2905000001</v>
          </cell>
          <cell r="H16">
            <v>2690834.6475</v>
          </cell>
          <cell r="I16">
            <v>2690834.6475</v>
          </cell>
          <cell r="J16">
            <v>2690834.6475</v>
          </cell>
          <cell r="K16">
            <v>2690834.6475</v>
          </cell>
          <cell r="L16">
            <v>2690834.6475</v>
          </cell>
          <cell r="M16">
            <v>2690834.6475</v>
          </cell>
        </row>
        <row r="18">
          <cell r="G18">
            <v>11024147.346000001</v>
          </cell>
          <cell r="H18">
            <v>8439375</v>
          </cell>
          <cell r="I18">
            <v>159659.25</v>
          </cell>
          <cell r="J18">
            <v>3748328.0279999999</v>
          </cell>
          <cell r="K18">
            <v>1471276.5</v>
          </cell>
          <cell r="L18">
            <v>817437.19649999996</v>
          </cell>
          <cell r="M18">
            <v>1394736.4665000001</v>
          </cell>
        </row>
        <row r="20">
          <cell r="G20">
            <v>3540076</v>
          </cell>
          <cell r="H20">
            <v>2598854.25</v>
          </cell>
          <cell r="M20">
            <v>0</v>
          </cell>
        </row>
        <row r="22">
          <cell r="G22">
            <v>6250000</v>
          </cell>
          <cell r="H22">
            <v>90504087</v>
          </cell>
          <cell r="J22">
            <v>6000000</v>
          </cell>
          <cell r="K22">
            <v>2238677</v>
          </cell>
          <cell r="L22">
            <v>2428854.8481664117</v>
          </cell>
          <cell r="M22">
            <v>6654228.148331793</v>
          </cell>
        </row>
        <row r="24">
          <cell r="G24">
            <v>13189400</v>
          </cell>
          <cell r="H24">
            <v>0</v>
          </cell>
          <cell r="J24">
            <v>500000</v>
          </cell>
          <cell r="K24">
            <v>908250</v>
          </cell>
        </row>
        <row r="26">
          <cell r="G26">
            <v>14967888.9595</v>
          </cell>
          <cell r="H26">
            <v>17500000</v>
          </cell>
          <cell r="J26">
            <v>600000</v>
          </cell>
          <cell r="K26">
            <v>2600000</v>
          </cell>
          <cell r="L26">
            <v>1923257</v>
          </cell>
          <cell r="M26">
            <v>3146383.5522219213</v>
          </cell>
        </row>
        <row r="28">
          <cell r="G28">
            <v>1427505.0885000001</v>
          </cell>
          <cell r="H28">
            <v>600564.75</v>
          </cell>
          <cell r="J28">
            <v>400000</v>
          </cell>
          <cell r="K28">
            <v>703062.57149999996</v>
          </cell>
          <cell r="L28">
            <v>589457.18528235005</v>
          </cell>
          <cell r="M28">
            <v>641017.27004700003</v>
          </cell>
        </row>
        <row r="30">
          <cell r="G30">
            <v>2546928.4035</v>
          </cell>
          <cell r="H30">
            <v>10000000</v>
          </cell>
          <cell r="J30">
            <v>282060.32400000002</v>
          </cell>
          <cell r="L30">
            <v>1470803.5740667502</v>
          </cell>
        </row>
        <row r="32">
          <cell r="G32">
            <v>4256422.5185000002</v>
          </cell>
        </row>
        <row r="34">
          <cell r="G34">
            <v>34046250</v>
          </cell>
          <cell r="H34">
            <v>14500000</v>
          </cell>
        </row>
        <row r="36">
          <cell r="G36">
            <v>1706098</v>
          </cell>
        </row>
      </sheetData>
      <sheetData sheetId="11">
        <row r="12">
          <cell r="K12">
            <v>172824389.9078666</v>
          </cell>
          <cell r="L12">
            <v>13514476.166100003</v>
          </cell>
          <cell r="M12">
            <v>1621737.1399320003</v>
          </cell>
          <cell r="N12">
            <v>13514476.166100003</v>
          </cell>
          <cell r="O12">
            <v>6757238.0830500014</v>
          </cell>
          <cell r="S12">
            <v>35951186.351845615</v>
          </cell>
          <cell r="U12">
            <v>6906100.2141525345</v>
          </cell>
          <cell r="X12">
            <v>8632625.2676906679</v>
          </cell>
        </row>
        <row r="26">
          <cell r="K26">
            <v>96843695.967200011</v>
          </cell>
          <cell r="L26">
            <v>5143607.6813333333</v>
          </cell>
          <cell r="M26">
            <v>617232.92175999994</v>
          </cell>
          <cell r="N26">
            <v>5143607.6813333333</v>
          </cell>
          <cell r="O26">
            <v>4035153.998633333</v>
          </cell>
          <cell r="S26">
            <v>18077991.795839686</v>
          </cell>
          <cell r="U26">
            <v>3669144.9431825071</v>
          </cell>
          <cell r="X26">
            <v>4586431.1789781339</v>
          </cell>
        </row>
        <row r="37">
          <cell r="K37">
            <v>127303309.04200004</v>
          </cell>
          <cell r="L37">
            <v>7681908.7708999999</v>
          </cell>
          <cell r="M37">
            <v>921829.05250799994</v>
          </cell>
          <cell r="N37">
            <v>7681908.7708999999</v>
          </cell>
          <cell r="O37">
            <v>5304304.5434166659</v>
          </cell>
          <cell r="S37">
            <v>24547941.387728743</v>
          </cell>
          <cell r="U37">
            <v>4968755.1010406408</v>
          </cell>
          <cell r="X37">
            <v>6210943.8763008025</v>
          </cell>
        </row>
        <row r="51">
          <cell r="K51">
            <v>152773688.34</v>
          </cell>
          <cell r="L51">
            <v>9804440.3790666666</v>
          </cell>
          <cell r="M51">
            <v>1176532.845488</v>
          </cell>
          <cell r="N51">
            <v>9804440.3790666666</v>
          </cell>
          <cell r="O51">
            <v>6365570.3475000001</v>
          </cell>
          <cell r="S51">
            <v>29902324.523754299</v>
          </cell>
          <cell r="U51">
            <v>6055491.2844219739</v>
          </cell>
          <cell r="X51">
            <v>7569364.105527468</v>
          </cell>
        </row>
        <row r="66">
          <cell r="K66">
            <v>87704903.358800009</v>
          </cell>
          <cell r="L66">
            <v>4382041.6306333337</v>
          </cell>
          <cell r="M66">
            <v>525844.99567600002</v>
          </cell>
          <cell r="N66">
            <v>4382041.6306333337</v>
          </cell>
          <cell r="O66">
            <v>3654370.9732833337</v>
          </cell>
          <cell r="S66">
            <v>16156834.813701838</v>
          </cell>
          <cell r="U66">
            <v>3279223.1252241069</v>
          </cell>
          <cell r="X66">
            <v>4099028.9065301334</v>
          </cell>
        </row>
        <row r="75">
          <cell r="K75">
            <v>8579119.5126000009</v>
          </cell>
          <cell r="L75">
            <v>714926.62605000008</v>
          </cell>
          <cell r="M75">
            <v>85791.195126000006</v>
          </cell>
          <cell r="N75">
            <v>714926.62605000008</v>
          </cell>
          <cell r="O75">
            <v>357463.31302500004</v>
          </cell>
          <cell r="S75">
            <v>7154553.8892516121</v>
          </cell>
          <cell r="U75">
            <v>366042.43253760005</v>
          </cell>
          <cell r="X75">
            <v>457553.04067200003</v>
          </cell>
        </row>
        <row r="79">
          <cell r="K79">
            <v>273030621.24520004</v>
          </cell>
          <cell r="L79">
            <v>19825851.454500005</v>
          </cell>
          <cell r="M79">
            <v>2379102.17454</v>
          </cell>
          <cell r="N79">
            <v>19825851.454500005</v>
          </cell>
          <cell r="O79">
            <v>11376275.88521667</v>
          </cell>
          <cell r="S79">
            <v>56074073.929157719</v>
          </cell>
          <cell r="U79">
            <v>11159830.589262508</v>
          </cell>
          <cell r="X79">
            <v>13949788.236578135</v>
          </cell>
        </row>
        <row r="108">
          <cell r="G108">
            <v>0</v>
          </cell>
          <cell r="I108">
            <v>0</v>
          </cell>
          <cell r="K108">
            <v>0</v>
          </cell>
          <cell r="M108">
            <v>0</v>
          </cell>
          <cell r="O108">
            <v>0</v>
          </cell>
          <cell r="Q108">
            <v>0</v>
          </cell>
        </row>
        <row r="119">
          <cell r="I119">
            <v>40365646.428000003</v>
          </cell>
        </row>
      </sheetData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y honorarios 2017"/>
      <sheetName val="Hoja1"/>
      <sheetName val="Vencimientos"/>
      <sheetName val="Hoja1 (2)"/>
      <sheetName val="Vencimientos (2)"/>
      <sheetName val="Nómina anual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  <sheetName val="Anexo 4"/>
      <sheetName val="Anexo 2 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2 "/>
      <sheetName val="Anexo 3"/>
      <sheetName val="Anexo 4"/>
      <sheetName val="Funcionamiento"/>
      <sheetName val="Nómina y honorarios 2015"/>
      <sheetName val="Comparativo nómina 2014-2015"/>
      <sheetName val="Comparativo gastos personal "/>
    </sheetNames>
    <sheetDataSet>
      <sheetData sheetId="0">
        <row r="46">
          <cell r="C46">
            <v>3182535.7199999997</v>
          </cell>
        </row>
        <row r="53">
          <cell r="C53">
            <v>4295.6000000000004</v>
          </cell>
        </row>
        <row r="54">
          <cell r="C54">
            <v>2577.36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</sheetNames>
    <sheetDataSet>
      <sheetData sheetId="0">
        <row r="15">
          <cell r="B15">
            <v>3919833995</v>
          </cell>
        </row>
        <row r="32">
          <cell r="B32">
            <v>485160000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803DC-7957-4790-818B-3ABBB0FD86F6}">
  <sheetPr>
    <pageSetUpPr fitToPage="1"/>
  </sheetPr>
  <dimension ref="A1:S207"/>
  <sheetViews>
    <sheetView tabSelected="1" topLeftCell="A2" zoomScale="85" zoomScaleNormal="85" zoomScaleSheetLayoutView="85" workbookViewId="0">
      <pane xSplit="2" ySplit="5" topLeftCell="C7" activePane="bottomRight" state="frozen"/>
      <selection activeCell="A2" sqref="A2"/>
      <selection pane="topRight" activeCell="B2" sqref="B2"/>
      <selection pane="bottomLeft" activeCell="A7" sqref="A7"/>
      <selection pane="bottomRight" activeCell="E13" sqref="E13"/>
    </sheetView>
  </sheetViews>
  <sheetFormatPr baseColWidth="10" defaultRowHeight="12.75" outlineLevelRow="2" x14ac:dyDescent="0.2"/>
  <cols>
    <col min="2" max="2" width="61.42578125" customWidth="1"/>
    <col min="3" max="3" width="15.5703125" bestFit="1" customWidth="1"/>
    <col min="4" max="4" width="14.85546875" bestFit="1" customWidth="1"/>
    <col min="5" max="5" width="20.140625" customWidth="1"/>
    <col min="6" max="6" width="14.42578125" customWidth="1"/>
    <col min="7" max="7" width="15.5703125" customWidth="1"/>
    <col min="8" max="8" width="17.140625" customWidth="1"/>
    <col min="9" max="9" width="18.5703125" customWidth="1"/>
    <col min="10" max="11" width="19.85546875" customWidth="1"/>
    <col min="12" max="13" width="21" customWidth="1"/>
    <col min="14" max="14" width="10.7109375" bestFit="1" customWidth="1"/>
    <col min="15" max="17" width="14.5703125" customWidth="1"/>
  </cols>
  <sheetData>
    <row r="1" spans="2:17" ht="15" x14ac:dyDescent="0.25">
      <c r="B1" s="69" t="s">
        <v>192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2:17" ht="15" x14ac:dyDescent="0.25">
      <c r="B2" s="69" t="s">
        <v>191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2:17" ht="15" x14ac:dyDescent="0.25">
      <c r="B3" s="69" t="s">
        <v>190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2:17" ht="15" x14ac:dyDescent="0.25">
      <c r="B4" s="69" t="s">
        <v>189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2:17" ht="15.75" thickBot="1" x14ac:dyDescent="0.3">
      <c r="B5" s="68"/>
      <c r="C5" s="67"/>
      <c r="D5" s="66"/>
      <c r="E5" s="66"/>
      <c r="F5" s="64"/>
      <c r="G5" s="64"/>
      <c r="H5" s="64"/>
      <c r="I5" s="65"/>
      <c r="J5" s="64"/>
      <c r="K5" s="63"/>
    </row>
    <row r="6" spans="2:17" ht="73.5" customHeight="1" thickTop="1" x14ac:dyDescent="0.2">
      <c r="B6" s="62" t="s">
        <v>188</v>
      </c>
      <c r="C6" s="61" t="s">
        <v>187</v>
      </c>
      <c r="D6" s="61" t="s">
        <v>186</v>
      </c>
      <c r="E6" s="61" t="s">
        <v>185</v>
      </c>
      <c r="F6" s="61" t="s">
        <v>184</v>
      </c>
      <c r="G6" s="61" t="s">
        <v>183</v>
      </c>
      <c r="H6" s="61" t="s">
        <v>182</v>
      </c>
      <c r="I6" s="61" t="s">
        <v>181</v>
      </c>
      <c r="J6" s="61" t="s">
        <v>180</v>
      </c>
      <c r="K6" s="61" t="s">
        <v>179</v>
      </c>
      <c r="L6" s="61" t="s">
        <v>178</v>
      </c>
      <c r="M6" s="61" t="s">
        <v>177</v>
      </c>
      <c r="N6" s="60" t="s">
        <v>176</v>
      </c>
    </row>
    <row r="7" spans="2:17" ht="15" x14ac:dyDescent="0.25">
      <c r="B7" s="53" t="s">
        <v>175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8"/>
    </row>
    <row r="8" spans="2:17" ht="15" x14ac:dyDescent="0.25">
      <c r="B8" s="57" t="s">
        <v>174</v>
      </c>
      <c r="C8" s="16">
        <f>SUM(C9:C18)</f>
        <v>128988825.16826034</v>
      </c>
      <c r="D8" s="16">
        <f>SUM(D9:D18)</f>
        <v>199073151.2048251</v>
      </c>
      <c r="E8" s="16">
        <f>SUM(E9:E18)</f>
        <v>116968283.4344821</v>
      </c>
      <c r="F8" s="16">
        <f>SUM(F9:F18)</f>
        <v>13515817.635312214</v>
      </c>
      <c r="G8" s="16">
        <f>SUM(G9:G18)</f>
        <v>151974917.54479489</v>
      </c>
      <c r="H8" s="16">
        <f>SUM(H9:H18)</f>
        <v>388980597.96895504</v>
      </c>
      <c r="I8" s="16">
        <f>SUM(I9:I18)</f>
        <v>999501592.95662975</v>
      </c>
      <c r="J8" s="16">
        <f>SUM(J9:J18)</f>
        <v>273300520.72473747</v>
      </c>
      <c r="K8" s="16">
        <v>1396513555.6813669</v>
      </c>
      <c r="L8" s="16">
        <f>SUM(L9:L18)</f>
        <v>1272802111.6813669</v>
      </c>
      <c r="M8" s="16">
        <f>L8-K8</f>
        <v>-123711444</v>
      </c>
      <c r="N8" s="15">
        <f>L8/K8</f>
        <v>0.9114140757913084</v>
      </c>
      <c r="P8" s="26"/>
    </row>
    <row r="9" spans="2:17" ht="14.25" x14ac:dyDescent="0.2">
      <c r="B9" s="52" t="s">
        <v>173</v>
      </c>
      <c r="C9" s="21">
        <f>+'[3]Nómina y honorarios 2020'!K26-6216501</f>
        <v>90627194.967200011</v>
      </c>
      <c r="D9" s="21">
        <f>+'[3]Nómina y honorarios 2020'!K51-14979390</f>
        <v>137794298.34</v>
      </c>
      <c r="E9" s="21">
        <f>+'[3]Nómina y honorarios 2020'!K66-4864415</f>
        <v>82840488.358800009</v>
      </c>
      <c r="F9" s="21">
        <f>+'[3]Nómina y honorarios 2020'!K75+778370</f>
        <v>9357489.5126000009</v>
      </c>
      <c r="G9" s="21">
        <f>+'[3]Nómina y honorarios 2020'!K37-21250727</f>
        <v>106052582.04200004</v>
      </c>
      <c r="H9" s="21">
        <f>+'[3]Nómina y honorarios 2020'!K79-12787146</f>
        <v>260243475.24520004</v>
      </c>
      <c r="I9" s="20">
        <f>+C9+D9+E9+H9+F9+G9</f>
        <v>686915528.46580005</v>
      </c>
      <c r="J9" s="21">
        <f>+'[3]Nómina y honorarios 2020'!K12-19226647</f>
        <v>153597742.9078666</v>
      </c>
      <c r="K9" s="21">
        <v>919059727.37366664</v>
      </c>
      <c r="L9" s="20">
        <f>+I9+J9</f>
        <v>840513271.37366664</v>
      </c>
      <c r="M9" s="20">
        <f>L9-K9</f>
        <v>-78546456</v>
      </c>
      <c r="N9" s="19">
        <f>L9/K9</f>
        <v>0.91453607022423145</v>
      </c>
      <c r="P9" s="56"/>
      <c r="Q9" s="26"/>
    </row>
    <row r="10" spans="2:17" ht="14.25" x14ac:dyDescent="0.2">
      <c r="B10" s="52" t="s">
        <v>172</v>
      </c>
      <c r="C10" s="21">
        <f>+'[3]Nómina y honorarios 2020'!O26-171667</f>
        <v>3863486.998633333</v>
      </c>
      <c r="D10" s="21">
        <f>+'[3]Nómina y honorarios 2020'!O51-868128</f>
        <v>5497442.3475000001</v>
      </c>
      <c r="E10" s="21">
        <f>+'[3]Nómina y honorarios 2020'!O66-213199</f>
        <v>3441171.9732833337</v>
      </c>
      <c r="F10" s="21">
        <f>+'[3]Nómina y honorarios 2020'!O75+29212</f>
        <v>386675.31302500004</v>
      </c>
      <c r="G10" s="21">
        <f>+'[3]Nómina y honorarios 2020'!O37-899398</f>
        <v>4404906.5434166659</v>
      </c>
      <c r="H10" s="21">
        <f>+'[3]Nómina y honorarios 2020'!O79-436775</f>
        <v>10939500.88521667</v>
      </c>
      <c r="I10" s="20">
        <f>+C10+D10+E10+H10+F10+G10</f>
        <v>28533184.061075002</v>
      </c>
      <c r="J10" s="21">
        <f>+'[3]Nómina y honorarios 2020'!O12-276922</f>
        <v>6480316.0830500014</v>
      </c>
      <c r="K10" s="21">
        <v>37850377.144125</v>
      </c>
      <c r="L10" s="20">
        <f>+I10+J10</f>
        <v>35013500.144125</v>
      </c>
      <c r="M10" s="20">
        <f>L10-K10</f>
        <v>-2836877</v>
      </c>
      <c r="N10" s="19">
        <f>L10/K10</f>
        <v>0.92505023162126321</v>
      </c>
      <c r="P10" s="54"/>
      <c r="Q10" s="26"/>
    </row>
    <row r="11" spans="2:17" ht="14.25" x14ac:dyDescent="0.2">
      <c r="B11" s="52" t="s">
        <v>171</v>
      </c>
      <c r="C11" s="21">
        <f>+'[3]Nómina y honorarios 2020'!N26-285458</f>
        <v>4858149.6813333333</v>
      </c>
      <c r="D11" s="21">
        <f>+'[3]Nómina y honorarios 2020'!N51-1678382</f>
        <v>8126058.3790666666</v>
      </c>
      <c r="E11" s="21">
        <f>+'[3]Nómina y honorarios 2020'!N66-368524</f>
        <v>4013517.6306333337</v>
      </c>
      <c r="F11" s="21">
        <f>+'[3]Nómina y honorarios 2020'!N75-17867</f>
        <v>697059.62605000008</v>
      </c>
      <c r="G11" s="21">
        <f>+'[3]Nómina y honorarios 2020'!N37-1740919</f>
        <v>5940989.7708999999</v>
      </c>
      <c r="H11" s="21">
        <f>+'[3]Nómina y honorarios 2020'!N79-916610</f>
        <v>18909241.454500005</v>
      </c>
      <c r="I11" s="20">
        <f>+C11+D11+E11+H11+F11+G11</f>
        <v>42545016.542483345</v>
      </c>
      <c r="J11" s="21">
        <f>+'[3]Nómina y honorarios 2020'!N12-907117</f>
        <v>12607359.166100003</v>
      </c>
      <c r="K11" s="21">
        <v>61067252.708583347</v>
      </c>
      <c r="L11" s="20">
        <f>+I11+J11</f>
        <v>55152375.708583347</v>
      </c>
      <c r="M11" s="20">
        <f>L11-K11</f>
        <v>-5914877</v>
      </c>
      <c r="N11" s="19">
        <f>L11/K11</f>
        <v>0.90314159000690353</v>
      </c>
      <c r="P11" s="54"/>
      <c r="Q11" s="26"/>
    </row>
    <row r="12" spans="2:17" ht="14.25" x14ac:dyDescent="0.2">
      <c r="B12" s="52" t="s">
        <v>170</v>
      </c>
      <c r="C12" s="55">
        <v>0</v>
      </c>
      <c r="D12" s="55">
        <v>0</v>
      </c>
      <c r="E12" s="55">
        <v>0</v>
      </c>
      <c r="F12" s="21">
        <v>0</v>
      </c>
      <c r="G12" s="20">
        <v>0</v>
      </c>
      <c r="H12" s="20">
        <v>0</v>
      </c>
      <c r="I12" s="20">
        <f>+C12+D12+E12+H12+F12+G12</f>
        <v>0</v>
      </c>
      <c r="J12" s="21">
        <f>+'[3]Nómina y honorarios 2020'!I119-1124597</f>
        <v>39241049.428000003</v>
      </c>
      <c r="K12" s="21">
        <v>40365646.428000003</v>
      </c>
      <c r="L12" s="20">
        <f>+I12+J12</f>
        <v>39241049.428000003</v>
      </c>
      <c r="M12" s="20">
        <f>L12-K12</f>
        <v>-1124597</v>
      </c>
      <c r="N12" s="19">
        <f>L12/K12</f>
        <v>0.97213975002218933</v>
      </c>
      <c r="P12" s="54"/>
      <c r="Q12" s="26"/>
    </row>
    <row r="13" spans="2:17" ht="14.25" x14ac:dyDescent="0.2">
      <c r="B13" s="52" t="s">
        <v>169</v>
      </c>
      <c r="C13" s="21">
        <f>+'[3]Nómina y honorarios 2020'!I108</f>
        <v>0</v>
      </c>
      <c r="D13" s="21">
        <f>+'[3]Nómina y honorarios 2020'!M108</f>
        <v>0</v>
      </c>
      <c r="E13" s="21">
        <f>+'[3]Nómina y honorarios 2020'!O108</f>
        <v>0</v>
      </c>
      <c r="F13" s="21">
        <v>0</v>
      </c>
      <c r="G13" s="21">
        <f>+'[3]Nómina y honorarios 2020'!K108</f>
        <v>0</v>
      </c>
      <c r="H13" s="21">
        <f>+'[3]Nómina y honorarios 2020'!Q108</f>
        <v>0</v>
      </c>
      <c r="I13" s="20">
        <f>+C13+D13+E13+H13+F13+G13</f>
        <v>0</v>
      </c>
      <c r="J13" s="21">
        <f>+'[3]Nómina y honorarios 2020'!G108</f>
        <v>0</v>
      </c>
      <c r="K13" s="21">
        <v>0</v>
      </c>
      <c r="L13" s="20">
        <f>+I13+J13</f>
        <v>0</v>
      </c>
      <c r="M13" s="20">
        <f>L13-K13</f>
        <v>0</v>
      </c>
      <c r="N13" s="19">
        <v>0</v>
      </c>
      <c r="P13" s="54"/>
      <c r="Q13" s="26"/>
    </row>
    <row r="14" spans="2:17" ht="14.25" x14ac:dyDescent="0.2">
      <c r="B14" s="52" t="s">
        <v>168</v>
      </c>
      <c r="C14" s="21">
        <f>+'[3]Nómina y honorarios 2020'!L26-285458</f>
        <v>4858149.6813333333</v>
      </c>
      <c r="D14" s="21">
        <f>+'[3]Nómina y honorarios 2020'!L51-1678382</f>
        <v>8126058.3790666666</v>
      </c>
      <c r="E14" s="21">
        <f>+'[3]Nómina y honorarios 2020'!L66-368524</f>
        <v>4013517.6306333337</v>
      </c>
      <c r="F14" s="21">
        <f>+'[3]Nómina y honorarios 2020'!L75-93288</f>
        <v>621638.62605000008</v>
      </c>
      <c r="G14" s="21">
        <f>+'[3]Nómina y honorarios 2020'!L37-1740919</f>
        <v>5940989.7708999999</v>
      </c>
      <c r="H14" s="21">
        <f>+'[3]Nómina y honorarios 2020'!L79-916610</f>
        <v>18909241.454500005</v>
      </c>
      <c r="I14" s="20">
        <f>+C14+D14+E14+H14+F14+G14</f>
        <v>42469595.542483345</v>
      </c>
      <c r="J14" s="21">
        <f>+'[3]Nómina y honorarios 2020'!L12-712492</f>
        <v>12801984.166100003</v>
      </c>
      <c r="K14" s="21">
        <v>61067252.708583347</v>
      </c>
      <c r="L14" s="20">
        <f>+I14+J14</f>
        <v>55271579.708583347</v>
      </c>
      <c r="M14" s="20">
        <f>L14-K14</f>
        <v>-5795673</v>
      </c>
      <c r="N14" s="19">
        <f>L14/K14</f>
        <v>0.90509360184160725</v>
      </c>
      <c r="O14" s="26"/>
      <c r="P14" s="54"/>
      <c r="Q14" s="26"/>
    </row>
    <row r="15" spans="2:17" ht="14.25" x14ac:dyDescent="0.2">
      <c r="B15" s="52" t="s">
        <v>167</v>
      </c>
      <c r="C15" s="21">
        <f>+'[3]Nómina y honorarios 2020'!M26-34256</f>
        <v>582976.92175999994</v>
      </c>
      <c r="D15" s="21">
        <f>+'[3]Nómina y honorarios 2020'!M51-201407</f>
        <v>975125.84548799996</v>
      </c>
      <c r="E15" s="21">
        <f>+'[3]Nómina y honorarios 2020'!M66-44221</f>
        <v>481623.99567600002</v>
      </c>
      <c r="F15" s="21">
        <f>+'[3]Nómina y honorarios 2020'!M75-11194</f>
        <v>74597.195126000006</v>
      </c>
      <c r="G15" s="21">
        <f>+'[3]Nómina y honorarios 2020'!M37-208910</f>
        <v>712919.05250799994</v>
      </c>
      <c r="H15" s="21">
        <f>+'[3]Nómina y honorarios 2020'!M79-118405</f>
        <v>2260697.17454</v>
      </c>
      <c r="I15" s="20">
        <f>+C15+D15+E15+H15+F15+G15</f>
        <v>5087940.1850980008</v>
      </c>
      <c r="J15" s="21">
        <f>+'[3]Nómina y honorarios 2020'!M12-128318</f>
        <v>1493419.1399320003</v>
      </c>
      <c r="K15" s="21">
        <v>7328070.3250300009</v>
      </c>
      <c r="L15" s="20">
        <f>+I15+J15</f>
        <v>6581359.3250300009</v>
      </c>
      <c r="M15" s="20">
        <f>L15-K15</f>
        <v>-746711</v>
      </c>
      <c r="N15" s="19">
        <f>L15/K15</f>
        <v>0.89810264273126461</v>
      </c>
      <c r="O15" s="26"/>
      <c r="P15" s="54"/>
      <c r="Q15" s="26"/>
    </row>
    <row r="16" spans="2:17" ht="14.25" x14ac:dyDescent="0.2">
      <c r="B16" s="52" t="s">
        <v>166</v>
      </c>
      <c r="C16" s="21">
        <f>+'[3]Nómina y honorarios 2020'!S26-575425</f>
        <v>17502566.795839686</v>
      </c>
      <c r="D16" s="21">
        <f>+'[3]Nómina y honorarios 2020'!S51-2910357</f>
        <v>26991967.523754299</v>
      </c>
      <c r="E16" s="21">
        <f>+'[3]Nómina y honorarios 2020'!S66-633771</f>
        <v>15523063.813701838</v>
      </c>
      <c r="F16" s="21">
        <f>'[3]Nómina y honorarios 2020'!S75-807582-4681815</f>
        <v>1665156.8892516121</v>
      </c>
      <c r="G16" s="21">
        <f>+'[3]Nómina y honorarios 2020'!S37-4301811</f>
        <v>20246130.387728743</v>
      </c>
      <c r="H16" s="21">
        <f>+'[3]Nómina y honorarios 2020'!S79-1411532</f>
        <v>54662541.929157719</v>
      </c>
      <c r="I16" s="20">
        <f>+C16+D16+E16+H16+F16+G16</f>
        <v>136591427.33943391</v>
      </c>
      <c r="J16" s="21">
        <f>+'[3]Nómina y honorarios 2020'!S12-2491737</f>
        <v>33459449.351845615</v>
      </c>
      <c r="K16" s="21">
        <v>187864906.69127953</v>
      </c>
      <c r="L16" s="20">
        <f>+I16+J16</f>
        <v>170050876.69127953</v>
      </c>
      <c r="M16" s="20">
        <f>L16-K16</f>
        <v>-17814030</v>
      </c>
      <c r="N16" s="19">
        <f>L16/K16</f>
        <v>0.90517638278620072</v>
      </c>
      <c r="P16" s="54"/>
      <c r="Q16" s="26"/>
    </row>
    <row r="17" spans="2:17" ht="14.25" x14ac:dyDescent="0.2">
      <c r="B17" s="52" t="s">
        <v>165</v>
      </c>
      <c r="C17" s="21">
        <f>+'[3]Nómina y honorarios 2020'!U26-693545</f>
        <v>2975599.9431825071</v>
      </c>
      <c r="D17" s="21">
        <f>+'[3]Nómina y honorarios 2020'!U51-917791</f>
        <v>5137700.2844219739</v>
      </c>
      <c r="E17" s="21">
        <f>+'[3]Nómina y honorarios 2020'!U66-322223</f>
        <v>2957000.1252241069</v>
      </c>
      <c r="F17" s="21">
        <f>+'[3]Nómina y honorarios 2020'!U75-49042</f>
        <v>317000.43253760005</v>
      </c>
      <c r="G17" s="21">
        <f>+'[3]Nómina y honorarios 2020'!U37-1113255</f>
        <v>3855500.1010406408</v>
      </c>
      <c r="H17" s="21">
        <f>+'[3]Nómina y honorarios 2020'!U79-914031</f>
        <v>10245799.589262508</v>
      </c>
      <c r="I17" s="20">
        <f>+C17+D17+E17+H17+F17+G17</f>
        <v>25488600.475669339</v>
      </c>
      <c r="J17" s="21">
        <f>+'[3]Nómina y honorarios 2020'!U12-853800</f>
        <v>6052300.2141525345</v>
      </c>
      <c r="K17" s="21">
        <v>36404587.689821877</v>
      </c>
      <c r="L17" s="20">
        <f>+I17+J17-1</f>
        <v>31540899.689821873</v>
      </c>
      <c r="M17" s="20">
        <f>L17-K17</f>
        <v>-4863688.0000000037</v>
      </c>
      <c r="N17" s="19">
        <f>L17/K17</f>
        <v>0.86639903625773484</v>
      </c>
      <c r="P17" s="54"/>
      <c r="Q17" s="26"/>
    </row>
    <row r="18" spans="2:17" ht="14.25" x14ac:dyDescent="0.2">
      <c r="B18" s="52" t="s">
        <v>164</v>
      </c>
      <c r="C18" s="21">
        <f>+'[3]Nómina y honorarios 2020'!X26-865731</f>
        <v>3720700.1789781339</v>
      </c>
      <c r="D18" s="21">
        <f>+'[3]Nómina y honorarios 2020'!X51-1144864</f>
        <v>6424500.105527468</v>
      </c>
      <c r="E18" s="21">
        <f>+'[3]Nómina y honorarios 2020'!X66-401129</f>
        <v>3697899.9065301334</v>
      </c>
      <c r="F18" s="21">
        <f>+'[3]Nómina y honorarios 2020'!X75-61353</f>
        <v>396200.04067200003</v>
      </c>
      <c r="G18" s="21">
        <f>+'[3]Nómina y honorarios 2020'!X37-1390044</f>
        <v>4820899.8763008025</v>
      </c>
      <c r="H18" s="21">
        <f>+'[3]Nómina y honorarios 2020'!X79-1139688</f>
        <v>12810100.236578135</v>
      </c>
      <c r="I18" s="20">
        <f>+C18+D18+E18+H18+F18+G18</f>
        <v>31870300.34458667</v>
      </c>
      <c r="J18" s="21">
        <f>+'[3]Nómina y honorarios 2020'!X12-1065725</f>
        <v>7566900.2676906679</v>
      </c>
      <c r="K18" s="21">
        <v>45505734.612277336</v>
      </c>
      <c r="L18" s="20">
        <f>+I18+J18-1</f>
        <v>39437199.612277336</v>
      </c>
      <c r="M18" s="20">
        <f>L18-K18</f>
        <v>-6068535</v>
      </c>
      <c r="N18" s="19">
        <f>L18/K18</f>
        <v>0.86664241217715177</v>
      </c>
      <c r="O18" s="26"/>
      <c r="P18" s="54"/>
      <c r="Q18" s="26"/>
    </row>
    <row r="19" spans="2:17" ht="15" x14ac:dyDescent="0.25">
      <c r="B19" s="18" t="s">
        <v>163</v>
      </c>
      <c r="C19" s="17">
        <f>SUM(C9:C18)</f>
        <v>128988825.16826034</v>
      </c>
      <c r="D19" s="17">
        <f>SUM(D9:D18)</f>
        <v>199073151.2048251</v>
      </c>
      <c r="E19" s="17">
        <f>SUM(E9:E18)</f>
        <v>116968283.4344821</v>
      </c>
      <c r="F19" s="17">
        <f>SUM(F9:F18)</f>
        <v>13515817.635312214</v>
      </c>
      <c r="G19" s="17">
        <f>SUM(G9:G18)</f>
        <v>151974917.54479489</v>
      </c>
      <c r="H19" s="17">
        <f>SUM(H9:H18)</f>
        <v>388980597.96895504</v>
      </c>
      <c r="I19" s="17">
        <f>+C19+D19+E19+H19+F19+G19</f>
        <v>999501592.95662975</v>
      </c>
      <c r="J19" s="17">
        <f>SUM(J9:J18)</f>
        <v>273300520.72473747</v>
      </c>
      <c r="K19" s="17">
        <v>1396513555.6813669</v>
      </c>
      <c r="L19" s="17">
        <f>SUM(L9:L18)</f>
        <v>1272802111.6813669</v>
      </c>
      <c r="M19" s="16">
        <f>SUM(M9:M18)</f>
        <v>-123711444</v>
      </c>
      <c r="N19" s="15">
        <f>L19/K19</f>
        <v>0.9114140757913084</v>
      </c>
      <c r="P19" s="54"/>
    </row>
    <row r="20" spans="2:17" ht="15" x14ac:dyDescent="0.25">
      <c r="B20" s="53" t="s">
        <v>162</v>
      </c>
      <c r="C20" s="21"/>
      <c r="D20" s="21"/>
      <c r="E20" s="21"/>
      <c r="F20" s="21"/>
      <c r="G20" s="21"/>
      <c r="H20" s="21"/>
      <c r="I20" s="21"/>
      <c r="J20" s="17"/>
      <c r="K20" s="17"/>
      <c r="L20" s="21"/>
      <c r="M20" s="16"/>
      <c r="N20" s="15"/>
    </row>
    <row r="21" spans="2:17" ht="14.25" x14ac:dyDescent="0.2">
      <c r="B21" s="24" t="s">
        <v>161</v>
      </c>
      <c r="C21" s="51">
        <f>+[3]Funcionamiento!J10</f>
        <v>0</v>
      </c>
      <c r="D21" s="51">
        <f>+[3]Funcionamiento!K10-674700</f>
        <v>0</v>
      </c>
      <c r="E21" s="51">
        <v>0</v>
      </c>
      <c r="F21" s="51">
        <v>0</v>
      </c>
      <c r="G21" s="51">
        <f>+[3]Funcionamiento!M10</f>
        <v>0</v>
      </c>
      <c r="H21" s="51">
        <f>+[3]Funcionamiento!H10+854652</f>
        <v>2854652</v>
      </c>
      <c r="I21" s="51">
        <f>+C21+D21+E21+H21+F21+G21</f>
        <v>2854652</v>
      </c>
      <c r="J21" s="21">
        <f>+[3]Funcionamiento!G10-89806024</f>
        <v>48476139.141000003</v>
      </c>
      <c r="K21" s="21">
        <v>140956863</v>
      </c>
      <c r="L21" s="21">
        <f>+J21+I21</f>
        <v>51330791.141000003</v>
      </c>
      <c r="M21" s="20">
        <f>L21-K21</f>
        <v>-89626071.858999997</v>
      </c>
      <c r="N21" s="19">
        <f>L21/K21</f>
        <v>0.3641595737058933</v>
      </c>
      <c r="Q21" s="26"/>
    </row>
    <row r="22" spans="2:17" ht="14.25" x14ac:dyDescent="0.2">
      <c r="B22" s="24" t="s">
        <v>160</v>
      </c>
      <c r="C22" s="21">
        <f>+[3]Funcionamiento!J24-500000</f>
        <v>0</v>
      </c>
      <c r="D22" s="51">
        <f>+[3]Funcionamiento!K24-491891</f>
        <v>416359</v>
      </c>
      <c r="E22" s="51">
        <v>0</v>
      </c>
      <c r="F22" s="21">
        <f>+[3]Funcionamiento!I24</f>
        <v>0</v>
      </c>
      <c r="G22" s="51">
        <f>+[3]Funcionamiento!M24</f>
        <v>0</v>
      </c>
      <c r="H22" s="21">
        <f>+[3]Funcionamiento!H24</f>
        <v>0</v>
      </c>
      <c r="I22" s="51">
        <f>+C22+D22+E22+H22+F22+G22</f>
        <v>416359</v>
      </c>
      <c r="J22" s="21">
        <f>+[3]Funcionamiento!G24-12281150</f>
        <v>908250</v>
      </c>
      <c r="K22" s="21">
        <v>14597650</v>
      </c>
      <c r="L22" s="21">
        <f>+I22+J22</f>
        <v>1324609</v>
      </c>
      <c r="M22" s="20">
        <f>L22-K22</f>
        <v>-13273041</v>
      </c>
      <c r="N22" s="19">
        <f>L22/K22</f>
        <v>9.0741249447685079E-2</v>
      </c>
      <c r="Q22" s="26"/>
    </row>
    <row r="23" spans="2:17" ht="14.25" x14ac:dyDescent="0.2">
      <c r="B23" s="24" t="s">
        <v>159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f>+[3]Funcionamiento!H14-3206834.5</f>
        <v>0</v>
      </c>
      <c r="I23" s="51">
        <f>+C23+D23+E23+H23+F23+G23</f>
        <v>0</v>
      </c>
      <c r="J23" s="21">
        <f>+[3]Funcionamiento!G14-6019264</f>
        <v>0.4280000003054738</v>
      </c>
      <c r="K23" s="21">
        <v>9226099</v>
      </c>
      <c r="L23" s="21">
        <f>+I23+J23</f>
        <v>0.4280000003054738</v>
      </c>
      <c r="M23" s="20">
        <f>L23-K23</f>
        <v>-9226098.5720000006</v>
      </c>
      <c r="N23" s="19">
        <f>L23/K23</f>
        <v>4.6390137403194328E-8</v>
      </c>
      <c r="Q23" s="26"/>
    </row>
    <row r="24" spans="2:17" ht="14.25" x14ac:dyDescent="0.2">
      <c r="B24" s="24" t="s">
        <v>158</v>
      </c>
      <c r="C24" s="21">
        <f>+[3]Funcionamiento!J26-328652</f>
        <v>271348</v>
      </c>
      <c r="D24" s="51">
        <f>+[3]Funcionamiento!K26-769257</f>
        <v>1830743</v>
      </c>
      <c r="E24" s="51">
        <f>+[3]Funcionamiento!L26-1033686</f>
        <v>889571</v>
      </c>
      <c r="F24" s="51">
        <f>+[3]Funcionamiento!I26</f>
        <v>0</v>
      </c>
      <c r="G24" s="51">
        <f>+[3]Funcionamiento!M26-1121713</f>
        <v>2024670.5522219213</v>
      </c>
      <c r="H24" s="51">
        <f>+[3]Funcionamiento!H26-533891</f>
        <v>16966109</v>
      </c>
      <c r="I24" s="51">
        <f>+C24+D24+E24+H24+F24+G24</f>
        <v>21982441.55222192</v>
      </c>
      <c r="J24" s="21">
        <f>+[3]Funcionamiento!G26-2819307</f>
        <v>12148581.9595</v>
      </c>
      <c r="K24" s="21">
        <v>40737530</v>
      </c>
      <c r="L24" s="21">
        <f>+I24+J24</f>
        <v>34131023.511721924</v>
      </c>
      <c r="M24" s="20">
        <f>L24-K24</f>
        <v>-6606506.4882780761</v>
      </c>
      <c r="N24" s="19">
        <f>L24/K24</f>
        <v>0.83782751462157679</v>
      </c>
      <c r="Q24" s="26"/>
    </row>
    <row r="25" spans="2:17" ht="14.25" x14ac:dyDescent="0.2">
      <c r="B25" s="24" t="s">
        <v>157</v>
      </c>
      <c r="C25" s="51">
        <f>+[3]Funcionamiento!J28-210900</f>
        <v>189100</v>
      </c>
      <c r="D25" s="51">
        <f>+[3]Funcionamiento!K28-275063</f>
        <v>427999.57149999996</v>
      </c>
      <c r="E25" s="51">
        <f>+[3]Funcionamiento!L28-589457</f>
        <v>0.1852823500521481</v>
      </c>
      <c r="F25" s="51">
        <v>0</v>
      </c>
      <c r="G25" s="51">
        <f>+[3]Funcionamiento!M28-292517</f>
        <v>348500.27004700003</v>
      </c>
      <c r="H25" s="51">
        <f>+[3]Funcionamiento!H28-501564.75</f>
        <v>99000</v>
      </c>
      <c r="I25" s="51">
        <f>+C25+D25+E25+H25+F25+G25</f>
        <v>1064600.02682935</v>
      </c>
      <c r="J25" s="21">
        <f>+[3]Funcionamiento!G28-866905</f>
        <v>560600.08850000007</v>
      </c>
      <c r="K25" s="21">
        <v>4361606.8653293503</v>
      </c>
      <c r="L25" s="21">
        <f>+I25+J25</f>
        <v>1625200.1153293501</v>
      </c>
      <c r="M25" s="20">
        <f>L25-K25</f>
        <v>-2736406.75</v>
      </c>
      <c r="N25" s="19">
        <f>L25/K25</f>
        <v>0.37261499385654262</v>
      </c>
      <c r="Q25" s="26"/>
    </row>
    <row r="26" spans="2:17" ht="14.25" x14ac:dyDescent="0.2">
      <c r="B26" s="52" t="s">
        <v>156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f>+C26+D26+E26+H26+F26+G26</f>
        <v>0</v>
      </c>
      <c r="J26" s="21">
        <f>+[3]Funcionamiento!G8-7050024</f>
        <v>7949976</v>
      </c>
      <c r="K26" s="21">
        <v>15000000</v>
      </c>
      <c r="L26" s="21">
        <f>+I26+J26</f>
        <v>7949976</v>
      </c>
      <c r="M26" s="20">
        <f>L26-K26</f>
        <v>-7050024</v>
      </c>
      <c r="N26" s="19">
        <f>L26/K26</f>
        <v>0.52999839999999998</v>
      </c>
      <c r="Q26" s="26"/>
    </row>
    <row r="27" spans="2:17" ht="14.25" x14ac:dyDescent="0.2">
      <c r="B27" s="24" t="s">
        <v>155</v>
      </c>
      <c r="C27" s="51">
        <f>+[3]Funcionamiento!J16-1251678</f>
        <v>1439156.6475</v>
      </c>
      <c r="D27" s="51">
        <f>+[3]Funcionamiento!K16-1251678</f>
        <v>1439156.6475</v>
      </c>
      <c r="E27" s="51">
        <f>+[3]Funcionamiento!L16-1251678</f>
        <v>1439156.6475</v>
      </c>
      <c r="F27" s="51">
        <f>+[3]Funcionamiento!I16-1251679</f>
        <v>1439155.6475</v>
      </c>
      <c r="G27" s="51">
        <f>+[3]Funcionamiento!M16-1251678</f>
        <v>1439156.6475</v>
      </c>
      <c r="H27" s="51">
        <f>+[3]Funcionamiento!H16-1845596.6475</f>
        <v>845238</v>
      </c>
      <c r="I27" s="51">
        <f>+C27+D27+E27+H27+F27+G27</f>
        <v>8041020.2374999998</v>
      </c>
      <c r="J27" s="21">
        <f>+[3]Funcionamiento!G16-1889184</f>
        <v>3512530.2905000001</v>
      </c>
      <c r="K27" s="21">
        <v>21546722.5</v>
      </c>
      <c r="L27" s="21">
        <f>+I27+J27</f>
        <v>11553550.528000001</v>
      </c>
      <c r="M27" s="20">
        <f>L27-K27</f>
        <v>-9993171.9719999991</v>
      </c>
      <c r="N27" s="19">
        <f>L27/K27</f>
        <v>0.53620918578219967</v>
      </c>
      <c r="Q27" s="26"/>
    </row>
    <row r="28" spans="2:17" ht="14.25" x14ac:dyDescent="0.2">
      <c r="B28" s="24" t="s">
        <v>154</v>
      </c>
      <c r="C28" s="51">
        <f>+[3]Funcionamiento!J30-282060</f>
        <v>0.32400000002235174</v>
      </c>
      <c r="D28" s="51">
        <f>+[3]Funcionamiento!K30</f>
        <v>0</v>
      </c>
      <c r="E28" s="51">
        <f>+[3]Funcionamiento!L30-1183451</f>
        <v>287352.57406675024</v>
      </c>
      <c r="F28" s="51">
        <f>+[3]Funcionamiento!I30</f>
        <v>0</v>
      </c>
      <c r="G28" s="51">
        <v>0</v>
      </c>
      <c r="H28" s="51">
        <f>+[3]Funcionamiento!H30-854652-6123348</f>
        <v>3022000</v>
      </c>
      <c r="I28" s="51">
        <f>+C28+D28+E28+H28+F28+G28</f>
        <v>3309352.8980667503</v>
      </c>
      <c r="J28" s="21">
        <f>+[3]Funcionamiento!G30-2109928</f>
        <v>437000.40350000001</v>
      </c>
      <c r="K28" s="21">
        <v>14299792.30156675</v>
      </c>
      <c r="L28" s="21">
        <f>+I28+J28</f>
        <v>3746353.3015667503</v>
      </c>
      <c r="M28" s="20">
        <f>L28-K28</f>
        <v>-10553439</v>
      </c>
      <c r="N28" s="19">
        <f>L28/K28</f>
        <v>0.26198655354989198</v>
      </c>
      <c r="Q28" s="26"/>
    </row>
    <row r="29" spans="2:17" ht="14.25" x14ac:dyDescent="0.2">
      <c r="B29" s="24" t="s">
        <v>153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f>+[3]Funcionamiento!H34-5375404</f>
        <v>9124596</v>
      </c>
      <c r="I29" s="51">
        <f>+C29+D29+E29+H29+F29+G29</f>
        <v>9124596</v>
      </c>
      <c r="J29" s="21">
        <f>+[3]Funcionamiento!G34-10800924</f>
        <v>23245326</v>
      </c>
      <c r="K29" s="21">
        <v>48546250</v>
      </c>
      <c r="L29" s="21">
        <f>+I29+J29</f>
        <v>32369922</v>
      </c>
      <c r="M29" s="20">
        <f>L29-K29</f>
        <v>-16176328</v>
      </c>
      <c r="N29" s="19">
        <f>L29/K29</f>
        <v>0.66678522027963028</v>
      </c>
      <c r="Q29" s="26"/>
    </row>
    <row r="30" spans="2:17" ht="14.25" x14ac:dyDescent="0.2">
      <c r="B30" s="24" t="s">
        <v>152</v>
      </c>
      <c r="C30" s="21">
        <f>+[3]Funcionamiento!J22-1770610</f>
        <v>4229390</v>
      </c>
      <c r="D30" s="21">
        <f>+[3]Funcionamiento!K22-335852</f>
        <v>1902825</v>
      </c>
      <c r="E30" s="21">
        <f>+[3]Funcionamiento!L22-1548945</f>
        <v>879909.84816641174</v>
      </c>
      <c r="F30" s="21">
        <v>0</v>
      </c>
      <c r="G30" s="51">
        <f>+[3]Funcionamiento!M22-2646512</f>
        <v>4007716.148331793</v>
      </c>
      <c r="H30" s="21">
        <f>+[3]Funcionamiento!H22-12251190</f>
        <v>78252897</v>
      </c>
      <c r="I30" s="51">
        <f>+C30+D30+E30+H30+F30+G30</f>
        <v>89272737.996498197</v>
      </c>
      <c r="J30" s="21">
        <f>+[3]Funcionamiento!G22-5888580</f>
        <v>361420</v>
      </c>
      <c r="K30" s="21">
        <v>114075846.5</v>
      </c>
      <c r="L30" s="21">
        <f>+I30+J30</f>
        <v>89634157.996498197</v>
      </c>
      <c r="M30" s="20">
        <f>L30-K30</f>
        <v>-24441688.503501803</v>
      </c>
      <c r="N30" s="19">
        <f>L30/K30</f>
        <v>0.78574177397402167</v>
      </c>
      <c r="Q30" s="26"/>
    </row>
    <row r="31" spans="2:17" ht="14.25" x14ac:dyDescent="0.2">
      <c r="B31" s="24" t="s">
        <v>151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f>+C31+D31+E31+H31+F31+G31</f>
        <v>0</v>
      </c>
      <c r="J31" s="21">
        <f>+[3]Funcionamiento!G12-5514313</f>
        <v>-0.36349999997764826</v>
      </c>
      <c r="K31" s="21">
        <v>5514313</v>
      </c>
      <c r="L31" s="21">
        <f>+I31+J31</f>
        <v>-0.36349999997764826</v>
      </c>
      <c r="M31" s="20">
        <f>L31-K31</f>
        <v>-5514313.3635</v>
      </c>
      <c r="N31" s="19">
        <f>L31/K31</f>
        <v>-6.591936293381392E-8</v>
      </c>
      <c r="Q31" s="26"/>
    </row>
    <row r="32" spans="2:17" ht="14.25" x14ac:dyDescent="0.2">
      <c r="B32" s="24" t="s">
        <v>150</v>
      </c>
      <c r="C32" s="21">
        <f>+[3]Funcionamiento!J18-2300840</f>
        <v>1447488.0279999999</v>
      </c>
      <c r="D32" s="21">
        <f>+[3]Funcionamiento!K18-311351</f>
        <v>1159925.5</v>
      </c>
      <c r="E32" s="21">
        <f>+[3]Funcionamiento!L18-139031</f>
        <v>678406.19649999996</v>
      </c>
      <c r="F32" s="21">
        <f>+[3]Funcionamiento!I18-59909</f>
        <v>99750.25</v>
      </c>
      <c r="G32" s="21">
        <f>+[3]Funcionamiento!M18-387107</f>
        <v>1007629.4665000001</v>
      </c>
      <c r="H32" s="21">
        <f>+[3]Funcionamiento!H18-941994</f>
        <v>7497381</v>
      </c>
      <c r="I32" s="51">
        <f>+C32+D32+E32+H32+F32+G32</f>
        <v>11890580.441</v>
      </c>
      <c r="J32" s="21">
        <f>+[3]Funcionamiento!G18-1204028</f>
        <v>9820119.3460000008</v>
      </c>
      <c r="K32" s="21">
        <v>27054960</v>
      </c>
      <c r="L32" s="21">
        <f>+I32+J32</f>
        <v>21710699.787</v>
      </c>
      <c r="M32" s="20">
        <f>L32-K32</f>
        <v>-5344260.2129999995</v>
      </c>
      <c r="N32" s="19">
        <f>L32/K32</f>
        <v>0.80246652691410381</v>
      </c>
      <c r="Q32" s="26"/>
    </row>
    <row r="33" spans="2:17" ht="14.25" x14ac:dyDescent="0.2">
      <c r="B33" s="24" t="s">
        <v>149</v>
      </c>
      <c r="C33" s="51">
        <f>+[3]Funcionamiento!J20</f>
        <v>0</v>
      </c>
      <c r="D33" s="51">
        <v>0</v>
      </c>
      <c r="E33" s="51">
        <v>0</v>
      </c>
      <c r="F33" s="51">
        <v>0</v>
      </c>
      <c r="G33" s="51">
        <f>+[3]Funcionamiento!M20</f>
        <v>0</v>
      </c>
      <c r="H33" s="51">
        <f>+[3]Funcionamiento!H20-627294</f>
        <v>1971560.25</v>
      </c>
      <c r="I33" s="51">
        <f>+C33+D33+E33+H33+F33+G33</f>
        <v>1971560.25</v>
      </c>
      <c r="J33" s="21">
        <f>+[3]Funcionamiento!G20-2243239</f>
        <v>1296837</v>
      </c>
      <c r="K33" s="21">
        <v>6138930</v>
      </c>
      <c r="L33" s="21">
        <f>+I33+J33</f>
        <v>3268397.25</v>
      </c>
      <c r="M33" s="20">
        <f>L33-K33</f>
        <v>-2870532.75</v>
      </c>
      <c r="N33" s="19">
        <f>L33/K33</f>
        <v>0.53240503638256176</v>
      </c>
      <c r="Q33" s="26"/>
    </row>
    <row r="34" spans="2:17" ht="14.25" x14ac:dyDescent="0.2">
      <c r="B34" s="24" t="s">
        <v>148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f>+C34+D34+E34+H34+F34+G34</f>
        <v>0</v>
      </c>
      <c r="J34" s="21">
        <f>+[3]Funcionamiento!G36-1706098</f>
        <v>0</v>
      </c>
      <c r="K34" s="21">
        <v>1706098</v>
      </c>
      <c r="L34" s="21">
        <f>+I34+J34</f>
        <v>0</v>
      </c>
      <c r="M34" s="20">
        <f>L34-K34</f>
        <v>-1706098</v>
      </c>
      <c r="N34" s="19">
        <f>L34/K34</f>
        <v>0</v>
      </c>
      <c r="Q34" s="26"/>
    </row>
    <row r="35" spans="2:17" ht="14.25" x14ac:dyDescent="0.2">
      <c r="B35" s="24" t="s">
        <v>147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f>+C35+D35+E35+H35+F35+G35</f>
        <v>0</v>
      </c>
      <c r="J35" s="21">
        <f>+[3]Funcionamiento!G32-4256423</f>
        <v>-0.48149999976158142</v>
      </c>
      <c r="K35" s="21">
        <v>4256422.5</v>
      </c>
      <c r="L35" s="21">
        <f>+I35+J35</f>
        <v>-0.48149999976158142</v>
      </c>
      <c r="M35" s="20">
        <f>L35-K35</f>
        <v>-4256422.9814999998</v>
      </c>
      <c r="N35" s="19">
        <f>L35/K35</f>
        <v>-1.1312316852041389E-7</v>
      </c>
      <c r="Q35" s="26"/>
    </row>
    <row r="36" spans="2:17" ht="15" x14ac:dyDescent="0.25">
      <c r="B36" s="50" t="s">
        <v>146</v>
      </c>
      <c r="C36" s="49">
        <f>SUM(C21:C35)</f>
        <v>7576482.9994999999</v>
      </c>
      <c r="D36" s="49">
        <f>SUM(D21:D35)</f>
        <v>7177008.7190000005</v>
      </c>
      <c r="E36" s="49">
        <f>SUM(E21:E35)</f>
        <v>4174396.4515155121</v>
      </c>
      <c r="F36" s="49">
        <f>SUM(F21:F35)</f>
        <v>1538905.8975</v>
      </c>
      <c r="G36" s="49">
        <f>SUM(G21:G35)</f>
        <v>8827673.0846007131</v>
      </c>
      <c r="H36" s="49">
        <f>SUM(H21:H35)</f>
        <v>120633433.25</v>
      </c>
      <c r="I36" s="49">
        <f>SUM(I21:I35)</f>
        <v>149927900.40211624</v>
      </c>
      <c r="J36" s="16">
        <f>SUM(J21:J35)</f>
        <v>108716779.81200002</v>
      </c>
      <c r="K36" s="16">
        <v>468019083</v>
      </c>
      <c r="L36" s="16">
        <f>SUM(L21:L35)</f>
        <v>258644680.21411622</v>
      </c>
      <c r="M36" s="16">
        <f>L36-K36</f>
        <v>-209374402.78588378</v>
      </c>
      <c r="N36" s="15">
        <f>L36/K36</f>
        <v>0.55263703897756711</v>
      </c>
      <c r="Q36" s="26"/>
    </row>
    <row r="37" spans="2:17" ht="15" x14ac:dyDescent="0.25">
      <c r="B37" s="50" t="s">
        <v>145</v>
      </c>
      <c r="C37" s="49"/>
      <c r="D37" s="49"/>
      <c r="E37" s="49"/>
      <c r="F37" s="49"/>
      <c r="G37" s="49"/>
      <c r="H37" s="49"/>
      <c r="I37" s="49"/>
      <c r="J37" s="16"/>
      <c r="K37" s="16"/>
      <c r="L37" s="16"/>
      <c r="M37" s="16"/>
      <c r="N37" s="15"/>
    </row>
    <row r="38" spans="2:17" s="22" customFormat="1" ht="15" x14ac:dyDescent="0.25">
      <c r="B38" s="33" t="s">
        <v>144</v>
      </c>
      <c r="C38" s="16"/>
      <c r="D38" s="16"/>
      <c r="E38" s="16"/>
      <c r="F38" s="16"/>
      <c r="G38" s="16"/>
      <c r="H38" s="16"/>
      <c r="I38" s="16"/>
      <c r="J38" s="16">
        <f>SUM(J39:J41)</f>
        <v>94507129</v>
      </c>
      <c r="K38" s="16">
        <v>104621316</v>
      </c>
      <c r="L38" s="16">
        <f>SUM(L39:L41)</f>
        <v>94507129</v>
      </c>
      <c r="M38" s="16">
        <f>L38-K38</f>
        <v>-10114187</v>
      </c>
      <c r="N38" s="15">
        <f>L38/K38</f>
        <v>0.90332575246902835</v>
      </c>
    </row>
    <row r="39" spans="2:17" s="22" customFormat="1" ht="14.25" hidden="1" outlineLevel="1" x14ac:dyDescent="0.2">
      <c r="B39" s="32" t="s">
        <v>143</v>
      </c>
      <c r="C39" s="20"/>
      <c r="D39" s="20"/>
      <c r="E39" s="20"/>
      <c r="F39" s="20"/>
      <c r="G39" s="20"/>
      <c r="H39" s="20"/>
      <c r="I39" s="20"/>
      <c r="J39" s="20">
        <f>32051841-4039781</f>
        <v>28012060</v>
      </c>
      <c r="K39" s="20">
        <v>32051841</v>
      </c>
      <c r="L39" s="20">
        <f>+I39+J39</f>
        <v>28012060</v>
      </c>
      <c r="M39" s="20">
        <f>L39-K39</f>
        <v>-4039781</v>
      </c>
      <c r="N39" s="19">
        <f>L39/K39</f>
        <v>0.8739610308187914</v>
      </c>
    </row>
    <row r="40" spans="2:17" s="22" customFormat="1" ht="14.25" hidden="1" outlineLevel="1" x14ac:dyDescent="0.2">
      <c r="B40" s="32" t="s">
        <v>142</v>
      </c>
      <c r="C40" s="20"/>
      <c r="D40" s="20"/>
      <c r="E40" s="20"/>
      <c r="F40" s="20"/>
      <c r="G40" s="20"/>
      <c r="H40" s="20"/>
      <c r="I40" s="20"/>
      <c r="J40" s="20">
        <f>48708518-6500000-6074406</f>
        <v>36134112</v>
      </c>
      <c r="K40" s="20">
        <v>48708518</v>
      </c>
      <c r="L40" s="20">
        <f>+I40+J40</f>
        <v>36134112</v>
      </c>
      <c r="M40" s="20">
        <f>L40-K40</f>
        <v>-12574406</v>
      </c>
      <c r="N40" s="19">
        <f>L40/K40</f>
        <v>0.74184379824489832</v>
      </c>
    </row>
    <row r="41" spans="2:17" s="22" customFormat="1" ht="14.25" hidden="1" outlineLevel="1" x14ac:dyDescent="0.2">
      <c r="B41" s="32" t="s">
        <v>141</v>
      </c>
      <c r="C41" s="20"/>
      <c r="D41" s="20"/>
      <c r="E41" s="20"/>
      <c r="F41" s="20"/>
      <c r="G41" s="20"/>
      <c r="H41" s="20"/>
      <c r="I41" s="20"/>
      <c r="J41" s="20">
        <f>23860957+6500000</f>
        <v>30360957</v>
      </c>
      <c r="K41" s="20">
        <v>23860957</v>
      </c>
      <c r="L41" s="20">
        <f>+I41+J41</f>
        <v>30360957</v>
      </c>
      <c r="M41" s="20">
        <f>L41-K41</f>
        <v>6500000</v>
      </c>
      <c r="N41" s="19">
        <f>L41/K41</f>
        <v>1.2724115382295857</v>
      </c>
    </row>
    <row r="42" spans="2:17" s="22" customFormat="1" ht="15" collapsed="1" x14ac:dyDescent="0.25">
      <c r="B42" s="33" t="s">
        <v>140</v>
      </c>
      <c r="C42" s="16"/>
      <c r="D42" s="16"/>
      <c r="E42" s="16"/>
      <c r="F42" s="16"/>
      <c r="G42" s="16"/>
      <c r="H42" s="16"/>
      <c r="I42" s="16"/>
      <c r="J42" s="16">
        <f>SUM(J43:J46)</f>
        <v>16547225</v>
      </c>
      <c r="K42" s="16">
        <v>88112448</v>
      </c>
      <c r="L42" s="16">
        <f>SUM(L43:L46)</f>
        <v>16547225</v>
      </c>
      <c r="M42" s="16">
        <f>L42-K42</f>
        <v>-71565223</v>
      </c>
      <c r="N42" s="15">
        <f>L42/K42</f>
        <v>0.18779667771799963</v>
      </c>
    </row>
    <row r="43" spans="2:17" s="31" customFormat="1" ht="15" hidden="1" customHeight="1" outlineLevel="1" x14ac:dyDescent="0.25">
      <c r="B43" s="32" t="s">
        <v>139</v>
      </c>
      <c r="C43" s="21"/>
      <c r="D43" s="17"/>
      <c r="E43" s="17"/>
      <c r="F43" s="17"/>
      <c r="G43" s="17"/>
      <c r="H43" s="17"/>
      <c r="I43" s="21"/>
      <c r="J43" s="21">
        <f>5388552-5388552</f>
        <v>0</v>
      </c>
      <c r="K43" s="21">
        <v>5388552</v>
      </c>
      <c r="L43" s="20">
        <f>+I43+J43</f>
        <v>0</v>
      </c>
      <c r="M43" s="20">
        <f>L43-K43</f>
        <v>-5388552</v>
      </c>
      <c r="N43" s="19">
        <f>L43/K43</f>
        <v>0</v>
      </c>
    </row>
    <row r="44" spans="2:17" s="31" customFormat="1" ht="15" hidden="1" customHeight="1" outlineLevel="1" x14ac:dyDescent="0.25">
      <c r="B44" s="32" t="s">
        <v>138</v>
      </c>
      <c r="C44" s="21"/>
      <c r="D44" s="17"/>
      <c r="E44" s="17"/>
      <c r="F44" s="17"/>
      <c r="G44" s="17"/>
      <c r="H44" s="17"/>
      <c r="I44" s="21"/>
      <c r="J44" s="21">
        <f>55000000-55000000</f>
        <v>0</v>
      </c>
      <c r="K44" s="21">
        <v>55000000</v>
      </c>
      <c r="L44" s="20">
        <f>+I44+J44</f>
        <v>0</v>
      </c>
      <c r="M44" s="20">
        <f>L44-K44</f>
        <v>-55000000</v>
      </c>
      <c r="N44" s="19">
        <f>L44/K44</f>
        <v>0</v>
      </c>
    </row>
    <row r="45" spans="2:17" s="31" customFormat="1" ht="15" hidden="1" customHeight="1" outlineLevel="1" x14ac:dyDescent="0.25">
      <c r="B45" s="32" t="s">
        <v>137</v>
      </c>
      <c r="C45" s="21"/>
      <c r="D45" s="17"/>
      <c r="E45" s="17"/>
      <c r="F45" s="17"/>
      <c r="G45" s="17"/>
      <c r="H45" s="17"/>
      <c r="I45" s="21"/>
      <c r="J45" s="21">
        <f>27723896-11176671</f>
        <v>16547225</v>
      </c>
      <c r="K45" s="21">
        <v>27723896</v>
      </c>
      <c r="L45" s="20">
        <f>+I45+J45</f>
        <v>16547225</v>
      </c>
      <c r="M45" s="20">
        <f>L45-K45</f>
        <v>-11176671</v>
      </c>
      <c r="N45" s="19">
        <f>L45/K45</f>
        <v>0.5968578514361762</v>
      </c>
    </row>
    <row r="46" spans="2:17" s="31" customFormat="1" ht="15" hidden="1" customHeight="1" outlineLevel="1" x14ac:dyDescent="0.25">
      <c r="B46" s="32" t="s">
        <v>136</v>
      </c>
      <c r="C46" s="21"/>
      <c r="D46" s="17"/>
      <c r="E46" s="17"/>
      <c r="F46" s="17"/>
      <c r="G46" s="17"/>
      <c r="H46" s="17"/>
      <c r="I46" s="21"/>
      <c r="J46" s="21">
        <v>0</v>
      </c>
      <c r="K46" s="21">
        <v>0</v>
      </c>
      <c r="L46" s="20">
        <f>+I46+J46</f>
        <v>0</v>
      </c>
      <c r="M46" s="20">
        <f>L46-K46</f>
        <v>0</v>
      </c>
      <c r="N46" s="19">
        <v>0</v>
      </c>
    </row>
    <row r="47" spans="2:17" ht="15" collapsed="1" x14ac:dyDescent="0.25">
      <c r="B47" s="50" t="s">
        <v>135</v>
      </c>
      <c r="C47" s="49"/>
      <c r="D47" s="49"/>
      <c r="E47" s="49"/>
      <c r="F47" s="49"/>
      <c r="G47" s="49"/>
      <c r="H47" s="49"/>
      <c r="I47" s="49"/>
      <c r="J47" s="16">
        <f>+J38+J42</f>
        <v>111054354</v>
      </c>
      <c r="K47" s="16">
        <v>192733764</v>
      </c>
      <c r="L47" s="16">
        <f>+L38+L42</f>
        <v>111054354</v>
      </c>
      <c r="M47" s="16">
        <f>L47-K47</f>
        <v>-81679410</v>
      </c>
      <c r="N47" s="15">
        <f>L47/K47</f>
        <v>0.57620601442723862</v>
      </c>
    </row>
    <row r="48" spans="2:17" ht="15" x14ac:dyDescent="0.25">
      <c r="B48" s="50"/>
      <c r="C48" s="49"/>
      <c r="D48" s="49"/>
      <c r="E48" s="49"/>
      <c r="F48" s="49"/>
      <c r="G48" s="49"/>
      <c r="H48" s="49"/>
      <c r="I48" s="49"/>
      <c r="J48" s="16"/>
      <c r="K48" s="16"/>
      <c r="L48" s="16"/>
      <c r="M48" s="16"/>
      <c r="N48" s="15"/>
    </row>
    <row r="49" spans="1:17" ht="15" x14ac:dyDescent="0.25">
      <c r="B49" s="50" t="s">
        <v>134</v>
      </c>
      <c r="C49" s="49">
        <f>+C36+C19</f>
        <v>136565308.16776034</v>
      </c>
      <c r="D49" s="49">
        <f>+D36+D19</f>
        <v>206250159.92382511</v>
      </c>
      <c r="E49" s="49">
        <f>+E36+E19</f>
        <v>121142679.88599761</v>
      </c>
      <c r="F49" s="49">
        <f>+F36+F19</f>
        <v>15054723.532812215</v>
      </c>
      <c r="G49" s="49">
        <f>+G36+G19</f>
        <v>160802590.6293956</v>
      </c>
      <c r="H49" s="49">
        <f>+H36+H19</f>
        <v>509614031.21895504</v>
      </c>
      <c r="I49" s="49">
        <f>+C49+D49+E49+H49+F49+G49</f>
        <v>1149429493.3587461</v>
      </c>
      <c r="J49" s="16">
        <f>+J19+J36+J47</f>
        <v>493071654.5367375</v>
      </c>
      <c r="K49" s="16">
        <v>2057266403.7929831</v>
      </c>
      <c r="L49" s="16">
        <f>+L36+L19+L47+1</f>
        <v>1642501146.895483</v>
      </c>
      <c r="M49" s="16">
        <f>L49-K49</f>
        <v>-414765256.89750004</v>
      </c>
      <c r="N49" s="15">
        <f>L49/K49</f>
        <v>0.79839010828505386</v>
      </c>
    </row>
    <row r="50" spans="1:17" ht="15" x14ac:dyDescent="0.25">
      <c r="B50" s="50"/>
      <c r="C50" s="49"/>
      <c r="D50" s="49"/>
      <c r="E50" s="49"/>
      <c r="F50" s="49"/>
      <c r="G50" s="49"/>
      <c r="H50" s="49"/>
      <c r="I50" s="49"/>
      <c r="J50" s="16"/>
      <c r="K50" s="16"/>
      <c r="L50" s="16"/>
      <c r="M50" s="16"/>
      <c r="N50" s="15"/>
    </row>
    <row r="51" spans="1:17" ht="15" x14ac:dyDescent="0.25">
      <c r="B51" s="50" t="s">
        <v>133</v>
      </c>
      <c r="C51" s="49">
        <f>+C53</f>
        <v>157217974</v>
      </c>
      <c r="D51" s="49">
        <f>+D125</f>
        <v>645226767</v>
      </c>
      <c r="E51" s="49">
        <f>+E148</f>
        <v>421457324</v>
      </c>
      <c r="F51" s="49">
        <f>+F179</f>
        <v>19124024</v>
      </c>
      <c r="G51" s="49">
        <f>+G62</f>
        <v>1534748127</v>
      </c>
      <c r="H51" s="49">
        <f>+H108</f>
        <v>3243914860</v>
      </c>
      <c r="I51" s="49">
        <f>+C51+D51+E51+H51+F51+G51</f>
        <v>6021689076</v>
      </c>
      <c r="J51" s="16">
        <v>0</v>
      </c>
      <c r="K51" s="16">
        <v>7695863076</v>
      </c>
      <c r="L51" s="16">
        <f>+J51+I51</f>
        <v>6021689076</v>
      </c>
      <c r="M51" s="16">
        <f>L51-K51</f>
        <v>-1674174000</v>
      </c>
      <c r="N51" s="15">
        <f>L51/K51</f>
        <v>0.78245792791961055</v>
      </c>
      <c r="O51" s="26"/>
    </row>
    <row r="52" spans="1:17" ht="15" x14ac:dyDescent="0.25">
      <c r="B52" s="50"/>
      <c r="C52" s="49"/>
      <c r="D52" s="49"/>
      <c r="E52" s="49"/>
      <c r="F52" s="49"/>
      <c r="G52" s="49"/>
      <c r="H52" s="49"/>
      <c r="I52" s="49"/>
      <c r="J52" s="16"/>
      <c r="K52" s="16"/>
      <c r="L52" s="16"/>
      <c r="M52" s="16"/>
      <c r="N52" s="15"/>
    </row>
    <row r="53" spans="1:17" ht="15" x14ac:dyDescent="0.25">
      <c r="B53" s="48" t="s">
        <v>132</v>
      </c>
      <c r="C53" s="47">
        <f>+C54+C130+C57+C38+C42</f>
        <v>157217974</v>
      </c>
      <c r="D53" s="47"/>
      <c r="E53" s="47"/>
      <c r="F53" s="47"/>
      <c r="G53" s="47"/>
      <c r="H53" s="47"/>
      <c r="I53" s="47">
        <f>+I54+I57</f>
        <v>157217974</v>
      </c>
      <c r="J53" s="47"/>
      <c r="K53" s="47">
        <v>221223653</v>
      </c>
      <c r="L53" s="47">
        <f>+L54+L57</f>
        <v>157217974</v>
      </c>
      <c r="M53" s="16">
        <f>L53-K53</f>
        <v>-64005679</v>
      </c>
      <c r="N53" s="15">
        <f>L53/K53</f>
        <v>0.71067434186162726</v>
      </c>
    </row>
    <row r="54" spans="1:17" s="31" customFormat="1" ht="15" x14ac:dyDescent="0.25">
      <c r="B54" s="27" t="s">
        <v>131</v>
      </c>
      <c r="C54" s="17">
        <f>SUM(C55:C56)</f>
        <v>54642856</v>
      </c>
      <c r="D54" s="17"/>
      <c r="E54" s="17"/>
      <c r="F54" s="17"/>
      <c r="G54" s="17"/>
      <c r="H54" s="17"/>
      <c r="I54" s="17">
        <f>SUM(I55:I56)</f>
        <v>54642856</v>
      </c>
      <c r="J54" s="17"/>
      <c r="K54" s="17">
        <v>102974639</v>
      </c>
      <c r="L54" s="17">
        <f>SUM(L55:L56)</f>
        <v>54642856</v>
      </c>
      <c r="M54" s="16">
        <f>L54-K54</f>
        <v>-48331783</v>
      </c>
      <c r="N54" s="15">
        <f>L54/K54</f>
        <v>0.53064382192201709</v>
      </c>
    </row>
    <row r="55" spans="1:17" s="31" customFormat="1" ht="15" hidden="1" outlineLevel="1" x14ac:dyDescent="0.25">
      <c r="B55" s="32" t="s">
        <v>130</v>
      </c>
      <c r="C55" s="21">
        <f>82311639-41418783</f>
        <v>40892856</v>
      </c>
      <c r="D55" s="17"/>
      <c r="E55" s="17"/>
      <c r="F55" s="17"/>
      <c r="G55" s="17"/>
      <c r="H55" s="17"/>
      <c r="I55" s="20">
        <f>+C55+D55+E55+H55+F55+G55</f>
        <v>40892856</v>
      </c>
      <c r="J55" s="20"/>
      <c r="K55" s="20">
        <v>82311639</v>
      </c>
      <c r="L55" s="20">
        <f>+I55+J55</f>
        <v>40892856</v>
      </c>
      <c r="M55" s="20">
        <f>L55-K55</f>
        <v>-41418783</v>
      </c>
      <c r="N55" s="19">
        <f>L55/K55</f>
        <v>0.49680526954395843</v>
      </c>
    </row>
    <row r="56" spans="1:17" s="31" customFormat="1" ht="15" hidden="1" outlineLevel="1" x14ac:dyDescent="0.25">
      <c r="B56" s="32" t="s">
        <v>129</v>
      </c>
      <c r="C56" s="21">
        <f>20663000-6913000</f>
        <v>13750000</v>
      </c>
      <c r="D56" s="17"/>
      <c r="E56" s="17"/>
      <c r="F56" s="17"/>
      <c r="G56" s="17"/>
      <c r="H56" s="17"/>
      <c r="I56" s="20">
        <f>+C56+D56+E56+H56+F56+G56</f>
        <v>13750000</v>
      </c>
      <c r="J56" s="20"/>
      <c r="K56" s="20">
        <v>20663000</v>
      </c>
      <c r="L56" s="20">
        <f>+I56+J56</f>
        <v>13750000</v>
      </c>
      <c r="M56" s="20">
        <f>L56-K56</f>
        <v>-6913000</v>
      </c>
      <c r="N56" s="19">
        <f>L56/K56</f>
        <v>0.66544064269467162</v>
      </c>
    </row>
    <row r="57" spans="1:17" s="31" customFormat="1" ht="15" collapsed="1" x14ac:dyDescent="0.25">
      <c r="B57" s="33" t="s">
        <v>128</v>
      </c>
      <c r="C57" s="16">
        <f>SUM(C58:C60)</f>
        <v>102575118</v>
      </c>
      <c r="D57" s="17"/>
      <c r="E57" s="17"/>
      <c r="F57" s="17"/>
      <c r="G57" s="17"/>
      <c r="H57" s="17"/>
      <c r="I57" s="16">
        <f>SUM(I58:I60)</f>
        <v>102575118</v>
      </c>
      <c r="J57" s="17"/>
      <c r="K57" s="17">
        <v>118249014</v>
      </c>
      <c r="L57" s="16">
        <f>SUM(L58:L60)</f>
        <v>102575118</v>
      </c>
      <c r="M57" s="16">
        <f>L57-K57</f>
        <v>-15673896</v>
      </c>
      <c r="N57" s="15">
        <f>L57/K57</f>
        <v>0.8674500913808888</v>
      </c>
    </row>
    <row r="58" spans="1:17" s="31" customFormat="1" ht="15" hidden="1" outlineLevel="1" x14ac:dyDescent="0.25">
      <c r="B58" s="32" t="s">
        <v>127</v>
      </c>
      <c r="C58" s="21">
        <f>39934247-960617</f>
        <v>38973630</v>
      </c>
      <c r="D58" s="17"/>
      <c r="E58" s="17"/>
      <c r="F58" s="17"/>
      <c r="G58" s="17"/>
      <c r="H58" s="17"/>
      <c r="I58" s="20">
        <f>+C58+D58+E58+H58+F58+G58</f>
        <v>38973630</v>
      </c>
      <c r="J58" s="20"/>
      <c r="K58" s="20">
        <v>39934247</v>
      </c>
      <c r="L58" s="20">
        <f>+I58+J58</f>
        <v>38973630</v>
      </c>
      <c r="M58" s="20">
        <f>L58-K58</f>
        <v>-960617</v>
      </c>
      <c r="N58" s="19">
        <f>L58/K58</f>
        <v>0.97594503284361411</v>
      </c>
    </row>
    <row r="59" spans="1:17" s="31" customFormat="1" ht="15" hidden="1" outlineLevel="1" x14ac:dyDescent="0.25">
      <c r="B59" s="32" t="s">
        <v>126</v>
      </c>
      <c r="C59" s="21">
        <f>19511187-6580829</f>
        <v>12930358</v>
      </c>
      <c r="D59" s="17"/>
      <c r="E59" s="17"/>
      <c r="F59" s="17"/>
      <c r="G59" s="17"/>
      <c r="H59" s="17"/>
      <c r="I59" s="20">
        <f>+C59+D59+E59+H59+F59+G59</f>
        <v>12930358</v>
      </c>
      <c r="J59" s="20"/>
      <c r="K59" s="20">
        <v>19511187</v>
      </c>
      <c r="L59" s="20">
        <f>+I59+J59</f>
        <v>12930358</v>
      </c>
      <c r="M59" s="20">
        <f>L59-K59</f>
        <v>-6580829</v>
      </c>
      <c r="N59" s="19">
        <f>L59/K59</f>
        <v>0.6627150875033897</v>
      </c>
    </row>
    <row r="60" spans="1:17" s="31" customFormat="1" ht="15" hidden="1" outlineLevel="1" x14ac:dyDescent="0.25">
      <c r="B60" s="32" t="s">
        <v>125</v>
      </c>
      <c r="C60" s="21">
        <f>58803580-8132450</f>
        <v>50671130</v>
      </c>
      <c r="D60" s="17"/>
      <c r="E60" s="17"/>
      <c r="F60" s="17"/>
      <c r="G60" s="17"/>
      <c r="H60" s="17"/>
      <c r="I60" s="20">
        <f>+C60+D60+E60+H60+F60+G60</f>
        <v>50671130</v>
      </c>
      <c r="J60" s="20"/>
      <c r="K60" s="20">
        <v>58803580</v>
      </c>
      <c r="L60" s="20">
        <f>+I60+J60</f>
        <v>50671130</v>
      </c>
      <c r="M60" s="20">
        <f>L60-K60</f>
        <v>-8132450</v>
      </c>
      <c r="N60" s="19">
        <f>L60/K60</f>
        <v>0.861701447428881</v>
      </c>
    </row>
    <row r="61" spans="1:17" s="31" customFormat="1" ht="15" collapsed="1" x14ac:dyDescent="0.25">
      <c r="B61" s="32"/>
      <c r="C61" s="21"/>
      <c r="D61" s="17"/>
      <c r="E61" s="17"/>
      <c r="F61" s="17"/>
      <c r="G61" s="17"/>
      <c r="H61" s="17"/>
      <c r="I61" s="21"/>
      <c r="J61" s="17"/>
      <c r="K61" s="17"/>
      <c r="L61" s="20"/>
      <c r="M61" s="16"/>
      <c r="N61" s="15"/>
    </row>
    <row r="62" spans="1:17" s="31" customFormat="1" ht="15" x14ac:dyDescent="0.25">
      <c r="B62" s="33" t="s">
        <v>124</v>
      </c>
      <c r="C62" s="21"/>
      <c r="D62" s="17"/>
      <c r="E62" s="17"/>
      <c r="F62" s="17"/>
      <c r="G62" s="17">
        <f>+G63+G71+G81+G90+G99+G103</f>
        <v>1534748127</v>
      </c>
      <c r="H62" s="17"/>
      <c r="I62" s="17">
        <f>+I63+I71+I81+I90+I99+I103</f>
        <v>1534748127</v>
      </c>
      <c r="J62" s="17"/>
      <c r="K62" s="17">
        <v>2161633024</v>
      </c>
      <c r="L62" s="17">
        <f>+L63+L71+L81+L90+L99+L103</f>
        <v>1534748127</v>
      </c>
      <c r="M62" s="16">
        <f>L62-K62</f>
        <v>-626884897</v>
      </c>
      <c r="N62" s="15">
        <f>L62/K62</f>
        <v>0.70999476319991672</v>
      </c>
      <c r="Q62" s="46"/>
    </row>
    <row r="63" spans="1:17" s="31" customFormat="1" ht="15" x14ac:dyDescent="0.25">
      <c r="B63" s="33" t="s">
        <v>123</v>
      </c>
      <c r="C63" s="21"/>
      <c r="D63" s="17"/>
      <c r="E63" s="17"/>
      <c r="F63" s="17"/>
      <c r="G63" s="17">
        <f>SUM(G64:G70)</f>
        <v>2122458</v>
      </c>
      <c r="H63" s="17"/>
      <c r="I63" s="17">
        <f>SUM(I64:I70)</f>
        <v>2122458</v>
      </c>
      <c r="J63" s="17"/>
      <c r="K63" s="17">
        <v>148132594</v>
      </c>
      <c r="L63" s="17">
        <f>SUM(L64:L70)</f>
        <v>2122458</v>
      </c>
      <c r="M63" s="16">
        <f>L63-K63</f>
        <v>-146010136</v>
      </c>
      <c r="N63" s="15">
        <f>L63/K63</f>
        <v>1.4328095813943554E-2</v>
      </c>
    </row>
    <row r="64" spans="1:17" s="31" customFormat="1" ht="15" hidden="1" outlineLevel="1" x14ac:dyDescent="0.25">
      <c r="A64" s="31">
        <v>53020101</v>
      </c>
      <c r="B64" s="32" t="s">
        <v>122</v>
      </c>
      <c r="C64" s="21"/>
      <c r="D64" s="17"/>
      <c r="E64" s="17"/>
      <c r="F64" s="17"/>
      <c r="G64" s="20"/>
      <c r="H64" s="17"/>
      <c r="I64" s="20">
        <f>+C64+D64+E64+H64+F64+G64</f>
        <v>0</v>
      </c>
      <c r="J64" s="20"/>
      <c r="K64" s="20">
        <v>0</v>
      </c>
      <c r="L64" s="20">
        <f>+I64+J64</f>
        <v>0</v>
      </c>
      <c r="M64" s="20">
        <f>L64-K64</f>
        <v>0</v>
      </c>
      <c r="N64" s="19">
        <v>0</v>
      </c>
    </row>
    <row r="65" spans="1:14" s="31" customFormat="1" ht="15" hidden="1" outlineLevel="1" x14ac:dyDescent="0.25">
      <c r="A65" s="31">
        <v>53020102</v>
      </c>
      <c r="B65" s="32" t="s">
        <v>121</v>
      </c>
      <c r="C65" s="21"/>
      <c r="D65" s="17"/>
      <c r="E65" s="17"/>
      <c r="F65" s="17"/>
      <c r="G65" s="20"/>
      <c r="H65" s="17"/>
      <c r="I65" s="20">
        <f>+C65+D65+E65+H65+F65+G65</f>
        <v>0</v>
      </c>
      <c r="J65" s="20"/>
      <c r="K65" s="20">
        <v>0</v>
      </c>
      <c r="L65" s="20">
        <f>+I65+J65</f>
        <v>0</v>
      </c>
      <c r="M65" s="20">
        <f>L65-K65</f>
        <v>0</v>
      </c>
      <c r="N65" s="19">
        <v>0</v>
      </c>
    </row>
    <row r="66" spans="1:14" s="31" customFormat="1" ht="15" hidden="1" outlineLevel="1" x14ac:dyDescent="0.25">
      <c r="A66" s="31">
        <v>53020104</v>
      </c>
      <c r="B66" s="32" t="s">
        <v>120</v>
      </c>
      <c r="C66" s="21"/>
      <c r="D66" s="17"/>
      <c r="E66" s="17"/>
      <c r="F66" s="17"/>
      <c r="G66" s="20">
        <f>7520530-5398072</f>
        <v>2122458</v>
      </c>
      <c r="H66" s="17"/>
      <c r="I66" s="20">
        <f>+C66+D66+E66+H66+F66+G66</f>
        <v>2122458</v>
      </c>
      <c r="J66" s="20"/>
      <c r="K66" s="20">
        <v>7520530</v>
      </c>
      <c r="L66" s="20">
        <f>+I66+J66</f>
        <v>2122458</v>
      </c>
      <c r="M66" s="20">
        <f>L66-K66</f>
        <v>-5398072</v>
      </c>
      <c r="N66" s="19">
        <f>L66/K66</f>
        <v>0.28222186468240934</v>
      </c>
    </row>
    <row r="67" spans="1:14" s="31" customFormat="1" ht="15" hidden="1" outlineLevel="1" x14ac:dyDescent="0.25">
      <c r="A67" s="31">
        <v>53020105</v>
      </c>
      <c r="B67" s="32" t="s">
        <v>119</v>
      </c>
      <c r="C67" s="21"/>
      <c r="D67" s="17"/>
      <c r="E67" s="17"/>
      <c r="F67" s="17"/>
      <c r="G67" s="20">
        <f>111326934-111326934</f>
        <v>0</v>
      </c>
      <c r="H67" s="17"/>
      <c r="I67" s="20">
        <f>+C67+D67+E67+H67+F67+G67</f>
        <v>0</v>
      </c>
      <c r="J67" s="20"/>
      <c r="K67" s="20">
        <v>111326934</v>
      </c>
      <c r="L67" s="20">
        <f>+I67+J67</f>
        <v>0</v>
      </c>
      <c r="M67" s="20">
        <f>L67-K67</f>
        <v>-111326934</v>
      </c>
      <c r="N67" s="19">
        <f>L67/K67</f>
        <v>0</v>
      </c>
    </row>
    <row r="68" spans="1:14" s="31" customFormat="1" ht="15" hidden="1" outlineLevel="1" x14ac:dyDescent="0.25">
      <c r="A68" s="31">
        <v>53020106</v>
      </c>
      <c r="B68" s="32" t="s">
        <v>118</v>
      </c>
      <c r="C68" s="21"/>
      <c r="D68" s="17"/>
      <c r="E68" s="17"/>
      <c r="F68" s="17"/>
      <c r="G68" s="20"/>
      <c r="H68" s="17"/>
      <c r="I68" s="20">
        <f>+C68+D68+E68+H68+F68+G68</f>
        <v>0</v>
      </c>
      <c r="J68" s="20"/>
      <c r="K68" s="20">
        <v>0</v>
      </c>
      <c r="L68" s="20">
        <f>+I68+J68</f>
        <v>0</v>
      </c>
      <c r="M68" s="20">
        <f>L68-K68</f>
        <v>0</v>
      </c>
      <c r="N68" s="19">
        <v>0</v>
      </c>
    </row>
    <row r="69" spans="1:14" s="31" customFormat="1" ht="15" hidden="1" outlineLevel="1" x14ac:dyDescent="0.25">
      <c r="A69" s="31">
        <v>53020107</v>
      </c>
      <c r="B69" s="32" t="s">
        <v>117</v>
      </c>
      <c r="C69" s="21"/>
      <c r="D69" s="17"/>
      <c r="E69" s="17"/>
      <c r="F69" s="17"/>
      <c r="G69" s="20"/>
      <c r="H69" s="17"/>
      <c r="I69" s="20">
        <f>+C69+D69+E69+H69+F69+G69</f>
        <v>0</v>
      </c>
      <c r="J69" s="20"/>
      <c r="K69" s="20">
        <v>0</v>
      </c>
      <c r="L69" s="20">
        <f>+I69+J69</f>
        <v>0</v>
      </c>
      <c r="M69" s="20">
        <f>L69-K69</f>
        <v>0</v>
      </c>
      <c r="N69" s="19">
        <v>0</v>
      </c>
    </row>
    <row r="70" spans="1:14" s="31" customFormat="1" ht="15" hidden="1" outlineLevel="1" x14ac:dyDescent="0.25">
      <c r="A70" s="31">
        <v>53020103</v>
      </c>
      <c r="B70" s="32" t="s">
        <v>116</v>
      </c>
      <c r="C70" s="21"/>
      <c r="D70" s="17"/>
      <c r="E70" s="17"/>
      <c r="F70" s="17"/>
      <c r="G70" s="20">
        <f>29285130-29285130</f>
        <v>0</v>
      </c>
      <c r="H70" s="17"/>
      <c r="I70" s="20">
        <f>+C70+D70+E70+H70+F70+G70</f>
        <v>0</v>
      </c>
      <c r="J70" s="20"/>
      <c r="K70" s="20">
        <v>29285130</v>
      </c>
      <c r="L70" s="20">
        <f>+I70+J70</f>
        <v>0</v>
      </c>
      <c r="M70" s="20">
        <f>L70-K70</f>
        <v>-29285130</v>
      </c>
      <c r="N70" s="19">
        <f>L70/K70</f>
        <v>0</v>
      </c>
    </row>
    <row r="71" spans="1:14" s="31" customFormat="1" ht="15" collapsed="1" x14ac:dyDescent="0.25">
      <c r="B71" s="33" t="s">
        <v>115</v>
      </c>
      <c r="C71" s="21"/>
      <c r="D71" s="17"/>
      <c r="E71" s="17"/>
      <c r="F71" s="17"/>
      <c r="G71" s="17">
        <f>SUM(G72:G80)</f>
        <v>804883798</v>
      </c>
      <c r="H71" s="17"/>
      <c r="I71" s="17">
        <f>SUM(I72:I80)</f>
        <v>804883798</v>
      </c>
      <c r="J71" s="17"/>
      <c r="K71" s="17">
        <v>881958932</v>
      </c>
      <c r="L71" s="17">
        <f>SUM(L72:L80)</f>
        <v>804883798</v>
      </c>
      <c r="M71" s="16">
        <f>L71-K71</f>
        <v>-77075134</v>
      </c>
      <c r="N71" s="15">
        <f>L71/K71</f>
        <v>0.91260915763365724</v>
      </c>
    </row>
    <row r="72" spans="1:14" s="31" customFormat="1" ht="15" hidden="1" outlineLevel="1" x14ac:dyDescent="0.25">
      <c r="A72" s="31">
        <v>53020301</v>
      </c>
      <c r="B72" s="32" t="s">
        <v>114</v>
      </c>
      <c r="C72" s="21"/>
      <c r="D72" s="17"/>
      <c r="E72" s="17"/>
      <c r="F72" s="17"/>
      <c r="G72" s="20">
        <f>749750000-19264611</f>
        <v>730485389</v>
      </c>
      <c r="H72" s="17"/>
      <c r="I72" s="20">
        <f>+C72+D72+E72+H72+F72+G72</f>
        <v>730485389</v>
      </c>
      <c r="J72" s="20"/>
      <c r="K72" s="20">
        <v>749750000</v>
      </c>
      <c r="L72" s="20">
        <f>+I72+J72</f>
        <v>730485389</v>
      </c>
      <c r="M72" s="20">
        <f>L72-K72</f>
        <v>-19264611</v>
      </c>
      <c r="N72" s="19">
        <f>L72/K72</f>
        <v>0.97430528709569852</v>
      </c>
    </row>
    <row r="73" spans="1:14" s="31" customFormat="1" ht="15" hidden="1" outlineLevel="1" x14ac:dyDescent="0.25">
      <c r="A73" s="31">
        <v>53020303</v>
      </c>
      <c r="B73" s="32" t="s">
        <v>113</v>
      </c>
      <c r="C73" s="21"/>
      <c r="D73" s="17"/>
      <c r="E73" s="17"/>
      <c r="F73" s="17"/>
      <c r="G73" s="20">
        <f>16892938-3393691</f>
        <v>13499247</v>
      </c>
      <c r="H73" s="17"/>
      <c r="I73" s="20">
        <f>+C73+D73+E73+H73+F73+G73</f>
        <v>13499247</v>
      </c>
      <c r="J73" s="20"/>
      <c r="K73" s="20">
        <v>16892938</v>
      </c>
      <c r="L73" s="20">
        <f>+I73+J73</f>
        <v>13499247</v>
      </c>
      <c r="M73" s="20">
        <f>L73-K73</f>
        <v>-3393691</v>
      </c>
      <c r="N73" s="19">
        <f>L73/K73</f>
        <v>0.79910593408914421</v>
      </c>
    </row>
    <row r="74" spans="1:14" s="31" customFormat="1" ht="15" hidden="1" outlineLevel="1" x14ac:dyDescent="0.25">
      <c r="A74" s="31">
        <v>53020302</v>
      </c>
      <c r="B74" s="32" t="s">
        <v>112</v>
      </c>
      <c r="C74" s="21"/>
      <c r="D74" s="17"/>
      <c r="E74" s="17"/>
      <c r="F74" s="17"/>
      <c r="G74" s="20">
        <f>14073994-14073994</f>
        <v>0</v>
      </c>
      <c r="H74" s="17"/>
      <c r="I74" s="20">
        <f>+C74+D74+E74+H74+F74+G74</f>
        <v>0</v>
      </c>
      <c r="J74" s="20"/>
      <c r="K74" s="20">
        <v>14073994</v>
      </c>
      <c r="L74" s="20">
        <f>+I74+J74</f>
        <v>0</v>
      </c>
      <c r="M74" s="20">
        <f>L74-K74</f>
        <v>-14073994</v>
      </c>
      <c r="N74" s="19">
        <f>L74/K74</f>
        <v>0</v>
      </c>
    </row>
    <row r="75" spans="1:14" s="31" customFormat="1" ht="15" hidden="1" outlineLevel="1" x14ac:dyDescent="0.25">
      <c r="A75" s="31">
        <v>53020304</v>
      </c>
      <c r="B75" s="32" t="s">
        <v>111</v>
      </c>
      <c r="C75" s="21"/>
      <c r="D75" s="17"/>
      <c r="E75" s="17"/>
      <c r="F75" s="17"/>
      <c r="G75" s="20"/>
      <c r="H75" s="17"/>
      <c r="I75" s="20">
        <f>+C75+D75+E75+H75+F75+G75</f>
        <v>0</v>
      </c>
      <c r="J75" s="20"/>
      <c r="K75" s="20">
        <v>0</v>
      </c>
      <c r="L75" s="20">
        <f>+I75+J75</f>
        <v>0</v>
      </c>
      <c r="M75" s="20">
        <f>L75-K75</f>
        <v>0</v>
      </c>
      <c r="N75" s="19">
        <v>0</v>
      </c>
    </row>
    <row r="76" spans="1:14" s="31" customFormat="1" ht="15" hidden="1" outlineLevel="1" x14ac:dyDescent="0.25">
      <c r="A76" s="31">
        <v>53020305</v>
      </c>
      <c r="B76" s="32" t="s">
        <v>110</v>
      </c>
      <c r="C76" s="21"/>
      <c r="D76" s="17"/>
      <c r="E76" s="17"/>
      <c r="F76" s="17"/>
      <c r="G76" s="20">
        <f>61242000-342838</f>
        <v>60899162</v>
      </c>
      <c r="H76" s="17"/>
      <c r="I76" s="20">
        <f>+C76+D76+E76+H76+F76+G76</f>
        <v>60899162</v>
      </c>
      <c r="J76" s="20"/>
      <c r="K76" s="20">
        <v>61242000</v>
      </c>
      <c r="L76" s="20">
        <f>+I76+J76</f>
        <v>60899162</v>
      </c>
      <c r="M76" s="20">
        <f>L76-K76</f>
        <v>-342838</v>
      </c>
      <c r="N76" s="19">
        <f>L76/K76</f>
        <v>0.99440191371934294</v>
      </c>
    </row>
    <row r="77" spans="1:14" s="31" customFormat="1" ht="15" hidden="1" outlineLevel="1" x14ac:dyDescent="0.25">
      <c r="A77" s="31">
        <v>53020306</v>
      </c>
      <c r="B77" s="32" t="s">
        <v>109</v>
      </c>
      <c r="C77" s="21"/>
      <c r="D77" s="17"/>
      <c r="E77" s="17"/>
      <c r="F77" s="17"/>
      <c r="G77" s="20"/>
      <c r="H77" s="17"/>
      <c r="I77" s="20">
        <f>+C77+D77+E77+H77+F77+G77</f>
        <v>0</v>
      </c>
      <c r="J77" s="20"/>
      <c r="K77" s="20">
        <v>0</v>
      </c>
      <c r="L77" s="20">
        <f>+I77+J77</f>
        <v>0</v>
      </c>
      <c r="M77" s="20">
        <f>L77-K77</f>
        <v>0</v>
      </c>
      <c r="N77" s="19">
        <v>0</v>
      </c>
    </row>
    <row r="78" spans="1:14" s="31" customFormat="1" ht="15" hidden="1" outlineLevel="1" x14ac:dyDescent="0.25">
      <c r="A78" s="31">
        <v>53020308</v>
      </c>
      <c r="B78" s="32" t="s">
        <v>108</v>
      </c>
      <c r="C78" s="21"/>
      <c r="D78" s="17"/>
      <c r="E78" s="17"/>
      <c r="F78" s="17"/>
      <c r="G78" s="20">
        <f>40000000-40000000</f>
        <v>0</v>
      </c>
      <c r="H78" s="17"/>
      <c r="I78" s="20">
        <f>+C78+D78+E78+H78+F78+G78</f>
        <v>0</v>
      </c>
      <c r="J78" s="20"/>
      <c r="K78" s="20">
        <v>40000000</v>
      </c>
      <c r="L78" s="20">
        <f>+I78+J78</f>
        <v>0</v>
      </c>
      <c r="M78" s="20">
        <f>L78-K78</f>
        <v>-40000000</v>
      </c>
      <c r="N78" s="19">
        <f>L78/K78</f>
        <v>0</v>
      </c>
    </row>
    <row r="79" spans="1:14" s="31" customFormat="1" ht="15" hidden="1" outlineLevel="1" x14ac:dyDescent="0.25">
      <c r="A79" s="31">
        <v>53020309</v>
      </c>
      <c r="B79" s="32" t="s">
        <v>107</v>
      </c>
      <c r="C79" s="21"/>
      <c r="D79" s="17"/>
      <c r="E79" s="17"/>
      <c r="F79" s="17"/>
      <c r="G79" s="20"/>
      <c r="H79" s="17"/>
      <c r="I79" s="20">
        <f>+C79+D79+E79+H79+F79+G79</f>
        <v>0</v>
      </c>
      <c r="J79" s="20"/>
      <c r="K79" s="20">
        <v>0</v>
      </c>
      <c r="L79" s="20">
        <f>+I79+J79</f>
        <v>0</v>
      </c>
      <c r="M79" s="20">
        <f>L79-K79</f>
        <v>0</v>
      </c>
      <c r="N79" s="19">
        <v>0</v>
      </c>
    </row>
    <row r="80" spans="1:14" s="31" customFormat="1" ht="15" hidden="1" outlineLevel="1" x14ac:dyDescent="0.25">
      <c r="A80" s="31">
        <v>53020307</v>
      </c>
      <c r="B80" s="32" t="s">
        <v>106</v>
      </c>
      <c r="C80" s="21"/>
      <c r="D80" s="17"/>
      <c r="E80" s="17"/>
      <c r="F80" s="17"/>
      <c r="G80" s="20">
        <v>0</v>
      </c>
      <c r="H80" s="17"/>
      <c r="I80" s="20">
        <f>+C80+D80+E80+H80+F80+G80</f>
        <v>0</v>
      </c>
      <c r="J80" s="20"/>
      <c r="K80" s="20">
        <v>0</v>
      </c>
      <c r="L80" s="20">
        <f>+I80+J80</f>
        <v>0</v>
      </c>
      <c r="M80" s="20">
        <f>L80-K80</f>
        <v>0</v>
      </c>
      <c r="N80" s="19">
        <v>0</v>
      </c>
    </row>
    <row r="81" spans="1:14" s="31" customFormat="1" ht="15" collapsed="1" x14ac:dyDescent="0.25">
      <c r="B81" s="33" t="s">
        <v>105</v>
      </c>
      <c r="C81" s="21"/>
      <c r="D81" s="17"/>
      <c r="E81" s="17"/>
      <c r="F81" s="17"/>
      <c r="G81" s="17">
        <f>SUM(G82:G89)</f>
        <v>509856227</v>
      </c>
      <c r="H81" s="17"/>
      <c r="I81" s="17">
        <f>SUM(I82:I89)</f>
        <v>509856227</v>
      </c>
      <c r="J81" s="17"/>
      <c r="K81" s="17">
        <v>825096092</v>
      </c>
      <c r="L81" s="17">
        <f>SUM(L82:L89)</f>
        <v>509856227</v>
      </c>
      <c r="M81" s="16">
        <f>L81-K81</f>
        <v>-315239865</v>
      </c>
      <c r="N81" s="15">
        <f>L81/K81</f>
        <v>0.61793557373921004</v>
      </c>
    </row>
    <row r="82" spans="1:14" s="31" customFormat="1" ht="15" hidden="1" outlineLevel="1" x14ac:dyDescent="0.25">
      <c r="A82" s="31">
        <v>53020201</v>
      </c>
      <c r="B82" s="32" t="s">
        <v>104</v>
      </c>
      <c r="C82" s="21"/>
      <c r="D82" s="17"/>
      <c r="E82" s="17"/>
      <c r="F82" s="17"/>
      <c r="G82" s="20">
        <f>15000000-8771536</f>
        <v>6228464</v>
      </c>
      <c r="H82" s="17"/>
      <c r="I82" s="20">
        <f>+C82+D82+E82+H82+F82+G82</f>
        <v>6228464</v>
      </c>
      <c r="J82" s="20"/>
      <c r="K82" s="20">
        <v>15000000</v>
      </c>
      <c r="L82" s="20">
        <f>+I82+J82</f>
        <v>6228464</v>
      </c>
      <c r="M82" s="20">
        <f>L82-K82</f>
        <v>-8771536</v>
      </c>
      <c r="N82" s="19">
        <f>L82/K82</f>
        <v>0.41523093333333333</v>
      </c>
    </row>
    <row r="83" spans="1:14" s="31" customFormat="1" ht="15" hidden="1" outlineLevel="1" x14ac:dyDescent="0.25">
      <c r="A83" s="31">
        <v>53020202</v>
      </c>
      <c r="B83" s="32" t="s">
        <v>103</v>
      </c>
      <c r="C83" s="21"/>
      <c r="D83" s="17"/>
      <c r="E83" s="17"/>
      <c r="F83" s="17"/>
      <c r="G83" s="20">
        <v>8716044</v>
      </c>
      <c r="H83" s="17"/>
      <c r="I83" s="20">
        <f>+C83+D83+E83+H83+F83+G83</f>
        <v>8716044</v>
      </c>
      <c r="J83" s="20"/>
      <c r="K83" s="20">
        <v>8716044</v>
      </c>
      <c r="L83" s="20">
        <f>+I83+J83</f>
        <v>8716044</v>
      </c>
      <c r="M83" s="20">
        <f>L83-K83</f>
        <v>0</v>
      </c>
      <c r="N83" s="19">
        <f>L83/K83</f>
        <v>1</v>
      </c>
    </row>
    <row r="84" spans="1:14" s="31" customFormat="1" ht="15" hidden="1" outlineLevel="1" x14ac:dyDescent="0.25">
      <c r="A84" s="31">
        <v>53020205</v>
      </c>
      <c r="B84" s="32" t="s">
        <v>102</v>
      </c>
      <c r="C84" s="21"/>
      <c r="D84" s="17"/>
      <c r="E84" s="17"/>
      <c r="F84" s="17"/>
      <c r="G84" s="20">
        <f>45686571-103924</f>
        <v>45582647</v>
      </c>
      <c r="H84" s="17"/>
      <c r="I84" s="20">
        <f>+C84+D84+E84+H84+F84+G84</f>
        <v>45582647</v>
      </c>
      <c r="J84" s="20"/>
      <c r="K84" s="20">
        <v>45686571</v>
      </c>
      <c r="L84" s="20">
        <f>+I84+J84</f>
        <v>45582647</v>
      </c>
      <c r="M84" s="20">
        <f>L84-K84</f>
        <v>-103924</v>
      </c>
      <c r="N84" s="19">
        <f>L84/K84</f>
        <v>0.99772528343175504</v>
      </c>
    </row>
    <row r="85" spans="1:14" s="31" customFormat="1" ht="15" hidden="1" outlineLevel="1" x14ac:dyDescent="0.25">
      <c r="A85" s="31">
        <v>53020207</v>
      </c>
      <c r="B85" s="32" t="s">
        <v>101</v>
      </c>
      <c r="C85" s="21"/>
      <c r="D85" s="17"/>
      <c r="E85" s="17"/>
      <c r="F85" s="17"/>
      <c r="G85" s="20">
        <v>45000000</v>
      </c>
      <c r="H85" s="17"/>
      <c r="I85" s="20">
        <f>+C85+D85+E85+H85+F85+G85</f>
        <v>45000000</v>
      </c>
      <c r="J85" s="20"/>
      <c r="K85" s="20">
        <v>45000000</v>
      </c>
      <c r="L85" s="20">
        <f>+I85+J85</f>
        <v>45000000</v>
      </c>
      <c r="M85" s="20">
        <f>L85-K85</f>
        <v>0</v>
      </c>
      <c r="N85" s="19">
        <f>L85/K85</f>
        <v>1</v>
      </c>
    </row>
    <row r="86" spans="1:14" s="31" customFormat="1" ht="15" hidden="1" outlineLevel="1" x14ac:dyDescent="0.25">
      <c r="A86" s="31">
        <v>53020204</v>
      </c>
      <c r="B86" s="32" t="s">
        <v>100</v>
      </c>
      <c r="C86" s="21"/>
      <c r="D86" s="17"/>
      <c r="E86" s="17"/>
      <c r="F86" s="17"/>
      <c r="G86" s="20">
        <f>555693477-288320895</f>
        <v>267372582</v>
      </c>
      <c r="H86" s="17"/>
      <c r="I86" s="20">
        <f>+C86+D86+E86+H86+F86+G86</f>
        <v>267372582</v>
      </c>
      <c r="J86" s="20"/>
      <c r="K86" s="20">
        <v>555693477</v>
      </c>
      <c r="L86" s="20">
        <f>+I86+J86</f>
        <v>267372582</v>
      </c>
      <c r="M86" s="20">
        <f>L86-K86</f>
        <v>-288320895</v>
      </c>
      <c r="N86" s="19">
        <f>L86/K86</f>
        <v>0.48115119767727632</v>
      </c>
    </row>
    <row r="87" spans="1:14" s="31" customFormat="1" ht="29.25" hidden="1" outlineLevel="1" x14ac:dyDescent="0.25">
      <c r="A87" s="31">
        <v>53020209</v>
      </c>
      <c r="B87" s="34" t="s">
        <v>99</v>
      </c>
      <c r="C87" s="21"/>
      <c r="D87" s="17"/>
      <c r="E87" s="17"/>
      <c r="F87" s="17"/>
      <c r="G87" s="20">
        <f>5000000-1505586</f>
        <v>3494414</v>
      </c>
      <c r="H87" s="17"/>
      <c r="I87" s="20">
        <f>+C87+D87+E87+H87+F87+G87</f>
        <v>3494414</v>
      </c>
      <c r="J87" s="20"/>
      <c r="K87" s="20">
        <v>5000000</v>
      </c>
      <c r="L87" s="20">
        <f>+I87+J87</f>
        <v>3494414</v>
      </c>
      <c r="M87" s="20">
        <f>L87-K87</f>
        <v>-1505586</v>
      </c>
      <c r="N87" s="19">
        <f>L87/K87</f>
        <v>0.69888280000000003</v>
      </c>
    </row>
    <row r="88" spans="1:14" s="31" customFormat="1" ht="15" hidden="1" outlineLevel="1" x14ac:dyDescent="0.25">
      <c r="A88" s="31">
        <v>53020203</v>
      </c>
      <c r="B88" s="32" t="s">
        <v>98</v>
      </c>
      <c r="C88" s="21"/>
      <c r="D88" s="17"/>
      <c r="E88" s="17"/>
      <c r="F88" s="17"/>
      <c r="G88" s="20"/>
      <c r="H88" s="17"/>
      <c r="I88" s="20">
        <f>+C88+D88+E88+H88+F88+G88</f>
        <v>0</v>
      </c>
      <c r="J88" s="20"/>
      <c r="K88" s="20">
        <v>0</v>
      </c>
      <c r="L88" s="20">
        <f>+I88+J88</f>
        <v>0</v>
      </c>
      <c r="M88" s="20">
        <f>L88-K88</f>
        <v>0</v>
      </c>
      <c r="N88" s="19">
        <v>0</v>
      </c>
    </row>
    <row r="89" spans="1:14" s="31" customFormat="1" ht="15" hidden="1" outlineLevel="1" x14ac:dyDescent="0.25">
      <c r="A89" s="31">
        <v>53020206</v>
      </c>
      <c r="B89" s="32" t="s">
        <v>97</v>
      </c>
      <c r="C89" s="21"/>
      <c r="D89" s="17"/>
      <c r="E89" s="17"/>
      <c r="F89" s="17"/>
      <c r="G89" s="20">
        <f>150000000-16537924</f>
        <v>133462076</v>
      </c>
      <c r="H89" s="17"/>
      <c r="I89" s="20">
        <f>+C89+D89+E89+H89+F89+G89</f>
        <v>133462076</v>
      </c>
      <c r="J89" s="20"/>
      <c r="K89" s="20">
        <v>150000000</v>
      </c>
      <c r="L89" s="20">
        <f>+I89+J89</f>
        <v>133462076</v>
      </c>
      <c r="M89" s="20">
        <f>L89-K89</f>
        <v>-16537924</v>
      </c>
      <c r="N89" s="19">
        <f>L89/K89</f>
        <v>0.88974717333333331</v>
      </c>
    </row>
    <row r="90" spans="1:14" s="31" customFormat="1" ht="15" collapsed="1" x14ac:dyDescent="0.25">
      <c r="B90" s="33" t="s">
        <v>96</v>
      </c>
      <c r="C90" s="16"/>
      <c r="D90" s="16"/>
      <c r="E90" s="16"/>
      <c r="F90" s="16"/>
      <c r="G90" s="16">
        <f>SUM(G91:G98)</f>
        <v>195420020</v>
      </c>
      <c r="H90" s="16"/>
      <c r="I90" s="16">
        <f>SUM(I91:I98)</f>
        <v>195420020</v>
      </c>
      <c r="J90" s="16"/>
      <c r="K90" s="16">
        <v>263248209</v>
      </c>
      <c r="L90" s="16">
        <f>+I90+J90</f>
        <v>195420020</v>
      </c>
      <c r="M90" s="16">
        <f>L90-K90</f>
        <v>-67828189</v>
      </c>
      <c r="N90" s="15">
        <f>L90/K90</f>
        <v>0.74234130876841031</v>
      </c>
    </row>
    <row r="91" spans="1:14" s="31" customFormat="1" ht="15" hidden="1" outlineLevel="1" x14ac:dyDescent="0.25">
      <c r="A91" s="31">
        <v>53020501</v>
      </c>
      <c r="B91" s="32" t="s">
        <v>95</v>
      </c>
      <c r="C91" s="21"/>
      <c r="D91" s="17"/>
      <c r="E91" s="17"/>
      <c r="F91" s="17"/>
      <c r="G91" s="20">
        <f>2591106-289906</f>
        <v>2301200</v>
      </c>
      <c r="H91" s="17"/>
      <c r="I91" s="20">
        <f>+C91+D91+E91+H91+F91+G91</f>
        <v>2301200</v>
      </c>
      <c r="J91" s="20"/>
      <c r="K91" s="20">
        <v>2591106</v>
      </c>
      <c r="L91" s="20">
        <f>+I91+J91</f>
        <v>2301200</v>
      </c>
      <c r="M91" s="20">
        <f>L91-K91</f>
        <v>-289906</v>
      </c>
      <c r="N91" s="19">
        <f>L91/K91</f>
        <v>0.88811495940343621</v>
      </c>
    </row>
    <row r="92" spans="1:14" s="31" customFormat="1" ht="15" hidden="1" outlineLevel="1" x14ac:dyDescent="0.25">
      <c r="A92" s="31">
        <v>53020502</v>
      </c>
      <c r="B92" s="32" t="s">
        <v>94</v>
      </c>
      <c r="C92" s="21"/>
      <c r="D92" s="17"/>
      <c r="E92" s="17"/>
      <c r="F92" s="17"/>
      <c r="G92" s="20">
        <f>43580222-2</f>
        <v>43580220</v>
      </c>
      <c r="H92" s="17"/>
      <c r="I92" s="20">
        <f>+C92+D92+E92+H92+F92+G92</f>
        <v>43580220</v>
      </c>
      <c r="J92" s="20"/>
      <c r="K92" s="20">
        <v>43580222</v>
      </c>
      <c r="L92" s="20">
        <f>+I92+J92</f>
        <v>43580220</v>
      </c>
      <c r="M92" s="20">
        <f>L92-K92</f>
        <v>-2</v>
      </c>
      <c r="N92" s="19">
        <f>L92/K92</f>
        <v>0.99999995410762244</v>
      </c>
    </row>
    <row r="93" spans="1:14" s="31" customFormat="1" ht="15" hidden="1" outlineLevel="1" x14ac:dyDescent="0.25">
      <c r="A93" s="31">
        <v>53020503</v>
      </c>
      <c r="B93" s="32" t="s">
        <v>93</v>
      </c>
      <c r="C93" s="21"/>
      <c r="D93" s="17"/>
      <c r="E93" s="17"/>
      <c r="F93" s="17"/>
      <c r="G93" s="20">
        <f>73000000-719512</f>
        <v>72280488</v>
      </c>
      <c r="H93" s="17"/>
      <c r="I93" s="20">
        <f>+C93+D93+E93+H93+F93+G93</f>
        <v>72280488</v>
      </c>
      <c r="J93" s="20"/>
      <c r="K93" s="20">
        <v>73000000</v>
      </c>
      <c r="L93" s="20">
        <f>+I93+J93</f>
        <v>72280488</v>
      </c>
      <c r="M93" s="20">
        <f>L93-K93</f>
        <v>-719512</v>
      </c>
      <c r="N93" s="19">
        <f>L93/K93</f>
        <v>0.99014367123287672</v>
      </c>
    </row>
    <row r="94" spans="1:14" s="31" customFormat="1" ht="15" hidden="1" outlineLevel="1" x14ac:dyDescent="0.25">
      <c r="A94" s="31">
        <v>53020504</v>
      </c>
      <c r="B94" s="32" t="s">
        <v>92</v>
      </c>
      <c r="C94" s="21"/>
      <c r="D94" s="17"/>
      <c r="E94" s="17"/>
      <c r="F94" s="17"/>
      <c r="G94" s="20">
        <f>35000000-22724046</f>
        <v>12275954</v>
      </c>
      <c r="H94" s="17"/>
      <c r="I94" s="20">
        <f>+C94+D94+E94+H94+F94+G94</f>
        <v>12275954</v>
      </c>
      <c r="J94" s="20"/>
      <c r="K94" s="20">
        <v>35000000</v>
      </c>
      <c r="L94" s="20">
        <f>+I94+J94</f>
        <v>12275954</v>
      </c>
      <c r="M94" s="20">
        <f>L94-K94</f>
        <v>-22724046</v>
      </c>
      <c r="N94" s="19">
        <f>L94/K94</f>
        <v>0.35074154285714287</v>
      </c>
    </row>
    <row r="95" spans="1:14" s="31" customFormat="1" ht="15" hidden="1" outlineLevel="1" x14ac:dyDescent="0.25">
      <c r="A95" s="31">
        <v>53020505</v>
      </c>
      <c r="B95" s="32" t="s">
        <v>91</v>
      </c>
      <c r="C95" s="21"/>
      <c r="D95" s="17"/>
      <c r="E95" s="17"/>
      <c r="F95" s="17"/>
      <c r="G95" s="20">
        <f>27000000-7882248</f>
        <v>19117752</v>
      </c>
      <c r="H95" s="17"/>
      <c r="I95" s="20">
        <f>+C95+D95+E95+H95+F95+G95</f>
        <v>19117752</v>
      </c>
      <c r="J95" s="20"/>
      <c r="K95" s="20">
        <v>27000000</v>
      </c>
      <c r="L95" s="20">
        <f>+I95+J95</f>
        <v>19117752</v>
      </c>
      <c r="M95" s="20">
        <f>L95-K95</f>
        <v>-7882248</v>
      </c>
      <c r="N95" s="19">
        <f>L95/K95</f>
        <v>0.70806488888888885</v>
      </c>
    </row>
    <row r="96" spans="1:14" s="31" customFormat="1" ht="15" hidden="1" outlineLevel="1" x14ac:dyDescent="0.25">
      <c r="A96" s="31">
        <v>53020506</v>
      </c>
      <c r="B96" s="32" t="s">
        <v>90</v>
      </c>
      <c r="C96" s="21"/>
      <c r="D96" s="17"/>
      <c r="E96" s="17"/>
      <c r="F96" s="17"/>
      <c r="G96" s="20">
        <f>35076881-5</f>
        <v>35076876</v>
      </c>
      <c r="H96" s="17"/>
      <c r="I96" s="20">
        <f>+C96+D96+E96+H96+F96+G96</f>
        <v>35076876</v>
      </c>
      <c r="J96" s="20"/>
      <c r="K96" s="20">
        <v>35076881</v>
      </c>
      <c r="L96" s="20">
        <f>+I96+J96</f>
        <v>35076876</v>
      </c>
      <c r="M96" s="20">
        <f>L96-K96</f>
        <v>-5</v>
      </c>
      <c r="N96" s="19">
        <f>L96/K96</f>
        <v>0.99999985745596931</v>
      </c>
    </row>
    <row r="97" spans="1:15" s="31" customFormat="1" ht="15" hidden="1" outlineLevel="1" x14ac:dyDescent="0.25">
      <c r="A97" s="31">
        <v>53020507</v>
      </c>
      <c r="B97" s="32" t="s">
        <v>89</v>
      </c>
      <c r="C97" s="21"/>
      <c r="D97" s="17"/>
      <c r="E97" s="17"/>
      <c r="F97" s="17"/>
      <c r="G97" s="20">
        <f>7000000-3112470</f>
        <v>3887530</v>
      </c>
      <c r="H97" s="17"/>
      <c r="I97" s="20">
        <f>+C97+D97+E97+H97+F97+G97</f>
        <v>3887530</v>
      </c>
      <c r="J97" s="20"/>
      <c r="K97" s="20">
        <v>7000000</v>
      </c>
      <c r="L97" s="20">
        <f>+I97+J97</f>
        <v>3887530</v>
      </c>
      <c r="M97" s="20">
        <f>L97-K97</f>
        <v>-3112470</v>
      </c>
      <c r="N97" s="19">
        <f>L97/K97</f>
        <v>0.55536142857142856</v>
      </c>
    </row>
    <row r="98" spans="1:15" s="31" customFormat="1" ht="15" hidden="1" outlineLevel="1" x14ac:dyDescent="0.25">
      <c r="A98" s="31">
        <v>53020508</v>
      </c>
      <c r="B98" s="32" t="s">
        <v>88</v>
      </c>
      <c r="C98" s="21"/>
      <c r="D98" s="17"/>
      <c r="E98" s="17"/>
      <c r="F98" s="17"/>
      <c r="G98" s="20">
        <f>40000000-33100000</f>
        <v>6900000</v>
      </c>
      <c r="H98" s="17"/>
      <c r="I98" s="20">
        <f>+C98+D98+E98+H98+F98+G98</f>
        <v>6900000</v>
      </c>
      <c r="J98" s="20"/>
      <c r="K98" s="20">
        <v>40000000</v>
      </c>
      <c r="L98" s="20">
        <f>+I98+J98</f>
        <v>6900000</v>
      </c>
      <c r="M98" s="20">
        <f>L98-K98</f>
        <v>-33100000</v>
      </c>
      <c r="N98" s="19">
        <f>L98/K98</f>
        <v>0.17249999999999999</v>
      </c>
    </row>
    <row r="99" spans="1:15" s="31" customFormat="1" ht="15" collapsed="1" x14ac:dyDescent="0.25">
      <c r="B99" s="33" t="s">
        <v>87</v>
      </c>
      <c r="C99" s="21"/>
      <c r="D99" s="17"/>
      <c r="E99" s="17"/>
      <c r="F99" s="17"/>
      <c r="G99" s="16">
        <f>SUM(G100:G102)</f>
        <v>7525470</v>
      </c>
      <c r="H99" s="17"/>
      <c r="I99" s="16">
        <f>SUM(I100:I102)</f>
        <v>7525470</v>
      </c>
      <c r="J99" s="17"/>
      <c r="K99" s="17">
        <v>13000000</v>
      </c>
      <c r="L99" s="16">
        <f>SUM(L100:L102)</f>
        <v>7525470</v>
      </c>
      <c r="M99" s="16">
        <f>L99-K99</f>
        <v>-5474530</v>
      </c>
      <c r="N99" s="15">
        <f>L99/K99</f>
        <v>0.57888230769230764</v>
      </c>
    </row>
    <row r="100" spans="1:15" s="31" customFormat="1" ht="15" hidden="1" outlineLevel="1" x14ac:dyDescent="0.25">
      <c r="A100" s="31">
        <v>53020401</v>
      </c>
      <c r="B100" s="32" t="s">
        <v>86</v>
      </c>
      <c r="C100" s="21"/>
      <c r="D100" s="17"/>
      <c r="E100" s="17"/>
      <c r="F100" s="17"/>
      <c r="G100" s="20">
        <f>10000000-5134650</f>
        <v>4865350</v>
      </c>
      <c r="H100" s="17"/>
      <c r="I100" s="20">
        <f>+C100+D100+E100+H100+F100+G100</f>
        <v>4865350</v>
      </c>
      <c r="J100" s="20"/>
      <c r="K100" s="20">
        <v>10000000</v>
      </c>
      <c r="L100" s="20">
        <f>+I100+J100</f>
        <v>4865350</v>
      </c>
      <c r="M100" s="20">
        <f>L100-K100</f>
        <v>-5134650</v>
      </c>
      <c r="N100" s="19">
        <f>L100/K100</f>
        <v>0.486535</v>
      </c>
    </row>
    <row r="101" spans="1:15" s="31" customFormat="1" ht="15" hidden="1" outlineLevel="1" x14ac:dyDescent="0.25">
      <c r="A101" s="31">
        <v>53020402</v>
      </c>
      <c r="B101" s="32" t="s">
        <v>85</v>
      </c>
      <c r="C101" s="21"/>
      <c r="D101" s="17"/>
      <c r="E101" s="17"/>
      <c r="F101" s="17"/>
      <c r="G101" s="20">
        <f>3000000-339880</f>
        <v>2660120</v>
      </c>
      <c r="H101" s="17"/>
      <c r="I101" s="20">
        <f>+C101+D101+E101+H101+F101+G101</f>
        <v>2660120</v>
      </c>
      <c r="J101" s="20"/>
      <c r="K101" s="20">
        <v>3000000</v>
      </c>
      <c r="L101" s="20">
        <f>+I101+J101</f>
        <v>2660120</v>
      </c>
      <c r="M101" s="20">
        <f>L101-K101</f>
        <v>-339880</v>
      </c>
      <c r="N101" s="19">
        <f>L101/K101</f>
        <v>0.88670666666666664</v>
      </c>
    </row>
    <row r="102" spans="1:15" s="31" customFormat="1" ht="15" hidden="1" outlineLevel="1" x14ac:dyDescent="0.25">
      <c r="A102" s="31">
        <v>53020403</v>
      </c>
      <c r="B102" s="32" t="s">
        <v>84</v>
      </c>
      <c r="C102" s="21"/>
      <c r="D102" s="17"/>
      <c r="E102" s="17"/>
      <c r="F102" s="17"/>
      <c r="G102" s="20"/>
      <c r="H102" s="17"/>
      <c r="I102" s="20">
        <f>+C102+D102+E102+H102+F102+G102</f>
        <v>0</v>
      </c>
      <c r="J102" s="20"/>
      <c r="K102" s="20">
        <v>0</v>
      </c>
      <c r="L102" s="20">
        <f>+I102+J102</f>
        <v>0</v>
      </c>
      <c r="M102" s="20">
        <f>L102-K102</f>
        <v>0</v>
      </c>
      <c r="N102" s="19">
        <v>0</v>
      </c>
    </row>
    <row r="103" spans="1:15" s="31" customFormat="1" ht="15" collapsed="1" x14ac:dyDescent="0.25">
      <c r="B103" s="33" t="s">
        <v>83</v>
      </c>
      <c r="C103" s="21"/>
      <c r="D103" s="17"/>
      <c r="E103" s="17"/>
      <c r="F103" s="17"/>
      <c r="G103" s="16">
        <f>SUM(G104:G106)</f>
        <v>14940154</v>
      </c>
      <c r="H103" s="17"/>
      <c r="I103" s="16">
        <f>SUM(I104:I106)</f>
        <v>14940154</v>
      </c>
      <c r="J103" s="17"/>
      <c r="K103" s="17">
        <v>30197197</v>
      </c>
      <c r="L103" s="16">
        <f>SUM(L104:L106)</f>
        <v>14940154</v>
      </c>
      <c r="M103" s="16">
        <f>L103-K103</f>
        <v>-15257043</v>
      </c>
      <c r="N103" s="15">
        <f>L103/K103</f>
        <v>0.49475300638002923</v>
      </c>
    </row>
    <row r="104" spans="1:15" s="31" customFormat="1" ht="15" hidden="1" outlineLevel="1" x14ac:dyDescent="0.25">
      <c r="A104" s="31">
        <v>53020601</v>
      </c>
      <c r="B104" s="32" t="s">
        <v>82</v>
      </c>
      <c r="C104" s="21"/>
      <c r="D104" s="17"/>
      <c r="E104" s="17"/>
      <c r="F104" s="17"/>
      <c r="G104" s="20">
        <f>18043917-3103763</f>
        <v>14940154</v>
      </c>
      <c r="H104" s="17"/>
      <c r="I104" s="20">
        <f>+C104+D104+E104+H104+F104+G104</f>
        <v>14940154</v>
      </c>
      <c r="J104" s="20"/>
      <c r="K104" s="20">
        <v>18043917</v>
      </c>
      <c r="L104" s="20">
        <f>+I104+J104</f>
        <v>14940154</v>
      </c>
      <c r="M104" s="20">
        <f>L104-K104</f>
        <v>-3103763</v>
      </c>
      <c r="N104" s="19">
        <f>L104/K104</f>
        <v>0.82798840185310096</v>
      </c>
    </row>
    <row r="105" spans="1:15" s="31" customFormat="1" ht="15" hidden="1" outlineLevel="1" x14ac:dyDescent="0.25">
      <c r="A105" s="31">
        <v>53020602</v>
      </c>
      <c r="B105" s="32" t="s">
        <v>81</v>
      </c>
      <c r="C105" s="21"/>
      <c r="D105" s="17"/>
      <c r="E105" s="17"/>
      <c r="F105" s="17"/>
      <c r="G105" s="20">
        <f>9653280-9653280</f>
        <v>0</v>
      </c>
      <c r="H105" s="17"/>
      <c r="I105" s="20">
        <f>+C105+D105+E105+H105+F105+G105</f>
        <v>0</v>
      </c>
      <c r="J105" s="20"/>
      <c r="K105" s="20">
        <v>9653280</v>
      </c>
      <c r="L105" s="20">
        <f>+I105+J105</f>
        <v>0</v>
      </c>
      <c r="M105" s="20">
        <f>L105-K105</f>
        <v>-9653280</v>
      </c>
      <c r="N105" s="19">
        <f>L105/K105</f>
        <v>0</v>
      </c>
    </row>
    <row r="106" spans="1:15" s="31" customFormat="1" ht="29.25" hidden="1" outlineLevel="1" x14ac:dyDescent="0.25">
      <c r="A106" s="31">
        <v>53020603</v>
      </c>
      <c r="B106" s="34" t="s">
        <v>80</v>
      </c>
      <c r="C106" s="21"/>
      <c r="D106" s="17"/>
      <c r="E106" s="17"/>
      <c r="F106" s="17"/>
      <c r="G106" s="20">
        <f>2500000-2500000</f>
        <v>0</v>
      </c>
      <c r="H106" s="17"/>
      <c r="I106" s="20">
        <f>+C106+D106+E106+H106+F106+G106</f>
        <v>0</v>
      </c>
      <c r="J106" s="20"/>
      <c r="K106" s="20">
        <v>2500000</v>
      </c>
      <c r="L106" s="20">
        <f>+I106+J106</f>
        <v>0</v>
      </c>
      <c r="M106" s="20">
        <f>L106-K106</f>
        <v>-2500000</v>
      </c>
      <c r="N106" s="19">
        <f>L106/K106</f>
        <v>0</v>
      </c>
    </row>
    <row r="107" spans="1:15" s="31" customFormat="1" ht="15" collapsed="1" x14ac:dyDescent="0.25">
      <c r="B107" s="32"/>
      <c r="C107" s="21"/>
      <c r="D107" s="17"/>
      <c r="E107" s="17"/>
      <c r="F107" s="17"/>
      <c r="G107" s="20"/>
      <c r="H107" s="17"/>
      <c r="I107" s="20"/>
      <c r="J107" s="20"/>
      <c r="K107" s="20"/>
      <c r="L107" s="20"/>
      <c r="M107" s="20"/>
      <c r="N107" s="19"/>
    </row>
    <row r="108" spans="1:15" s="31" customFormat="1" ht="15" x14ac:dyDescent="0.25">
      <c r="B108" s="33" t="s">
        <v>79</v>
      </c>
      <c r="C108" s="17"/>
      <c r="D108" s="17"/>
      <c r="E108" s="17"/>
      <c r="F108" s="17"/>
      <c r="G108" s="17"/>
      <c r="H108" s="17">
        <f>+H109+H117+H119+H122</f>
        <v>3243914860</v>
      </c>
      <c r="I108" s="17">
        <f>+I109+I117+I119+I122</f>
        <v>3243914860</v>
      </c>
      <c r="J108" s="17"/>
      <c r="K108" s="17">
        <v>3516905337</v>
      </c>
      <c r="L108" s="17">
        <f>+L109+L117+L119+L122</f>
        <v>3243914860</v>
      </c>
      <c r="M108" s="16">
        <f>L108-K108</f>
        <v>-272990477</v>
      </c>
      <c r="N108" s="15">
        <f>L108/K108</f>
        <v>0.92237764430905411</v>
      </c>
      <c r="O108" s="46"/>
    </row>
    <row r="109" spans="1:15" s="31" customFormat="1" ht="15" x14ac:dyDescent="0.25">
      <c r="B109" s="33" t="s">
        <v>78</v>
      </c>
      <c r="C109" s="17"/>
      <c r="D109" s="17"/>
      <c r="E109" s="17"/>
      <c r="F109" s="16"/>
      <c r="G109" s="17"/>
      <c r="H109" s="16">
        <f>SUM(H110:H116)</f>
        <v>3025513960</v>
      </c>
      <c r="I109" s="16">
        <f>SUM(I110:I116)</f>
        <v>3025513960</v>
      </c>
      <c r="J109" s="17"/>
      <c r="K109" s="17">
        <v>3275133576</v>
      </c>
      <c r="L109" s="16">
        <f>SUM(L110:L116)</f>
        <v>3025513960</v>
      </c>
      <c r="M109" s="16">
        <f>L109-K109</f>
        <v>-249619616</v>
      </c>
      <c r="N109" s="15">
        <f>L109/K109</f>
        <v>0.92378337853784076</v>
      </c>
    </row>
    <row r="110" spans="1:15" s="31" customFormat="1" ht="15" hidden="1" outlineLevel="1" x14ac:dyDescent="0.25">
      <c r="B110" s="32" t="s">
        <v>77</v>
      </c>
      <c r="C110" s="17"/>
      <c r="D110" s="17"/>
      <c r="E110" s="17"/>
      <c r="F110" s="21"/>
      <c r="G110" s="17"/>
      <c r="H110" s="21">
        <v>0</v>
      </c>
      <c r="I110" s="20">
        <f>+C110+D110+E110+H110+F110+G110</f>
        <v>0</v>
      </c>
      <c r="J110" s="20"/>
      <c r="K110" s="20">
        <v>0</v>
      </c>
      <c r="L110" s="20">
        <f>+I110+J110</f>
        <v>0</v>
      </c>
      <c r="M110" s="20">
        <f>L110-K110</f>
        <v>0</v>
      </c>
      <c r="N110" s="19">
        <v>0</v>
      </c>
      <c r="O110" s="46"/>
    </row>
    <row r="111" spans="1:15" s="31" customFormat="1" ht="15" hidden="1" outlineLevel="1" x14ac:dyDescent="0.25">
      <c r="B111" s="32" t="s">
        <v>76</v>
      </c>
      <c r="C111" s="17"/>
      <c r="D111" s="17"/>
      <c r="E111" s="17"/>
      <c r="F111" s="21"/>
      <c r="G111" s="17"/>
      <c r="H111" s="21">
        <f>254824198-119228901</f>
        <v>135595297</v>
      </c>
      <c r="I111" s="20">
        <f>+C111+D111+E111+H111+F111+G111</f>
        <v>135595297</v>
      </c>
      <c r="J111" s="20"/>
      <c r="K111" s="20">
        <v>254824198</v>
      </c>
      <c r="L111" s="20">
        <f>+I111+J111</f>
        <v>135595297</v>
      </c>
      <c r="M111" s="20">
        <f>L111-K111</f>
        <v>-119228901</v>
      </c>
      <c r="N111" s="19">
        <f>L111/K111</f>
        <v>0.53211311195807232</v>
      </c>
    </row>
    <row r="112" spans="1:15" s="31" customFormat="1" ht="15" hidden="1" outlineLevel="1" x14ac:dyDescent="0.25">
      <c r="B112" s="32" t="s">
        <v>75</v>
      </c>
      <c r="C112" s="17"/>
      <c r="D112" s="17"/>
      <c r="E112" s="17"/>
      <c r="F112" s="21"/>
      <c r="G112" s="17"/>
      <c r="H112" s="21">
        <f>65281986-14088286</f>
        <v>51193700</v>
      </c>
      <c r="I112" s="20">
        <f>+C112+D112+E112+H112+F112+G112</f>
        <v>51193700</v>
      </c>
      <c r="J112" s="20"/>
      <c r="K112" s="20">
        <v>65281986</v>
      </c>
      <c r="L112" s="20">
        <f>+I112+J112</f>
        <v>51193700</v>
      </c>
      <c r="M112" s="20">
        <f>L112-K112</f>
        <v>-14088286</v>
      </c>
      <c r="N112" s="19">
        <f>L112/K112</f>
        <v>0.7841933607840913</v>
      </c>
    </row>
    <row r="113" spans="2:14" s="31" customFormat="1" ht="15" hidden="1" outlineLevel="1" x14ac:dyDescent="0.25">
      <c r="B113" s="32" t="s">
        <v>74</v>
      </c>
      <c r="C113" s="17"/>
      <c r="D113" s="17"/>
      <c r="E113" s="17"/>
      <c r="F113" s="21"/>
      <c r="G113" s="17"/>
      <c r="H113" s="21">
        <f>702500000-37500000</f>
        <v>665000000</v>
      </c>
      <c r="I113" s="20">
        <f>+C113+D113+E113+H113+F113+G113</f>
        <v>665000000</v>
      </c>
      <c r="J113" s="20"/>
      <c r="K113" s="20">
        <v>702500000</v>
      </c>
      <c r="L113" s="20">
        <f>+I113+J113</f>
        <v>665000000</v>
      </c>
      <c r="M113" s="20">
        <f>L113-K113</f>
        <v>-37500000</v>
      </c>
      <c r="N113" s="19">
        <f>L113/K113</f>
        <v>0.94661921708185048</v>
      </c>
    </row>
    <row r="114" spans="2:14" s="31" customFormat="1" ht="15" hidden="1" outlineLevel="1" x14ac:dyDescent="0.25">
      <c r="B114" s="32" t="s">
        <v>73</v>
      </c>
      <c r="C114" s="17"/>
      <c r="D114" s="17"/>
      <c r="E114" s="17"/>
      <c r="F114" s="21"/>
      <c r="G114" s="17"/>
      <c r="H114" s="21">
        <f>84600000-71031464</f>
        <v>13568536</v>
      </c>
      <c r="I114" s="20">
        <f>+C114+D114+E114+H114+F114+G114</f>
        <v>13568536</v>
      </c>
      <c r="J114" s="20"/>
      <c r="K114" s="20">
        <v>84600000</v>
      </c>
      <c r="L114" s="20">
        <f>+I114+J114</f>
        <v>13568536</v>
      </c>
      <c r="M114" s="20">
        <f>L114-K114</f>
        <v>-71031464</v>
      </c>
      <c r="N114" s="19">
        <f>L114/K114</f>
        <v>0.16038458628841606</v>
      </c>
    </row>
    <row r="115" spans="2:14" s="31" customFormat="1" ht="15" hidden="1" outlineLevel="1" x14ac:dyDescent="0.25">
      <c r="B115" s="32" t="s">
        <v>72</v>
      </c>
      <c r="C115" s="17"/>
      <c r="D115" s="17"/>
      <c r="E115" s="17"/>
      <c r="F115" s="21"/>
      <c r="G115" s="17"/>
      <c r="H115" s="21">
        <f>2155927392-4741139</f>
        <v>2151186253</v>
      </c>
      <c r="I115" s="20">
        <f>+C115+D115+E115+H115+F115+G115</f>
        <v>2151186253</v>
      </c>
      <c r="J115" s="20"/>
      <c r="K115" s="20">
        <v>2155927392</v>
      </c>
      <c r="L115" s="20">
        <f>+I115+J115</f>
        <v>2151186253</v>
      </c>
      <c r="M115" s="20">
        <f>L115-K115</f>
        <v>-4741139</v>
      </c>
      <c r="N115" s="19">
        <f>L115/K115</f>
        <v>0.99780088187682348</v>
      </c>
    </row>
    <row r="116" spans="2:14" s="31" customFormat="1" ht="15" hidden="1" outlineLevel="1" x14ac:dyDescent="0.25">
      <c r="B116" s="32" t="s">
        <v>71</v>
      </c>
      <c r="C116" s="17"/>
      <c r="D116" s="17"/>
      <c r="E116" s="17"/>
      <c r="F116" s="21"/>
      <c r="G116" s="17"/>
      <c r="H116" s="21">
        <f>12000000-3029826</f>
        <v>8970174</v>
      </c>
      <c r="I116" s="20">
        <f>+C116+D116+E116+H116+F116+G116</f>
        <v>8970174</v>
      </c>
      <c r="J116" s="20"/>
      <c r="K116" s="20">
        <v>12000000</v>
      </c>
      <c r="L116" s="20">
        <f>+I116+J116</f>
        <v>8970174</v>
      </c>
      <c r="M116" s="20">
        <f>L116-K116</f>
        <v>-3029826</v>
      </c>
      <c r="N116" s="19">
        <f>L116/K116</f>
        <v>0.74751449999999997</v>
      </c>
    </row>
    <row r="117" spans="2:14" s="31" customFormat="1" ht="15" collapsed="1" x14ac:dyDescent="0.25">
      <c r="B117" s="33" t="s">
        <v>70</v>
      </c>
      <c r="C117" s="17"/>
      <c r="D117" s="17"/>
      <c r="E117" s="17"/>
      <c r="F117" s="16"/>
      <c r="G117" s="17"/>
      <c r="H117" s="16">
        <f>SUM(H118:H118)</f>
        <v>68123283</v>
      </c>
      <c r="I117" s="16">
        <f>SUM(I118:I118)</f>
        <v>68123283</v>
      </c>
      <c r="J117" s="17"/>
      <c r="K117" s="17">
        <v>72000000</v>
      </c>
      <c r="L117" s="16">
        <f>SUM(L118:L118)</f>
        <v>68123283</v>
      </c>
      <c r="M117" s="16">
        <f>L117-K117</f>
        <v>-3876717</v>
      </c>
      <c r="N117" s="15">
        <f>L117/K117</f>
        <v>0.94615670833333332</v>
      </c>
    </row>
    <row r="118" spans="2:14" s="31" customFormat="1" ht="15" hidden="1" outlineLevel="1" x14ac:dyDescent="0.25">
      <c r="B118" s="32" t="s">
        <v>69</v>
      </c>
      <c r="C118" s="17"/>
      <c r="D118" s="17"/>
      <c r="E118" s="17"/>
      <c r="F118" s="21"/>
      <c r="G118" s="17"/>
      <c r="H118" s="21">
        <f>72000000-3876717</f>
        <v>68123283</v>
      </c>
      <c r="I118" s="20">
        <f>+C118+D118+E118+H118+F118+G118</f>
        <v>68123283</v>
      </c>
      <c r="J118" s="20"/>
      <c r="K118" s="20">
        <v>72000000</v>
      </c>
      <c r="L118" s="20">
        <f>+I118+J118</f>
        <v>68123283</v>
      </c>
      <c r="M118" s="20">
        <f>L118-K118</f>
        <v>-3876717</v>
      </c>
      <c r="N118" s="19">
        <f>L118/K118</f>
        <v>0.94615670833333332</v>
      </c>
    </row>
    <row r="119" spans="2:14" s="31" customFormat="1" ht="15" collapsed="1" x14ac:dyDescent="0.25">
      <c r="B119" s="33" t="s">
        <v>68</v>
      </c>
      <c r="C119" s="17"/>
      <c r="D119" s="17"/>
      <c r="E119" s="17"/>
      <c r="F119" s="16"/>
      <c r="G119" s="17"/>
      <c r="H119" s="16">
        <f>SUM(H120:H121)</f>
        <v>89312907</v>
      </c>
      <c r="I119" s="16">
        <f>SUM(I120:I121)</f>
        <v>89312907</v>
      </c>
      <c r="J119" s="17"/>
      <c r="K119" s="17">
        <v>92271761</v>
      </c>
      <c r="L119" s="16">
        <f>SUM(L120:L121)</f>
        <v>89312907</v>
      </c>
      <c r="M119" s="16">
        <f>L119-K119</f>
        <v>-2958854</v>
      </c>
      <c r="N119" s="15">
        <f>L119/K119</f>
        <v>0.96793326617013409</v>
      </c>
    </row>
    <row r="120" spans="2:14" s="31" customFormat="1" ht="15" hidden="1" outlineLevel="1" x14ac:dyDescent="0.25">
      <c r="B120" s="32" t="str">
        <f>+'[2]Presupuesto 2017 vs 2018'!$B$37</f>
        <v>Diagnóstico Rutinario</v>
      </c>
      <c r="C120" s="17"/>
      <c r="D120" s="17"/>
      <c r="E120" s="17"/>
      <c r="F120" s="21"/>
      <c r="G120" s="17"/>
      <c r="H120" s="21">
        <f>60000000-160000</f>
        <v>59840000</v>
      </c>
      <c r="I120" s="20">
        <f>+C120+D120+E120+H120+F120+G120</f>
        <v>59840000</v>
      </c>
      <c r="J120" s="20"/>
      <c r="K120" s="20">
        <v>60000000</v>
      </c>
      <c r="L120" s="20">
        <f>+I120+J120</f>
        <v>59840000</v>
      </c>
      <c r="M120" s="20">
        <f>L120-K120</f>
        <v>-160000</v>
      </c>
      <c r="N120" s="19">
        <f>L120/K120</f>
        <v>0.99733333333333329</v>
      </c>
    </row>
    <row r="121" spans="2:14" s="31" customFormat="1" ht="15" hidden="1" outlineLevel="1" x14ac:dyDescent="0.25">
      <c r="B121" s="32" t="s">
        <v>67</v>
      </c>
      <c r="C121" s="17"/>
      <c r="D121" s="17"/>
      <c r="E121" s="17"/>
      <c r="F121" s="21"/>
      <c r="G121" s="17"/>
      <c r="H121" s="21">
        <f>32271761-2798854</f>
        <v>29472907</v>
      </c>
      <c r="I121" s="20">
        <f>+C121+D121+E121+H121+F121+G121</f>
        <v>29472907</v>
      </c>
      <c r="J121" s="20"/>
      <c r="K121" s="20">
        <v>32271761</v>
      </c>
      <c r="L121" s="20">
        <f>+I121+J121</f>
        <v>29472907</v>
      </c>
      <c r="M121" s="20">
        <f>L121-K121</f>
        <v>-2798854</v>
      </c>
      <c r="N121" s="19">
        <f>L121/K121</f>
        <v>0.9132723497797347</v>
      </c>
    </row>
    <row r="122" spans="2:14" s="31" customFormat="1" ht="15" collapsed="1" x14ac:dyDescent="0.25">
      <c r="B122" s="33" t="s">
        <v>66</v>
      </c>
      <c r="C122" s="17"/>
      <c r="D122" s="17"/>
      <c r="E122" s="17"/>
      <c r="F122" s="16"/>
      <c r="G122" s="17"/>
      <c r="H122" s="16">
        <f>SUM(H123:H123)</f>
        <v>60964710</v>
      </c>
      <c r="I122" s="16">
        <f>SUM(I123:I123)</f>
        <v>60964710</v>
      </c>
      <c r="J122" s="16"/>
      <c r="K122" s="16">
        <v>77500000</v>
      </c>
      <c r="L122" s="16">
        <f>SUM(L123:L123)</f>
        <v>60964710</v>
      </c>
      <c r="M122" s="16">
        <f>L122-K122</f>
        <v>-16535290</v>
      </c>
      <c r="N122" s="15">
        <f>L122/K122</f>
        <v>0.78664141935483867</v>
      </c>
    </row>
    <row r="123" spans="2:14" s="31" customFormat="1" ht="15" hidden="1" outlineLevel="1" x14ac:dyDescent="0.25">
      <c r="B123" s="32" t="s">
        <v>65</v>
      </c>
      <c r="C123" s="17"/>
      <c r="D123" s="17"/>
      <c r="E123" s="17"/>
      <c r="F123" s="21"/>
      <c r="G123" s="17"/>
      <c r="H123" s="21">
        <f>77500000-16535290</f>
        <v>60964710</v>
      </c>
      <c r="I123" s="20">
        <f>+C123+D123+E123+H123+F123+G123</f>
        <v>60964710</v>
      </c>
      <c r="J123" s="20"/>
      <c r="K123" s="20">
        <v>77500000</v>
      </c>
      <c r="L123" s="20">
        <f>+I123+J123</f>
        <v>60964710</v>
      </c>
      <c r="M123" s="20">
        <f>L123-K123</f>
        <v>-16535290</v>
      </c>
      <c r="N123" s="19">
        <f>L123/K123</f>
        <v>0.78664141935483867</v>
      </c>
    </row>
    <row r="124" spans="2:14" s="31" customFormat="1" ht="15" collapsed="1" x14ac:dyDescent="0.25">
      <c r="B124" s="32"/>
      <c r="C124" s="17"/>
      <c r="D124" s="17"/>
      <c r="E124" s="17"/>
      <c r="F124" s="20"/>
      <c r="G124" s="17"/>
      <c r="H124" s="20"/>
      <c r="I124" s="20"/>
      <c r="J124" s="20"/>
      <c r="K124" s="20"/>
      <c r="L124" s="20"/>
      <c r="M124" s="20"/>
      <c r="N124" s="19"/>
    </row>
    <row r="125" spans="2:14" s="44" customFormat="1" ht="15" x14ac:dyDescent="0.25">
      <c r="B125" s="33" t="s">
        <v>64</v>
      </c>
      <c r="C125" s="35"/>
      <c r="D125" s="16">
        <f>+D126+D130+D139+D143</f>
        <v>645226767</v>
      </c>
      <c r="E125" s="35"/>
      <c r="F125" s="45"/>
      <c r="G125" s="35"/>
      <c r="H125" s="45"/>
      <c r="I125" s="16">
        <f>+I126+I130+I139+I143</f>
        <v>645226767</v>
      </c>
      <c r="J125" s="35"/>
      <c r="K125" s="35">
        <v>683957138</v>
      </c>
      <c r="L125" s="16">
        <f>+L126+L130+L139+L143</f>
        <v>645226767</v>
      </c>
      <c r="M125" s="16">
        <f>L125-K125</f>
        <v>-38730371</v>
      </c>
      <c r="N125" s="15">
        <f>L125/K125</f>
        <v>0.94337310213143799</v>
      </c>
    </row>
    <row r="126" spans="2:14" s="31" customFormat="1" ht="15" x14ac:dyDescent="0.25">
      <c r="B126" s="33" t="s">
        <v>63</v>
      </c>
      <c r="C126" s="35"/>
      <c r="D126" s="17">
        <f>SUM(D127:D129)</f>
        <v>231131765</v>
      </c>
      <c r="E126" s="17"/>
      <c r="F126" s="17"/>
      <c r="G126" s="17"/>
      <c r="H126" s="17"/>
      <c r="I126" s="17">
        <f>SUM(I127:I129)</f>
        <v>231131765</v>
      </c>
      <c r="J126" s="16"/>
      <c r="K126" s="16">
        <v>234875611</v>
      </c>
      <c r="L126" s="17">
        <f>SUM(L127:L129)</f>
        <v>231131765</v>
      </c>
      <c r="M126" s="16">
        <f>L126-K126</f>
        <v>-3743846</v>
      </c>
      <c r="N126" s="15">
        <f>L126/K126</f>
        <v>0.98406030330667238</v>
      </c>
    </row>
    <row r="127" spans="2:14" s="31" customFormat="1" ht="15" hidden="1" outlineLevel="1" x14ac:dyDescent="0.25">
      <c r="B127" s="32" t="s">
        <v>62</v>
      </c>
      <c r="C127" s="35"/>
      <c r="D127" s="20">
        <f>23043600-2797950</f>
        <v>20245650</v>
      </c>
      <c r="E127" s="17"/>
      <c r="F127" s="17"/>
      <c r="G127" s="17"/>
      <c r="H127" s="17"/>
      <c r="I127" s="20">
        <f>+C127+D127+E127+H127+F127+G127</f>
        <v>20245650</v>
      </c>
      <c r="J127" s="20"/>
      <c r="K127" s="20">
        <v>23043600</v>
      </c>
      <c r="L127" s="20">
        <f>+I127+J127</f>
        <v>20245650</v>
      </c>
      <c r="M127" s="20">
        <f>L127-K127</f>
        <v>-2797950</v>
      </c>
      <c r="N127" s="19">
        <f>L127/K127</f>
        <v>0.87858016976514086</v>
      </c>
    </row>
    <row r="128" spans="2:14" s="31" customFormat="1" ht="15" hidden="1" outlineLevel="1" x14ac:dyDescent="0.25">
      <c r="B128" s="32" t="s">
        <v>61</v>
      </c>
      <c r="C128" s="35"/>
      <c r="D128" s="20">
        <f>211832011-945896</f>
        <v>210886115</v>
      </c>
      <c r="E128" s="17"/>
      <c r="F128" s="17"/>
      <c r="G128" s="17"/>
      <c r="H128" s="17"/>
      <c r="I128" s="20">
        <f>+C128+D128+E128+H128+F128+G128</f>
        <v>210886115</v>
      </c>
      <c r="J128" s="20"/>
      <c r="K128" s="20">
        <v>211832011</v>
      </c>
      <c r="L128" s="20">
        <f>+I128+J128</f>
        <v>210886115</v>
      </c>
      <c r="M128" s="20">
        <f>L128-K128</f>
        <v>-945896</v>
      </c>
      <c r="N128" s="19">
        <f>L128/K128</f>
        <v>0.99553468809773038</v>
      </c>
    </row>
    <row r="129" spans="2:14" s="31" customFormat="1" ht="15" hidden="1" outlineLevel="1" x14ac:dyDescent="0.25">
      <c r="B129" s="32" t="s">
        <v>60</v>
      </c>
      <c r="C129" s="35"/>
      <c r="D129" s="20"/>
      <c r="E129" s="17"/>
      <c r="F129" s="17"/>
      <c r="G129" s="17"/>
      <c r="H129" s="17"/>
      <c r="I129" s="20">
        <f>+C129+D129+E129+H129+F129+G129</f>
        <v>0</v>
      </c>
      <c r="J129" s="20"/>
      <c r="K129" s="20">
        <v>0</v>
      </c>
      <c r="L129" s="20">
        <f>+I129+J129</f>
        <v>0</v>
      </c>
      <c r="M129" s="20">
        <f>L129-K129</f>
        <v>0</v>
      </c>
      <c r="N129" s="19">
        <v>0</v>
      </c>
    </row>
    <row r="130" spans="2:14" s="31" customFormat="1" ht="15" collapsed="1" x14ac:dyDescent="0.25">
      <c r="B130" s="43" t="s">
        <v>59</v>
      </c>
      <c r="C130" s="16"/>
      <c r="D130" s="42">
        <f>+D131+D132+D133+D134</f>
        <v>86825244</v>
      </c>
      <c r="E130" s="17"/>
      <c r="F130" s="17"/>
      <c r="G130" s="17"/>
      <c r="H130" s="17"/>
      <c r="I130" s="17">
        <f>+I131+I132+I133+I134</f>
        <v>86825244</v>
      </c>
      <c r="J130" s="17"/>
      <c r="K130" s="17">
        <v>98884396</v>
      </c>
      <c r="L130" s="17">
        <f>+L131+L132+L133+L134</f>
        <v>86825244</v>
      </c>
      <c r="M130" s="16">
        <f>L130-K130</f>
        <v>-12059152</v>
      </c>
      <c r="N130" s="15">
        <f>L130/K130</f>
        <v>0.87804797836859927</v>
      </c>
    </row>
    <row r="131" spans="2:14" s="31" customFormat="1" ht="15" hidden="1" outlineLevel="1" x14ac:dyDescent="0.25">
      <c r="B131" s="39" t="s">
        <v>58</v>
      </c>
      <c r="C131" s="41"/>
      <c r="D131" s="40">
        <f>28669871-1596741</f>
        <v>27073130</v>
      </c>
      <c r="E131" s="17"/>
      <c r="F131" s="17"/>
      <c r="G131" s="17"/>
      <c r="H131" s="17"/>
      <c r="I131" s="20">
        <f>+C131+D131+E131+H131+F131+G131</f>
        <v>27073130</v>
      </c>
      <c r="J131" s="20"/>
      <c r="K131" s="20">
        <v>28669871</v>
      </c>
      <c r="L131" s="20">
        <f>+I131+J131</f>
        <v>27073130</v>
      </c>
      <c r="M131" s="20">
        <f>L131-K131</f>
        <v>-1596741</v>
      </c>
      <c r="N131" s="19">
        <f>L131/K131</f>
        <v>0.94430595798634742</v>
      </c>
    </row>
    <row r="132" spans="2:14" s="31" customFormat="1" ht="15" hidden="1" outlineLevel="1" x14ac:dyDescent="0.25">
      <c r="B132" s="39" t="s">
        <v>57</v>
      </c>
      <c r="C132" s="41"/>
      <c r="D132" s="40">
        <f>10813054-603974</f>
        <v>10209080</v>
      </c>
      <c r="E132" s="17"/>
      <c r="F132" s="17"/>
      <c r="G132" s="17"/>
      <c r="H132" s="17"/>
      <c r="I132" s="20">
        <f>+C132+D132+E132+H132+F132+G132</f>
        <v>10209080</v>
      </c>
      <c r="J132" s="20"/>
      <c r="K132" s="20">
        <v>10813054</v>
      </c>
      <c r="L132" s="20">
        <f>+I132+J132</f>
        <v>10209080</v>
      </c>
      <c r="M132" s="20">
        <f>L132-K132</f>
        <v>-603974</v>
      </c>
      <c r="N132" s="19">
        <f>L132/K132</f>
        <v>0.94414399484179035</v>
      </c>
    </row>
    <row r="133" spans="2:14" s="31" customFormat="1" ht="15" hidden="1" outlineLevel="1" x14ac:dyDescent="0.25">
      <c r="B133" s="39" t="s">
        <v>56</v>
      </c>
      <c r="C133" s="41"/>
      <c r="D133" s="40">
        <f>59401471-9858437</f>
        <v>49543034</v>
      </c>
      <c r="E133" s="17"/>
      <c r="F133" s="17"/>
      <c r="G133" s="17"/>
      <c r="H133" s="17"/>
      <c r="I133" s="20">
        <f>+C133+D133+E133+H133+F133+G133</f>
        <v>49543034</v>
      </c>
      <c r="J133" s="20"/>
      <c r="K133" s="20">
        <v>59401471</v>
      </c>
      <c r="L133" s="20">
        <f>+I133+J133</f>
        <v>49543034</v>
      </c>
      <c r="M133" s="20">
        <f>L133-K133</f>
        <v>-9858437</v>
      </c>
      <c r="N133" s="19">
        <f>L133/K133</f>
        <v>0.83403715709329829</v>
      </c>
    </row>
    <row r="134" spans="2:14" s="31" customFormat="1" ht="15" hidden="1" outlineLevel="1" x14ac:dyDescent="0.25">
      <c r="B134" s="39" t="s">
        <v>55</v>
      </c>
      <c r="C134" s="16"/>
      <c r="D134" s="38">
        <f>+D135+D137</f>
        <v>0</v>
      </c>
      <c r="E134" s="17"/>
      <c r="F134" s="17"/>
      <c r="G134" s="17"/>
      <c r="H134" s="17"/>
      <c r="I134" s="20">
        <f>+C134+D134+E134+H134+F134+G134</f>
        <v>0</v>
      </c>
      <c r="J134" s="20"/>
      <c r="K134" s="20">
        <v>0</v>
      </c>
      <c r="L134" s="20">
        <f>+I134+J134</f>
        <v>0</v>
      </c>
      <c r="M134" s="20">
        <f>L134-K134</f>
        <v>0</v>
      </c>
      <c r="N134" s="19">
        <v>0</v>
      </c>
    </row>
    <row r="135" spans="2:14" s="31" customFormat="1" ht="15" hidden="1" outlineLevel="2" x14ac:dyDescent="0.25">
      <c r="B135" s="32" t="s">
        <v>54</v>
      </c>
      <c r="C135" s="16"/>
      <c r="D135" s="20">
        <f>+D136</f>
        <v>0</v>
      </c>
      <c r="E135" s="17"/>
      <c r="F135" s="17"/>
      <c r="G135" s="17"/>
      <c r="H135" s="17"/>
      <c r="I135" s="20">
        <f>+I136</f>
        <v>0</v>
      </c>
      <c r="J135" s="20"/>
      <c r="K135" s="20">
        <v>0</v>
      </c>
      <c r="L135" s="20">
        <f>+L136</f>
        <v>0</v>
      </c>
      <c r="M135" s="20">
        <f>L135-K135</f>
        <v>0</v>
      </c>
      <c r="N135" s="19">
        <v>0</v>
      </c>
    </row>
    <row r="136" spans="2:14" s="31" customFormat="1" ht="15" hidden="1" outlineLevel="2" x14ac:dyDescent="0.25">
      <c r="B136" s="32" t="s">
        <v>53</v>
      </c>
      <c r="D136" s="20">
        <v>0</v>
      </c>
      <c r="E136" s="17"/>
      <c r="F136" s="17"/>
      <c r="G136" s="17"/>
      <c r="H136" s="17"/>
      <c r="I136" s="20">
        <f>+C136+D136+E136+H136+F136+G136</f>
        <v>0</v>
      </c>
      <c r="J136" s="20"/>
      <c r="K136" s="20">
        <v>0</v>
      </c>
      <c r="L136" s="20">
        <f>+I136+J136</f>
        <v>0</v>
      </c>
      <c r="M136" s="20">
        <f>L136-K136</f>
        <v>0</v>
      </c>
      <c r="N136" s="19">
        <v>0</v>
      </c>
    </row>
    <row r="137" spans="2:14" s="31" customFormat="1" ht="15" hidden="1" outlineLevel="2" x14ac:dyDescent="0.25">
      <c r="B137" s="32" t="s">
        <v>52</v>
      </c>
      <c r="C137" s="16"/>
      <c r="D137" s="20">
        <f>+D138</f>
        <v>0</v>
      </c>
      <c r="E137" s="17"/>
      <c r="F137" s="17"/>
      <c r="G137" s="17"/>
      <c r="H137" s="17"/>
      <c r="I137" s="20">
        <f>+C137+D137+E137+H137+F137+G137</f>
        <v>0</v>
      </c>
      <c r="J137" s="20"/>
      <c r="K137" s="20">
        <v>0</v>
      </c>
      <c r="L137" s="20">
        <f>+I137+J137</f>
        <v>0</v>
      </c>
      <c r="M137" s="20">
        <f>L137-K137</f>
        <v>0</v>
      </c>
      <c r="N137" s="19">
        <v>0</v>
      </c>
    </row>
    <row r="138" spans="2:14" s="31" customFormat="1" ht="15" hidden="1" outlineLevel="2" x14ac:dyDescent="0.25">
      <c r="B138" s="32" t="s">
        <v>51</v>
      </c>
      <c r="D138" s="21">
        <v>0</v>
      </c>
      <c r="E138" s="17"/>
      <c r="F138" s="17"/>
      <c r="G138" s="17"/>
      <c r="H138" s="17"/>
      <c r="I138" s="20">
        <f>+C138+D138+E138+H138+F138+G138</f>
        <v>0</v>
      </c>
      <c r="J138" s="20"/>
      <c r="K138" s="20">
        <v>0</v>
      </c>
      <c r="L138" s="20">
        <f>+I138+J138</f>
        <v>0</v>
      </c>
      <c r="M138" s="20">
        <f>L138-K138</f>
        <v>0</v>
      </c>
      <c r="N138" s="19">
        <v>0</v>
      </c>
    </row>
    <row r="139" spans="2:14" s="31" customFormat="1" ht="15.75" customHeight="1" collapsed="1" x14ac:dyDescent="0.25">
      <c r="B139" s="37" t="s">
        <v>50</v>
      </c>
      <c r="C139" s="35"/>
      <c r="D139" s="17">
        <f>SUM(D140:D142)</f>
        <v>201082427</v>
      </c>
      <c r="E139" s="17"/>
      <c r="F139" s="17"/>
      <c r="G139" s="17"/>
      <c r="H139" s="17"/>
      <c r="I139" s="17">
        <f>SUM(I140:I142)</f>
        <v>201082427</v>
      </c>
      <c r="J139" s="17"/>
      <c r="K139" s="17">
        <v>212299211</v>
      </c>
      <c r="L139" s="17">
        <f>SUM(L140:L142)</f>
        <v>201082427</v>
      </c>
      <c r="M139" s="16">
        <f>L139-K139</f>
        <v>-11216784</v>
      </c>
      <c r="N139" s="15">
        <f>L139/K139</f>
        <v>0.94716521108502849</v>
      </c>
    </row>
    <row r="140" spans="2:14" s="31" customFormat="1" ht="15" hidden="1" outlineLevel="1" x14ac:dyDescent="0.25">
      <c r="B140" s="32" t="s">
        <v>49</v>
      </c>
      <c r="C140" s="35"/>
      <c r="D140" s="20">
        <f>29700000-3352913</f>
        <v>26347087</v>
      </c>
      <c r="E140" s="17"/>
      <c r="F140" s="17"/>
      <c r="G140" s="17"/>
      <c r="H140" s="17"/>
      <c r="I140" s="20">
        <f>+C140+D140+E140+H140+F140+G140</f>
        <v>26347087</v>
      </c>
      <c r="J140" s="20"/>
      <c r="K140" s="20">
        <v>29700000</v>
      </c>
      <c r="L140" s="20">
        <f>+I140+J140</f>
        <v>26347087</v>
      </c>
      <c r="M140" s="20">
        <f>L140-K140</f>
        <v>-3352913</v>
      </c>
      <c r="N140" s="19">
        <f>L140/K140</f>
        <v>0.88710730639730639</v>
      </c>
    </row>
    <row r="141" spans="2:14" s="31" customFormat="1" ht="29.25" hidden="1" outlineLevel="1" x14ac:dyDescent="0.25">
      <c r="B141" s="34" t="s">
        <v>48</v>
      </c>
      <c r="C141" s="35"/>
      <c r="D141" s="20">
        <f>162715272-2005693</f>
        <v>160709579</v>
      </c>
      <c r="E141" s="17"/>
      <c r="F141" s="17"/>
      <c r="G141" s="17"/>
      <c r="H141" s="17"/>
      <c r="I141" s="20">
        <f>+C141+D141+E141+H141+F141+G141</f>
        <v>160709579</v>
      </c>
      <c r="J141" s="20"/>
      <c r="K141" s="20">
        <v>162715272</v>
      </c>
      <c r="L141" s="20">
        <f>+I141+J141</f>
        <v>160709579</v>
      </c>
      <c r="M141" s="20">
        <f>L141-K141</f>
        <v>-2005693</v>
      </c>
      <c r="N141" s="19">
        <f>L141/K141</f>
        <v>0.98767360324973064</v>
      </c>
    </row>
    <row r="142" spans="2:14" s="31" customFormat="1" ht="15" hidden="1" outlineLevel="1" x14ac:dyDescent="0.25">
      <c r="B142" s="32" t="s">
        <v>47</v>
      </c>
      <c r="C142" s="35"/>
      <c r="D142" s="20">
        <f>19883939-5858178</f>
        <v>14025761</v>
      </c>
      <c r="E142" s="17"/>
      <c r="F142" s="17"/>
      <c r="G142" s="17"/>
      <c r="H142" s="17"/>
      <c r="I142" s="20">
        <f>+C142+D142+E142+H142+F142+G142</f>
        <v>14025761</v>
      </c>
      <c r="J142" s="20"/>
      <c r="K142" s="20">
        <v>19883939</v>
      </c>
      <c r="L142" s="20">
        <f>+I142+J142</f>
        <v>14025761</v>
      </c>
      <c r="M142" s="20">
        <f>L142-K142</f>
        <v>-5858178</v>
      </c>
      <c r="N142" s="19">
        <f>L142/K142</f>
        <v>0.70538141361226259</v>
      </c>
    </row>
    <row r="143" spans="2:14" s="31" customFormat="1" ht="15" collapsed="1" x14ac:dyDescent="0.25">
      <c r="B143" s="33" t="s">
        <v>46</v>
      </c>
      <c r="C143" s="36"/>
      <c r="D143" s="16">
        <f>SUM(D144:D146)</f>
        <v>126187331</v>
      </c>
      <c r="E143" s="17"/>
      <c r="F143" s="17"/>
      <c r="G143" s="17"/>
      <c r="H143" s="17"/>
      <c r="I143" s="16">
        <f>SUM(I144:I146)</f>
        <v>126187331</v>
      </c>
      <c r="J143" s="17"/>
      <c r="K143" s="17">
        <v>137897920</v>
      </c>
      <c r="L143" s="16">
        <f>SUM(L144:L146)</f>
        <v>126187331</v>
      </c>
      <c r="M143" s="16">
        <f>L143-K143</f>
        <v>-11710589</v>
      </c>
      <c r="N143" s="15">
        <f>L143/K143</f>
        <v>0.91507784163822048</v>
      </c>
    </row>
    <row r="144" spans="2:14" s="31" customFormat="1" ht="15" hidden="1" outlineLevel="1" x14ac:dyDescent="0.25">
      <c r="B144" s="32" t="s">
        <v>45</v>
      </c>
      <c r="C144" s="35"/>
      <c r="D144" s="20">
        <f>11656221-1765306</f>
        <v>9890915</v>
      </c>
      <c r="E144" s="17"/>
      <c r="F144" s="17"/>
      <c r="G144" s="17"/>
      <c r="H144" s="17"/>
      <c r="I144" s="20">
        <f>+C144+D144+E144+H144+F144+G144</f>
        <v>9890915</v>
      </c>
      <c r="J144" s="20"/>
      <c r="K144" s="20">
        <v>11656221</v>
      </c>
      <c r="L144" s="20">
        <f>+I144+J144</f>
        <v>9890915</v>
      </c>
      <c r="M144" s="20">
        <f>L144-K144</f>
        <v>-1765306</v>
      </c>
      <c r="N144" s="19">
        <f>L144/K144</f>
        <v>0.8485524596693903</v>
      </c>
    </row>
    <row r="145" spans="2:14" s="31" customFormat="1" ht="15" hidden="1" outlineLevel="1" x14ac:dyDescent="0.25">
      <c r="B145" s="32" t="s">
        <v>44</v>
      </c>
      <c r="C145" s="35"/>
      <c r="D145" s="20">
        <f>103141699-4786173</f>
        <v>98355526</v>
      </c>
      <c r="E145" s="17"/>
      <c r="F145" s="17"/>
      <c r="G145" s="17"/>
      <c r="H145" s="17"/>
      <c r="I145" s="20">
        <f>+C145+D145+E145+H145+F145+G145</f>
        <v>98355526</v>
      </c>
      <c r="J145" s="20"/>
      <c r="K145" s="20">
        <v>103141699</v>
      </c>
      <c r="L145" s="20">
        <f>+I145+J145</f>
        <v>98355526</v>
      </c>
      <c r="M145" s="20">
        <f>L145-K145</f>
        <v>-4786173</v>
      </c>
      <c r="N145" s="19">
        <f>L145/K145</f>
        <v>0.95359613961759537</v>
      </c>
    </row>
    <row r="146" spans="2:14" s="31" customFormat="1" ht="15" hidden="1" outlineLevel="1" x14ac:dyDescent="0.25">
      <c r="B146" s="32" t="s">
        <v>43</v>
      </c>
      <c r="C146" s="35"/>
      <c r="D146" s="20">
        <f>23100000-5159110</f>
        <v>17940890</v>
      </c>
      <c r="E146" s="17"/>
      <c r="F146" s="17"/>
      <c r="G146" s="17"/>
      <c r="H146" s="17"/>
      <c r="I146" s="20">
        <f>+C146+D146+E146+H146+F146+G146</f>
        <v>17940890</v>
      </c>
      <c r="J146" s="20"/>
      <c r="K146" s="20">
        <v>23100000</v>
      </c>
      <c r="L146" s="20">
        <f>+I146+J146</f>
        <v>17940890</v>
      </c>
      <c r="M146" s="20">
        <f>L146-K146</f>
        <v>-5159110</v>
      </c>
      <c r="N146" s="19">
        <f>L146/K146</f>
        <v>0.77666190476190478</v>
      </c>
    </row>
    <row r="147" spans="2:14" s="31" customFormat="1" ht="15" collapsed="1" x14ac:dyDescent="0.25">
      <c r="B147" s="32"/>
      <c r="C147" s="35"/>
      <c r="D147" s="17"/>
      <c r="E147" s="17"/>
      <c r="F147" s="17"/>
      <c r="G147" s="17"/>
      <c r="H147" s="17"/>
      <c r="I147" s="20"/>
      <c r="J147" s="20"/>
      <c r="K147" s="20"/>
      <c r="L147" s="20"/>
      <c r="M147" s="20"/>
      <c r="N147" s="19"/>
    </row>
    <row r="148" spans="2:14" s="31" customFormat="1" ht="15" x14ac:dyDescent="0.25">
      <c r="B148" s="33" t="s">
        <v>42</v>
      </c>
      <c r="C148" s="35"/>
      <c r="D148" s="17"/>
      <c r="E148" s="17">
        <f>+E149+E153+E167</f>
        <v>421457324</v>
      </c>
      <c r="F148" s="17"/>
      <c r="G148" s="17"/>
      <c r="H148" s="17"/>
      <c r="I148" s="17">
        <f>+I149+I153+I167</f>
        <v>421457324</v>
      </c>
      <c r="J148" s="17"/>
      <c r="K148" s="17">
        <v>547125000</v>
      </c>
      <c r="L148" s="17">
        <f>+L149+L153+L167</f>
        <v>421457324</v>
      </c>
      <c r="M148" s="16">
        <f>L148-K148</f>
        <v>-125667676</v>
      </c>
      <c r="N148" s="15">
        <f>L148/K148</f>
        <v>0.77031267809001602</v>
      </c>
    </row>
    <row r="149" spans="2:14" s="31" customFormat="1" ht="15" x14ac:dyDescent="0.25">
      <c r="B149" s="33" t="s">
        <v>41</v>
      </c>
      <c r="C149" s="17"/>
      <c r="D149" s="17"/>
      <c r="E149" s="17">
        <f>SUM(E150:E152)</f>
        <v>159829510</v>
      </c>
      <c r="F149" s="17"/>
      <c r="G149" s="17"/>
      <c r="H149" s="17"/>
      <c r="I149" s="17">
        <f>SUM(I150:I152)</f>
        <v>159829510</v>
      </c>
      <c r="J149" s="17"/>
      <c r="K149" s="17">
        <v>175000000</v>
      </c>
      <c r="L149" s="17">
        <f>SUM(L150:L152)</f>
        <v>159829510</v>
      </c>
      <c r="M149" s="16">
        <f>L149-K149</f>
        <v>-15170490</v>
      </c>
      <c r="N149" s="15">
        <f>L149/K149</f>
        <v>0.91331148571428566</v>
      </c>
    </row>
    <row r="150" spans="2:14" s="31" customFormat="1" ht="15" hidden="1" outlineLevel="1" x14ac:dyDescent="0.25">
      <c r="B150" s="32" t="s">
        <v>40</v>
      </c>
      <c r="C150" s="17"/>
      <c r="D150" s="17"/>
      <c r="E150" s="20">
        <f>168000000-2500000-14935249</f>
        <v>150564751</v>
      </c>
      <c r="F150" s="17"/>
      <c r="G150" s="17"/>
      <c r="H150" s="17"/>
      <c r="I150" s="20">
        <f>+C150+D150+E150+H150+F150+G150</f>
        <v>150564751</v>
      </c>
      <c r="J150" s="20"/>
      <c r="K150" s="20">
        <v>165500000</v>
      </c>
      <c r="L150" s="20">
        <f>+I150+J150</f>
        <v>150564751</v>
      </c>
      <c r="M150" s="20">
        <f>L150-K150</f>
        <v>-14935249</v>
      </c>
      <c r="N150" s="19">
        <f>L150/K150</f>
        <v>0.9097568036253777</v>
      </c>
    </row>
    <row r="151" spans="2:14" s="31" customFormat="1" ht="15" hidden="1" outlineLevel="1" x14ac:dyDescent="0.25">
      <c r="B151" s="32" t="s">
        <v>39</v>
      </c>
      <c r="C151" s="17"/>
      <c r="D151" s="17"/>
      <c r="E151" s="20">
        <f>7000000+2500000-235241</f>
        <v>9264759</v>
      </c>
      <c r="F151" s="17"/>
      <c r="G151" s="17"/>
      <c r="H151" s="17"/>
      <c r="I151" s="20">
        <f>+C151+D151+E151+H151+F151+G151</f>
        <v>9264759</v>
      </c>
      <c r="J151" s="20"/>
      <c r="K151" s="20">
        <v>9500000</v>
      </c>
      <c r="L151" s="20">
        <f>+I151+J151</f>
        <v>9264759</v>
      </c>
      <c r="M151" s="20">
        <f>L151-K151</f>
        <v>-235241</v>
      </c>
      <c r="N151" s="19">
        <f>L151/K151</f>
        <v>0.97523778947368422</v>
      </c>
    </row>
    <row r="152" spans="2:14" s="31" customFormat="1" ht="15" hidden="1" outlineLevel="1" x14ac:dyDescent="0.25">
      <c r="B152" s="32" t="s">
        <v>38</v>
      </c>
      <c r="C152" s="17"/>
      <c r="D152" s="17"/>
      <c r="E152" s="20"/>
      <c r="F152" s="17"/>
      <c r="G152" s="17"/>
      <c r="H152" s="17"/>
      <c r="I152" s="20">
        <f>+C152+D152+E152+H152+F152+G152</f>
        <v>0</v>
      </c>
      <c r="J152" s="20"/>
      <c r="K152" s="20">
        <v>0</v>
      </c>
      <c r="L152" s="20">
        <f>+I152+J152</f>
        <v>0</v>
      </c>
      <c r="M152" s="20">
        <f>L152-K152</f>
        <v>0</v>
      </c>
      <c r="N152" s="19">
        <v>0</v>
      </c>
    </row>
    <row r="153" spans="2:14" s="31" customFormat="1" ht="15" collapsed="1" x14ac:dyDescent="0.25">
      <c r="B153" s="33" t="s">
        <v>37</v>
      </c>
      <c r="C153" s="17"/>
      <c r="D153" s="17"/>
      <c r="E153" s="17">
        <f>+E154+E161</f>
        <v>73135439</v>
      </c>
      <c r="F153" s="17"/>
      <c r="G153" s="17"/>
      <c r="H153" s="17"/>
      <c r="I153" s="17">
        <f>+I154+I161</f>
        <v>73135439</v>
      </c>
      <c r="J153" s="17"/>
      <c r="K153" s="17">
        <v>138125000</v>
      </c>
      <c r="L153" s="17">
        <f>+L154+L161</f>
        <v>73135439</v>
      </c>
      <c r="M153" s="16">
        <f>L153-K153</f>
        <v>-64989561</v>
      </c>
      <c r="N153" s="15">
        <f>L153/K153</f>
        <v>0.52948734117647056</v>
      </c>
    </row>
    <row r="154" spans="2:14" s="31" customFormat="1" ht="15" hidden="1" outlineLevel="1" x14ac:dyDescent="0.25">
      <c r="B154" s="33" t="s">
        <v>36</v>
      </c>
      <c r="C154" s="17"/>
      <c r="D154" s="17"/>
      <c r="E154" s="17">
        <f>SUM(E155:E160)</f>
        <v>36467820</v>
      </c>
      <c r="F154" s="17"/>
      <c r="G154" s="17"/>
      <c r="H154" s="17"/>
      <c r="I154" s="17">
        <f>SUM(I155:I160)</f>
        <v>36467820</v>
      </c>
      <c r="J154" s="17"/>
      <c r="K154" s="17">
        <v>61125000</v>
      </c>
      <c r="L154" s="17">
        <f>SUM(L155:L160)</f>
        <v>36467820</v>
      </c>
      <c r="M154" s="16">
        <f>L154-K154</f>
        <v>-24657180</v>
      </c>
      <c r="N154" s="15">
        <f>L154/K154</f>
        <v>0.59661055214723924</v>
      </c>
    </row>
    <row r="155" spans="2:14" s="31" customFormat="1" ht="15" hidden="1" outlineLevel="2" x14ac:dyDescent="0.25">
      <c r="B155" s="32" t="str">
        <f>+[1]Hoja1!$A$23</f>
        <v>Gira técnica</v>
      </c>
      <c r="C155" s="17"/>
      <c r="D155" s="17"/>
      <c r="E155" s="20"/>
      <c r="F155" s="17"/>
      <c r="G155" s="17"/>
      <c r="H155" s="17"/>
      <c r="I155" s="20">
        <f>+C155+D155+E155+H155+F155+G155</f>
        <v>0</v>
      </c>
      <c r="J155" s="20"/>
      <c r="K155" s="20">
        <v>0</v>
      </c>
      <c r="L155" s="20">
        <f>+I155+J155</f>
        <v>0</v>
      </c>
      <c r="M155" s="20">
        <f>L155-K155</f>
        <v>0</v>
      </c>
      <c r="N155" s="19">
        <v>0</v>
      </c>
    </row>
    <row r="156" spans="2:14" s="31" customFormat="1" ht="15" hidden="1" outlineLevel="2" x14ac:dyDescent="0.25">
      <c r="B156" s="32" t="str">
        <f>+[1]Hoja1!$A$28</f>
        <v>Campus virtual</v>
      </c>
      <c r="C156" s="17"/>
      <c r="D156" s="17"/>
      <c r="E156" s="20">
        <f>13125000-6066600</f>
        <v>7058400</v>
      </c>
      <c r="F156" s="17"/>
      <c r="G156" s="17"/>
      <c r="H156" s="17"/>
      <c r="I156" s="20">
        <f>+C156+D156+E156+H156+F156+G156</f>
        <v>7058400</v>
      </c>
      <c r="J156" s="20"/>
      <c r="K156" s="20">
        <v>13125000</v>
      </c>
      <c r="L156" s="20">
        <f>+I156+J156</f>
        <v>7058400</v>
      </c>
      <c r="M156" s="20">
        <f>L156-K156</f>
        <v>-6066600</v>
      </c>
      <c r="N156" s="19">
        <f>L156/K156</f>
        <v>0.53778285714285712</v>
      </c>
    </row>
    <row r="157" spans="2:14" s="31" customFormat="1" ht="15" hidden="1" outlineLevel="2" x14ac:dyDescent="0.25">
      <c r="B157" s="32" t="str">
        <f>+[1]Hoja1!$A$30</f>
        <v>Encuentros regionales porcicolas</v>
      </c>
      <c r="C157" s="17"/>
      <c r="D157" s="17"/>
      <c r="E157" s="20">
        <f>18000000-4089950</f>
        <v>13910050</v>
      </c>
      <c r="F157" s="17"/>
      <c r="G157" s="17"/>
      <c r="H157" s="17"/>
      <c r="I157" s="20">
        <f>+C157+D157+E157+H157+F157+G157</f>
        <v>13910050</v>
      </c>
      <c r="J157" s="20"/>
      <c r="K157" s="20">
        <v>18000000</v>
      </c>
      <c r="L157" s="20">
        <f>+I157+J157</f>
        <v>13910050</v>
      </c>
      <c r="M157" s="20">
        <f>L157-K157</f>
        <v>-4089950</v>
      </c>
      <c r="N157" s="19">
        <f>L157/K157</f>
        <v>0.77278055555555558</v>
      </c>
    </row>
    <row r="158" spans="2:14" s="31" customFormat="1" ht="15" hidden="1" outlineLevel="2" x14ac:dyDescent="0.25">
      <c r="B158" s="32" t="s">
        <v>35</v>
      </c>
      <c r="C158" s="17"/>
      <c r="D158" s="17"/>
      <c r="E158" s="20">
        <f>12000000-1500630</f>
        <v>10499370</v>
      </c>
      <c r="F158" s="17"/>
      <c r="G158" s="17"/>
      <c r="H158" s="17"/>
      <c r="I158" s="20">
        <f>+C158+D158+E158+H158+F158+G158</f>
        <v>10499370</v>
      </c>
      <c r="J158" s="20"/>
      <c r="K158" s="20">
        <v>12000000</v>
      </c>
      <c r="L158" s="20">
        <f>+I158+J158</f>
        <v>10499370</v>
      </c>
      <c r="M158" s="20">
        <f>L158-K158</f>
        <v>-1500630</v>
      </c>
      <c r="N158" s="19">
        <f>L158/K158</f>
        <v>0.87494749999999999</v>
      </c>
    </row>
    <row r="159" spans="2:14" s="31" customFormat="1" ht="15" hidden="1" outlineLevel="2" x14ac:dyDescent="0.25">
      <c r="B159" s="32" t="s">
        <v>34</v>
      </c>
      <c r="C159" s="17"/>
      <c r="D159" s="17"/>
      <c r="E159" s="20">
        <f>18000000-13000000</f>
        <v>5000000</v>
      </c>
      <c r="F159" s="17"/>
      <c r="G159" s="17"/>
      <c r="H159" s="17"/>
      <c r="I159" s="20">
        <f>+C159+D159+E159+H159+F159+G159</f>
        <v>5000000</v>
      </c>
      <c r="J159" s="20"/>
      <c r="K159" s="20">
        <v>18000000</v>
      </c>
      <c r="L159" s="20">
        <f>+I159+J159</f>
        <v>5000000</v>
      </c>
      <c r="M159" s="20">
        <f>L159-K159</f>
        <v>-13000000</v>
      </c>
      <c r="N159" s="19">
        <f>L159/K159</f>
        <v>0.27777777777777779</v>
      </c>
    </row>
    <row r="160" spans="2:14" s="31" customFormat="1" ht="15" hidden="1" outlineLevel="2" x14ac:dyDescent="0.25">
      <c r="B160" s="32" t="s">
        <v>33</v>
      </c>
      <c r="C160" s="17"/>
      <c r="D160" s="17"/>
      <c r="E160" s="20"/>
      <c r="F160" s="17"/>
      <c r="G160" s="17"/>
      <c r="H160" s="17"/>
      <c r="I160" s="20">
        <f>+C160+D160+E160+H160+F160+G160</f>
        <v>0</v>
      </c>
      <c r="J160" s="20"/>
      <c r="K160" s="20">
        <v>0</v>
      </c>
      <c r="L160" s="20">
        <f>+I160+J160</f>
        <v>0</v>
      </c>
      <c r="M160" s="20">
        <f>L160-K160</f>
        <v>0</v>
      </c>
      <c r="N160" s="19">
        <v>0</v>
      </c>
    </row>
    <row r="161" spans="2:14" s="31" customFormat="1" ht="15" hidden="1" outlineLevel="1" x14ac:dyDescent="0.25">
      <c r="B161" s="33" t="s">
        <v>32</v>
      </c>
      <c r="C161" s="17"/>
      <c r="D161" s="17"/>
      <c r="E161" s="17">
        <f>SUM(E162:E166)</f>
        <v>36667619</v>
      </c>
      <c r="F161" s="17"/>
      <c r="G161" s="17"/>
      <c r="H161" s="17"/>
      <c r="I161" s="17">
        <f>SUM(I162:I166)</f>
        <v>36667619</v>
      </c>
      <c r="J161" s="17"/>
      <c r="K161" s="17">
        <v>77000000</v>
      </c>
      <c r="L161" s="17">
        <f>SUM(L162:L166)</f>
        <v>36667619</v>
      </c>
      <c r="M161" s="16">
        <f>L161-K161</f>
        <v>-40332381</v>
      </c>
      <c r="N161" s="15">
        <f>L161/K161</f>
        <v>0.47620284415584413</v>
      </c>
    </row>
    <row r="162" spans="2:14" s="31" customFormat="1" ht="15" hidden="1" outlineLevel="2" x14ac:dyDescent="0.25">
      <c r="B162" s="32" t="s">
        <v>31</v>
      </c>
      <c r="C162" s="17"/>
      <c r="D162" s="17"/>
      <c r="E162" s="20">
        <f>7000000-7000000</f>
        <v>0</v>
      </c>
      <c r="F162" s="17"/>
      <c r="G162" s="17"/>
      <c r="H162" s="17"/>
      <c r="I162" s="20">
        <f>+C162+D162+E162+H162+F162+G162</f>
        <v>0</v>
      </c>
      <c r="J162" s="20"/>
      <c r="K162" s="20">
        <v>7000000</v>
      </c>
      <c r="L162" s="20">
        <f>+I162+J162</f>
        <v>0</v>
      </c>
      <c r="M162" s="20">
        <f>L162-K162</f>
        <v>-7000000</v>
      </c>
      <c r="N162" s="19">
        <f>L162/K162</f>
        <v>0</v>
      </c>
    </row>
    <row r="163" spans="2:14" s="31" customFormat="1" ht="15" hidden="1" outlineLevel="2" x14ac:dyDescent="0.25">
      <c r="B163" s="34" t="s">
        <v>30</v>
      </c>
      <c r="C163" s="17"/>
      <c r="D163" s="17"/>
      <c r="E163" s="20"/>
      <c r="F163" s="17"/>
      <c r="G163" s="17"/>
      <c r="H163" s="17"/>
      <c r="I163" s="20">
        <f>+C163+D163+E163+H163+F163+G163</f>
        <v>0</v>
      </c>
      <c r="J163" s="20"/>
      <c r="K163" s="20">
        <v>0</v>
      </c>
      <c r="L163" s="20">
        <f>+I163+J163</f>
        <v>0</v>
      </c>
      <c r="M163" s="20">
        <f>L163-K163</f>
        <v>0</v>
      </c>
      <c r="N163" s="19">
        <v>0</v>
      </c>
    </row>
    <row r="164" spans="2:14" s="31" customFormat="1" ht="15" hidden="1" outlineLevel="2" x14ac:dyDescent="0.25">
      <c r="B164" s="34" t="s">
        <v>29</v>
      </c>
      <c r="C164" s="17"/>
      <c r="D164" s="17"/>
      <c r="E164" s="20"/>
      <c r="F164" s="17"/>
      <c r="G164" s="17"/>
      <c r="H164" s="17"/>
      <c r="I164" s="20">
        <f>+C164+D164+E164+H164+F164+G164</f>
        <v>0</v>
      </c>
      <c r="J164" s="20"/>
      <c r="K164" s="20">
        <v>0</v>
      </c>
      <c r="L164" s="20">
        <f>+I164+J164</f>
        <v>0</v>
      </c>
      <c r="M164" s="20">
        <f>L164-K164</f>
        <v>0</v>
      </c>
      <c r="N164" s="19">
        <v>0</v>
      </c>
    </row>
    <row r="165" spans="2:14" s="31" customFormat="1" ht="15" hidden="1" outlineLevel="2" x14ac:dyDescent="0.25">
      <c r="B165" s="34" t="s">
        <v>28</v>
      </c>
      <c r="C165" s="17"/>
      <c r="D165" s="17"/>
      <c r="E165" s="20">
        <f>30000000-30000000</f>
        <v>0</v>
      </c>
      <c r="F165" s="17"/>
      <c r="G165" s="17"/>
      <c r="H165" s="17"/>
      <c r="I165" s="20">
        <f>+C165+D165+E165+H165+F165+G165</f>
        <v>0</v>
      </c>
      <c r="J165" s="20"/>
      <c r="K165" s="20">
        <v>30000000</v>
      </c>
      <c r="L165" s="20">
        <f>+I165+J165</f>
        <v>0</v>
      </c>
      <c r="M165" s="20">
        <f>L165-K165</f>
        <v>-30000000</v>
      </c>
      <c r="N165" s="19">
        <f>L165/K165</f>
        <v>0</v>
      </c>
    </row>
    <row r="166" spans="2:14" s="31" customFormat="1" ht="15" hidden="1" outlineLevel="2" x14ac:dyDescent="0.25">
      <c r="B166" s="32" t="s">
        <v>27</v>
      </c>
      <c r="C166" s="17"/>
      <c r="D166" s="17"/>
      <c r="E166" s="20">
        <f>40000000-3332381</f>
        <v>36667619</v>
      </c>
      <c r="F166" s="17"/>
      <c r="G166" s="17"/>
      <c r="H166" s="17"/>
      <c r="I166" s="20">
        <f>+C166+D166+E166+H166+F166+G166</f>
        <v>36667619</v>
      </c>
      <c r="J166" s="20"/>
      <c r="K166" s="20">
        <v>40000000</v>
      </c>
      <c r="L166" s="20">
        <f>+I166+J166</f>
        <v>36667619</v>
      </c>
      <c r="M166" s="20">
        <f>L166-K166</f>
        <v>-3332381</v>
      </c>
      <c r="N166" s="19">
        <f>L166/K166</f>
        <v>0.916690475</v>
      </c>
    </row>
    <row r="167" spans="2:14" s="31" customFormat="1" ht="15" collapsed="1" x14ac:dyDescent="0.25">
      <c r="B167" s="33" t="s">
        <v>26</v>
      </c>
      <c r="C167" s="17"/>
      <c r="D167" s="17"/>
      <c r="E167" s="17">
        <f>+E168+E172+E176+E177</f>
        <v>188492375</v>
      </c>
      <c r="F167" s="17"/>
      <c r="G167" s="17"/>
      <c r="H167" s="17"/>
      <c r="I167" s="17">
        <f>+I168+I172+I176+I177</f>
        <v>188492375</v>
      </c>
      <c r="J167" s="17"/>
      <c r="K167" s="17">
        <v>234000000</v>
      </c>
      <c r="L167" s="17">
        <f>+L168+L172+L176+L177</f>
        <v>188492375</v>
      </c>
      <c r="M167" s="16">
        <f>L167-K167</f>
        <v>-45507625</v>
      </c>
      <c r="N167" s="15">
        <f>L167/K167</f>
        <v>0.80552297008547014</v>
      </c>
    </row>
    <row r="168" spans="2:14" s="31" customFormat="1" ht="15" hidden="1" outlineLevel="1" x14ac:dyDescent="0.25">
      <c r="B168" s="33" t="s">
        <v>25</v>
      </c>
      <c r="C168" s="17"/>
      <c r="D168" s="17"/>
      <c r="E168" s="17">
        <f>SUM(E169:E171)</f>
        <v>111360667</v>
      </c>
      <c r="F168" s="17"/>
      <c r="G168" s="17"/>
      <c r="H168" s="17"/>
      <c r="I168" s="17">
        <f>SUM(I169:I171)</f>
        <v>111360667</v>
      </c>
      <c r="J168" s="17"/>
      <c r="K168" s="17">
        <v>125000000</v>
      </c>
      <c r="L168" s="17">
        <f>SUM(L169:L171)</f>
        <v>111360667</v>
      </c>
      <c r="M168" s="16">
        <f>L168-K168</f>
        <v>-13639333</v>
      </c>
      <c r="N168" s="15">
        <f>L168/K168</f>
        <v>0.89088533599999997</v>
      </c>
    </row>
    <row r="169" spans="2:14" s="31" customFormat="1" ht="15" hidden="1" outlineLevel="2" x14ac:dyDescent="0.25">
      <c r="B169" s="32" t="s">
        <v>24</v>
      </c>
      <c r="C169" s="17"/>
      <c r="D169" s="17"/>
      <c r="E169" s="21">
        <f>30000000-3356646</f>
        <v>26643354</v>
      </c>
      <c r="F169" s="17"/>
      <c r="G169" s="17"/>
      <c r="H169" s="17"/>
      <c r="I169" s="20">
        <f>+C169+D169+E169+H169+F169+G169</f>
        <v>26643354</v>
      </c>
      <c r="J169" s="20"/>
      <c r="K169" s="20">
        <v>30000000</v>
      </c>
      <c r="L169" s="20">
        <f>+I169+J169</f>
        <v>26643354</v>
      </c>
      <c r="M169" s="20">
        <f>L169-K169</f>
        <v>-3356646</v>
      </c>
      <c r="N169" s="19">
        <f>L169/K169</f>
        <v>0.88811180000000001</v>
      </c>
    </row>
    <row r="170" spans="2:14" s="31" customFormat="1" ht="15" hidden="1" outlineLevel="2" x14ac:dyDescent="0.25">
      <c r="B170" s="32" t="str">
        <f>+[1]Hoja1!$A$43</f>
        <v>Compras de insumos</v>
      </c>
      <c r="C170" s="17"/>
      <c r="D170" s="17"/>
      <c r="E170" s="21">
        <f>80000000-200100</f>
        <v>79799900</v>
      </c>
      <c r="F170" s="17"/>
      <c r="G170" s="17"/>
      <c r="H170" s="17"/>
      <c r="I170" s="20">
        <f>+C170+D170+E170+H170+F170+G170</f>
        <v>79799900</v>
      </c>
      <c r="J170" s="20"/>
      <c r="K170" s="20">
        <v>80000000</v>
      </c>
      <c r="L170" s="20">
        <f>+I170+J170</f>
        <v>79799900</v>
      </c>
      <c r="M170" s="20">
        <f>L170-K170</f>
        <v>-200100</v>
      </c>
      <c r="N170" s="19">
        <f>L170/K170</f>
        <v>0.99749874999999999</v>
      </c>
    </row>
    <row r="171" spans="2:14" s="31" customFormat="1" ht="15" hidden="1" outlineLevel="2" x14ac:dyDescent="0.25">
      <c r="B171" s="32" t="str">
        <f>+[1]Hoja1!$A$44</f>
        <v>Diagnóstico importados</v>
      </c>
      <c r="C171" s="17"/>
      <c r="D171" s="17"/>
      <c r="E171" s="21">
        <f>15000000-10082587</f>
        <v>4917413</v>
      </c>
      <c r="F171" s="17"/>
      <c r="G171" s="17"/>
      <c r="H171" s="17"/>
      <c r="I171" s="20">
        <f>+C171+D171+E171+H171+F171+G171</f>
        <v>4917413</v>
      </c>
      <c r="J171" s="20"/>
      <c r="K171" s="20">
        <v>15000000</v>
      </c>
      <c r="L171" s="20">
        <f>+I171+J171</f>
        <v>4917413</v>
      </c>
      <c r="M171" s="20">
        <f>L171-K171</f>
        <v>-10082587</v>
      </c>
      <c r="N171" s="19">
        <f>L171/K171</f>
        <v>0.32782753333333331</v>
      </c>
    </row>
    <row r="172" spans="2:14" s="31" customFormat="1" ht="15" hidden="1" outlineLevel="1" x14ac:dyDescent="0.25">
      <c r="B172" s="33" t="s">
        <v>23</v>
      </c>
      <c r="C172" s="17"/>
      <c r="D172" s="17"/>
      <c r="E172" s="17">
        <f>SUM(E173:E175)</f>
        <v>68135480</v>
      </c>
      <c r="F172" s="17"/>
      <c r="G172" s="17"/>
      <c r="H172" s="17"/>
      <c r="I172" s="17">
        <f>SUM(I173:I175)</f>
        <v>68135480</v>
      </c>
      <c r="J172" s="17"/>
      <c r="K172" s="17">
        <v>79000000</v>
      </c>
      <c r="L172" s="17">
        <f>SUM(L173:L175)</f>
        <v>68135480</v>
      </c>
      <c r="M172" s="16">
        <f>L172-K172</f>
        <v>-10864520</v>
      </c>
      <c r="N172" s="15">
        <f>L172/K172</f>
        <v>0.8624744303797468</v>
      </c>
    </row>
    <row r="173" spans="2:14" s="31" customFormat="1" ht="15" hidden="1" outlineLevel="2" x14ac:dyDescent="0.25">
      <c r="B173" s="32" t="s">
        <v>22</v>
      </c>
      <c r="C173" s="17"/>
      <c r="D173" s="17"/>
      <c r="E173" s="21">
        <f>75000000-7404520</f>
        <v>67595480</v>
      </c>
      <c r="F173" s="17"/>
      <c r="G173" s="17"/>
      <c r="H173" s="17"/>
      <c r="I173" s="20">
        <f>+C173+D173+E173+H173+F173+G173</f>
        <v>67595480</v>
      </c>
      <c r="J173" s="20"/>
      <c r="K173" s="20">
        <v>75000000</v>
      </c>
      <c r="L173" s="20">
        <f>+I173+J173</f>
        <v>67595480</v>
      </c>
      <c r="M173" s="20">
        <f>L173-K173</f>
        <v>-7404520</v>
      </c>
      <c r="N173" s="19">
        <f>L173/K173</f>
        <v>0.90127306666666662</v>
      </c>
    </row>
    <row r="174" spans="2:14" s="31" customFormat="1" ht="15" hidden="1" outlineLevel="2" x14ac:dyDescent="0.25">
      <c r="B174" s="32" t="str">
        <f>+[1]Hoja1!$A$50</f>
        <v>Pruebas interlaboratorios</v>
      </c>
      <c r="C174" s="17"/>
      <c r="D174" s="17"/>
      <c r="E174" s="20"/>
      <c r="F174" s="20"/>
      <c r="G174" s="20"/>
      <c r="H174" s="20"/>
      <c r="I174" s="20">
        <f>+C174+D174+E174+H174+F174+G174</f>
        <v>0</v>
      </c>
      <c r="J174" s="20"/>
      <c r="K174" s="20">
        <v>0</v>
      </c>
      <c r="L174" s="20">
        <f>+I174+J174</f>
        <v>0</v>
      </c>
      <c r="M174" s="20">
        <f>L174-K174</f>
        <v>0</v>
      </c>
      <c r="N174" s="19">
        <v>0</v>
      </c>
    </row>
    <row r="175" spans="2:14" s="31" customFormat="1" ht="15" hidden="1" outlineLevel="2" x14ac:dyDescent="0.25">
      <c r="B175" s="32" t="str">
        <f>+[1]Hoja1!$A$51</f>
        <v>Promoción al diagnóstico</v>
      </c>
      <c r="C175" s="17"/>
      <c r="D175" s="17"/>
      <c r="E175" s="20">
        <f>4000000-3460000</f>
        <v>540000</v>
      </c>
      <c r="F175" s="20"/>
      <c r="G175" s="20"/>
      <c r="H175" s="20"/>
      <c r="I175" s="20">
        <f>+C175+D175+E175+H175+F175+G175</f>
        <v>540000</v>
      </c>
      <c r="J175" s="20"/>
      <c r="K175" s="20">
        <v>4000000</v>
      </c>
      <c r="L175" s="20">
        <f>+I175+J175</f>
        <v>540000</v>
      </c>
      <c r="M175" s="20">
        <f>L175-K175</f>
        <v>-3460000</v>
      </c>
      <c r="N175" s="19">
        <f>L175/K175</f>
        <v>0.13500000000000001</v>
      </c>
    </row>
    <row r="176" spans="2:14" s="31" customFormat="1" ht="15" hidden="1" outlineLevel="1" x14ac:dyDescent="0.25">
      <c r="B176" s="33" t="str">
        <f>+[1]Hoja1!$A$52</f>
        <v>Inocuidad y ambiente</v>
      </c>
      <c r="C176" s="17"/>
      <c r="D176" s="17"/>
      <c r="E176" s="17">
        <f>5000000-4780000</f>
        <v>220000</v>
      </c>
      <c r="F176" s="17"/>
      <c r="G176" s="17"/>
      <c r="H176" s="17"/>
      <c r="I176" s="16">
        <f>+C176+D176+E176+H176+F176+G176</f>
        <v>220000</v>
      </c>
      <c r="J176" s="16"/>
      <c r="K176" s="16">
        <v>5000000</v>
      </c>
      <c r="L176" s="16">
        <f>+I176+J176</f>
        <v>220000</v>
      </c>
      <c r="M176" s="16">
        <f>L176-K176</f>
        <v>-4780000</v>
      </c>
      <c r="N176" s="15">
        <f>L176/K176</f>
        <v>4.3999999999999997E-2</v>
      </c>
    </row>
    <row r="177" spans="2:15" s="31" customFormat="1" ht="15" hidden="1" outlineLevel="1" x14ac:dyDescent="0.25">
      <c r="B177" s="33" t="s">
        <v>21</v>
      </c>
      <c r="C177" s="17"/>
      <c r="D177" s="17"/>
      <c r="E177" s="17">
        <f>25000000-16223772</f>
        <v>8776228</v>
      </c>
      <c r="F177" s="17"/>
      <c r="G177" s="17"/>
      <c r="H177" s="17"/>
      <c r="I177" s="16">
        <f>+C177+D177+E177+H177+F177+G177</f>
        <v>8776228</v>
      </c>
      <c r="J177" s="16"/>
      <c r="K177" s="16">
        <v>25000000</v>
      </c>
      <c r="L177" s="16">
        <f>+I177+J177</f>
        <v>8776228</v>
      </c>
      <c r="M177" s="16">
        <f>L177-K177</f>
        <v>-16223772</v>
      </c>
      <c r="N177" s="15">
        <f>L177/K177</f>
        <v>0.35104911999999999</v>
      </c>
    </row>
    <row r="178" spans="2:15" s="31" customFormat="1" ht="15" collapsed="1" x14ac:dyDescent="0.25">
      <c r="B178" s="32"/>
      <c r="C178" s="17"/>
      <c r="D178" s="17"/>
      <c r="E178" s="17"/>
      <c r="F178" s="17"/>
      <c r="G178" s="17"/>
      <c r="H178" s="17"/>
      <c r="I178" s="21"/>
      <c r="J178" s="17"/>
      <c r="K178" s="17"/>
      <c r="L178" s="20"/>
      <c r="M178" s="16"/>
      <c r="N178" s="15"/>
    </row>
    <row r="179" spans="2:15" s="31" customFormat="1" ht="15" x14ac:dyDescent="0.25">
      <c r="B179" s="33" t="s">
        <v>20</v>
      </c>
      <c r="C179" s="17"/>
      <c r="D179" s="17"/>
      <c r="E179" s="17"/>
      <c r="F179" s="16">
        <f>+F180+F186</f>
        <v>19124024</v>
      </c>
      <c r="G179" s="16"/>
      <c r="H179" s="16"/>
      <c r="I179" s="16">
        <f>+I180+I186</f>
        <v>19124024</v>
      </c>
      <c r="J179" s="16"/>
      <c r="K179" s="16">
        <v>565018924</v>
      </c>
      <c r="L179" s="16">
        <f>+L180+L186</f>
        <v>19124024</v>
      </c>
      <c r="M179" s="16">
        <f>L179-K179</f>
        <v>-545894900</v>
      </c>
      <c r="N179" s="15">
        <f>L179/K179</f>
        <v>3.3846696433834846E-2</v>
      </c>
    </row>
    <row r="180" spans="2:15" s="31" customFormat="1" ht="15" x14ac:dyDescent="0.25">
      <c r="B180" s="33" t="s">
        <v>19</v>
      </c>
      <c r="C180" s="17"/>
      <c r="D180" s="17"/>
      <c r="E180" s="17"/>
      <c r="F180" s="17">
        <f>SUM(F181:F185)</f>
        <v>2465204</v>
      </c>
      <c r="G180" s="17"/>
      <c r="H180" s="17"/>
      <c r="I180" s="17">
        <f>SUM(I181:I185)</f>
        <v>2465204</v>
      </c>
      <c r="J180" s="17"/>
      <c r="K180" s="17">
        <v>506303000.00000006</v>
      </c>
      <c r="L180" s="17">
        <f>SUM(L181:L185)</f>
        <v>2465204</v>
      </c>
      <c r="M180" s="16">
        <f>L180-K180</f>
        <v>-503837796.00000006</v>
      </c>
      <c r="N180" s="15">
        <f>L180/K180</f>
        <v>4.8690290201717145E-3</v>
      </c>
    </row>
    <row r="181" spans="2:15" s="31" customFormat="1" ht="15" hidden="1" outlineLevel="1" x14ac:dyDescent="0.25">
      <c r="B181" s="32" t="s">
        <v>18</v>
      </c>
      <c r="C181" s="17"/>
      <c r="D181" s="17"/>
      <c r="E181" s="17"/>
      <c r="F181" s="20">
        <f>190500000-190500000</f>
        <v>0</v>
      </c>
      <c r="G181" s="17"/>
      <c r="H181" s="17"/>
      <c r="I181" s="20">
        <f>+C181+D181+E181+H181+F181+G181</f>
        <v>0</v>
      </c>
      <c r="J181" s="20"/>
      <c r="K181" s="20">
        <v>190500000.00000006</v>
      </c>
      <c r="L181" s="20">
        <f>+I181+J181</f>
        <v>0</v>
      </c>
      <c r="M181" s="20">
        <f>L181-K181</f>
        <v>-190500000.00000006</v>
      </c>
      <c r="N181" s="19">
        <f>L181/K181</f>
        <v>0</v>
      </c>
    </row>
    <row r="182" spans="2:15" s="31" customFormat="1" ht="15" hidden="1" outlineLevel="1" x14ac:dyDescent="0.25">
      <c r="B182" s="32" t="s">
        <v>17</v>
      </c>
      <c r="C182" s="17"/>
      <c r="D182" s="17"/>
      <c r="E182" s="17"/>
      <c r="F182" s="20">
        <f>111803000-111803000</f>
        <v>0</v>
      </c>
      <c r="G182" s="17"/>
      <c r="H182" s="17"/>
      <c r="I182" s="20">
        <f>+C182+D182+E182+H182+F182+G182</f>
        <v>0</v>
      </c>
      <c r="J182" s="20"/>
      <c r="K182" s="20">
        <v>111803000</v>
      </c>
      <c r="L182" s="20">
        <f>+I182+J182</f>
        <v>0</v>
      </c>
      <c r="M182" s="20">
        <f>L182-K182</f>
        <v>-111803000</v>
      </c>
      <c r="N182" s="19">
        <f>L182/K182</f>
        <v>0</v>
      </c>
    </row>
    <row r="183" spans="2:15" s="31" customFormat="1" ht="15" hidden="1" outlineLevel="1" x14ac:dyDescent="0.25">
      <c r="B183" s="32" t="s">
        <v>16</v>
      </c>
      <c r="C183" s="17"/>
      <c r="D183" s="17"/>
      <c r="E183" s="17"/>
      <c r="F183" s="20">
        <f>34000000-31534796</f>
        <v>2465204</v>
      </c>
      <c r="G183" s="17"/>
      <c r="H183" s="17"/>
      <c r="I183" s="20">
        <f>+C183+D183+E183+H183+F183+G183</f>
        <v>2465204</v>
      </c>
      <c r="J183" s="20"/>
      <c r="K183" s="20">
        <v>34000000</v>
      </c>
      <c r="L183" s="20">
        <f>+I183+J183</f>
        <v>2465204</v>
      </c>
      <c r="M183" s="20">
        <f>L183-K183</f>
        <v>-31534796</v>
      </c>
      <c r="N183" s="19">
        <f>L183/K183</f>
        <v>7.2506000000000001E-2</v>
      </c>
    </row>
    <row r="184" spans="2:15" s="31" customFormat="1" ht="15" hidden="1" outlineLevel="1" x14ac:dyDescent="0.25">
      <c r="B184" s="32" t="s">
        <v>15</v>
      </c>
      <c r="C184" s="17"/>
      <c r="D184" s="17"/>
      <c r="E184" s="17"/>
      <c r="F184" s="20">
        <f>30000000-30000000</f>
        <v>0</v>
      </c>
      <c r="G184" s="17"/>
      <c r="H184" s="17"/>
      <c r="I184" s="20">
        <f>+C184+D184+E184+H184+F184+G184</f>
        <v>0</v>
      </c>
      <c r="J184" s="20"/>
      <c r="K184" s="20">
        <v>30000000</v>
      </c>
      <c r="L184" s="20">
        <f>+I184+J184</f>
        <v>0</v>
      </c>
      <c r="M184" s="20">
        <f>L184-K184</f>
        <v>-30000000</v>
      </c>
      <c r="N184" s="19">
        <f>L184/K184</f>
        <v>0</v>
      </c>
    </row>
    <row r="185" spans="2:15" s="31" customFormat="1" ht="15" hidden="1" outlineLevel="1" x14ac:dyDescent="0.25">
      <c r="B185" s="32" t="s">
        <v>14</v>
      </c>
      <c r="C185" s="17"/>
      <c r="D185" s="17"/>
      <c r="E185" s="17"/>
      <c r="F185" s="20">
        <f>140000000-140000000</f>
        <v>0</v>
      </c>
      <c r="G185" s="17"/>
      <c r="H185" s="17"/>
      <c r="I185" s="20">
        <f>+C185+D185+E185+H185+F185+G185</f>
        <v>0</v>
      </c>
      <c r="J185" s="20"/>
      <c r="K185" s="20">
        <v>140000000</v>
      </c>
      <c r="L185" s="20">
        <f>+I185+J185</f>
        <v>0</v>
      </c>
      <c r="M185" s="20">
        <f>L185-K185</f>
        <v>-140000000</v>
      </c>
      <c r="N185" s="19">
        <f>L185/K185</f>
        <v>0</v>
      </c>
    </row>
    <row r="186" spans="2:15" s="31" customFormat="1" ht="15" collapsed="1" x14ac:dyDescent="0.25">
      <c r="B186" s="33" t="s">
        <v>13</v>
      </c>
      <c r="C186" s="17"/>
      <c r="D186" s="17"/>
      <c r="E186" s="17"/>
      <c r="F186" s="17">
        <f>SUM(F187:F190)</f>
        <v>16658820</v>
      </c>
      <c r="G186" s="17"/>
      <c r="H186" s="17"/>
      <c r="I186" s="17">
        <f>SUM(I187:I190)</f>
        <v>16658820</v>
      </c>
      <c r="J186" s="17"/>
      <c r="K186" s="17">
        <v>58715924</v>
      </c>
      <c r="L186" s="17">
        <f>SUM(L187:L190)</f>
        <v>16658820</v>
      </c>
      <c r="M186" s="16">
        <f>L186-K186</f>
        <v>-42057104</v>
      </c>
      <c r="N186" s="15">
        <f>L186/K186</f>
        <v>0.28371894479596371</v>
      </c>
    </row>
    <row r="187" spans="2:15" s="31" customFormat="1" ht="15" hidden="1" outlineLevel="1" x14ac:dyDescent="0.25">
      <c r="B187" s="32" t="s">
        <v>12</v>
      </c>
      <c r="C187" s="17"/>
      <c r="D187" s="17"/>
      <c r="E187" s="17"/>
      <c r="F187" s="20">
        <f>13636364-13636364</f>
        <v>0</v>
      </c>
      <c r="G187" s="17"/>
      <c r="H187" s="17"/>
      <c r="I187" s="20">
        <f>+C187+D187+E187+H187+F187+G187</f>
        <v>0</v>
      </c>
      <c r="J187" s="20"/>
      <c r="K187" s="20">
        <v>13636364</v>
      </c>
      <c r="L187" s="20">
        <f>+I187+J187</f>
        <v>0</v>
      </c>
      <c r="M187" s="20">
        <f>L187-K187</f>
        <v>-13636364</v>
      </c>
      <c r="N187" s="19">
        <f>L187/K187</f>
        <v>0</v>
      </c>
    </row>
    <row r="188" spans="2:15" s="31" customFormat="1" ht="15" hidden="1" outlineLevel="1" x14ac:dyDescent="0.25">
      <c r="B188" s="32" t="s">
        <v>11</v>
      </c>
      <c r="C188" s="17"/>
      <c r="D188" s="17"/>
      <c r="E188" s="17"/>
      <c r="F188" s="20">
        <f>27579560-23579560</f>
        <v>4000000</v>
      </c>
      <c r="G188" s="17"/>
      <c r="H188" s="17"/>
      <c r="I188" s="20">
        <f>+C188+D188+E188+H188+F188+G188</f>
        <v>4000000</v>
      </c>
      <c r="J188" s="20"/>
      <c r="K188" s="20">
        <v>27579560</v>
      </c>
      <c r="L188" s="20">
        <f>+I188+J188</f>
        <v>4000000</v>
      </c>
      <c r="M188" s="20">
        <f>L188-K188</f>
        <v>-23579560</v>
      </c>
      <c r="N188" s="19">
        <f>L188/K188</f>
        <v>0.14503494617027973</v>
      </c>
    </row>
    <row r="189" spans="2:15" s="31" customFormat="1" ht="15" hidden="1" outlineLevel="1" x14ac:dyDescent="0.25">
      <c r="B189" s="32" t="s">
        <v>10</v>
      </c>
      <c r="C189" s="17"/>
      <c r="D189" s="17"/>
      <c r="E189" s="17"/>
      <c r="F189" s="20"/>
      <c r="G189" s="17"/>
      <c r="H189" s="17"/>
      <c r="I189" s="20">
        <f>+C189+D189+E189+H189+F189+G189</f>
        <v>0</v>
      </c>
      <c r="J189" s="20"/>
      <c r="K189" s="20">
        <v>0</v>
      </c>
      <c r="L189" s="20">
        <f>+I189+J189</f>
        <v>0</v>
      </c>
      <c r="M189" s="20">
        <f>L189-K189</f>
        <v>0</v>
      </c>
      <c r="N189" s="19">
        <v>0</v>
      </c>
    </row>
    <row r="190" spans="2:15" s="31" customFormat="1" ht="15" hidden="1" outlineLevel="1" x14ac:dyDescent="0.25">
      <c r="B190" s="32" t="s">
        <v>9</v>
      </c>
      <c r="C190" s="17"/>
      <c r="D190" s="17"/>
      <c r="E190" s="17"/>
      <c r="F190" s="20">
        <f>17500000-4841180</f>
        <v>12658820</v>
      </c>
      <c r="G190" s="17"/>
      <c r="H190" s="17"/>
      <c r="I190" s="20">
        <f>+C190+D190+E190+H190+F190+G190</f>
        <v>12658820</v>
      </c>
      <c r="J190" s="20"/>
      <c r="K190" s="20">
        <v>17500000</v>
      </c>
      <c r="L190" s="20">
        <f>+I190+J190</f>
        <v>12658820</v>
      </c>
      <c r="M190" s="20">
        <f>L190-K190</f>
        <v>-4841180</v>
      </c>
      <c r="N190" s="19">
        <f>L190/K190</f>
        <v>0.72336114285714281</v>
      </c>
    </row>
    <row r="191" spans="2:15" s="31" customFormat="1" ht="15" collapsed="1" x14ac:dyDescent="0.25">
      <c r="B191" s="32"/>
      <c r="C191" s="21"/>
      <c r="D191" s="17"/>
      <c r="E191" s="17"/>
      <c r="F191" s="17"/>
      <c r="G191" s="17"/>
      <c r="H191" s="17"/>
      <c r="I191" s="20"/>
      <c r="J191" s="20"/>
      <c r="K191" s="20"/>
      <c r="L191" s="20"/>
      <c r="M191" s="20"/>
      <c r="N191" s="19"/>
    </row>
    <row r="192" spans="2:15" ht="15" x14ac:dyDescent="0.25">
      <c r="B192" s="27" t="s">
        <v>8</v>
      </c>
      <c r="C192" s="21"/>
      <c r="D192" s="21"/>
      <c r="E192" s="21"/>
      <c r="F192" s="21"/>
      <c r="G192" s="21"/>
      <c r="H192" s="21"/>
      <c r="I192" s="21"/>
      <c r="J192" s="17">
        <f>+J193+J194</f>
        <v>1062360627.2</v>
      </c>
      <c r="K192" s="17">
        <v>1065289065</v>
      </c>
      <c r="L192" s="17">
        <f>+J192+I192</f>
        <v>1062360627.2</v>
      </c>
      <c r="M192" s="16">
        <f>L192-K192</f>
        <v>-2928437.7999999523</v>
      </c>
      <c r="N192" s="15">
        <f>L192/K192</f>
        <v>0.99725103927542902</v>
      </c>
      <c r="O192" s="26"/>
    </row>
    <row r="193" spans="2:19" ht="14.25" hidden="1" outlineLevel="1" x14ac:dyDescent="0.2">
      <c r="B193" s="30" t="s">
        <v>7</v>
      </c>
      <c r="C193" s="21"/>
      <c r="D193" s="21"/>
      <c r="E193" s="21"/>
      <c r="F193" s="21"/>
      <c r="G193" s="21"/>
      <c r="H193" s="21"/>
      <c r="I193" s="21"/>
      <c r="J193" s="20">
        <v>663975391.75</v>
      </c>
      <c r="K193" s="20">
        <v>665805666</v>
      </c>
      <c r="L193" s="20">
        <f>+J193+I193</f>
        <v>663975391.75</v>
      </c>
      <c r="M193" s="20">
        <f>L193-K193</f>
        <v>-1830274.25</v>
      </c>
      <c r="N193" s="19">
        <f>L193/K193</f>
        <v>0.99725103833826489</v>
      </c>
    </row>
    <row r="194" spans="2:19" ht="14.25" hidden="1" outlineLevel="1" x14ac:dyDescent="0.2">
      <c r="B194" s="30" t="s">
        <v>6</v>
      </c>
      <c r="C194" s="21"/>
      <c r="D194" s="21"/>
      <c r="E194" s="21"/>
      <c r="F194" s="21"/>
      <c r="G194" s="21"/>
      <c r="H194" s="21"/>
      <c r="I194" s="21"/>
      <c r="J194" s="20">
        <v>398385235.45000005</v>
      </c>
      <c r="K194" s="20">
        <v>399483399</v>
      </c>
      <c r="L194" s="20">
        <f>+J194+I194</f>
        <v>398385235.45000005</v>
      </c>
      <c r="M194" s="20">
        <f>L194-K194</f>
        <v>-1098163.5499999523</v>
      </c>
      <c r="N194" s="19">
        <f>L194/K194</f>
        <v>0.99725104083736915</v>
      </c>
    </row>
    <row r="195" spans="2:19" ht="15" collapsed="1" x14ac:dyDescent="0.25">
      <c r="B195" s="18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16"/>
      <c r="N195" s="15"/>
    </row>
    <row r="196" spans="2:19" ht="15" x14ac:dyDescent="0.25">
      <c r="B196" s="29" t="s">
        <v>5</v>
      </c>
      <c r="C196" s="16"/>
      <c r="D196" s="16"/>
      <c r="E196" s="16"/>
      <c r="F196" s="16"/>
      <c r="G196" s="16"/>
      <c r="H196" s="16"/>
      <c r="I196" s="16"/>
      <c r="J196" s="16">
        <v>0</v>
      </c>
      <c r="K196" s="16">
        <v>0</v>
      </c>
      <c r="L196" s="16">
        <f>+J196</f>
        <v>0</v>
      </c>
      <c r="M196" s="16">
        <f>L196-K196</f>
        <v>0</v>
      </c>
      <c r="N196" s="15">
        <v>0</v>
      </c>
    </row>
    <row r="197" spans="2:19" ht="15" x14ac:dyDescent="0.25">
      <c r="B197" s="29"/>
      <c r="C197" s="16"/>
      <c r="D197" s="16"/>
      <c r="E197" s="16"/>
      <c r="F197" s="16"/>
      <c r="G197" s="16"/>
      <c r="H197" s="16"/>
      <c r="I197" s="16"/>
      <c r="J197" s="16"/>
      <c r="K197" s="16"/>
      <c r="L197" s="28"/>
      <c r="M197" s="16"/>
      <c r="N197" s="15"/>
    </row>
    <row r="198" spans="2:19" ht="15" x14ac:dyDescent="0.25">
      <c r="B198" s="29" t="s">
        <v>4</v>
      </c>
      <c r="C198" s="16"/>
      <c r="D198" s="16"/>
      <c r="E198" s="16"/>
      <c r="F198" s="16"/>
      <c r="G198" s="16"/>
      <c r="H198" s="16">
        <v>0</v>
      </c>
      <c r="I198" s="16">
        <f>+H198</f>
        <v>0</v>
      </c>
      <c r="J198" s="16"/>
      <c r="K198" s="16">
        <v>0</v>
      </c>
      <c r="L198" s="28">
        <f>+J198+I198</f>
        <v>0</v>
      </c>
      <c r="M198" s="16">
        <f>L198-K198</f>
        <v>0</v>
      </c>
      <c r="N198" s="15">
        <v>0</v>
      </c>
    </row>
    <row r="199" spans="2:19" ht="15" x14ac:dyDescent="0.25">
      <c r="B199" s="18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16"/>
      <c r="N199" s="15"/>
    </row>
    <row r="200" spans="2:19" ht="15" x14ac:dyDescent="0.25">
      <c r="B200" s="27" t="s">
        <v>3</v>
      </c>
      <c r="C200" s="21"/>
      <c r="D200" s="21"/>
      <c r="E200" s="21"/>
      <c r="F200" s="21"/>
      <c r="G200" s="21"/>
      <c r="H200" s="21"/>
      <c r="I200" s="17"/>
      <c r="J200" s="17">
        <f>+J201+J202</f>
        <v>0</v>
      </c>
      <c r="K200" s="17">
        <v>0</v>
      </c>
      <c r="L200" s="17">
        <f>+J200+I200</f>
        <v>0</v>
      </c>
      <c r="M200" s="16">
        <f>L200-K200</f>
        <v>0</v>
      </c>
      <c r="N200" s="15">
        <v>0</v>
      </c>
      <c r="P200" s="26"/>
    </row>
    <row r="201" spans="2:19" s="22" customFormat="1" ht="14.25" hidden="1" outlineLevel="1" x14ac:dyDescent="0.2">
      <c r="B201" s="24" t="s">
        <v>2</v>
      </c>
      <c r="C201" s="21"/>
      <c r="D201" s="21"/>
      <c r="E201" s="21"/>
      <c r="F201" s="21"/>
      <c r="G201" s="21"/>
      <c r="H201" s="21"/>
      <c r="I201" s="21"/>
      <c r="J201" s="21">
        <v>0</v>
      </c>
      <c r="K201" s="21">
        <v>0</v>
      </c>
      <c r="L201" s="20">
        <f>+J201+I201</f>
        <v>0</v>
      </c>
      <c r="M201" s="20">
        <f>L201-K201</f>
        <v>0</v>
      </c>
      <c r="N201" s="19">
        <v>0</v>
      </c>
      <c r="O201" s="25"/>
      <c r="P201" s="23"/>
    </row>
    <row r="202" spans="2:19" s="22" customFormat="1" ht="14.25" hidden="1" outlineLevel="1" x14ac:dyDescent="0.2">
      <c r="B202" s="24" t="s">
        <v>1</v>
      </c>
      <c r="C202" s="21"/>
      <c r="D202" s="21"/>
      <c r="E202" s="21"/>
      <c r="F202" s="21"/>
      <c r="G202" s="21"/>
      <c r="H202" s="21"/>
      <c r="I202" s="21"/>
      <c r="J202" s="21">
        <v>0</v>
      </c>
      <c r="K202" s="21">
        <v>0</v>
      </c>
      <c r="L202" s="20">
        <f>+J202+I202</f>
        <v>0</v>
      </c>
      <c r="M202" s="20">
        <f>L202-K202</f>
        <v>0</v>
      </c>
      <c r="N202" s="19">
        <v>0</v>
      </c>
      <c r="O202" s="23"/>
    </row>
    <row r="203" spans="2:19" ht="15" collapsed="1" x14ac:dyDescent="0.25">
      <c r="B203" s="18"/>
      <c r="C203" s="21"/>
      <c r="D203" s="21"/>
      <c r="E203" s="21"/>
      <c r="F203" s="21"/>
      <c r="G203" s="21"/>
      <c r="H203" s="21"/>
      <c r="I203" s="21"/>
      <c r="J203" s="21"/>
      <c r="K203" s="21"/>
      <c r="L203" s="20"/>
      <c r="M203" s="20"/>
      <c r="N203" s="19"/>
    </row>
    <row r="204" spans="2:19" ht="15" x14ac:dyDescent="0.25">
      <c r="B204" s="18" t="s">
        <v>0</v>
      </c>
      <c r="C204" s="17">
        <f>+C51+C49</f>
        <v>293783282.16776037</v>
      </c>
      <c r="D204" s="17">
        <f>+D49+D51</f>
        <v>851476926.92382514</v>
      </c>
      <c r="E204" s="17">
        <f>+E51+E49</f>
        <v>542600003.88599765</v>
      </c>
      <c r="F204" s="17">
        <f>+F51+F49</f>
        <v>34178747.532812215</v>
      </c>
      <c r="G204" s="17">
        <f>+G51+G49</f>
        <v>1695550717.6293955</v>
      </c>
      <c r="H204" s="17">
        <f>+H49+H51+H198</f>
        <v>3753528891.218955</v>
      </c>
      <c r="I204" s="17">
        <f>+C204+D204+E204+H204+F204+G204</f>
        <v>7171118569.3587465</v>
      </c>
      <c r="J204" s="17">
        <f>+J200+J192+J49+J196</f>
        <v>1555432281.7367375</v>
      </c>
      <c r="K204" s="17">
        <v>10818418544.792982</v>
      </c>
      <c r="L204" s="17">
        <f>+J204+I204+1</f>
        <v>8726550852.0954838</v>
      </c>
      <c r="M204" s="16">
        <f>L204-K204</f>
        <v>-2091867692.6974983</v>
      </c>
      <c r="N204" s="15">
        <f>L204/K204</f>
        <v>0.80663831002320241</v>
      </c>
    </row>
    <row r="205" spans="2:19" ht="15.75" thickBot="1" x14ac:dyDescent="0.3">
      <c r="B205" s="14"/>
      <c r="C205" s="13"/>
      <c r="D205" s="11"/>
      <c r="E205" s="11"/>
      <c r="F205" s="12"/>
      <c r="G205" s="11"/>
      <c r="H205" s="12"/>
      <c r="I205" s="11"/>
      <c r="J205" s="11"/>
      <c r="K205" s="11"/>
      <c r="L205" s="11"/>
      <c r="M205" s="11"/>
      <c r="N205" s="10"/>
      <c r="O205" s="9"/>
      <c r="P205" s="9"/>
      <c r="Q205" s="9"/>
      <c r="R205" s="9"/>
      <c r="S205" s="9"/>
    </row>
    <row r="206" spans="2:19" ht="13.5" thickTop="1" x14ac:dyDescent="0.2">
      <c r="B206" s="6"/>
      <c r="C206" s="4"/>
      <c r="D206" s="4"/>
      <c r="E206" s="4"/>
      <c r="F206" s="4"/>
      <c r="G206" s="4"/>
      <c r="H206" s="8"/>
      <c r="I206" s="6"/>
      <c r="J206" s="4"/>
      <c r="K206" s="4"/>
      <c r="L206" s="4"/>
      <c r="M206" s="4"/>
      <c r="N206" s="7"/>
    </row>
    <row r="207" spans="2:19" x14ac:dyDescent="0.2">
      <c r="B207" s="6"/>
      <c r="C207" s="4"/>
      <c r="D207" s="4"/>
      <c r="E207" s="4"/>
      <c r="F207" s="4"/>
      <c r="G207" s="4"/>
      <c r="H207" s="5"/>
      <c r="I207" s="4"/>
      <c r="J207" s="4"/>
      <c r="K207" s="4"/>
      <c r="L207" s="3"/>
      <c r="M207" s="2"/>
      <c r="N207" s="1"/>
    </row>
  </sheetData>
  <mergeCells count="4">
    <mergeCell ref="B1:N1"/>
    <mergeCell ref="B2:N2"/>
    <mergeCell ref="B3:N3"/>
    <mergeCell ref="B4:N4"/>
  </mergeCells>
  <printOptions horizontalCentered="1"/>
  <pageMargins left="0.59055118110236227" right="0.47244094488188981" top="0.98425196850393704" bottom="0.98425196850393704" header="0" footer="0"/>
  <pageSetup scale="47" fitToHeight="2" orientation="landscape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Jeymy Pilar</dc:creator>
  <cp:lastModifiedBy>Jeymy Pilar</cp:lastModifiedBy>
  <dcterms:created xsi:type="dcterms:W3CDTF">2020-07-21T14:15:50Z</dcterms:created>
  <dcterms:modified xsi:type="dcterms:W3CDTF">2020-07-21T14:16:43Z</dcterms:modified>
</cp:coreProperties>
</file>