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Año 2019\LEY 1712\EJECUCION PRESUPUESTAL HISTORICA ANUAL\2017\Gasto\"/>
    </mc:Choice>
  </mc:AlternateContent>
  <bookViews>
    <workbookView xWindow="0" yWindow="0" windowWidth="24000" windowHeight="9435"/>
  </bookViews>
  <sheets>
    <sheet name="Anexo 2 "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hidden="1">#REF!</definedName>
    <definedName name="ANEXO" hidden="1">'[2]Inversión total en programas'!$A$50:$IV$50,'[2]Inversión total en programas'!$A$60:$IV$63</definedName>
    <definedName name="_xlnm.Print_Area" localSheetId="0">'Anexo 2 '!$A$1:$M$205</definedName>
    <definedName name="_xlnm.Print_Area">#REF!</definedName>
    <definedName name="ASISCALLCENTER">#REF!</definedName>
    <definedName name="ASISCONTABPPC">#REF!</definedName>
    <definedName name="ASISDESPACHOS">#REF!</definedName>
    <definedName name="ASISICA">#REF!</definedName>
    <definedName name="AUXBODEGA">#REF!</definedName>
    <definedName name="cabezas">'[4]Anexo 1 Minagricultura'!#REF!</definedName>
    <definedName name="CABEZAS_PROYEC" localSheetId="0">'[5]Anexo 1 Minagricultura'!$C$46</definedName>
    <definedName name="CABEZAS_PROYEC">'[1]Anexo 1'!#REF!</definedName>
    <definedName name="CUOTAPPC2005" localSheetId="0">'[5]Anexo 1 Minagricultura'!#REF!</definedName>
    <definedName name="CUOTAPPC2005">'[1]Anexo 1'!#REF!</definedName>
    <definedName name="CUOTAPPC2013" localSheetId="0">'[5]Anexo 1 Minagricultura'!#REF!</definedName>
    <definedName name="CUOTAPPC2013">'[1]Anexo 1'!#REF!</definedName>
    <definedName name="CUOTAPPC203" localSheetId="0">'[5]Anexo 1 Minagricultura'!#REF!</definedName>
    <definedName name="CUOTAPPC203">'[1]Anexo 1'!#REF!</definedName>
    <definedName name="DIAG_PPC">#REF!</definedName>
    <definedName name="DISTRIBUIDOR">#REF!</definedName>
    <definedName name="Dólar" localSheetId="0">#REF!</definedName>
    <definedName name="Dólar">#REF!</definedName>
    <definedName name="eeeee" localSheetId="0">'[5]Ejecución ingresos 2014'!#REF!</definedName>
    <definedName name="eeeee">#REF!</definedName>
    <definedName name="EPPC" localSheetId="0">'[5]Anexo 1 Minagricultura'!$C$54</definedName>
    <definedName name="EPPC">'[1]Anexo 1'!#REF!</definedName>
    <definedName name="Euro" localSheetId="0">#REF!</definedName>
    <definedName name="Euro">#REF!</definedName>
    <definedName name="FDGFDG">#REF!</definedName>
    <definedName name="FECHA_DE_RECIBIDO">[6]BASE!$E$3:$E$177</definedName>
    <definedName name="FOMENTO" localSheetId="0">'[5]Anexo 1 Minagricultura'!$C$53</definedName>
    <definedName name="FOMENTO">'[1]Anexo 1'!#REF!</definedName>
    <definedName name="FOMENTOS">'[9]Anexo 1 Minagricultura'!$C$51</definedName>
    <definedName name="fondo">#REF!</definedName>
    <definedName name="GTOSEPPC">#REF!</definedName>
    <definedName name="HONORAUDI_JURIDIC">#REF!</definedName>
    <definedName name="HONTOTAL">#REF!</definedName>
    <definedName name="Incremento" localSheetId="0">#REF!</definedName>
    <definedName name="Incremento">#REF!</definedName>
    <definedName name="Inflación" localSheetId="0">#REF!</definedName>
    <definedName name="Inflación">#REF!</definedName>
    <definedName name="JORTIZ">#REF!</definedName>
    <definedName name="LABORATORIOS">#REF!</definedName>
    <definedName name="NOMBDISTRI">#REF!</definedName>
    <definedName name="ojo">#REF!</definedName>
    <definedName name="Pasajes" localSheetId="0">#REF!</definedName>
    <definedName name="Pasajes">#REF!</definedName>
    <definedName name="ppc">'[1]Anexo 1'!$B$16</definedName>
    <definedName name="RESERV_FUTU">#REF!</definedName>
    <definedName name="saldo" localSheetId="0">'[5]Ejecución ingresos 2014'!#REF!</definedName>
    <definedName name="saldo">#REF!</definedName>
    <definedName name="saldos" localSheetId="0">'[5]Ejecución ingresos 2014'!#REF!</definedName>
    <definedName name="saldos">#REF!</definedName>
    <definedName name="SUPERA2004" localSheetId="0">'[5]Anexo 1 Minagricultura'!#REF!</definedName>
    <definedName name="SUPERA2004">'[1]Anexo 1'!#REF!</definedName>
    <definedName name="SUPERA2005" localSheetId="0">'[5]Anexo 1 Minagricultura'!#REF!</definedName>
    <definedName name="SUPERA2005">'[1]Anexo 1'!#REF!</definedName>
    <definedName name="SUPERA2010">'[11]Anexo 1 Minagricultura'!$C$21</definedName>
    <definedName name="SUPERA2012" localSheetId="0">'[5]Anexo 1 Minagricultura'!#REF!</definedName>
    <definedName name="SUPERA2012">'[1]Anexo 1'!#REF!</definedName>
    <definedName name="SUPERAVIT">#REF!</definedName>
    <definedName name="SUPERAVIT2005_FNP">#REF!</definedName>
    <definedName name="SUPERAVITPPC_2005">#REF!</definedName>
    <definedName name="_xlnm.Print_Titles" localSheetId="0">'Anexo 2 '!$1:$6</definedName>
    <definedName name="_xlnm.Print_Titles">#REF!</definedName>
    <definedName name="VTAS2005">'[1]Anexo 1'!$B$33</definedName>
    <definedName name="xx">[12]Ingresos!$C$19</definedName>
    <definedName name="Z_4099E833_BB74_4680_85C9_A6CF399D1CE2_.wvu.Cols" hidden="1">#REF!,#REF!,#REF!,#REF!</definedName>
    <definedName name="Z_4099E833_BB74_4680_85C9_A6CF399D1CE2_.wvu.FilterData" hidden="1">#REF!</definedName>
    <definedName name="Z_4099E833_BB74_4680_85C9_A6CF399D1CE2_.wvu.PrintArea" hidden="1">#REF!</definedName>
    <definedName name="Z_4099E833_BB74_4680_85C9_A6CF399D1CE2_.wvu.PrintTitles" hidden="1">#REF!</definedName>
    <definedName name="Z_4099E833_BB74_4680_85C9_A6CF399D1CE2_.wvu.Rows" hidden="1">#REF!,#REF!</definedName>
    <definedName name="ZFRONTERA" localSheetId="0">'[14]Ingresos 2014'!#REF!</definedName>
    <definedName name="ZFRONTERA">'[14]Ingresos 2014'!#REF!</definedName>
  </definedNames>
  <calcPr calcId="152511"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0" i="1" l="1"/>
  <c r="J200" i="1"/>
  <c r="K200" i="1" s="1"/>
  <c r="H200" i="1"/>
  <c r="K199" i="1"/>
  <c r="L199" i="1" s="1"/>
  <c r="J199" i="1"/>
  <c r="H199" i="1"/>
  <c r="I198" i="1"/>
  <c r="J198" i="1" s="1"/>
  <c r="H198" i="1"/>
  <c r="J196" i="1"/>
  <c r="H196" i="1"/>
  <c r="J194" i="1"/>
  <c r="M194" i="1" s="1"/>
  <c r="M193" i="1"/>
  <c r="L193" i="1"/>
  <c r="J193" i="1"/>
  <c r="K192" i="1"/>
  <c r="J192" i="1"/>
  <c r="I192" i="1"/>
  <c r="M190" i="1"/>
  <c r="L190" i="1"/>
  <c r="H190" i="1"/>
  <c r="J190" i="1" s="1"/>
  <c r="H189" i="1"/>
  <c r="J189" i="1" s="1"/>
  <c r="M188" i="1"/>
  <c r="L188" i="1"/>
  <c r="H188" i="1"/>
  <c r="J188" i="1" s="1"/>
  <c r="J187" i="1"/>
  <c r="H187" i="1"/>
  <c r="H186" i="1"/>
  <c r="J186" i="1" s="1"/>
  <c r="L186" i="1" s="1"/>
  <c r="K185" i="1"/>
  <c r="J185" i="1"/>
  <c r="I185" i="1"/>
  <c r="E185" i="1"/>
  <c r="E184" i="1"/>
  <c r="E39" i="1" s="1"/>
  <c r="M182" i="1"/>
  <c r="J182" i="1"/>
  <c r="L182" i="1" s="1"/>
  <c r="H182" i="1"/>
  <c r="D182" i="1"/>
  <c r="H181" i="1"/>
  <c r="J181" i="1" s="1"/>
  <c r="D181" i="1"/>
  <c r="H180" i="1"/>
  <c r="J180" i="1" s="1"/>
  <c r="L180" i="1" s="1"/>
  <c r="D180" i="1"/>
  <c r="H179" i="1"/>
  <c r="J179" i="1" s="1"/>
  <c r="M179" i="1" s="1"/>
  <c r="H178" i="1"/>
  <c r="J178" i="1" s="1"/>
  <c r="D178" i="1"/>
  <c r="M177" i="1"/>
  <c r="J177" i="1"/>
  <c r="L177" i="1" s="1"/>
  <c r="H177" i="1"/>
  <c r="D177" i="1"/>
  <c r="K176" i="1"/>
  <c r="D176" i="1"/>
  <c r="D175" i="1"/>
  <c r="H175" i="1" s="1"/>
  <c r="J175" i="1" s="1"/>
  <c r="J174" i="1"/>
  <c r="H174" i="1"/>
  <c r="D174" i="1"/>
  <c r="H173" i="1"/>
  <c r="J173" i="1" s="1"/>
  <c r="D173" i="1"/>
  <c r="H172" i="1"/>
  <c r="J172" i="1" s="1"/>
  <c r="L172" i="1" s="1"/>
  <c r="D172" i="1"/>
  <c r="M171" i="1"/>
  <c r="L171" i="1"/>
  <c r="H171" i="1"/>
  <c r="J171" i="1" s="1"/>
  <c r="D170" i="1"/>
  <c r="K169" i="1"/>
  <c r="L167" i="1"/>
  <c r="J167" i="1"/>
  <c r="M167" i="1" s="1"/>
  <c r="H167" i="1"/>
  <c r="M166" i="1"/>
  <c r="J166" i="1"/>
  <c r="L166" i="1" s="1"/>
  <c r="H166" i="1"/>
  <c r="D166" i="1"/>
  <c r="J165" i="1"/>
  <c r="M165" i="1" s="1"/>
  <c r="H165" i="1"/>
  <c r="D165" i="1"/>
  <c r="M164" i="1"/>
  <c r="H164" i="1"/>
  <c r="J164" i="1" s="1"/>
  <c r="K163" i="1"/>
  <c r="H163" i="1"/>
  <c r="D163" i="1"/>
  <c r="L162" i="1"/>
  <c r="J162" i="1"/>
  <c r="M162" i="1" s="1"/>
  <c r="H162" i="1"/>
  <c r="J161" i="1"/>
  <c r="L161" i="1" s="1"/>
  <c r="H161" i="1"/>
  <c r="H160" i="1"/>
  <c r="J160" i="1" s="1"/>
  <c r="M160" i="1" s="1"/>
  <c r="D160" i="1"/>
  <c r="D159" i="1"/>
  <c r="H159" i="1" s="1"/>
  <c r="J159" i="1" s="1"/>
  <c r="M159" i="1" s="1"/>
  <c r="J158" i="1"/>
  <c r="M158" i="1" s="1"/>
  <c r="H158" i="1"/>
  <c r="L157" i="1"/>
  <c r="D157" i="1"/>
  <c r="H157" i="1" s="1"/>
  <c r="J157" i="1" s="1"/>
  <c r="D156" i="1"/>
  <c r="K155" i="1"/>
  <c r="M153" i="1"/>
  <c r="L153" i="1"/>
  <c r="H153" i="1"/>
  <c r="J153" i="1" s="1"/>
  <c r="H152" i="1"/>
  <c r="J152" i="1" s="1"/>
  <c r="L152" i="1" s="1"/>
  <c r="D152" i="1"/>
  <c r="H151" i="1"/>
  <c r="J151" i="1" s="1"/>
  <c r="L151" i="1" s="1"/>
  <c r="D151" i="1"/>
  <c r="D150" i="1" s="1"/>
  <c r="K150" i="1"/>
  <c r="M147" i="1"/>
  <c r="J147" i="1"/>
  <c r="L147" i="1" s="1"/>
  <c r="H147" i="1"/>
  <c r="K146" i="1"/>
  <c r="J146" i="1"/>
  <c r="L146" i="1" s="1"/>
  <c r="H146" i="1"/>
  <c r="C146" i="1"/>
  <c r="M145" i="1"/>
  <c r="H145" i="1"/>
  <c r="J145" i="1" s="1"/>
  <c r="L145" i="1" s="1"/>
  <c r="M144" i="1"/>
  <c r="L144" i="1"/>
  <c r="J144" i="1"/>
  <c r="H144" i="1"/>
  <c r="K143" i="1"/>
  <c r="J143" i="1"/>
  <c r="C143" i="1"/>
  <c r="H143" i="1" s="1"/>
  <c r="M142" i="1"/>
  <c r="J142" i="1"/>
  <c r="L142" i="1" s="1"/>
  <c r="H142" i="1"/>
  <c r="H141" i="1"/>
  <c r="J141" i="1" s="1"/>
  <c r="K140" i="1"/>
  <c r="C140" i="1"/>
  <c r="H140" i="1" s="1"/>
  <c r="C139" i="1"/>
  <c r="H139" i="1" s="1"/>
  <c r="J139" i="1" s="1"/>
  <c r="J138" i="1"/>
  <c r="H138" i="1"/>
  <c r="M137" i="1"/>
  <c r="L137" i="1"/>
  <c r="H137" i="1"/>
  <c r="J137" i="1" s="1"/>
  <c r="C137" i="1"/>
  <c r="L136" i="1"/>
  <c r="K136" i="1"/>
  <c r="J136" i="1"/>
  <c r="M133" i="1"/>
  <c r="J133" i="1"/>
  <c r="L133" i="1" s="1"/>
  <c r="H133" i="1"/>
  <c r="J132" i="1"/>
  <c r="M132" i="1" s="1"/>
  <c r="H132" i="1"/>
  <c r="J131" i="1"/>
  <c r="L131" i="1" s="1"/>
  <c r="H131" i="1"/>
  <c r="K130" i="1"/>
  <c r="H130" i="1"/>
  <c r="G130" i="1"/>
  <c r="H129" i="1"/>
  <c r="J129" i="1" s="1"/>
  <c r="L129" i="1" s="1"/>
  <c r="M128" i="1"/>
  <c r="L128" i="1"/>
  <c r="J128" i="1"/>
  <c r="J127" i="1" s="1"/>
  <c r="H128" i="1"/>
  <c r="K127" i="1"/>
  <c r="G127" i="1"/>
  <c r="J126" i="1"/>
  <c r="L126" i="1" s="1"/>
  <c r="H126" i="1"/>
  <c r="G126" i="1"/>
  <c r="H125" i="1"/>
  <c r="J125" i="1" s="1"/>
  <c r="G125" i="1"/>
  <c r="L124" i="1"/>
  <c r="J124" i="1"/>
  <c r="H124" i="1"/>
  <c r="H123" i="1"/>
  <c r="G123" i="1"/>
  <c r="M122" i="1"/>
  <c r="H122" i="1"/>
  <c r="J122" i="1" s="1"/>
  <c r="K121" i="1"/>
  <c r="G121" i="1"/>
  <c r="J120" i="1"/>
  <c r="M120" i="1" s="1"/>
  <c r="H120" i="1"/>
  <c r="M119" i="1"/>
  <c r="J119" i="1"/>
  <c r="L119" i="1" s="1"/>
  <c r="H119" i="1"/>
  <c r="K118" i="1"/>
  <c r="H118" i="1"/>
  <c r="G118" i="1"/>
  <c r="M117" i="1"/>
  <c r="H117" i="1"/>
  <c r="J117" i="1" s="1"/>
  <c r="L117" i="1" s="1"/>
  <c r="J116" i="1"/>
  <c r="J113" i="1" s="1"/>
  <c r="H116" i="1"/>
  <c r="M115" i="1"/>
  <c r="H115" i="1"/>
  <c r="J115" i="1" s="1"/>
  <c r="L115" i="1" s="1"/>
  <c r="M114" i="1"/>
  <c r="L114" i="1"/>
  <c r="J114" i="1"/>
  <c r="H114" i="1"/>
  <c r="K113" i="1"/>
  <c r="G113" i="1"/>
  <c r="G112" i="1" s="1"/>
  <c r="G39" i="1" s="1"/>
  <c r="J110" i="1"/>
  <c r="M110" i="1" s="1"/>
  <c r="H110" i="1"/>
  <c r="M109" i="1"/>
  <c r="H109" i="1"/>
  <c r="J109" i="1" s="1"/>
  <c r="L109" i="1" s="1"/>
  <c r="J108" i="1"/>
  <c r="H108" i="1"/>
  <c r="M107" i="1"/>
  <c r="H107" i="1"/>
  <c r="J107" i="1" s="1"/>
  <c r="L107" i="1" s="1"/>
  <c r="M106" i="1"/>
  <c r="K106" i="1"/>
  <c r="H106" i="1"/>
  <c r="J106" i="1" s="1"/>
  <c r="L106" i="1" s="1"/>
  <c r="F106" i="1"/>
  <c r="L105" i="1"/>
  <c r="J105" i="1"/>
  <c r="M105" i="1" s="1"/>
  <c r="H105" i="1"/>
  <c r="L104" i="1"/>
  <c r="H104" i="1"/>
  <c r="J104" i="1" s="1"/>
  <c r="H103" i="1"/>
  <c r="J103" i="1" s="1"/>
  <c r="M102" i="1"/>
  <c r="H102" i="1"/>
  <c r="J102" i="1" s="1"/>
  <c r="L102" i="1" s="1"/>
  <c r="H101" i="1"/>
  <c r="J101" i="1" s="1"/>
  <c r="F101" i="1"/>
  <c r="J100" i="1"/>
  <c r="L100" i="1" s="1"/>
  <c r="H100" i="1"/>
  <c r="F100" i="1"/>
  <c r="M99" i="1"/>
  <c r="J99" i="1"/>
  <c r="L99" i="1" s="1"/>
  <c r="H99" i="1"/>
  <c r="J98" i="1"/>
  <c r="L98" i="1" s="1"/>
  <c r="H98" i="1"/>
  <c r="H97" i="1"/>
  <c r="J97" i="1" s="1"/>
  <c r="J96" i="1"/>
  <c r="L96" i="1" s="1"/>
  <c r="H96" i="1"/>
  <c r="F96" i="1"/>
  <c r="H95" i="1"/>
  <c r="F95" i="1"/>
  <c r="K94" i="1"/>
  <c r="F94" i="1"/>
  <c r="J93" i="1"/>
  <c r="L93" i="1" s="1"/>
  <c r="H93" i="1"/>
  <c r="L92" i="1"/>
  <c r="J92" i="1"/>
  <c r="M92" i="1" s="1"/>
  <c r="H92" i="1"/>
  <c r="J91" i="1"/>
  <c r="H91" i="1"/>
  <c r="K90" i="1"/>
  <c r="H90" i="1"/>
  <c r="F90" i="1"/>
  <c r="H89" i="1"/>
  <c r="J89" i="1" s="1"/>
  <c r="J88" i="1"/>
  <c r="L88" i="1" s="1"/>
  <c r="H88" i="1"/>
  <c r="L87" i="1"/>
  <c r="J87" i="1"/>
  <c r="M87" i="1" s="1"/>
  <c r="H87" i="1"/>
  <c r="H86" i="1"/>
  <c r="J86" i="1" s="1"/>
  <c r="L85" i="1"/>
  <c r="J85" i="1"/>
  <c r="M85" i="1" s="1"/>
  <c r="H85" i="1"/>
  <c r="J84" i="1"/>
  <c r="H84" i="1"/>
  <c r="K83" i="1"/>
  <c r="F83" i="1"/>
  <c r="H82" i="1"/>
  <c r="J82" i="1" s="1"/>
  <c r="H81" i="1"/>
  <c r="J81" i="1" s="1"/>
  <c r="L81" i="1" s="1"/>
  <c r="H80" i="1"/>
  <c r="J80" i="1" s="1"/>
  <c r="L80" i="1" s="1"/>
  <c r="L79" i="1"/>
  <c r="J79" i="1"/>
  <c r="M79" i="1" s="1"/>
  <c r="H79" i="1"/>
  <c r="H78" i="1"/>
  <c r="J78" i="1" s="1"/>
  <c r="L78" i="1" s="1"/>
  <c r="J77" i="1"/>
  <c r="L77" i="1" s="1"/>
  <c r="H77" i="1"/>
  <c r="H76" i="1"/>
  <c r="K75" i="1"/>
  <c r="F75" i="1"/>
  <c r="J72" i="1"/>
  <c r="M72" i="1" s="1"/>
  <c r="H72" i="1"/>
  <c r="J71" i="1"/>
  <c r="L71" i="1" s="1"/>
  <c r="H71" i="1"/>
  <c r="K70" i="1"/>
  <c r="H70" i="1"/>
  <c r="B70" i="1"/>
  <c r="H69" i="1"/>
  <c r="J69" i="1" s="1"/>
  <c r="L69" i="1" s="1"/>
  <c r="B69" i="1"/>
  <c r="H68" i="1"/>
  <c r="J68" i="1" s="1"/>
  <c r="B68" i="1"/>
  <c r="H67" i="1"/>
  <c r="K66" i="1"/>
  <c r="B66" i="1"/>
  <c r="M65" i="1"/>
  <c r="J65" i="1"/>
  <c r="L65" i="1" s="1"/>
  <c r="B65" i="1"/>
  <c r="H65" i="1" s="1"/>
  <c r="J64" i="1"/>
  <c r="H64" i="1"/>
  <c r="H63" i="1"/>
  <c r="B63" i="1"/>
  <c r="B62" i="1" s="1"/>
  <c r="K62" i="1"/>
  <c r="B61" i="1"/>
  <c r="H61" i="1" s="1"/>
  <c r="J61" i="1" s="1"/>
  <c r="M60" i="1"/>
  <c r="L60" i="1"/>
  <c r="H60" i="1"/>
  <c r="J60" i="1" s="1"/>
  <c r="B60" i="1"/>
  <c r="B59" i="1"/>
  <c r="K58" i="1"/>
  <c r="H57" i="1"/>
  <c r="J57" i="1" s="1"/>
  <c r="M57" i="1" s="1"/>
  <c r="J56" i="1"/>
  <c r="H56" i="1"/>
  <c r="M55" i="1"/>
  <c r="H55" i="1"/>
  <c r="J55" i="1" s="1"/>
  <c r="L55" i="1" s="1"/>
  <c r="J54" i="1"/>
  <c r="H54" i="1"/>
  <c r="K53" i="1"/>
  <c r="J53" i="1"/>
  <c r="M53" i="1" s="1"/>
  <c r="H53" i="1"/>
  <c r="B53" i="1"/>
  <c r="H52" i="1"/>
  <c r="J52" i="1" s="1"/>
  <c r="K52" i="1" s="1"/>
  <c r="L51" i="1"/>
  <c r="J51" i="1"/>
  <c r="M51" i="1" s="1"/>
  <c r="H51" i="1"/>
  <c r="H50" i="1"/>
  <c r="J50" i="1" s="1"/>
  <c r="B49" i="1"/>
  <c r="B48" i="1" s="1"/>
  <c r="H48" i="1" s="1"/>
  <c r="J48" i="1" s="1"/>
  <c r="J45" i="1" s="1"/>
  <c r="H47" i="1"/>
  <c r="J47" i="1" s="1"/>
  <c r="L46" i="1"/>
  <c r="J46" i="1"/>
  <c r="M46" i="1" s="1"/>
  <c r="H46" i="1"/>
  <c r="H44" i="1"/>
  <c r="J44" i="1" s="1"/>
  <c r="L44" i="1" s="1"/>
  <c r="L43" i="1"/>
  <c r="J43" i="1"/>
  <c r="M43" i="1" s="1"/>
  <c r="H43" i="1"/>
  <c r="K42" i="1"/>
  <c r="B42" i="1"/>
  <c r="I37" i="1"/>
  <c r="I202" i="1" s="1"/>
  <c r="G37" i="1"/>
  <c r="G202" i="1" s="1"/>
  <c r="K36" i="1"/>
  <c r="K37" i="1" s="1"/>
  <c r="I36" i="1"/>
  <c r="G36" i="1"/>
  <c r="L35" i="1"/>
  <c r="J35" i="1"/>
  <c r="M35" i="1" s="1"/>
  <c r="H35" i="1"/>
  <c r="L34" i="1"/>
  <c r="J34" i="1"/>
  <c r="M34" i="1" s="1"/>
  <c r="H34" i="1"/>
  <c r="F33" i="1"/>
  <c r="H33" i="1" s="1"/>
  <c r="J33" i="1" s="1"/>
  <c r="F32" i="1"/>
  <c r="D32" i="1"/>
  <c r="C32" i="1"/>
  <c r="H31" i="1"/>
  <c r="J31" i="1" s="1"/>
  <c r="F30" i="1"/>
  <c r="C30" i="1"/>
  <c r="H29" i="1"/>
  <c r="J29" i="1" s="1"/>
  <c r="M29" i="1" s="1"/>
  <c r="M28" i="1"/>
  <c r="H28" i="1"/>
  <c r="J28" i="1" s="1"/>
  <c r="L28" i="1" s="1"/>
  <c r="E28" i="1"/>
  <c r="C28" i="1"/>
  <c r="E27" i="1"/>
  <c r="H27" i="1" s="1"/>
  <c r="J27" i="1" s="1"/>
  <c r="M26" i="1"/>
  <c r="J26" i="1"/>
  <c r="L26" i="1" s="1"/>
  <c r="H26" i="1"/>
  <c r="F25" i="1"/>
  <c r="C25" i="1"/>
  <c r="H25" i="1" s="1"/>
  <c r="J25" i="1" s="1"/>
  <c r="F24" i="1"/>
  <c r="D24" i="1"/>
  <c r="D36" i="1" s="1"/>
  <c r="D37" i="1" s="1"/>
  <c r="L23" i="1"/>
  <c r="J23" i="1"/>
  <c r="M23" i="1" s="1"/>
  <c r="B23" i="1"/>
  <c r="H23" i="1" s="1"/>
  <c r="F22" i="1"/>
  <c r="E22" i="1"/>
  <c r="C22" i="1"/>
  <c r="B22" i="1"/>
  <c r="F21" i="1"/>
  <c r="C21" i="1"/>
  <c r="H21" i="1" s="1"/>
  <c r="J21" i="1" s="1"/>
  <c r="B21" i="1"/>
  <c r="K19" i="1"/>
  <c r="I19" i="1"/>
  <c r="G19" i="1"/>
  <c r="F19" i="1"/>
  <c r="E19" i="1"/>
  <c r="D19" i="1"/>
  <c r="C19" i="1"/>
  <c r="B19" i="1"/>
  <c r="J18" i="1"/>
  <c r="M18" i="1" s="1"/>
  <c r="H18" i="1"/>
  <c r="M17" i="1"/>
  <c r="L17" i="1"/>
  <c r="H17" i="1"/>
  <c r="J17" i="1" s="1"/>
  <c r="M16" i="1"/>
  <c r="L16" i="1"/>
  <c r="J16" i="1"/>
  <c r="H16" i="1"/>
  <c r="M15" i="1"/>
  <c r="L15" i="1"/>
  <c r="H15" i="1"/>
  <c r="J15" i="1" s="1"/>
  <c r="L14" i="1"/>
  <c r="J14" i="1"/>
  <c r="M14" i="1" s="1"/>
  <c r="H14" i="1"/>
  <c r="H13" i="1"/>
  <c r="J13" i="1" s="1"/>
  <c r="M13" i="1" s="1"/>
  <c r="M12" i="1"/>
  <c r="J12" i="1"/>
  <c r="L12" i="1" s="1"/>
  <c r="H12" i="1"/>
  <c r="J11" i="1"/>
  <c r="H11" i="1"/>
  <c r="M10" i="1"/>
  <c r="J10" i="1"/>
  <c r="L10" i="1" s="1"/>
  <c r="H10" i="1"/>
  <c r="H9" i="1"/>
  <c r="H8" i="1" s="1"/>
  <c r="D9" i="1"/>
  <c r="D8" i="1" s="1"/>
  <c r="K8" i="1"/>
  <c r="I8" i="1"/>
  <c r="G8" i="1"/>
  <c r="F8" i="1"/>
  <c r="E8" i="1"/>
  <c r="C8" i="1"/>
  <c r="B8" i="1"/>
  <c r="M86" i="1" l="1"/>
  <c r="L86" i="1"/>
  <c r="M27" i="1"/>
  <c r="L27" i="1"/>
  <c r="M31" i="1"/>
  <c r="L31" i="1"/>
  <c r="L47" i="1"/>
  <c r="M47" i="1"/>
  <c r="J140" i="1"/>
  <c r="M141" i="1"/>
  <c r="L141" i="1"/>
  <c r="L25" i="1"/>
  <c r="M25" i="1"/>
  <c r="M97" i="1"/>
  <c r="L97" i="1"/>
  <c r="M178" i="1"/>
  <c r="L178" i="1"/>
  <c r="L113" i="1"/>
  <c r="M113" i="1"/>
  <c r="J9" i="1"/>
  <c r="L72" i="1"/>
  <c r="L91" i="1"/>
  <c r="M91" i="1"/>
  <c r="J90" i="1"/>
  <c r="L90" i="1" s="1"/>
  <c r="M103" i="1"/>
  <c r="L103" i="1"/>
  <c r="L165" i="1"/>
  <c r="M33" i="1"/>
  <c r="L33" i="1"/>
  <c r="M11" i="1"/>
  <c r="L11" i="1"/>
  <c r="L21" i="1"/>
  <c r="M21" i="1"/>
  <c r="J42" i="1"/>
  <c r="L50" i="1"/>
  <c r="M50" i="1"/>
  <c r="L61" i="1"/>
  <c r="M61" i="1"/>
  <c r="M68" i="1"/>
  <c r="L68" i="1"/>
  <c r="J83" i="1"/>
  <c r="L83" i="1" s="1"/>
  <c r="M84" i="1"/>
  <c r="L84" i="1"/>
  <c r="L108" i="1"/>
  <c r="M108" i="1"/>
  <c r="K112" i="1"/>
  <c r="M138" i="1"/>
  <c r="L138" i="1"/>
  <c r="L174" i="1"/>
  <c r="M174" i="1"/>
  <c r="L181" i="1"/>
  <c r="M181" i="1"/>
  <c r="M189" i="1"/>
  <c r="L189" i="1"/>
  <c r="L29" i="1"/>
  <c r="L53" i="1"/>
  <c r="M93" i="1"/>
  <c r="M125" i="1"/>
  <c r="L125" i="1"/>
  <c r="L127" i="1"/>
  <c r="M127" i="1"/>
  <c r="M136" i="1"/>
  <c r="K135" i="1"/>
  <c r="L139" i="1"/>
  <c r="M139" i="1"/>
  <c r="L158" i="1"/>
  <c r="M175" i="1"/>
  <c r="L175" i="1"/>
  <c r="M185" i="1"/>
  <c r="L185" i="1"/>
  <c r="K184" i="1"/>
  <c r="M116" i="1"/>
  <c r="L116" i="1"/>
  <c r="L143" i="1"/>
  <c r="M143" i="1"/>
  <c r="L82" i="1"/>
  <c r="M82" i="1"/>
  <c r="M172" i="1"/>
  <c r="K49" i="1"/>
  <c r="L52" i="1"/>
  <c r="J123" i="1"/>
  <c r="H121" i="1"/>
  <c r="H156" i="1"/>
  <c r="D155" i="1"/>
  <c r="D154" i="1" s="1"/>
  <c r="D149" i="1" s="1"/>
  <c r="D39" i="1" s="1"/>
  <c r="D202" i="1" s="1"/>
  <c r="K196" i="1"/>
  <c r="L196" i="1" s="1"/>
  <c r="L13" i="1"/>
  <c r="H19" i="1"/>
  <c r="J70" i="1"/>
  <c r="K74" i="1"/>
  <c r="L89" i="1"/>
  <c r="M89" i="1"/>
  <c r="H94" i="1"/>
  <c r="L110" i="1"/>
  <c r="M126" i="1"/>
  <c r="L160" i="1"/>
  <c r="M163" i="1"/>
  <c r="H170" i="1"/>
  <c r="D169" i="1"/>
  <c r="D168" i="1" s="1"/>
  <c r="L173" i="1"/>
  <c r="M173" i="1"/>
  <c r="L192" i="1"/>
  <c r="M192" i="1"/>
  <c r="B45" i="1"/>
  <c r="B41" i="1" s="1"/>
  <c r="B39" i="1" s="1"/>
  <c r="H49" i="1"/>
  <c r="J49" i="1" s="1"/>
  <c r="L70" i="1"/>
  <c r="J95" i="1"/>
  <c r="L120" i="1"/>
  <c r="B36" i="1"/>
  <c r="B37" i="1" s="1"/>
  <c r="H22" i="1"/>
  <c r="H59" i="1"/>
  <c r="B58" i="1"/>
  <c r="K154" i="1"/>
  <c r="K168" i="1"/>
  <c r="E36" i="1"/>
  <c r="E37" i="1" s="1"/>
  <c r="E202" i="1" s="1"/>
  <c r="J63" i="1"/>
  <c r="H62" i="1"/>
  <c r="H42" i="1"/>
  <c r="M56" i="1"/>
  <c r="L56" i="1"/>
  <c r="H75" i="1"/>
  <c r="J76" i="1"/>
  <c r="H83" i="1"/>
  <c r="M101" i="1"/>
  <c r="L101" i="1"/>
  <c r="J118" i="1"/>
  <c r="M118" i="1" s="1"/>
  <c r="M130" i="1"/>
  <c r="H45" i="1"/>
  <c r="M64" i="1"/>
  <c r="L64" i="1"/>
  <c r="H66" i="1"/>
  <c r="L140" i="1"/>
  <c r="J150" i="1"/>
  <c r="L150" i="1" s="1"/>
  <c r="H185" i="1"/>
  <c r="H184" i="1" s="1"/>
  <c r="J184" i="1" s="1"/>
  <c r="M187" i="1"/>
  <c r="L187" i="1"/>
  <c r="J67" i="1"/>
  <c r="M69" i="1"/>
  <c r="M71" i="1"/>
  <c r="F74" i="1"/>
  <c r="F39" i="1" s="1"/>
  <c r="M77" i="1"/>
  <c r="M90" i="1"/>
  <c r="M96" i="1"/>
  <c r="H113" i="1"/>
  <c r="H112" i="1" s="1"/>
  <c r="L122" i="1"/>
  <c r="J121" i="1"/>
  <c r="J112" i="1" s="1"/>
  <c r="J130" i="1"/>
  <c r="L130" i="1" s="1"/>
  <c r="L132" i="1"/>
  <c r="M140" i="1"/>
  <c r="M150" i="1"/>
  <c r="J176" i="1"/>
  <c r="M176" i="1" s="1"/>
  <c r="M180" i="1"/>
  <c r="L194" i="1"/>
  <c r="C136" i="1"/>
  <c r="L179" i="1"/>
  <c r="L18" i="1"/>
  <c r="F36" i="1"/>
  <c r="F37" i="1" s="1"/>
  <c r="H30" i="1"/>
  <c r="J30" i="1" s="1"/>
  <c r="H32" i="1"/>
  <c r="J32" i="1" s="1"/>
  <c r="C36" i="1"/>
  <c r="C37" i="1" s="1"/>
  <c r="L57" i="1"/>
  <c r="M100" i="1"/>
  <c r="M129" i="1"/>
  <c r="M131" i="1"/>
  <c r="M146" i="1"/>
  <c r="M151" i="1"/>
  <c r="L159" i="1"/>
  <c r="L164" i="1"/>
  <c r="J163" i="1"/>
  <c r="L163" i="1" s="1"/>
  <c r="H176" i="1"/>
  <c r="M186" i="1"/>
  <c r="M70" i="1"/>
  <c r="H127" i="1"/>
  <c r="M161" i="1"/>
  <c r="H24" i="1"/>
  <c r="J24" i="1" s="1"/>
  <c r="M54" i="1"/>
  <c r="L54" i="1"/>
  <c r="H150" i="1"/>
  <c r="K198" i="1"/>
  <c r="B202" i="1" l="1"/>
  <c r="M95" i="1"/>
  <c r="J94" i="1"/>
  <c r="L95" i="1"/>
  <c r="M123" i="1"/>
  <c r="L123" i="1"/>
  <c r="F202" i="1"/>
  <c r="L176" i="1"/>
  <c r="L198" i="1"/>
  <c r="L121" i="1"/>
  <c r="M121" i="1"/>
  <c r="J59" i="1"/>
  <c r="H58" i="1"/>
  <c r="H41" i="1" s="1"/>
  <c r="L184" i="1"/>
  <c r="M184" i="1"/>
  <c r="L42" i="1"/>
  <c r="M42" i="1"/>
  <c r="J66" i="1"/>
  <c r="M67" i="1"/>
  <c r="L67" i="1"/>
  <c r="J22" i="1"/>
  <c r="H36" i="1"/>
  <c r="H169" i="1"/>
  <c r="H168" i="1" s="1"/>
  <c r="J170" i="1"/>
  <c r="L112" i="1"/>
  <c r="M112" i="1"/>
  <c r="H37" i="1"/>
  <c r="J156" i="1"/>
  <c r="H155" i="1"/>
  <c r="H154" i="1" s="1"/>
  <c r="H149" i="1" s="1"/>
  <c r="J149" i="1" s="1"/>
  <c r="L118" i="1"/>
  <c r="L32" i="1"/>
  <c r="M32" i="1"/>
  <c r="M49" i="1"/>
  <c r="K48" i="1"/>
  <c r="L49" i="1"/>
  <c r="L9" i="1"/>
  <c r="M9" i="1"/>
  <c r="J8" i="1"/>
  <c r="J19" i="1"/>
  <c r="M30" i="1"/>
  <c r="L30" i="1"/>
  <c r="L63" i="1"/>
  <c r="M63" i="1"/>
  <c r="J62" i="1"/>
  <c r="J75" i="1"/>
  <c r="M76" i="1"/>
  <c r="L76" i="1"/>
  <c r="K149" i="1"/>
  <c r="H74" i="1"/>
  <c r="J74" i="1" s="1"/>
  <c r="L74" i="1" s="1"/>
  <c r="L24" i="1"/>
  <c r="M24" i="1"/>
  <c r="C135" i="1"/>
  <c r="C39" i="1" s="1"/>
  <c r="H39" i="1" s="1"/>
  <c r="J39" i="1" s="1"/>
  <c r="H136" i="1"/>
  <c r="H135" i="1" s="1"/>
  <c r="J135" i="1" s="1"/>
  <c r="L135" i="1" s="1"/>
  <c r="M83" i="1"/>
  <c r="L62" i="1" l="1"/>
  <c r="M62" i="1"/>
  <c r="L156" i="1"/>
  <c r="M156" i="1"/>
  <c r="J155" i="1"/>
  <c r="M74" i="1"/>
  <c r="L94" i="1"/>
  <c r="M94" i="1"/>
  <c r="L22" i="1"/>
  <c r="M22" i="1"/>
  <c r="J36" i="1"/>
  <c r="L75" i="1"/>
  <c r="M75" i="1"/>
  <c r="M19" i="1"/>
  <c r="L19" i="1"/>
  <c r="M59" i="1"/>
  <c r="J58" i="1"/>
  <c r="L59" i="1"/>
  <c r="C202" i="1"/>
  <c r="M170" i="1"/>
  <c r="J169" i="1"/>
  <c r="L170" i="1"/>
  <c r="L149" i="1"/>
  <c r="M149" i="1"/>
  <c r="K45" i="1"/>
  <c r="M48" i="1"/>
  <c r="L48" i="1"/>
  <c r="M135" i="1"/>
  <c r="L8" i="1"/>
  <c r="M8" i="1"/>
  <c r="M66" i="1"/>
  <c r="L66" i="1"/>
  <c r="H202" i="1"/>
  <c r="J202" i="1" s="1"/>
  <c r="J168" i="1" l="1"/>
  <c r="M169" i="1"/>
  <c r="L169" i="1"/>
  <c r="J154" i="1"/>
  <c r="L155" i="1"/>
  <c r="M155" i="1"/>
  <c r="J37" i="1"/>
  <c r="M36" i="1"/>
  <c r="L36" i="1"/>
  <c r="M200" i="1"/>
  <c r="M196" i="1"/>
  <c r="M199" i="1"/>
  <c r="M198" i="1"/>
  <c r="M45" i="1"/>
  <c r="K41" i="1"/>
  <c r="L45" i="1"/>
  <c r="L58" i="1"/>
  <c r="M58" i="1"/>
  <c r="J41" i="1"/>
  <c r="M154" i="1" l="1"/>
  <c r="L154" i="1"/>
  <c r="M37" i="1"/>
  <c r="L37" i="1"/>
  <c r="L41" i="1"/>
  <c r="M41" i="1"/>
  <c r="K39" i="1"/>
  <c r="L168" i="1"/>
  <c r="M168" i="1"/>
  <c r="M39" i="1" l="1"/>
  <c r="L39" i="1"/>
  <c r="K202" i="1"/>
  <c r="M202" i="1" l="1"/>
  <c r="L202" i="1"/>
</calcChain>
</file>

<file path=xl/comments1.xml><?xml version="1.0" encoding="utf-8"?>
<comments xmlns="http://schemas.openxmlformats.org/spreadsheetml/2006/main">
  <authors>
    <author>Oscar Rubio</author>
  </authors>
  <commentList>
    <comment ref="M13" authorId="0" shapeId="0">
      <text>
        <r>
          <rPr>
            <sz val="9"/>
            <color indexed="81"/>
            <rFont val="Tahoma"/>
            <family val="2"/>
          </rPr>
          <t>Dos personas no tuvieron derecho a la dotación, debido a que estaban en periodo de prueba</t>
        </r>
      </text>
    </comment>
    <comment ref="M22" authorId="0" shapeId="0">
      <text>
        <r>
          <rPr>
            <sz val="9"/>
            <color indexed="81"/>
            <rFont val="Tahoma"/>
            <family val="2"/>
          </rPr>
          <t>Se redujo la cantidad de material impreso, priorizando la distribución y uso del material almacenado en la bodega del área PPC. Adicionalmente se optimizó el recurso, actualizando y unificando varios formatos de operación de los diferentes programas del área PPC</t>
        </r>
      </text>
    </comment>
    <comment ref="M25" authorId="0" shapeId="0">
      <text>
        <r>
          <rPr>
            <sz val="9"/>
            <color indexed="81"/>
            <rFont val="Tahoma"/>
            <family val="2"/>
          </rPr>
          <t>Se optimizo el recurso haciendo las reuniones en Porkcolombia y así no se generaron gastos de desplazamiento</t>
        </r>
      </text>
    </comment>
    <comment ref="M28" authorId="0" shapeId="0">
      <text>
        <r>
          <rPr>
            <sz val="9"/>
            <color indexed="81"/>
            <rFont val="Tahoma"/>
            <family val="2"/>
          </rPr>
          <t>Se tenia contemplado un recurso por funcionamiento para las polizas de los diferentes convenios interinstitucionales, sin embargo estos gastos los esta asumiendo cada área</t>
        </r>
      </text>
    </comment>
    <comment ref="M30" authorId="0" shapeId="0">
      <text>
        <r>
          <rPr>
            <sz val="9"/>
            <color indexed="81"/>
            <rFont val="Tahoma"/>
            <family val="2"/>
          </rPr>
          <t>Se optimizo el recurso en tiquetes aereos ya que se elimino el intermediario y todo el proceso se efectua por las diferentes áreas</t>
        </r>
      </text>
    </comment>
    <comment ref="M33" authorId="0" shapeId="0">
      <text>
        <r>
          <rPr>
            <sz val="9"/>
            <color indexed="81"/>
            <rFont val="Tahoma"/>
            <family val="2"/>
          </rPr>
          <t>Debido al espacio sumisnistrado por Porkcolombia en sus bodegas el área de mercadeo no tuvo que alquilar espacio externo para el almacenamiento de suvenires</t>
        </r>
      </text>
    </comment>
    <comment ref="M35" authorId="0" shapeId="0">
      <text>
        <r>
          <rPr>
            <sz val="9"/>
            <color indexed="81"/>
            <rFont val="Tahoma"/>
            <family val="2"/>
          </rPr>
          <t>No fue necesario ejecutar recurso en hospedaje de los miembros de Junta Directiva, debido a que las reuniones se programaron en horas de la mañana optimizando el recurso</t>
        </r>
      </text>
    </comment>
    <comment ref="M42" authorId="0" shapeId="0">
      <text>
        <r>
          <rPr>
            <sz val="9"/>
            <color indexed="81"/>
            <rFont val="Tahoma"/>
            <family val="2"/>
          </rPr>
          <t xml:space="preserve">Se presupuestaron unos recursos para apoyar una posible visita de las autoridades peruanas como parte del proceso de reapertura del mercado peruano, después del cierre debido al brote de aftosa presentado en nuestro país en el mes de junio. Finalmente, esta actividad no se alcanzó a realizar en 2017.
De igual forma, dado el estado de avance del proceso, no fue necesario acompañar fuera de Bogotá el proceso de negociación de la adición de Australia, Nueva Zelanda, Singapur y Canadá. </t>
        </r>
      </text>
    </comment>
    <comment ref="M66" authorId="0" shapeId="0">
      <text>
        <r>
          <rPr>
            <sz val="9"/>
            <color indexed="81"/>
            <rFont val="Tahoma"/>
            <family val="2"/>
          </rPr>
          <t xml:space="preserve">No se desarrolló el material de socialización para el procedimiento de operativos de control que se viene elaborando en la mesa técnica de la Comisión de Sacrificio. La razón, no se llegó a una versión final, revisada, de este procedimiento en la mesa técnica.
 </t>
        </r>
      </text>
    </comment>
    <comment ref="M70" authorId="0" shapeId="0">
      <text>
        <r>
          <rPr>
            <sz val="9"/>
            <color indexed="81"/>
            <rFont val="Tahoma"/>
            <family val="2"/>
          </rPr>
          <t xml:space="preserve"> No se logro realizar el ejercicio de lanzamiento del manual del sello de producto y de expendio, debido a que se replantio la estrategia de unificando el manejo, documentación y página web de los 3 sellos.(granja, expendio y producto).
</t>
        </r>
      </text>
    </comment>
    <comment ref="M106" authorId="0" shapeId="0">
      <text>
        <r>
          <rPr>
            <sz val="9"/>
            <color indexed="81"/>
            <rFont val="Tahoma"/>
            <family val="2"/>
          </rPr>
          <t>Se optimizo el recurso debido a que las nutricionistas efectuaron trabajo conjunto con los chefs, disminuyendo el valor por actividades</t>
        </r>
      </text>
    </comment>
    <comment ref="M118" authorId="0" shapeId="0">
      <text>
        <r>
          <rPr>
            <sz val="9"/>
            <color indexed="81"/>
            <rFont val="Tahoma"/>
            <family val="2"/>
          </rPr>
          <t xml:space="preserve">se optimizó el recurso del programa sustituyendo las últimas visitas de consultoría por jornadas de trabajo vía virtual, desarrollando un nuevo concepto de campaña que permitiera llegar a más lugares y a menor costo, a través de cuñas radiales en emisoras regionales y realizando jornadas de capacitación conjunta con las demás áreas de la organización (Encuentros Regionales Porcícolas y Jornadas Técnico-Sanitarias).
</t>
        </r>
      </text>
    </comment>
    <comment ref="M127" authorId="0" shapeId="0">
      <text>
        <r>
          <rPr>
            <sz val="9"/>
            <color indexed="81"/>
            <rFont val="Tahoma"/>
            <family val="2"/>
          </rPr>
          <t xml:space="preserve">Para la vigencia 2017 se tenía proyectado adelantar una nueva fase del proyecto de caracterización de predios porcícolas, sin embargo, la Junta del FNP en cabeza del MADR, no aprobó su realización hasta tanto no se surtiera la depuración, actualización y cruce de las bases de datos existentes con otras fuentes oficiales como ICA, DANE, Agronet y el propio MADR. De manera paralela a este proceso de depuración, se consolidó una propuesta de desarrollo de una plataforma tecnológica para administrar la información unificada sobre predios, vacunación e identificación de porcinos, la cual será ejecutada en el 2018.
</t>
        </r>
      </text>
    </comment>
    <comment ref="M130" authorId="0" shapeId="0">
      <text>
        <r>
          <rPr>
            <sz val="9"/>
            <color indexed="81"/>
            <rFont val="Tahoma"/>
            <family val="2"/>
          </rPr>
          <t>Se optimizo el recurso de personal de chapeteadores y vacunadores , revisando las coberturas del 90% para distribuirlos en las zonas donde no se estaba alcanzando la meta</t>
        </r>
      </text>
    </comment>
    <comment ref="M143" authorId="0" shapeId="0">
      <text>
        <r>
          <rPr>
            <sz val="9"/>
            <color indexed="81"/>
            <rFont val="Tahoma"/>
            <family val="2"/>
          </rPr>
          <t>No se ejecutó el valor estimado debido a que la contratista que laboraba como coordinadora del programa estuvo en licencia de maternidad desde septiembre y durante lo restante del año 2017, por lo cual se suspendió el contrato y no se generaron honorarios.</t>
        </r>
        <r>
          <rPr>
            <b/>
            <sz val="9"/>
            <color indexed="81"/>
            <rFont val="Tahoma"/>
            <family val="2"/>
          </rPr>
          <t xml:space="preserve">
</t>
        </r>
        <r>
          <rPr>
            <sz val="9"/>
            <color indexed="81"/>
            <rFont val="Tahoma"/>
            <family val="2"/>
          </rPr>
          <t xml:space="preserve">
</t>
        </r>
      </text>
    </comment>
    <comment ref="M146" authorId="0" shapeId="0">
      <text>
        <r>
          <rPr>
            <sz val="9"/>
            <color indexed="81"/>
            <rFont val="Tahoma"/>
            <family val="2"/>
          </rPr>
          <t xml:space="preserve">Se optimizaron los recursos en el desarrollo y logística para la realización de reuniones y validación en campo del proyecto, debido a que se consiguieron salones gratuitos, hubo menores costos por desplazamiento de personal y se organizaron reuniones con una menor cantidad de participantes que eran representantes de un grupo importante de productores o voceros de una zona.
</t>
        </r>
      </text>
    </comment>
    <comment ref="M192" authorId="0" shapeId="0">
      <text>
        <r>
          <rPr>
            <sz val="9"/>
            <color indexed="81"/>
            <rFont val="Tahoma"/>
            <family val="2"/>
          </rPr>
          <t>Se tenia contemplado un mayor ingreso por cuota de fomento y recuperación de cartera sin embargo este fue menor</t>
        </r>
      </text>
    </comment>
  </commentList>
</comments>
</file>

<file path=xl/sharedStrings.xml><?xml version="1.0" encoding="utf-8"?>
<sst xmlns="http://schemas.openxmlformats.org/spreadsheetml/2006/main" count="202" uniqueCount="202">
  <si>
    <t>MINISTERIO DE AGRICULTURA  Y DESARROLLO RURAL</t>
  </si>
  <si>
    <t>DIRECCIÓN DE PLANEACIÓN Y SEGUIMIENTO PRESUPUESTAL</t>
  </si>
  <si>
    <t>EJECUCIÓN OCTUBRE-DICIEMBRE 2017</t>
  </si>
  <si>
    <t>ANEXO 2</t>
  </si>
  <si>
    <t>CUENTAS</t>
  </si>
  <si>
    <t>PROGRAMAS ECONÓMICA</t>
  </si>
  <si>
    <t>PROGRAMAS TÉCNICA</t>
  </si>
  <si>
    <t>PROGRAMAS INVESTIGACIÓN Y TRANSFERENCIA DE TÉCNOLOGÍA</t>
  </si>
  <si>
    <t>PROGRAMA SANIDAD</t>
  </si>
  <si>
    <t>PROGRAMAS MERCADEO</t>
  </si>
  <si>
    <t xml:space="preserve">PROGRAMA PPC </t>
  </si>
  <si>
    <t>TOTAL INVERSIÓN</t>
  </si>
  <si>
    <t>GASTOS DE FUNCIONAMIENTO</t>
  </si>
  <si>
    <t>TOTAL PRESUPUESTO</t>
  </si>
  <si>
    <t>TOTAL EJECUTADO</t>
  </si>
  <si>
    <t>ACUERDO 3/18</t>
  </si>
  <si>
    <t>% EJECUCIÓN</t>
  </si>
  <si>
    <t>GASTOS DE PERSONAL</t>
  </si>
  <si>
    <t>Servicios de personal</t>
  </si>
  <si>
    <t>Sueldos</t>
  </si>
  <si>
    <t>Vacaciones</t>
  </si>
  <si>
    <t>Prima legal</t>
  </si>
  <si>
    <t>Honorarios</t>
  </si>
  <si>
    <t xml:space="preserve">Dotación y suministro </t>
  </si>
  <si>
    <t>Cesantías</t>
  </si>
  <si>
    <t>Intereses de cesantías</t>
  </si>
  <si>
    <t>Seguros y/o fondos privados</t>
  </si>
  <si>
    <t>Caja de compensación</t>
  </si>
  <si>
    <t>Aportes ICBF y SENA</t>
  </si>
  <si>
    <t>SUBTOTAL GASTOS PERSONAL</t>
  </si>
  <si>
    <t>GASTOS GENERALES</t>
  </si>
  <si>
    <t>Muebles, equipos de oficina y software</t>
  </si>
  <si>
    <t>Impresos y publicaciones</t>
  </si>
  <si>
    <t>Materiales y suministros</t>
  </si>
  <si>
    <t>Correo</t>
  </si>
  <si>
    <t>Transportes, fletes y acarreos</t>
  </si>
  <si>
    <t xml:space="preserve">Capacitación </t>
  </si>
  <si>
    <t xml:space="preserve">Mantenimiento </t>
  </si>
  <si>
    <t>Seguros, impuestos y gastos legales</t>
  </si>
  <si>
    <t>Comisiones y gastos bancarios</t>
  </si>
  <si>
    <t>Gastos de viaje</t>
  </si>
  <si>
    <t>Aseo, vigilancia y cafetería</t>
  </si>
  <si>
    <t>Servicios públicos</t>
  </si>
  <si>
    <t>Arriendos</t>
  </si>
  <si>
    <t>Cuota auditaje CGR</t>
  </si>
  <si>
    <t>Gastos comisión de fomento</t>
  </si>
  <si>
    <t>SUBTOTAL GASTOS GENERALES</t>
  </si>
  <si>
    <t>TOTAL FUNCIONAMIENTO</t>
  </si>
  <si>
    <t>TOTAL PROGRAMAS Y PROYECTOS</t>
  </si>
  <si>
    <t>TOTAL ÁREA ECONÓMICA</t>
  </si>
  <si>
    <t>Fortalecimiento institucional</t>
  </si>
  <si>
    <t>Acceso a Mercados</t>
  </si>
  <si>
    <t xml:space="preserve">Cadena Carnica Porcína </t>
  </si>
  <si>
    <t>Centro de servicios técnicos y financieros</t>
  </si>
  <si>
    <t>Atención de Solicitudes (Asistencia a Productores)</t>
  </si>
  <si>
    <t>Herramientas del centro de servicios</t>
  </si>
  <si>
    <t>Convenios</t>
  </si>
  <si>
    <t xml:space="preserve">   Contrapartidas Gobernaciones y/o Alcaldias</t>
  </si>
  <si>
    <t xml:space="preserve">       Alcaldia de Pereira</t>
  </si>
  <si>
    <t xml:space="preserve">      Gobernación de Cundinamarca</t>
  </si>
  <si>
    <t xml:space="preserve">      Convenio Valle</t>
  </si>
  <si>
    <t xml:space="preserve">   Contrapartidas FNP</t>
  </si>
  <si>
    <t xml:space="preserve">       Alcaldia de Pereira FNP</t>
  </si>
  <si>
    <t xml:space="preserve">      Gobernación de Cundinamarca FNP</t>
  </si>
  <si>
    <t xml:space="preserve">      Convenio Valle FNP</t>
  </si>
  <si>
    <t>Apoyo autorización sanitaria</t>
  </si>
  <si>
    <t>Sistemas de información de mercados</t>
  </si>
  <si>
    <t>Monitoreo Precios de la Carne al Consumidor</t>
  </si>
  <si>
    <t>Actualización Información Nacional</t>
  </si>
  <si>
    <t>Seguimiento Mercados Internacionales</t>
  </si>
  <si>
    <t>Control al recaudo</t>
  </si>
  <si>
    <t>Seguimiento al recaudo regional</t>
  </si>
  <si>
    <t>Movilización coordinadores</t>
  </si>
  <si>
    <t>Jornadas de trabajo con los coordinadores regionales (visita plantas)</t>
  </si>
  <si>
    <t>Fortalecimiento del beneficio formal</t>
  </si>
  <si>
    <t>Movilización Jefe Coordinadores de recaudo</t>
  </si>
  <si>
    <t>Trabajo con autoridades</t>
  </si>
  <si>
    <t>Jornadas de trabajo con los coordinadores regionales(trabajo con autoridades)</t>
  </si>
  <si>
    <t>Aseguramiento de la calidad</t>
  </si>
  <si>
    <t>Asesorias BPM y HACCP</t>
  </si>
  <si>
    <t>Sello de producto en la cadena de transformación</t>
  </si>
  <si>
    <t>TOTAL ÁREA MERCADEO</t>
  </si>
  <si>
    <t>Investigación de mercados</t>
  </si>
  <si>
    <t>Home panel de Nilsen</t>
  </si>
  <si>
    <t>Brand equity tracking</t>
  </si>
  <si>
    <t>Eye Trancking</t>
  </si>
  <si>
    <t>Monitoreo de Medios</t>
  </si>
  <si>
    <t>Estudio Neurologico de la campaña vigente</t>
  </si>
  <si>
    <t>Estudio Consumidor Shopper</t>
  </si>
  <si>
    <t>Estudio NSOP (LSDA)</t>
  </si>
  <si>
    <t>Comunicación integral</t>
  </si>
  <si>
    <t>Seguimiento y gestion comunicación integral.</t>
  </si>
  <si>
    <t>Porkcolombia.com</t>
  </si>
  <si>
    <t>Free Press ATL Influenciadores</t>
  </si>
  <si>
    <t>Kit Publicitario</t>
  </si>
  <si>
    <t>Desarrollo Digital (Concurso Innovador)</t>
  </si>
  <si>
    <t>Pauta digital</t>
  </si>
  <si>
    <t>Campaña de fomento al consumo</t>
  </si>
  <si>
    <t>Campaña de publicidad</t>
  </si>
  <si>
    <t>Consultoría MESA</t>
  </si>
  <si>
    <t>Pauta institucional</t>
  </si>
  <si>
    <t>Activaciones de consumo</t>
  </si>
  <si>
    <t xml:space="preserve">Cocina PorkColombia </t>
  </si>
  <si>
    <t>Asesores Gastronómicos Ejecutivos</t>
  </si>
  <si>
    <t>Viajes regionales equipo incentivo y sensibilizacion de las bondades de la carne de cerdo</t>
  </si>
  <si>
    <t>Capacitación anual contratistas</t>
  </si>
  <si>
    <t>Certificado PorkColombia (Expertos de carne de cerdo)</t>
  </si>
  <si>
    <t>Material de promocion al consumo</t>
  </si>
  <si>
    <t>Chef Regionales PorkColombia</t>
  </si>
  <si>
    <t>Festival PorkColombia</t>
  </si>
  <si>
    <t>Seguimiento gestión a eventos de sensibilización de las bondades de la carne de cerdo</t>
  </si>
  <si>
    <t>Agroexpo</t>
  </si>
  <si>
    <t>Eventos especializados (Sector, gastronomicos , sector salud)</t>
  </si>
  <si>
    <t>Comercialización y Nuevos Negocios</t>
  </si>
  <si>
    <t>Gestion y seguimiento comercializacion y nuevos negocios</t>
  </si>
  <si>
    <t xml:space="preserve">Gestion de actividades nutricionales </t>
  </si>
  <si>
    <t>Material Promocional y Publicitario</t>
  </si>
  <si>
    <t>Eventos Apertura Nuevos Negocios</t>
  </si>
  <si>
    <t>TOTAL ÁREA ERRADICACIÓN PPC</t>
  </si>
  <si>
    <t>Vacunacion e identificacion de Porcinos</t>
  </si>
  <si>
    <t>Chapetas y tenazas</t>
  </si>
  <si>
    <t>Suministros clínicos y dotaciones</t>
  </si>
  <si>
    <t>Pago de Axilios de frío, flete y movilización</t>
  </si>
  <si>
    <t xml:space="preserve">Barridos </t>
  </si>
  <si>
    <t>Capacitación y divulgación</t>
  </si>
  <si>
    <t>Capacitación</t>
  </si>
  <si>
    <t>Divulgación</t>
  </si>
  <si>
    <t>Vigilancia Epidemiológica</t>
  </si>
  <si>
    <t>Diagnóstico Rutinario</t>
  </si>
  <si>
    <t>Vigilancia epidemiológica</t>
  </si>
  <si>
    <t>Determinació de factores de riesgo</t>
  </si>
  <si>
    <t>Trabajo con autoridades y puestos de control</t>
  </si>
  <si>
    <t>Equipos de comunicación puestos de control</t>
  </si>
  <si>
    <t>Administración del programa</t>
  </si>
  <si>
    <t>Administración de la base de datos</t>
  </si>
  <si>
    <t>Depuración, codificación y verificación de predios</t>
  </si>
  <si>
    <t>Ciclos de vacunación</t>
  </si>
  <si>
    <t>Contratación de personal</t>
  </si>
  <si>
    <t>Auxilios comités</t>
  </si>
  <si>
    <t>Recolección de desechos biológicos</t>
  </si>
  <si>
    <t>TOTAL ÁREA TÉCNICA</t>
  </si>
  <si>
    <t>Programa nacional de bioseguridad, sanidad y productividad-PNBSP</t>
  </si>
  <si>
    <t>Acompañamiento *(Certificación en granja y transporte)</t>
  </si>
  <si>
    <t>Taller técnico de bioseguridad, sanidad y productividad</t>
  </si>
  <si>
    <t>Pork Colombia 2017</t>
  </si>
  <si>
    <t xml:space="preserve">Sostenibilidad y responsabilidad social empresarial en producción primaria </t>
  </si>
  <si>
    <t xml:space="preserve">Acompañamiento y apoyo </t>
  </si>
  <si>
    <t>Granjas modelo y mesas de trabajo interinstitucionales e intergremiales</t>
  </si>
  <si>
    <t>Inocuidad y bienestar animal en producción primaria y transporte</t>
  </si>
  <si>
    <t>Profesionales de apoyo en implementación y certificación granja y transporte</t>
  </si>
  <si>
    <t>Fortalecimiento de competencias en bienestar animal e inocuidad</t>
  </si>
  <si>
    <t>Zonificación y ordenamiento productivo</t>
  </si>
  <si>
    <t>Proyecto UPRA-Porkcolombia</t>
  </si>
  <si>
    <t>TOTAL ÁREA INVESTIGACIÓN Y TRANSFERENCIA</t>
  </si>
  <si>
    <t>Investigación y desarrollo</t>
  </si>
  <si>
    <t>Proyectos</t>
  </si>
  <si>
    <t>Capacitación anual</t>
  </si>
  <si>
    <t>Jornadas de divulgación resultados de investigación</t>
  </si>
  <si>
    <t>Transferencia de tecnología</t>
  </si>
  <si>
    <t xml:space="preserve">  Vinculación tecnologica</t>
  </si>
  <si>
    <t>Gira técnica</t>
  </si>
  <si>
    <t>Capacitación en desposte y transformación de la carne de cerdo</t>
  </si>
  <si>
    <t>Capacitación para expendedores</t>
  </si>
  <si>
    <t>Curso virtual en tecnologías ambientales para porcicultura</t>
  </si>
  <si>
    <t>Curso virtual resolución 20148</t>
  </si>
  <si>
    <t>Encuentros regionales</t>
  </si>
  <si>
    <t>Sistema de seguridad y bienestar  en el trabajo</t>
  </si>
  <si>
    <t xml:space="preserve">  Talleres y seminarios</t>
  </si>
  <si>
    <t>Buenas practicas en el manejo de medicamentos veterinarios</t>
  </si>
  <si>
    <t>Capacitaciones técnico-sanitarias</t>
  </si>
  <si>
    <t>Talleres educación ambiental</t>
  </si>
  <si>
    <t>Material de apoyo</t>
  </si>
  <si>
    <t>Diagnostico</t>
  </si>
  <si>
    <t>Diagnostico rutinario con laboratorios oficiales</t>
  </si>
  <si>
    <t xml:space="preserve">  Diagnostico rutinario</t>
  </si>
  <si>
    <t xml:space="preserve">  Diagnostico integrado</t>
  </si>
  <si>
    <t xml:space="preserve">  Diagnóstico PRRS (incluido IFA)</t>
  </si>
  <si>
    <t xml:space="preserve">  Compras de insumos</t>
  </si>
  <si>
    <t xml:space="preserve">  Diagnóstico importados</t>
  </si>
  <si>
    <t xml:space="preserve">  Capacitación funcionarios laboratorios ICA</t>
  </si>
  <si>
    <t>Diagnostico rutinario con laboratorios privados</t>
  </si>
  <si>
    <t>Rutinario</t>
  </si>
  <si>
    <t>Combos</t>
  </si>
  <si>
    <t>PRRS</t>
  </si>
  <si>
    <t>Pruebas interlaboratorios</t>
  </si>
  <si>
    <t>Promoción del diagnóstico</t>
  </si>
  <si>
    <t>Inocuidad y Ambiente</t>
  </si>
  <si>
    <t>TOTAL ÁREA SANIDAD</t>
  </si>
  <si>
    <t>Control y monitoreo de enfermedades en granjas de Colombia</t>
  </si>
  <si>
    <t>Apoyo programa PRRS</t>
  </si>
  <si>
    <t>Epidemiología de la enfermedad (Nacional)</t>
  </si>
  <si>
    <t>Sensibilización y divulgación</t>
  </si>
  <si>
    <t>Programa de vigilancia de influenza porcina</t>
  </si>
  <si>
    <t>Caracterización cerdos Asilvestrados</t>
  </si>
  <si>
    <t>CUOTA DE ADMINISTRACIÓN</t>
  </si>
  <si>
    <t>Cuota de administración FNP</t>
  </si>
  <si>
    <t>Cuota de administración PPC</t>
  </si>
  <si>
    <t>FONDO DE EMERGENCIA</t>
  </si>
  <si>
    <t xml:space="preserve">RESERVA FUTURAS INVERSIONES Y GASTOS </t>
  </si>
  <si>
    <t>Cuota de fomento porcícola</t>
  </si>
  <si>
    <t>Cuota de erradicación Peste Porcina Clásica</t>
  </si>
  <si>
    <t xml:space="preserve">TOTAL GASTOS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</si>
</sst>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 #,##0.00_ ;_ * \-#,##0.00_ ;_ * &quot;-&quot;??_ ;_ @_ "/>
    <numFmt numFmtId="165" formatCode="_ * #,##0_ ;_ * \-#,##0_ ;_ * &quot;-&quot;??_ ;_ @_ "/>
  </numFmts>
  <fonts count="14" x14ac:knownFonts="1">
    <font>
      <sz val="10"/>
      <name val="Arial"/>
    </font>
    <font>
      <b/>
      <sz val="11"/>
      <name val="Arial"/>
      <family val="2"/>
      <charset val="186"/>
    </font>
    <font>
      <b/>
      <sz val="11"/>
      <name val="Arial"/>
      <family val="2"/>
    </font>
    <font>
      <b/>
      <sz val="11"/>
      <color indexed="10"/>
      <name val="Arial"/>
      <family val="2"/>
      <charset val="186"/>
    </font>
    <font>
      <b/>
      <sz val="11"/>
      <color rgb="FFFF0000"/>
      <name val="Arial"/>
      <family val="2"/>
      <charset val="186"/>
    </font>
    <font>
      <sz val="11"/>
      <name val="Arial"/>
      <family val="2"/>
      <charset val="186"/>
    </font>
    <font>
      <sz val="10"/>
      <name val="Arial"/>
      <family val="2"/>
    </font>
    <font>
      <sz val="11"/>
      <name val="Arial"/>
      <family val="2"/>
    </font>
    <font>
      <sz val="11"/>
      <color indexed="8"/>
      <name val="Arial"/>
      <family val="2"/>
    </font>
    <font>
      <b/>
      <sz val="10"/>
      <name val="Arial"/>
      <family val="2"/>
    </font>
    <font>
      <sz val="9"/>
      <name val="Times New Roman"/>
      <family val="1"/>
    </font>
    <font>
      <sz val="12"/>
      <name val="Times New Roman"/>
      <family val="1"/>
    </font>
    <font>
      <sz val="9"/>
      <color indexed="81"/>
      <name val="Tahoma"/>
      <family val="2"/>
    </font>
    <font>
      <b/>
      <sz val="9"/>
      <color indexed="81"/>
      <name val="Tahoma"/>
      <family val="2"/>
    </font>
  </fonts>
  <fills count="2">
    <fill>
      <patternFill patternType="none"/>
    </fill>
    <fill>
      <patternFill patternType="gray125"/>
    </fill>
  </fills>
  <borders count="20">
    <border>
      <left/>
      <right/>
      <top/>
      <bottom/>
      <diagonal/>
    </border>
    <border>
      <left/>
      <right/>
      <top/>
      <bottom style="double">
        <color indexed="64"/>
      </bottom>
      <diagonal/>
    </border>
    <border>
      <left style="double">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right style="double">
        <color indexed="64"/>
      </right>
      <top style="hair">
        <color indexed="64"/>
      </top>
      <bottom/>
      <diagonal/>
    </border>
    <border>
      <left style="double">
        <color indexed="64"/>
      </left>
      <right style="hair">
        <color indexed="64"/>
      </right>
      <top/>
      <bottom/>
      <diagonal/>
    </border>
    <border>
      <left style="hair">
        <color indexed="64"/>
      </left>
      <right style="hair">
        <color indexed="64"/>
      </right>
      <top/>
      <bottom/>
      <diagonal/>
    </border>
    <border>
      <left/>
      <right style="double">
        <color indexed="64"/>
      </right>
      <top/>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double">
        <color indexed="64"/>
      </right>
      <top/>
      <bottom style="hair">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double">
        <color indexed="64"/>
      </right>
      <top style="hair">
        <color indexed="64"/>
      </top>
      <bottom style="double">
        <color indexed="64"/>
      </bottom>
      <diagonal/>
    </border>
  </borders>
  <cellStyleXfs count="4">
    <xf numFmtId="0" fontId="0" fillId="0" borderId="0"/>
    <xf numFmtId="9"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cellStyleXfs>
  <cellXfs count="71">
    <xf numFmtId="0" fontId="0" fillId="0" borderId="0" xfId="0"/>
    <xf numFmtId="0" fontId="1" fillId="0" borderId="0" xfId="0" applyFont="1" applyFill="1" applyAlignment="1">
      <alignment horizontal="center"/>
    </xf>
    <xf numFmtId="0" fontId="0" fillId="0" borderId="0" xfId="0" applyFill="1"/>
    <xf numFmtId="0" fontId="2" fillId="0" borderId="0" xfId="0" applyFont="1" applyFill="1" applyAlignment="1">
      <alignment horizontal="center"/>
    </xf>
    <xf numFmtId="3" fontId="3" fillId="0" borderId="1" xfId="0" applyNumberFormat="1" applyFont="1" applyFill="1" applyBorder="1" applyAlignment="1">
      <alignment horizontal="centerContinuous"/>
    </xf>
    <xf numFmtId="3" fontId="1" fillId="0" borderId="1" xfId="0" applyNumberFormat="1" applyFont="1" applyFill="1" applyBorder="1" applyAlignment="1">
      <alignment horizontal="centerContinuous"/>
    </xf>
    <xf numFmtId="0" fontId="3" fillId="0" borderId="1" xfId="0" applyFont="1" applyFill="1" applyBorder="1" applyAlignment="1">
      <alignment horizontal="centerContinuous"/>
    </xf>
    <xf numFmtId="0" fontId="1" fillId="0" borderId="1" xfId="0" applyFont="1" applyFill="1" applyBorder="1" applyAlignment="1">
      <alignment horizontal="centerContinuous"/>
    </xf>
    <xf numFmtId="0" fontId="4" fillId="0" borderId="1" xfId="0" applyFont="1" applyFill="1" applyBorder="1" applyAlignment="1">
      <alignment horizontal="centerContinuous"/>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3" fontId="1" fillId="0" borderId="5" xfId="0" applyNumberFormat="1" applyFont="1" applyFill="1" applyBorder="1" applyAlignment="1"/>
    <xf numFmtId="0" fontId="5" fillId="0" borderId="6" xfId="0" applyFont="1" applyFill="1" applyBorder="1"/>
    <xf numFmtId="0" fontId="5" fillId="0" borderId="7" xfId="0" applyFont="1" applyFill="1" applyBorder="1"/>
    <xf numFmtId="3" fontId="2" fillId="0" borderId="5" xfId="0" applyNumberFormat="1" applyFont="1" applyFill="1" applyBorder="1" applyAlignment="1"/>
    <xf numFmtId="3" fontId="2" fillId="0" borderId="6" xfId="0" applyNumberFormat="1" applyFont="1" applyFill="1" applyBorder="1"/>
    <xf numFmtId="10" fontId="2" fillId="0" borderId="7" xfId="1" applyNumberFormat="1" applyFont="1" applyFill="1" applyBorder="1"/>
    <xf numFmtId="3" fontId="5" fillId="0" borderId="5" xfId="0" applyNumberFormat="1" applyFont="1" applyFill="1" applyBorder="1" applyAlignment="1"/>
    <xf numFmtId="3" fontId="5" fillId="0" borderId="6" xfId="0" applyNumberFormat="1" applyFont="1" applyFill="1" applyBorder="1"/>
    <xf numFmtId="3" fontId="7" fillId="0" borderId="6" xfId="0" applyNumberFormat="1" applyFont="1" applyFill="1" applyBorder="1"/>
    <xf numFmtId="10" fontId="7" fillId="0" borderId="7" xfId="1" applyNumberFormat="1" applyFont="1" applyFill="1" applyBorder="1"/>
    <xf numFmtId="0" fontId="0" fillId="0" borderId="0" xfId="0" applyFill="1" applyAlignment="1">
      <alignment horizontal="center"/>
    </xf>
    <xf numFmtId="3" fontId="8" fillId="0" borderId="6" xfId="0" applyNumberFormat="1" applyFont="1" applyFill="1" applyBorder="1"/>
    <xf numFmtId="3" fontId="0" fillId="0" borderId="0" xfId="0" applyNumberFormat="1" applyFill="1"/>
    <xf numFmtId="0" fontId="1" fillId="0" borderId="5" xfId="0" applyFont="1" applyFill="1" applyBorder="1" applyAlignment="1"/>
    <xf numFmtId="3" fontId="1" fillId="0" borderId="6" xfId="0" applyNumberFormat="1" applyFont="1" applyFill="1" applyBorder="1"/>
    <xf numFmtId="0" fontId="5" fillId="0" borderId="5" xfId="0" applyFont="1" applyFill="1" applyBorder="1" applyAlignment="1"/>
    <xf numFmtId="3" fontId="5" fillId="0" borderId="6" xfId="2" applyNumberFormat="1" applyFont="1" applyFill="1" applyBorder="1"/>
    <xf numFmtId="3" fontId="2" fillId="0" borderId="6" xfId="2" applyNumberFormat="1" applyFont="1" applyFill="1" applyBorder="1"/>
    <xf numFmtId="0" fontId="1" fillId="0" borderId="8" xfId="0" applyFont="1" applyFill="1" applyBorder="1" applyAlignment="1"/>
    <xf numFmtId="3" fontId="1" fillId="0" borderId="9" xfId="0" applyNumberFormat="1" applyFont="1" applyFill="1" applyBorder="1"/>
    <xf numFmtId="3" fontId="2" fillId="0" borderId="9" xfId="2" applyNumberFormat="1" applyFont="1" applyFill="1" applyBorder="1"/>
    <xf numFmtId="10" fontId="2" fillId="0" borderId="10" xfId="1" applyNumberFormat="1" applyFont="1" applyFill="1" applyBorder="1"/>
    <xf numFmtId="0" fontId="5" fillId="0" borderId="11" xfId="0" applyFont="1" applyFill="1" applyBorder="1" applyAlignment="1"/>
    <xf numFmtId="3" fontId="5" fillId="0" borderId="12" xfId="0" applyNumberFormat="1" applyFont="1" applyFill="1" applyBorder="1"/>
    <xf numFmtId="10" fontId="2" fillId="0" borderId="13" xfId="1" applyNumberFormat="1" applyFont="1" applyFill="1" applyBorder="1"/>
    <xf numFmtId="0" fontId="1" fillId="0" borderId="14" xfId="0" applyFont="1" applyFill="1" applyBorder="1" applyAlignment="1"/>
    <xf numFmtId="3" fontId="1" fillId="0" borderId="15" xfId="0" applyNumberFormat="1" applyFont="1" applyFill="1" applyBorder="1"/>
    <xf numFmtId="10" fontId="2" fillId="0" borderId="16" xfId="1" applyNumberFormat="1" applyFont="1" applyFill="1" applyBorder="1"/>
    <xf numFmtId="37" fontId="1" fillId="0" borderId="5" xfId="0" applyNumberFormat="1" applyFont="1" applyFill="1" applyBorder="1" applyAlignment="1"/>
    <xf numFmtId="0" fontId="9" fillId="0" borderId="0" xfId="0" applyFont="1" applyFill="1"/>
    <xf numFmtId="37" fontId="7" fillId="0" borderId="5" xfId="0" applyNumberFormat="1" applyFont="1" applyFill="1" applyBorder="1" applyAlignment="1">
      <alignment horizontal="left"/>
    </xf>
    <xf numFmtId="37" fontId="2" fillId="0" borderId="5" xfId="0" applyNumberFormat="1" applyFont="1" applyFill="1" applyBorder="1" applyAlignment="1">
      <alignment horizontal="left"/>
    </xf>
    <xf numFmtId="164" fontId="1" fillId="0" borderId="6" xfId="2" applyFont="1" applyFill="1" applyBorder="1"/>
    <xf numFmtId="164" fontId="7" fillId="0" borderId="6" xfId="2" applyFont="1" applyFill="1" applyBorder="1"/>
    <xf numFmtId="164" fontId="9" fillId="0" borderId="0" xfId="2" applyFont="1" applyFill="1"/>
    <xf numFmtId="37" fontId="7" fillId="0" borderId="5" xfId="0" applyNumberFormat="1" applyFont="1" applyFill="1" applyBorder="1" applyAlignment="1"/>
    <xf numFmtId="37" fontId="2" fillId="0" borderId="5" xfId="0" applyNumberFormat="1" applyFont="1" applyFill="1" applyBorder="1" applyAlignment="1"/>
    <xf numFmtId="3" fontId="2" fillId="0" borderId="6" xfId="3" applyNumberFormat="1" applyFont="1" applyFill="1" applyBorder="1"/>
    <xf numFmtId="165" fontId="6" fillId="0" borderId="0" xfId="0" applyNumberFormat="1" applyFont="1" applyFill="1"/>
    <xf numFmtId="0" fontId="6" fillId="0" borderId="0" xfId="0" applyFont="1" applyFill="1"/>
    <xf numFmtId="3" fontId="6" fillId="0" borderId="0" xfId="0" applyNumberFormat="1" applyFont="1" applyFill="1"/>
    <xf numFmtId="0" fontId="5" fillId="0" borderId="17" xfId="0" applyFont="1" applyFill="1" applyBorder="1" applyAlignment="1"/>
    <xf numFmtId="3" fontId="1" fillId="0" borderId="18" xfId="0" applyNumberFormat="1" applyFont="1" applyFill="1" applyBorder="1"/>
    <xf numFmtId="0" fontId="5" fillId="0" borderId="18" xfId="0" applyFont="1" applyFill="1" applyBorder="1"/>
    <xf numFmtId="3" fontId="5" fillId="0" borderId="18" xfId="0" applyNumberFormat="1" applyFont="1" applyFill="1" applyBorder="1"/>
    <xf numFmtId="0" fontId="5" fillId="0" borderId="19" xfId="0" applyFont="1" applyFill="1" applyBorder="1"/>
    <xf numFmtId="10" fontId="0" fillId="0" borderId="0" xfId="1" applyNumberFormat="1" applyFont="1" applyFill="1"/>
    <xf numFmtId="0" fontId="10" fillId="0" borderId="0" xfId="0" applyFont="1" applyFill="1" applyAlignment="1"/>
    <xf numFmtId="3" fontId="10" fillId="0" borderId="0" xfId="0" applyNumberFormat="1" applyFont="1" applyFill="1"/>
    <xf numFmtId="37" fontId="10" fillId="0" borderId="0" xfId="0" applyNumberFormat="1" applyFont="1" applyFill="1"/>
    <xf numFmtId="0" fontId="10" fillId="0" borderId="0" xfId="0" applyFont="1" applyFill="1"/>
    <xf numFmtId="10" fontId="10" fillId="0" borderId="0" xfId="0" applyNumberFormat="1" applyFont="1" applyFill="1"/>
    <xf numFmtId="37" fontId="0" fillId="0" borderId="0" xfId="0" applyNumberFormat="1" applyFill="1"/>
    <xf numFmtId="164" fontId="10" fillId="0" borderId="0" xfId="2" applyFont="1" applyFill="1"/>
    <xf numFmtId="9" fontId="10" fillId="0" borderId="0" xfId="1" applyFont="1" applyFill="1"/>
    <xf numFmtId="0" fontId="11" fillId="0" borderId="0" xfId="0" applyFont="1" applyFill="1"/>
    <xf numFmtId="3" fontId="11" fillId="0" borderId="0" xfId="0" applyNumberFormat="1" applyFont="1" applyFill="1"/>
    <xf numFmtId="164" fontId="11" fillId="0" borderId="0" xfId="2" applyFont="1" applyFill="1"/>
    <xf numFmtId="10" fontId="10" fillId="0" borderId="0" xfId="1" applyNumberFormat="1" applyFont="1" applyFill="1"/>
  </cellXfs>
  <cellStyles count="4">
    <cellStyle name="Millares 2 2" xfId="3"/>
    <cellStyle name="Millares 23" xfId="2"/>
    <cellStyle name="Normal" xfId="0" builtinId="0"/>
    <cellStyle name="Porcentaje 10"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styles" Target="styles.xml"/><Relationship Id="rId2" Type="http://schemas.openxmlformats.org/officeDocument/2006/relationships/externalLink" Target="externalLinks/externalLink1.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10" Type="http://schemas.openxmlformats.org/officeDocument/2006/relationships/externalLink" Target="externalLinks/externalLink9.xml"/><Relationship Id="rId19"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241;o%202019/LEY%201712/EJECUCION%20PRESUPUESTAL%20HISTORICA%20ANUAL/2017/CIERRE%20OCT-DIC.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orubio\Downloads\A&#241;o%202017\Presupuesto%202017\Presupuesto%202017%202da%20versi&#243;n\Anexos\Presupuesto%20PPC%20201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ORCICOL\Administrativa\A&#241;o%202010\PTO%20FONDO%202010\Presupuesto%202010%20versi&#243;n%203\PRESUPUESTO%2010%203a%20%20versi&#243;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PORCICOL\Administrativa\JefeControlRegional\Presupuesto%202008\Presupuesto%20200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ORCICOL\Administrativa\Users\OscarRubio\AppData\Local\Microsoft\Windows\Temporary%20Internet%20Files\Content.Outlook\INBWVVAW\ANEXO%20ACUERDO%204-1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orubio\Downloads\Users\JorgeOrtiz\Desktop\PPC2013\PRESUPUESTO%202014\PRESUPUESTO%20DEFINITIVO%202014%20NOV\Desagregado%20PPC%202014%20%20definitiv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CICOL\Administrativa\CONTABILIDAD\ANEXO%20CIERRE%20DE%20INGRESOS%2020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ORCICOL\Administrativa\Informe%20gesti&#243;n%20definitivo%20I%20semestre%202012\gastos%20enero%20junio%20de%2020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ORCICOL\Administrativa\A&#241;o%202010\A&#241;o%202010\MANEJO%20PTO%202010\PRESUPUESTO%20INGRESOS%20ESTIMADO%2020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orubio\Downloads\A&#241;o%202015\PRESUPUESTO%202015\PRESUPUESTO%202015%20V.6\Presupuesto%202015%20version%2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RCICOL\Administrativa\2011\Presentaciones\COMITES%20PPC\DESPACHOS%20BIOLOGICO%20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orubio\Downloads\Users\directorppc\AppData\Local\Microsoft\Windows\Temporary%20Internet%20Files\Content.IE5\68SX2PI0\Desagregado%20&#193;rea%20201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ORCICOL\Administrativa\Temp\desagregado%20ppc%2020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PORCICOL\Administrativa\Documents%20and%20Settings\PatriciaMart&#237;nez\Configuraci&#243;n%20local\Archivos%20temporales%20de%20Internet\Content.Outlook\RD6RDTKZ\A&#241;o%202008\Presupuesto%202009\nomina%202009%20pp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sheetName val="Anexo 2 "/>
      <sheetName val="Otros ingresos"/>
      <sheetName val="Funcionamiento"/>
      <sheetName val="Nómina y honorarios 2017"/>
    </sheetNames>
    <sheetDataSet>
      <sheetData sheetId="0">
        <row r="16">
          <cell r="B16">
            <v>3354265371.5079231</v>
          </cell>
        </row>
        <row r="33">
          <cell r="B33">
            <v>469823899.4462502</v>
          </cell>
        </row>
      </sheetData>
      <sheetData sheetId="1"/>
      <sheetData sheetId="2"/>
      <sheetData sheetId="3">
        <row r="10">
          <cell r="I10">
            <v>36231606</v>
          </cell>
          <cell r="J10">
            <v>3000000</v>
          </cell>
          <cell r="L10">
            <v>1580000</v>
          </cell>
        </row>
        <row r="16">
          <cell r="H16">
            <v>2184723.2250000001</v>
          </cell>
        </row>
        <row r="18">
          <cell r="J18">
            <v>1166650.078125</v>
          </cell>
          <cell r="K18">
            <v>471387.43250000011</v>
          </cell>
          <cell r="L18">
            <v>2750000</v>
          </cell>
        </row>
        <row r="20">
          <cell r="L20">
            <v>10000000</v>
          </cell>
        </row>
        <row r="22">
          <cell r="J22">
            <v>4998431.874499999</v>
          </cell>
          <cell r="L22">
            <v>10861004.382225003</v>
          </cell>
        </row>
        <row r="24">
          <cell r="I24">
            <v>30406980.850000001</v>
          </cell>
          <cell r="J24">
            <v>1438628</v>
          </cell>
        </row>
        <row r="26">
          <cell r="K26">
            <v>1791880.4631250007</v>
          </cell>
          <cell r="L26">
            <v>3493742.6101904996</v>
          </cell>
        </row>
        <row r="28">
          <cell r="J28">
            <v>1803397</v>
          </cell>
          <cell r="L28">
            <v>513700</v>
          </cell>
        </row>
        <row r="30">
          <cell r="J30">
            <v>164546.375</v>
          </cell>
        </row>
      </sheetData>
      <sheetData sheetId="4">
        <row r="57">
          <cell r="K57">
            <v>60911983.556666672</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5 vs 2016"/>
      <sheetName val="justificacion formulada"/>
      <sheetName val="Consolidado área PPC "/>
      <sheetName val="Recolección desechos y archivo"/>
      <sheetName val="Admon BD 2016"/>
      <sheetName val="Aux comités 2016"/>
      <sheetName val="Vacunadores Chapeteadores"/>
      <sheetName val="Censo 2016"/>
      <sheetName val="Vigilancia PPC"/>
      <sheetName val="Ventas PPC"/>
      <sheetName val="Anexo comunicaciones"/>
      <sheetName val="REUNIÓNES (2)"/>
      <sheetName val="Ingresos 2016"/>
      <sheetName val="Anexo materiales y dotaciones"/>
      <sheetName val="Arriendos"/>
      <sheetName val="Aux distribuidores 2016"/>
      <sheetName val="Aux Coord y Gastos de Viaje"/>
      <sheetName val="Progra vigilancia enf 2015"/>
      <sheetName val="anexo impresos y publicaciones"/>
      <sheetName val="NOMINA HONORARIOS 2015"/>
      <sheetName val="BRIGADAS"/>
      <sheetName val="Correo"/>
      <sheetName val="NOMINA HONORARIOS 2013"/>
      <sheetName val="Participación x dosis"/>
      <sheetName val="SIMULACROS"/>
      <sheetName val="Biologico II"/>
      <sheetName val="BIOLÓGICO 2016"/>
      <sheetName val="Chapetas ZL"/>
      <sheetName val="Chapetas Z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 PPC"/>
      <sheetName val="Ejecución ingresos 2009"/>
      <sheetName val="Ejecución gastos 2009"/>
      <sheetName val="Superavit 2009"/>
      <sheetName val="Anexo 2 "/>
      <sheetName val="Anexo 3 "/>
      <sheetName val="Anexo 4"/>
      <sheetName val="Funcionamiento"/>
      <sheetName val="Nómina y honorarios 2010"/>
      <sheetName val="Comparativo nómina 2009-2010"/>
      <sheetName val="Inversión total en programas"/>
      <sheetName val="MODELO CONTRATISTAS"/>
      <sheetName val="Servicios personal 2005"/>
      <sheetName val="Nómina 2004"/>
      <sheetName val="Hoja1"/>
    </sheetNames>
    <sheetDataSet>
      <sheetData sheetId="0">
        <row r="21">
          <cell r="C21">
            <v>1344784788</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sheetData sheetId="13" refreshError="1"/>
      <sheetData sheetId="14">
        <row r="86">
          <cell r="B86">
            <v>117000000</v>
          </cell>
        </row>
      </sheetData>
      <sheetData sheetId="15" refreshError="1"/>
      <sheetData sheetId="16" refreshError="1"/>
      <sheetData sheetId="17" refreshError="1"/>
      <sheetData sheetId="1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gresos"/>
      <sheetName val="Superávit 2006"/>
      <sheetName val="Otros ingresos"/>
      <sheetName val="Presupuesto general"/>
      <sheetName val="2004VS2005"/>
      <sheetName val="Escenarios PPC"/>
      <sheetName val="Anexo 2 Minagricultura"/>
      <sheetName val="Anexo 3 Minagricultura"/>
      <sheetName val="Anexo 4 Regionalizacion"/>
      <sheetName val="Funcionamiento"/>
      <sheetName val="Presupuesto de recaudo"/>
      <sheetName val="Inversión total en programas"/>
      <sheetName val="MODELO CONTRATISTAS"/>
      <sheetName val="Servicios personal 2005"/>
      <sheetName val="Nómina 2004"/>
    </sheetNames>
    <sheetDataSet>
      <sheetData sheetId="0">
        <row r="19">
          <cell r="C19">
            <v>2489922289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I"/>
      <sheetName val="ANEXO INGRESOS"/>
      <sheetName val="ANEXO II"/>
      <sheetName val="Anexo 2 x Areas"/>
      <sheetName val="SUPERAVIT"/>
      <sheetName val="RES"/>
      <sheetName val="ECO"/>
      <sheetName val="TEC"/>
      <sheetName val="PPC"/>
      <sheetName val="MER"/>
      <sheetName val="FUN"/>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3 vs 2014"/>
      <sheetName val="justificacion formulada"/>
      <sheetName val="Escenario PPC"/>
      <sheetName val="Arriendos"/>
      <sheetName val="costos vigilancia "/>
      <sheetName val="Ingresos 2014"/>
      <sheetName val="Recolección de desechos"/>
      <sheetName val="Aux comités"/>
      <sheetName val="Barridos 2014"/>
      <sheetName val="Aux distribuidores"/>
      <sheetName val="VALLAS"/>
      <sheetName val="anexo publicidad"/>
      <sheetName val="REUNIÓNES"/>
      <sheetName val="BRIGADAS"/>
      <sheetName val="Correo"/>
      <sheetName val="anexo viaticos gastos de viaje"/>
      <sheetName val="anexo materiales y dotaciones"/>
      <sheetName val="anexo impresos y publicaciones"/>
      <sheetName val="NOMINA HONORARIOS 2013"/>
      <sheetName val="Participación x dosis"/>
      <sheetName val="SIMULACROS"/>
      <sheetName val="Chapetas ZL"/>
      <sheetName val="Biológico"/>
      <sheetName val="Biológico ZF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 general"/>
      <sheetName val="2004VS2005"/>
      <sheetName val="Otros ingresos Modificaciones"/>
      <sheetName val="Inversión total en programas"/>
      <sheetName val="MODELO CONTRATISTAS"/>
      <sheetName val="Servicios personal 2005"/>
      <sheetName val="Nómina 2004"/>
    </sheetNames>
    <sheetDataSet>
      <sheetData sheetId="0"/>
      <sheetData sheetId="1"/>
      <sheetData sheetId="2"/>
      <sheetData sheetId="3">
        <row r="35">
          <cell r="C35" t="e">
            <v>#REF!</v>
          </cell>
        </row>
        <row r="50">
          <cell r="A50" t="str">
            <v>Cadena avícola porcícola</v>
          </cell>
          <cell r="B50">
            <v>0</v>
          </cell>
        </row>
        <row r="60">
          <cell r="A60" t="str">
            <v>Honorarios director nacional</v>
          </cell>
          <cell r="B60" t="e">
            <v>#REF!</v>
          </cell>
        </row>
        <row r="61">
          <cell r="A61" t="str">
            <v>Conceptualización gráfica</v>
          </cell>
          <cell r="B61" t="e">
            <v>#REF!</v>
          </cell>
        </row>
        <row r="62">
          <cell r="A62" t="str">
            <v>Asistente Call Center</v>
          </cell>
          <cell r="B62" t="e">
            <v>#REF!</v>
          </cell>
        </row>
        <row r="63">
          <cell r="A63" t="str">
            <v>Subtotal gastos de personal</v>
          </cell>
          <cell r="B63" t="e">
            <v>#REF!</v>
          </cell>
        </row>
      </sheetData>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Anexo 2 X Areas"/>
      <sheetName val="#¡REF"/>
    </sheetNames>
    <sheetDataSet>
      <sheetData sheetId="0"/>
      <sheetData sheetId="1"/>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Presupuesto general"/>
      <sheetName val="2004VS2005"/>
      <sheetName val="Inversión total en programas"/>
      <sheetName val="MODELO CONTRATISTAS"/>
      <sheetName val="Servicios personal 2005"/>
      <sheetName val="Nómina 2004"/>
      <sheetName val="Anexo cierre 2010"/>
    </sheetNames>
    <sheetDataSet>
      <sheetData sheetId="0"/>
      <sheetData sheetId="1" refreshError="1"/>
      <sheetData sheetId="2" refreshError="1"/>
      <sheetData sheetId="3"/>
      <sheetData sheetId="4" refreshError="1"/>
      <sheetData sheetId="5" refreshError="1"/>
      <sheetData sheetId="6"/>
      <sheetData sheetId="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Rendimientos "/>
      <sheetName val="Escenario PPC"/>
      <sheetName val="Ejecución ingresos 2014"/>
      <sheetName val="Ejecución gastos 2014"/>
      <sheetName val="Superavit 2014"/>
      <sheetName val="Anexo 2 "/>
      <sheetName val="Anexo 3"/>
      <sheetName val="Anexo 4"/>
      <sheetName val="Funcionamiento"/>
      <sheetName val="Nómina y honorarios 2015"/>
      <sheetName val="Comparativo nómina 2014-2015"/>
      <sheetName val="Comparativo gastos personal "/>
    </sheetNames>
    <sheetDataSet>
      <sheetData sheetId="0">
        <row r="46">
          <cell r="C46">
            <v>3182535.7199999997</v>
          </cell>
        </row>
        <row r="53">
          <cell r="C53">
            <v>4295.6000000000004</v>
          </cell>
        </row>
        <row r="54">
          <cell r="C54">
            <v>2577.36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SES"/>
      <sheetName val="2010  LABORATORIOS"/>
      <sheetName val="2011 LABORATORIOS"/>
      <sheetName val="COMPARATIVO POR DOSIS"/>
      <sheetName val="COMPARATIVO POR LABORATORIO"/>
      <sheetName val="Hoja1"/>
      <sheetName val="BRIGADAS"/>
      <sheetName val="COMITÉ"/>
      <sheetName val="DISTRIBUIDOR"/>
      <sheetName val="DEPARTAMENTO"/>
      <sheetName val="CONSOLIDADO GENERAL"/>
      <sheetName val="BASE"/>
    </sheetNames>
    <sheetDataSet>
      <sheetData sheetId="0"/>
      <sheetData sheetId="1"/>
      <sheetData sheetId="2"/>
      <sheetData sheetId="3"/>
      <sheetData sheetId="4"/>
      <sheetData sheetId="5"/>
      <sheetData sheetId="6"/>
      <sheetData sheetId="7"/>
      <sheetData sheetId="8"/>
      <sheetData sheetId="9"/>
      <sheetData sheetId="10"/>
      <sheetData sheetId="11">
        <row r="3">
          <cell r="E3">
            <v>40191</v>
          </cell>
        </row>
        <row r="4">
          <cell r="E4">
            <v>40196</v>
          </cell>
        </row>
        <row r="5">
          <cell r="E5">
            <v>40179</v>
          </cell>
        </row>
        <row r="6">
          <cell r="E6">
            <v>40193</v>
          </cell>
        </row>
        <row r="7">
          <cell r="E7">
            <v>40193</v>
          </cell>
        </row>
        <row r="8">
          <cell r="E8">
            <v>40190</v>
          </cell>
        </row>
        <row r="9">
          <cell r="E9">
            <v>40190</v>
          </cell>
        </row>
        <row r="10">
          <cell r="E10">
            <v>40190</v>
          </cell>
        </row>
        <row r="11">
          <cell r="E11">
            <v>40190</v>
          </cell>
        </row>
        <row r="12">
          <cell r="E12">
            <v>40190</v>
          </cell>
        </row>
        <row r="13">
          <cell r="E13">
            <v>40191</v>
          </cell>
        </row>
        <row r="14">
          <cell r="E14">
            <v>40191</v>
          </cell>
        </row>
        <row r="15">
          <cell r="E15">
            <v>40196</v>
          </cell>
        </row>
        <row r="16">
          <cell r="E16">
            <v>40196</v>
          </cell>
        </row>
        <row r="17">
          <cell r="E17">
            <v>40196</v>
          </cell>
        </row>
        <row r="18">
          <cell r="E18">
            <v>40196</v>
          </cell>
        </row>
        <row r="19">
          <cell r="E19">
            <v>40197</v>
          </cell>
        </row>
        <row r="20">
          <cell r="E20">
            <v>40197</v>
          </cell>
        </row>
        <row r="21">
          <cell r="E21">
            <v>40197</v>
          </cell>
        </row>
        <row r="22">
          <cell r="E22">
            <v>40192</v>
          </cell>
        </row>
        <row r="23">
          <cell r="E23">
            <v>40192</v>
          </cell>
        </row>
        <row r="24">
          <cell r="E24">
            <v>40192</v>
          </cell>
        </row>
        <row r="25">
          <cell r="E25">
            <v>40192</v>
          </cell>
        </row>
        <row r="26">
          <cell r="E26">
            <v>40197</v>
          </cell>
        </row>
        <row r="27">
          <cell r="E27">
            <v>40197</v>
          </cell>
        </row>
        <row r="28">
          <cell r="E28">
            <v>40196</v>
          </cell>
        </row>
        <row r="29">
          <cell r="E29">
            <v>40196</v>
          </cell>
        </row>
        <row r="30">
          <cell r="E30">
            <v>40196</v>
          </cell>
        </row>
        <row r="31">
          <cell r="E31">
            <v>40199</v>
          </cell>
        </row>
        <row r="32">
          <cell r="E32">
            <v>40199</v>
          </cell>
        </row>
        <row r="33">
          <cell r="E33">
            <v>40199</v>
          </cell>
        </row>
        <row r="34">
          <cell r="E34">
            <v>40199</v>
          </cell>
        </row>
        <row r="35">
          <cell r="E35">
            <v>40203</v>
          </cell>
        </row>
        <row r="36">
          <cell r="E36">
            <v>40203</v>
          </cell>
        </row>
        <row r="37">
          <cell r="E37">
            <v>40203</v>
          </cell>
        </row>
        <row r="38">
          <cell r="E38">
            <v>40203</v>
          </cell>
        </row>
        <row r="39">
          <cell r="E39">
            <v>40200</v>
          </cell>
        </row>
        <row r="40">
          <cell r="E40">
            <v>40200</v>
          </cell>
        </row>
        <row r="41">
          <cell r="E41">
            <v>40199</v>
          </cell>
        </row>
        <row r="42">
          <cell r="E42">
            <v>40203</v>
          </cell>
        </row>
        <row r="43">
          <cell r="E43">
            <v>40203</v>
          </cell>
        </row>
        <row r="44">
          <cell r="E44">
            <v>40203</v>
          </cell>
        </row>
        <row r="45">
          <cell r="E45">
            <v>40203</v>
          </cell>
        </row>
        <row r="46">
          <cell r="E46">
            <v>40203</v>
          </cell>
        </row>
        <row r="47">
          <cell r="E47">
            <v>40203</v>
          </cell>
        </row>
        <row r="48">
          <cell r="E48">
            <v>40205</v>
          </cell>
        </row>
        <row r="49">
          <cell r="E49">
            <v>40205</v>
          </cell>
        </row>
        <row r="50">
          <cell r="E50">
            <v>40205</v>
          </cell>
        </row>
        <row r="51">
          <cell r="E51">
            <v>40205</v>
          </cell>
        </row>
        <row r="52">
          <cell r="E52">
            <v>40205</v>
          </cell>
        </row>
        <row r="53">
          <cell r="E53">
            <v>40205</v>
          </cell>
        </row>
        <row r="54">
          <cell r="E54">
            <v>40205</v>
          </cell>
        </row>
        <row r="55">
          <cell r="E55">
            <v>40205</v>
          </cell>
        </row>
        <row r="56">
          <cell r="E56">
            <v>40205</v>
          </cell>
        </row>
        <row r="57">
          <cell r="E57">
            <v>40205</v>
          </cell>
        </row>
        <row r="58">
          <cell r="E58">
            <v>40205</v>
          </cell>
        </row>
        <row r="59">
          <cell r="E59">
            <v>40205</v>
          </cell>
        </row>
        <row r="60">
          <cell r="E60">
            <v>40210</v>
          </cell>
        </row>
        <row r="61">
          <cell r="E61">
            <v>40210</v>
          </cell>
        </row>
        <row r="62">
          <cell r="E62">
            <v>40210</v>
          </cell>
        </row>
        <row r="63">
          <cell r="E63">
            <v>40210</v>
          </cell>
        </row>
        <row r="64">
          <cell r="E64">
            <v>40210</v>
          </cell>
        </row>
        <row r="65">
          <cell r="E65">
            <v>40210</v>
          </cell>
        </row>
        <row r="66">
          <cell r="E66">
            <v>40210</v>
          </cell>
        </row>
        <row r="67">
          <cell r="E67">
            <v>40210</v>
          </cell>
        </row>
        <row r="68">
          <cell r="E68">
            <v>40210</v>
          </cell>
        </row>
        <row r="69">
          <cell r="E69">
            <v>40210</v>
          </cell>
        </row>
        <row r="70">
          <cell r="E70">
            <v>40211</v>
          </cell>
        </row>
        <row r="71">
          <cell r="E71">
            <v>40211</v>
          </cell>
        </row>
        <row r="72">
          <cell r="E72">
            <v>40211</v>
          </cell>
        </row>
        <row r="73">
          <cell r="E73">
            <v>40211</v>
          </cell>
        </row>
        <row r="74">
          <cell r="E74">
            <v>40211</v>
          </cell>
        </row>
        <row r="75">
          <cell r="E75">
            <v>40211</v>
          </cell>
        </row>
        <row r="76">
          <cell r="E76">
            <v>40211</v>
          </cell>
        </row>
        <row r="77">
          <cell r="E77">
            <v>40211</v>
          </cell>
        </row>
        <row r="78">
          <cell r="E78">
            <v>40211</v>
          </cell>
        </row>
        <row r="79">
          <cell r="E79">
            <v>40211</v>
          </cell>
        </row>
        <row r="80">
          <cell r="E80">
            <v>40211</v>
          </cell>
        </row>
        <row r="81">
          <cell r="E81">
            <v>40211</v>
          </cell>
        </row>
        <row r="82">
          <cell r="E82">
            <v>40211</v>
          </cell>
        </row>
        <row r="83">
          <cell r="E83">
            <v>40210</v>
          </cell>
        </row>
        <row r="84">
          <cell r="E84">
            <v>40210</v>
          </cell>
        </row>
        <row r="85">
          <cell r="E85">
            <v>40205</v>
          </cell>
        </row>
        <row r="86">
          <cell r="E86">
            <v>40205</v>
          </cell>
        </row>
        <row r="87">
          <cell r="E87">
            <v>40210</v>
          </cell>
        </row>
        <row r="88">
          <cell r="E88">
            <v>40212</v>
          </cell>
        </row>
        <row r="89">
          <cell r="E89">
            <v>40212</v>
          </cell>
        </row>
        <row r="90">
          <cell r="E90">
            <v>40210</v>
          </cell>
        </row>
        <row r="91">
          <cell r="E91">
            <v>40210</v>
          </cell>
        </row>
        <row r="92">
          <cell r="E92">
            <v>40213</v>
          </cell>
        </row>
        <row r="93">
          <cell r="E93">
            <v>40213</v>
          </cell>
        </row>
        <row r="94">
          <cell r="E94">
            <v>40210</v>
          </cell>
        </row>
        <row r="95">
          <cell r="E95">
            <v>40210</v>
          </cell>
        </row>
        <row r="96">
          <cell r="E96">
            <v>40212</v>
          </cell>
        </row>
        <row r="97">
          <cell r="E97">
            <v>40212</v>
          </cell>
        </row>
        <row r="98">
          <cell r="E98">
            <v>40213</v>
          </cell>
        </row>
        <row r="99">
          <cell r="E99">
            <v>40213</v>
          </cell>
        </row>
        <row r="100">
          <cell r="E100">
            <v>40214</v>
          </cell>
        </row>
        <row r="101">
          <cell r="E101">
            <v>40214</v>
          </cell>
        </row>
        <row r="102">
          <cell r="E102">
            <v>40217</v>
          </cell>
        </row>
        <row r="103">
          <cell r="E103">
            <v>40217</v>
          </cell>
        </row>
        <row r="104">
          <cell r="E104">
            <v>40217</v>
          </cell>
        </row>
        <row r="105">
          <cell r="E105">
            <v>40217</v>
          </cell>
        </row>
        <row r="106">
          <cell r="E106">
            <v>40214</v>
          </cell>
        </row>
        <row r="107">
          <cell r="E107">
            <v>40214</v>
          </cell>
        </row>
        <row r="108">
          <cell r="E108">
            <v>40207</v>
          </cell>
        </row>
        <row r="109">
          <cell r="E109">
            <v>40207</v>
          </cell>
        </row>
        <row r="110">
          <cell r="E110">
            <v>40212</v>
          </cell>
        </row>
        <row r="111">
          <cell r="E111">
            <v>40212</v>
          </cell>
        </row>
        <row r="112">
          <cell r="E112">
            <v>40212</v>
          </cell>
        </row>
        <row r="113">
          <cell r="E113">
            <v>40212</v>
          </cell>
        </row>
        <row r="114">
          <cell r="E114">
            <v>40212</v>
          </cell>
        </row>
        <row r="115">
          <cell r="E115">
            <v>40212</v>
          </cell>
        </row>
        <row r="116">
          <cell r="E116">
            <v>40218</v>
          </cell>
        </row>
        <row r="117">
          <cell r="E117">
            <v>40218</v>
          </cell>
        </row>
        <row r="118">
          <cell r="E118">
            <v>40218</v>
          </cell>
        </row>
        <row r="119">
          <cell r="E119">
            <v>40218</v>
          </cell>
        </row>
        <row r="120">
          <cell r="E120">
            <v>40218</v>
          </cell>
        </row>
        <row r="121">
          <cell r="E121">
            <v>40211</v>
          </cell>
        </row>
        <row r="122">
          <cell r="E122">
            <v>40211</v>
          </cell>
        </row>
        <row r="123">
          <cell r="E123">
            <v>40211</v>
          </cell>
        </row>
        <row r="124">
          <cell r="E124">
            <v>40211</v>
          </cell>
        </row>
        <row r="125">
          <cell r="E125">
            <v>40211</v>
          </cell>
        </row>
        <row r="126">
          <cell r="E126">
            <v>40214</v>
          </cell>
        </row>
        <row r="127">
          <cell r="E127">
            <v>40214</v>
          </cell>
        </row>
        <row r="128">
          <cell r="E128">
            <v>40211</v>
          </cell>
        </row>
        <row r="129">
          <cell r="E129">
            <v>40218</v>
          </cell>
        </row>
        <row r="130">
          <cell r="E130">
            <v>40218</v>
          </cell>
        </row>
        <row r="131">
          <cell r="E131">
            <v>40218</v>
          </cell>
        </row>
        <row r="132">
          <cell r="E132">
            <v>40218</v>
          </cell>
        </row>
        <row r="133">
          <cell r="E133">
            <v>40213</v>
          </cell>
        </row>
        <row r="134">
          <cell r="E134">
            <v>40213</v>
          </cell>
        </row>
        <row r="135">
          <cell r="E135">
            <v>40213</v>
          </cell>
        </row>
        <row r="136">
          <cell r="E136">
            <v>40213</v>
          </cell>
        </row>
        <row r="137">
          <cell r="E137">
            <v>40218</v>
          </cell>
        </row>
        <row r="138">
          <cell r="E138">
            <v>40218</v>
          </cell>
        </row>
        <row r="139">
          <cell r="E139">
            <v>40218</v>
          </cell>
        </row>
        <row r="140">
          <cell r="E140">
            <v>40218</v>
          </cell>
        </row>
        <row r="141">
          <cell r="E141">
            <v>40218</v>
          </cell>
        </row>
        <row r="142">
          <cell r="E142">
            <v>40210</v>
          </cell>
        </row>
        <row r="143">
          <cell r="E143">
            <v>40210</v>
          </cell>
        </row>
        <row r="144">
          <cell r="E144">
            <v>40218</v>
          </cell>
        </row>
        <row r="145">
          <cell r="E145">
            <v>40218</v>
          </cell>
        </row>
        <row r="146">
          <cell r="E146">
            <v>40218</v>
          </cell>
        </row>
        <row r="147">
          <cell r="E147">
            <v>40220</v>
          </cell>
        </row>
        <row r="148">
          <cell r="E148">
            <v>40220</v>
          </cell>
        </row>
        <row r="149">
          <cell r="E149">
            <v>40220</v>
          </cell>
        </row>
        <row r="150">
          <cell r="E150">
            <v>40220</v>
          </cell>
        </row>
        <row r="151">
          <cell r="E151">
            <v>40224</v>
          </cell>
        </row>
        <row r="152">
          <cell r="E152">
            <v>40224</v>
          </cell>
        </row>
        <row r="153">
          <cell r="E153">
            <v>40224</v>
          </cell>
        </row>
        <row r="154">
          <cell r="E154">
            <v>40224</v>
          </cell>
        </row>
        <row r="155">
          <cell r="E155">
            <v>40224</v>
          </cell>
        </row>
        <row r="156">
          <cell r="E156">
            <v>40218</v>
          </cell>
        </row>
        <row r="157">
          <cell r="E157">
            <v>40218</v>
          </cell>
        </row>
        <row r="158">
          <cell r="E158">
            <v>40218</v>
          </cell>
        </row>
        <row r="159">
          <cell r="E159">
            <v>40225</v>
          </cell>
        </row>
        <row r="160">
          <cell r="E160">
            <v>40225</v>
          </cell>
        </row>
        <row r="161">
          <cell r="E161">
            <v>40225</v>
          </cell>
        </row>
        <row r="162">
          <cell r="E162">
            <v>40227</v>
          </cell>
        </row>
        <row r="163">
          <cell r="E163">
            <v>40227</v>
          </cell>
        </row>
        <row r="164">
          <cell r="E164">
            <v>40227</v>
          </cell>
        </row>
        <row r="165">
          <cell r="E165">
            <v>40227</v>
          </cell>
        </row>
        <row r="166">
          <cell r="E166">
            <v>40228</v>
          </cell>
        </row>
        <row r="167">
          <cell r="E167">
            <v>40228</v>
          </cell>
        </row>
        <row r="168">
          <cell r="E168">
            <v>40228</v>
          </cell>
        </row>
        <row r="169">
          <cell r="E169">
            <v>40231</v>
          </cell>
        </row>
        <row r="170">
          <cell r="E170">
            <v>40231</v>
          </cell>
        </row>
        <row r="171">
          <cell r="E171">
            <v>40233</v>
          </cell>
        </row>
        <row r="172">
          <cell r="E172">
            <v>40233</v>
          </cell>
        </row>
        <row r="173">
          <cell r="E173">
            <v>40232</v>
          </cell>
        </row>
        <row r="174">
          <cell r="E174">
            <v>40232</v>
          </cell>
        </row>
        <row r="175">
          <cell r="E175">
            <v>40233</v>
          </cell>
        </row>
        <row r="176">
          <cell r="E176">
            <v>40232</v>
          </cell>
        </row>
        <row r="177">
          <cell r="E177">
            <v>40233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área X"/>
    </sheetNames>
    <sheetDataSet>
      <sheetData sheetId="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stificacion formulada"/>
      <sheetName val="Ciclos"/>
      <sheetName val="INGRESOS 2010"/>
      <sheetName val="anexo viaticos gastos de viaje"/>
      <sheetName val="anexo materiales y dotaciones"/>
      <sheetName val="anexo publicidad"/>
      <sheetName val="anexo impresos y publicaciones"/>
      <sheetName val="Escenario PPC"/>
      <sheetName val="Auxilios distribuidores"/>
      <sheetName val="NOMINA HONORARIOS 2010"/>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exo 1 Minagricultura"/>
      <sheetName val="Otros ingresos"/>
      <sheetName val="Presupuesto general"/>
      <sheetName val="2004VS2005"/>
      <sheetName val="Escenarios PPC"/>
      <sheetName val="Superávit 2006"/>
      <sheetName val="Anexo 2 Minagricultura"/>
      <sheetName val="Anexo 3 Minagricultura"/>
      <sheetName val="Anexo 4 Regionalizacion"/>
      <sheetName val="Funcionamiento"/>
      <sheetName val="NOMINA HONORARIOS 2009 1"/>
      <sheetName val="NOMINA HONORARIOS 2009 2"/>
      <sheetName val="comparativo  alternativas "/>
      <sheetName val="Inversión total en programas"/>
      <sheetName val="MODELO CONTRATISTAS"/>
      <sheetName val="Servicios personal 2005"/>
      <sheetName val="Nómina 2004"/>
    </sheetNames>
    <sheetDataSet>
      <sheetData sheetId="0">
        <row r="51">
          <cell r="C51">
            <v>2168.25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277"/>
  <sheetViews>
    <sheetView tabSelected="1" view="pageBreakPreview" topLeftCell="A2" zoomScale="90" zoomScaleNormal="90" zoomScaleSheetLayoutView="90" workbookViewId="0">
      <pane xSplit="1" ySplit="5" topLeftCell="B7" activePane="bottomRight" state="frozen"/>
      <selection activeCell="A6" sqref="A6:E6"/>
      <selection pane="topRight" activeCell="A6" sqref="A6:E6"/>
      <selection pane="bottomLeft" activeCell="A6" sqref="A6:E6"/>
      <selection pane="bottomRight" activeCell="M118" sqref="M118"/>
    </sheetView>
  </sheetViews>
  <sheetFormatPr baseColWidth="10" defaultRowHeight="12.75" outlineLevelRow="2" x14ac:dyDescent="0.2"/>
  <cols>
    <col min="1" max="1" width="57.7109375" style="2" customWidth="1"/>
    <col min="2" max="2" width="14.5703125" style="2" customWidth="1"/>
    <col min="3" max="3" width="14.7109375" style="2" customWidth="1"/>
    <col min="4" max="4" width="19.85546875" style="2" customWidth="1"/>
    <col min="5" max="5" width="13.42578125" style="2" customWidth="1"/>
    <col min="6" max="6" width="15.42578125" style="2" customWidth="1"/>
    <col min="7" max="7" width="17.5703125" style="2" customWidth="1"/>
    <col min="8" max="8" width="16.140625" style="2" customWidth="1"/>
    <col min="9" max="9" width="21.42578125" style="2" customWidth="1"/>
    <col min="10" max="12" width="19.7109375" style="2" customWidth="1"/>
    <col min="13" max="13" width="14.140625" style="2" customWidth="1"/>
    <col min="14" max="16" width="14.5703125" style="2" customWidth="1"/>
    <col min="17" max="16384" width="11.42578125" style="2"/>
  </cols>
  <sheetData>
    <row r="1" spans="1:15" ht="15" x14ac:dyDescent="0.25">
      <c r="A1" s="1" t="s">
        <v>0</v>
      </c>
      <c r="B1" s="1"/>
      <c r="C1" s="1"/>
      <c r="D1" s="1"/>
      <c r="E1" s="1"/>
      <c r="F1" s="1"/>
      <c r="G1" s="1"/>
      <c r="H1" s="1"/>
      <c r="I1" s="1"/>
      <c r="J1" s="1"/>
      <c r="K1" s="1"/>
      <c r="L1" s="1"/>
      <c r="M1" s="1"/>
    </row>
    <row r="2" spans="1:15" ht="15" x14ac:dyDescent="0.25">
      <c r="A2" s="1" t="s">
        <v>1</v>
      </c>
      <c r="B2" s="1"/>
      <c r="C2" s="1"/>
      <c r="D2" s="1"/>
      <c r="E2" s="1"/>
      <c r="F2" s="1"/>
      <c r="G2" s="1"/>
      <c r="H2" s="1"/>
      <c r="I2" s="1"/>
      <c r="J2" s="1"/>
      <c r="K2" s="1"/>
      <c r="L2" s="1"/>
      <c r="M2" s="1"/>
    </row>
    <row r="3" spans="1:15" ht="15" x14ac:dyDescent="0.25">
      <c r="A3" s="3" t="s">
        <v>2</v>
      </c>
      <c r="B3" s="3"/>
      <c r="C3" s="3"/>
      <c r="D3" s="3"/>
      <c r="E3" s="3"/>
      <c r="F3" s="3"/>
      <c r="G3" s="3"/>
      <c r="H3" s="3"/>
      <c r="I3" s="3"/>
      <c r="J3" s="3"/>
      <c r="K3" s="3"/>
      <c r="L3" s="3"/>
      <c r="M3" s="3"/>
    </row>
    <row r="4" spans="1:15" ht="15" x14ac:dyDescent="0.25">
      <c r="A4" s="1" t="s">
        <v>3</v>
      </c>
      <c r="B4" s="1"/>
      <c r="C4" s="1"/>
      <c r="D4" s="1"/>
      <c r="E4" s="1"/>
      <c r="F4" s="1"/>
      <c r="G4" s="1"/>
      <c r="H4" s="1"/>
      <c r="I4" s="1"/>
      <c r="J4" s="1"/>
      <c r="K4" s="1"/>
      <c r="L4" s="1"/>
      <c r="M4" s="1"/>
    </row>
    <row r="5" spans="1:15" ht="15.75" thickBot="1" x14ac:dyDescent="0.3">
      <c r="A5" s="4"/>
      <c r="B5" s="5"/>
      <c r="C5" s="6"/>
      <c r="D5" s="6"/>
      <c r="E5" s="7"/>
      <c r="F5" s="7"/>
      <c r="G5" s="7"/>
      <c r="H5" s="8"/>
      <c r="I5" s="7"/>
    </row>
    <row r="6" spans="1:15" ht="73.5" customHeight="1" thickTop="1" x14ac:dyDescent="0.2">
      <c r="A6" s="9" t="s">
        <v>4</v>
      </c>
      <c r="B6" s="10" t="s">
        <v>5</v>
      </c>
      <c r="C6" s="10" t="s">
        <v>6</v>
      </c>
      <c r="D6" s="10" t="s">
        <v>7</v>
      </c>
      <c r="E6" s="10" t="s">
        <v>8</v>
      </c>
      <c r="F6" s="10" t="s">
        <v>9</v>
      </c>
      <c r="G6" s="10" t="s">
        <v>10</v>
      </c>
      <c r="H6" s="10" t="s">
        <v>11</v>
      </c>
      <c r="I6" s="10" t="s">
        <v>12</v>
      </c>
      <c r="J6" s="10" t="s">
        <v>13</v>
      </c>
      <c r="K6" s="10" t="s">
        <v>14</v>
      </c>
      <c r="L6" s="10" t="s">
        <v>15</v>
      </c>
      <c r="M6" s="11" t="s">
        <v>16</v>
      </c>
    </row>
    <row r="7" spans="1:15" ht="15" x14ac:dyDescent="0.25">
      <c r="A7" s="12" t="s">
        <v>17</v>
      </c>
      <c r="B7" s="13"/>
      <c r="C7" s="13"/>
      <c r="D7" s="13"/>
      <c r="E7" s="13"/>
      <c r="F7" s="13"/>
      <c r="G7" s="13"/>
      <c r="H7" s="13"/>
      <c r="I7" s="13"/>
      <c r="J7" s="13"/>
      <c r="K7" s="13"/>
      <c r="L7" s="13"/>
      <c r="M7" s="14"/>
    </row>
    <row r="8" spans="1:15" ht="15" x14ac:dyDescent="0.25">
      <c r="A8" s="15" t="s">
        <v>18</v>
      </c>
      <c r="B8" s="16">
        <f>SUM(B9:B18)</f>
        <v>351883679.69790244</v>
      </c>
      <c r="C8" s="16">
        <f t="shared" ref="C8:J8" si="0">SUM(C9:C18)</f>
        <v>101481002</v>
      </c>
      <c r="D8" s="16">
        <f t="shared" si="0"/>
        <v>88128021.81643191</v>
      </c>
      <c r="E8" s="16">
        <f t="shared" si="0"/>
        <v>12428630.371106325</v>
      </c>
      <c r="F8" s="16">
        <f t="shared" si="0"/>
        <v>91957485.563863799</v>
      </c>
      <c r="G8" s="16">
        <f>SUM(G9:G18)</f>
        <v>361379505.5</v>
      </c>
      <c r="H8" s="16">
        <f>SUM(H9:H18)</f>
        <v>1007258324.9493043</v>
      </c>
      <c r="I8" s="16">
        <f>SUM(I9:I18)</f>
        <v>98648126.840551928</v>
      </c>
      <c r="J8" s="16">
        <f t="shared" si="0"/>
        <v>1105906451.789856</v>
      </c>
      <c r="K8" s="16">
        <f>SUM(K9:K18)</f>
        <v>1005121125</v>
      </c>
      <c r="L8" s="16">
        <f>+K8-J8</f>
        <v>-100785326.78985596</v>
      </c>
      <c r="M8" s="17">
        <f>+K8/J8</f>
        <v>0.90886631809884122</v>
      </c>
    </row>
    <row r="9" spans="1:15" ht="14.25" x14ac:dyDescent="0.2">
      <c r="A9" s="18" t="s">
        <v>19</v>
      </c>
      <c r="B9" s="19">
        <v>215575261.148334</v>
      </c>
      <c r="C9" s="19">
        <v>71190252</v>
      </c>
      <c r="D9" s="19">
        <f>+'[1]Nómina y honorarios 2017'!K57</f>
        <v>60911983.556666672</v>
      </c>
      <c r="E9" s="19">
        <v>7934158.7245000079</v>
      </c>
      <c r="F9" s="19">
        <v>59934618.387166679</v>
      </c>
      <c r="G9" s="19">
        <v>220445544.5</v>
      </c>
      <c r="H9" s="20">
        <f t="shared" ref="H9:H14" si="1">+B9+C9+D9+G9+E9+F9</f>
        <v>635991818.31666732</v>
      </c>
      <c r="I9" s="19">
        <v>42205512.530000001</v>
      </c>
      <c r="J9" s="19">
        <f t="shared" ref="J9:J18" si="2">+H9+I9</f>
        <v>678197330.84666729</v>
      </c>
      <c r="K9" s="19">
        <v>643134036</v>
      </c>
      <c r="L9" s="19">
        <f t="shared" ref="L9:L19" si="3">+K9-J9</f>
        <v>-35063294.84666729</v>
      </c>
      <c r="M9" s="21">
        <f t="shared" ref="M9:M19" si="4">+K9/J9</f>
        <v>0.9482992733060539</v>
      </c>
      <c r="O9" s="22"/>
    </row>
    <row r="10" spans="1:15" ht="14.25" x14ac:dyDescent="0.2">
      <c r="A10" s="18" t="s">
        <v>20</v>
      </c>
      <c r="B10" s="19">
        <v>16323026.507500015</v>
      </c>
      <c r="C10" s="19">
        <v>4262310</v>
      </c>
      <c r="D10" s="19">
        <v>4601062.1175000034</v>
      </c>
      <c r="E10" s="19">
        <v>575481.28881250019</v>
      </c>
      <c r="F10" s="19">
        <v>4847740.0021250024</v>
      </c>
      <c r="G10" s="19">
        <v>17170321</v>
      </c>
      <c r="H10" s="20">
        <f t="shared" si="1"/>
        <v>47779940.915937521</v>
      </c>
      <c r="I10" s="19">
        <v>2392505.5</v>
      </c>
      <c r="J10" s="19">
        <f t="shared" si="2"/>
        <v>50172446.415937521</v>
      </c>
      <c r="K10" s="19">
        <v>34101353</v>
      </c>
      <c r="L10" s="19">
        <f t="shared" si="3"/>
        <v>-16071093.415937521</v>
      </c>
      <c r="M10" s="21">
        <f t="shared" si="4"/>
        <v>0.6796828824589175</v>
      </c>
    </row>
    <row r="11" spans="1:15" ht="14.25" x14ac:dyDescent="0.2">
      <c r="A11" s="18" t="s">
        <v>21</v>
      </c>
      <c r="B11" s="19">
        <v>15998353.537500009</v>
      </c>
      <c r="C11" s="19">
        <v>3232898</v>
      </c>
      <c r="D11" s="19">
        <v>2584351.7437500004</v>
      </c>
      <c r="E11" s="19">
        <v>654738.19874999998</v>
      </c>
      <c r="F11" s="19">
        <v>3380358.602500001</v>
      </c>
      <c r="G11" s="19">
        <v>17259326</v>
      </c>
      <c r="H11" s="20">
        <f t="shared" si="1"/>
        <v>43110026.082500003</v>
      </c>
      <c r="I11" s="19">
        <v>2658342.75</v>
      </c>
      <c r="J11" s="19">
        <f t="shared" si="2"/>
        <v>45768368.832500003</v>
      </c>
      <c r="K11" s="19">
        <v>41534433</v>
      </c>
      <c r="L11" s="19">
        <f t="shared" si="3"/>
        <v>-4233935.8325000033</v>
      </c>
      <c r="M11" s="21">
        <f t="shared" si="4"/>
        <v>0.9074920968235709</v>
      </c>
    </row>
    <row r="12" spans="1:15" ht="14.25" x14ac:dyDescent="0.2">
      <c r="A12" s="18" t="s">
        <v>22</v>
      </c>
      <c r="B12" s="19">
        <v>15432101.287500001</v>
      </c>
      <c r="C12" s="23">
        <v>0</v>
      </c>
      <c r="D12" s="23">
        <v>0</v>
      </c>
      <c r="E12" s="19">
        <v>0</v>
      </c>
      <c r="F12" s="20">
        <v>0</v>
      </c>
      <c r="G12" s="20">
        <v>9830388</v>
      </c>
      <c r="H12" s="20">
        <f t="shared" si="1"/>
        <v>25262489.287500001</v>
      </c>
      <c r="I12" s="19">
        <v>35720866.75999999</v>
      </c>
      <c r="J12" s="19">
        <f>+H12+I12</f>
        <v>60983356.047499992</v>
      </c>
      <c r="K12" s="19">
        <v>54987828</v>
      </c>
      <c r="L12" s="19">
        <f t="shared" si="3"/>
        <v>-5995528.047499992</v>
      </c>
      <c r="M12" s="21">
        <f t="shared" si="4"/>
        <v>0.90168582977246992</v>
      </c>
    </row>
    <row r="13" spans="1:15" ht="14.25" x14ac:dyDescent="0.2">
      <c r="A13" s="18" t="s">
        <v>23</v>
      </c>
      <c r="B13" s="19">
        <v>1580726.6</v>
      </c>
      <c r="C13" s="19">
        <v>225818</v>
      </c>
      <c r="D13" s="19">
        <v>225819.65000000002</v>
      </c>
      <c r="E13" s="19">
        <v>0</v>
      </c>
      <c r="F13" s="19">
        <v>225818.65000000002</v>
      </c>
      <c r="G13" s="19">
        <v>677456</v>
      </c>
      <c r="H13" s="20">
        <f t="shared" si="1"/>
        <v>2935638.9</v>
      </c>
      <c r="I13" s="19"/>
      <c r="J13" s="19">
        <f t="shared" si="2"/>
        <v>2935638.9</v>
      </c>
      <c r="K13" s="19">
        <v>2258188</v>
      </c>
      <c r="L13" s="19">
        <f t="shared" si="3"/>
        <v>-677450.89999999991</v>
      </c>
      <c r="M13" s="21">
        <f t="shared" si="4"/>
        <v>0.76923221040571443</v>
      </c>
    </row>
    <row r="14" spans="1:15" ht="14.25" x14ac:dyDescent="0.2">
      <c r="A14" s="18" t="s">
        <v>24</v>
      </c>
      <c r="B14" s="19">
        <v>15998353.537500009</v>
      </c>
      <c r="C14" s="19">
        <v>3232898</v>
      </c>
      <c r="D14" s="19">
        <v>2584351.7437500004</v>
      </c>
      <c r="E14" s="19">
        <v>654738.19874999998</v>
      </c>
      <c r="F14" s="19">
        <v>3380358.602500001</v>
      </c>
      <c r="G14" s="19">
        <v>17339271</v>
      </c>
      <c r="H14" s="20">
        <f t="shared" si="1"/>
        <v>43189971.082500003</v>
      </c>
      <c r="I14" s="19">
        <v>2658342.75</v>
      </c>
      <c r="J14" s="19">
        <f t="shared" si="2"/>
        <v>45848313.832500003</v>
      </c>
      <c r="K14" s="19">
        <v>41503770</v>
      </c>
      <c r="L14" s="19">
        <f t="shared" si="3"/>
        <v>-4344543.8325000033</v>
      </c>
      <c r="M14" s="21">
        <f t="shared" si="4"/>
        <v>0.90524092448912852</v>
      </c>
      <c r="N14" s="24"/>
      <c r="O14" s="24"/>
    </row>
    <row r="15" spans="1:15" ht="14.25" x14ac:dyDescent="0.2">
      <c r="A15" s="18" t="s">
        <v>25</v>
      </c>
      <c r="B15" s="19">
        <v>2090053.2645000005</v>
      </c>
      <c r="C15" s="19">
        <v>387950</v>
      </c>
      <c r="D15" s="19">
        <v>310124.28925000003</v>
      </c>
      <c r="E15" s="19">
        <v>78568.875775000022</v>
      </c>
      <c r="F15" s="19">
        <v>556209.79230000009</v>
      </c>
      <c r="G15" s="19">
        <v>2223540</v>
      </c>
      <c r="H15" s="20">
        <f>+B15+C15+D15+G15+E15+F15</f>
        <v>5646446.2218250008</v>
      </c>
      <c r="I15" s="19">
        <v>319000.17499999993</v>
      </c>
      <c r="J15" s="19">
        <f t="shared" si="2"/>
        <v>5965446.3968250006</v>
      </c>
      <c r="K15" s="19">
        <v>3656646</v>
      </c>
      <c r="L15" s="19">
        <f t="shared" si="3"/>
        <v>-2308800.3968250006</v>
      </c>
      <c r="M15" s="21">
        <f t="shared" si="4"/>
        <v>0.61297105979297417</v>
      </c>
      <c r="N15" s="24"/>
      <c r="O15" s="24"/>
    </row>
    <row r="16" spans="1:15" ht="14.25" x14ac:dyDescent="0.2">
      <c r="A16" s="18" t="s">
        <v>26</v>
      </c>
      <c r="B16" s="19">
        <v>45631025.123228312</v>
      </c>
      <c r="C16" s="19">
        <v>12801623</v>
      </c>
      <c r="D16" s="19">
        <v>11028056.544235207</v>
      </c>
      <c r="E16" s="19">
        <v>1648138.4745988166</v>
      </c>
      <c r="F16" s="19">
        <v>13117251.328552093</v>
      </c>
      <c r="G16" s="19">
        <v>50150254</v>
      </c>
      <c r="H16" s="20">
        <f>+B16+C16+D16+G16+E16+F16</f>
        <v>134376348.4706144</v>
      </c>
      <c r="I16" s="19">
        <v>9066854.735551931</v>
      </c>
      <c r="J16" s="19">
        <f t="shared" si="2"/>
        <v>143443203.20616633</v>
      </c>
      <c r="K16" s="19">
        <v>128753471</v>
      </c>
      <c r="L16" s="19">
        <f t="shared" si="3"/>
        <v>-14689732.206166327</v>
      </c>
      <c r="M16" s="21">
        <f t="shared" si="4"/>
        <v>0.8975919954530488</v>
      </c>
    </row>
    <row r="17" spans="1:13" ht="14.25" x14ac:dyDescent="0.2">
      <c r="A17" s="18" t="s">
        <v>27</v>
      </c>
      <c r="B17" s="19">
        <v>10342257.863040008</v>
      </c>
      <c r="C17" s="19">
        <v>2732823</v>
      </c>
      <c r="D17" s="19">
        <v>2614954.6316799996</v>
      </c>
      <c r="E17" s="19">
        <v>392403.71552000032</v>
      </c>
      <c r="F17" s="19">
        <v>2943213.088320001</v>
      </c>
      <c r="G17" s="19">
        <v>11690300</v>
      </c>
      <c r="H17" s="20">
        <f>+B17+C17+D17+G17+E17+F17</f>
        <v>30715952.298560012</v>
      </c>
      <c r="I17" s="19">
        <v>1613033.8400000008</v>
      </c>
      <c r="J17" s="19">
        <f t="shared" si="2"/>
        <v>32328986.138560012</v>
      </c>
      <c r="K17" s="19">
        <v>24522099.999999996</v>
      </c>
      <c r="L17" s="19">
        <f t="shared" si="3"/>
        <v>-7806886.1385600157</v>
      </c>
      <c r="M17" s="21">
        <f t="shared" si="4"/>
        <v>0.75851744607454774</v>
      </c>
    </row>
    <row r="18" spans="1:13" ht="14.25" x14ac:dyDescent="0.2">
      <c r="A18" s="18" t="s">
        <v>28</v>
      </c>
      <c r="B18" s="19">
        <v>12912520.828800008</v>
      </c>
      <c r="C18" s="19">
        <v>3414430</v>
      </c>
      <c r="D18" s="19">
        <v>3267317.5396000016</v>
      </c>
      <c r="E18" s="19">
        <v>490402.89440000034</v>
      </c>
      <c r="F18" s="19">
        <v>3571917.1104000024</v>
      </c>
      <c r="G18" s="19">
        <v>14593105</v>
      </c>
      <c r="H18" s="20">
        <f>+B18+C18+D18+G18+E18+F18</f>
        <v>38249693.373200014</v>
      </c>
      <c r="I18" s="19">
        <v>2013667.8000000007</v>
      </c>
      <c r="J18" s="19">
        <f t="shared" si="2"/>
        <v>40263361.173200011</v>
      </c>
      <c r="K18" s="19">
        <v>30669299.999999993</v>
      </c>
      <c r="L18" s="19">
        <f t="shared" si="3"/>
        <v>-9594061.1732000187</v>
      </c>
      <c r="M18" s="21">
        <f t="shared" si="4"/>
        <v>0.76171733075315151</v>
      </c>
    </row>
    <row r="19" spans="1:13" ht="15" x14ac:dyDescent="0.25">
      <c r="A19" s="25" t="s">
        <v>29</v>
      </c>
      <c r="B19" s="26">
        <f t="shared" ref="B19:G19" si="5">SUM(B9:B18)</f>
        <v>351883679.69790244</v>
      </c>
      <c r="C19" s="26">
        <f t="shared" si="5"/>
        <v>101481002</v>
      </c>
      <c r="D19" s="26">
        <f t="shared" si="5"/>
        <v>88128021.81643191</v>
      </c>
      <c r="E19" s="26">
        <f t="shared" si="5"/>
        <v>12428630.371106325</v>
      </c>
      <c r="F19" s="26">
        <f t="shared" si="5"/>
        <v>91957485.563863799</v>
      </c>
      <c r="G19" s="26">
        <f t="shared" si="5"/>
        <v>361379505.5</v>
      </c>
      <c r="H19" s="26">
        <f>+B19+C19+D19+G19+E19+F19</f>
        <v>1007258324.9493043</v>
      </c>
      <c r="I19" s="26">
        <f>SUM(I9:I18)</f>
        <v>98648126.840551928</v>
      </c>
      <c r="J19" s="26">
        <f>SUM(J9:J18)</f>
        <v>1105906451.789856</v>
      </c>
      <c r="K19" s="26">
        <f>SUM(K9:K18)</f>
        <v>1005121125</v>
      </c>
      <c r="L19" s="26">
        <f t="shared" si="3"/>
        <v>-100785326.78985596</v>
      </c>
      <c r="M19" s="17">
        <f t="shared" si="4"/>
        <v>0.90886631809884122</v>
      </c>
    </row>
    <row r="20" spans="1:13" ht="15" x14ac:dyDescent="0.25">
      <c r="A20" s="12" t="s">
        <v>30</v>
      </c>
      <c r="B20" s="19"/>
      <c r="C20" s="19"/>
      <c r="D20" s="19"/>
      <c r="E20" s="19"/>
      <c r="F20" s="19"/>
      <c r="G20" s="19"/>
      <c r="H20" s="19"/>
      <c r="I20" s="26"/>
      <c r="J20" s="19"/>
      <c r="K20" s="19"/>
      <c r="L20" s="19"/>
      <c r="M20" s="17"/>
    </row>
    <row r="21" spans="1:13" ht="14.25" x14ac:dyDescent="0.2">
      <c r="A21" s="27" t="s">
        <v>31</v>
      </c>
      <c r="B21" s="28">
        <f>+[1]Funcionamiento!I10</f>
        <v>36231606</v>
      </c>
      <c r="C21" s="28">
        <f>+[1]Funcionamiento!J10</f>
        <v>3000000</v>
      </c>
      <c r="D21" s="28">
        <v>0</v>
      </c>
      <c r="E21" s="28">
        <v>0</v>
      </c>
      <c r="F21" s="28">
        <f>+[1]Funcionamiento!L10</f>
        <v>1580000</v>
      </c>
      <c r="G21" s="28">
        <v>2181040</v>
      </c>
      <c r="H21" s="28">
        <f t="shared" ref="H21:H35" si="6">+B21+C21+D21+G21+E21+F21</f>
        <v>42992646</v>
      </c>
      <c r="I21" s="19">
        <v>22580002.380000025</v>
      </c>
      <c r="J21" s="19">
        <f>+I21+H21</f>
        <v>65572648.380000025</v>
      </c>
      <c r="K21" s="19">
        <v>57064839</v>
      </c>
      <c r="L21" s="19">
        <f t="shared" ref="L21:L37" si="7">+K21-J21</f>
        <v>-8507809.380000025</v>
      </c>
      <c r="M21" s="21">
        <f t="shared" ref="M21:M37" si="8">+K21/J21</f>
        <v>0.87025368670948866</v>
      </c>
    </row>
    <row r="22" spans="1:13" ht="14.25" x14ac:dyDescent="0.2">
      <c r="A22" s="27" t="s">
        <v>32</v>
      </c>
      <c r="B22" s="19">
        <f>+[1]Funcionamiento!I24</f>
        <v>30406980.850000001</v>
      </c>
      <c r="C22" s="28">
        <f>+[1]Funcionamiento!J24</f>
        <v>1438628</v>
      </c>
      <c r="D22" s="28">
        <v>0</v>
      </c>
      <c r="E22" s="19">
        <f>+[1]Funcionamiento!H24</f>
        <v>0</v>
      </c>
      <c r="F22" s="28">
        <f>+[1]Funcionamiento!L24</f>
        <v>0</v>
      </c>
      <c r="G22" s="19">
        <v>10983860</v>
      </c>
      <c r="H22" s="28">
        <f t="shared" si="6"/>
        <v>42829468.850000001</v>
      </c>
      <c r="I22" s="19">
        <v>10828157.7125</v>
      </c>
      <c r="J22" s="19">
        <f t="shared" ref="J22:J35" si="9">+H22+I22</f>
        <v>53657626.5625</v>
      </c>
      <c r="K22" s="19">
        <v>32611847</v>
      </c>
      <c r="L22" s="19">
        <f t="shared" si="7"/>
        <v>-21045779.5625</v>
      </c>
      <c r="M22" s="21">
        <f t="shared" si="8"/>
        <v>0.60777654714216567</v>
      </c>
    </row>
    <row r="23" spans="1:13" ht="14.25" x14ac:dyDescent="0.2">
      <c r="A23" s="27" t="s">
        <v>33</v>
      </c>
      <c r="B23" s="28">
        <f>+[1]Funcionamiento!I14</f>
        <v>0</v>
      </c>
      <c r="C23" s="28">
        <v>0</v>
      </c>
      <c r="D23" s="28">
        <v>0</v>
      </c>
      <c r="E23" s="28">
        <v>0</v>
      </c>
      <c r="F23" s="28"/>
      <c r="G23" s="28">
        <v>5366721.0000000019</v>
      </c>
      <c r="H23" s="28">
        <f t="shared" si="6"/>
        <v>5366721.0000000019</v>
      </c>
      <c r="I23" s="19">
        <v>7830937.8125000037</v>
      </c>
      <c r="J23" s="19">
        <f t="shared" si="9"/>
        <v>13197658.812500006</v>
      </c>
      <c r="K23" s="19">
        <v>5640141.0000000056</v>
      </c>
      <c r="L23" s="19">
        <f t="shared" si="7"/>
        <v>-7557517.8125</v>
      </c>
      <c r="M23" s="21">
        <f t="shared" si="8"/>
        <v>0.42735920666914146</v>
      </c>
    </row>
    <row r="24" spans="1:13" ht="14.25" x14ac:dyDescent="0.2">
      <c r="A24" s="27" t="s">
        <v>34</v>
      </c>
      <c r="B24" s="19">
        <v>11659843</v>
      </c>
      <c r="C24" s="28">
        <v>3166041.4925000016</v>
      </c>
      <c r="D24" s="28">
        <f>+[1]Funcionamiento!K26</f>
        <v>1791880.4631250007</v>
      </c>
      <c r="E24" s="28">
        <v>1620108</v>
      </c>
      <c r="F24" s="28">
        <f>+[1]Funcionamiento!L26</f>
        <v>3493742.6101904996</v>
      </c>
      <c r="G24" s="28">
        <v>90697077.209999979</v>
      </c>
      <c r="H24" s="28">
        <f t="shared" si="6"/>
        <v>112428692.77581547</v>
      </c>
      <c r="I24" s="19">
        <v>30126275.02700001</v>
      </c>
      <c r="J24" s="19">
        <f t="shared" si="9"/>
        <v>142554967.8028155</v>
      </c>
      <c r="K24" s="19">
        <v>124667213</v>
      </c>
      <c r="L24" s="19">
        <f t="shared" si="7"/>
        <v>-17887754.802815497</v>
      </c>
      <c r="M24" s="21">
        <f t="shared" si="8"/>
        <v>0.87452029853103297</v>
      </c>
    </row>
    <row r="25" spans="1:13" ht="14.25" x14ac:dyDescent="0.2">
      <c r="A25" s="27" t="s">
        <v>35</v>
      </c>
      <c r="B25" s="28">
        <v>369300</v>
      </c>
      <c r="C25" s="28">
        <f>+[1]Funcionamiento!J28</f>
        <v>1803397</v>
      </c>
      <c r="D25" s="28">
        <v>1640780</v>
      </c>
      <c r="E25" s="28">
        <v>0</v>
      </c>
      <c r="F25" s="28">
        <f>+[1]Funcionamiento!L28</f>
        <v>513700</v>
      </c>
      <c r="G25" s="28">
        <v>1177300</v>
      </c>
      <c r="H25" s="28">
        <f t="shared" si="6"/>
        <v>5504477</v>
      </c>
      <c r="I25" s="19">
        <v>2876455.7774999999</v>
      </c>
      <c r="J25" s="19">
        <f t="shared" si="9"/>
        <v>8380932.7774999999</v>
      </c>
      <c r="K25" s="19">
        <v>2616790</v>
      </c>
      <c r="L25" s="19">
        <f t="shared" si="7"/>
        <v>-5764142.7774999999</v>
      </c>
      <c r="M25" s="21">
        <f t="shared" si="8"/>
        <v>0.31223135532421947</v>
      </c>
    </row>
    <row r="26" spans="1:13" ht="14.25" x14ac:dyDescent="0.2">
      <c r="A26" s="18" t="s">
        <v>36</v>
      </c>
      <c r="B26" s="28">
        <v>0</v>
      </c>
      <c r="C26" s="28">
        <v>0</v>
      </c>
      <c r="D26" s="28">
        <v>0</v>
      </c>
      <c r="E26" s="28"/>
      <c r="F26" s="28"/>
      <c r="G26" s="28"/>
      <c r="H26" s="28">
        <f t="shared" si="6"/>
        <v>0</v>
      </c>
      <c r="I26" s="19">
        <v>1533347</v>
      </c>
      <c r="J26" s="19">
        <f t="shared" si="9"/>
        <v>1533347</v>
      </c>
      <c r="K26" s="19">
        <v>0</v>
      </c>
      <c r="L26" s="19">
        <f t="shared" si="7"/>
        <v>-1533347</v>
      </c>
      <c r="M26" s="21">
        <f t="shared" si="8"/>
        <v>0</v>
      </c>
    </row>
    <row r="27" spans="1:13" ht="14.25" x14ac:dyDescent="0.2">
      <c r="A27" s="27" t="s">
        <v>37</v>
      </c>
      <c r="B27" s="28">
        <v>2184720</v>
      </c>
      <c r="C27" s="28">
        <v>2184720.4500000002</v>
      </c>
      <c r="D27" s="28">
        <v>2184720</v>
      </c>
      <c r="E27" s="28">
        <f>+[1]Funcionamiento!H16</f>
        <v>2184723.2250000001</v>
      </c>
      <c r="F27" s="28">
        <v>2184720.9000000004</v>
      </c>
      <c r="G27" s="28">
        <v>2184743.9000000004</v>
      </c>
      <c r="H27" s="28">
        <f t="shared" si="6"/>
        <v>13108348.475000001</v>
      </c>
      <c r="I27" s="19">
        <v>13288910.8825</v>
      </c>
      <c r="J27" s="19">
        <f t="shared" si="9"/>
        <v>26397259.357500002</v>
      </c>
      <c r="K27" s="19">
        <v>16629902</v>
      </c>
      <c r="L27" s="19">
        <f t="shared" si="7"/>
        <v>-9767357.3575000018</v>
      </c>
      <c r="M27" s="21">
        <f t="shared" si="8"/>
        <v>0.62998593053847096</v>
      </c>
    </row>
    <row r="28" spans="1:13" ht="14.25" x14ac:dyDescent="0.2">
      <c r="A28" s="27" t="s">
        <v>38</v>
      </c>
      <c r="B28" s="28">
        <v>2487515</v>
      </c>
      <c r="C28" s="28">
        <f>+[1]Funcionamiento!J30</f>
        <v>164546.375</v>
      </c>
      <c r="D28" s="28">
        <v>4780489.0000000009</v>
      </c>
      <c r="E28" s="28">
        <f>+[1]Funcionamiento!H30</f>
        <v>0</v>
      </c>
      <c r="F28" s="28"/>
      <c r="G28" s="28">
        <v>19291209</v>
      </c>
      <c r="H28" s="28">
        <f t="shared" si="6"/>
        <v>26723759.375</v>
      </c>
      <c r="I28" s="19">
        <v>12168812</v>
      </c>
      <c r="J28" s="19">
        <f t="shared" si="9"/>
        <v>38892571.375</v>
      </c>
      <c r="K28" s="19">
        <v>22462878</v>
      </c>
      <c r="L28" s="19">
        <f t="shared" si="7"/>
        <v>-16429693.375</v>
      </c>
      <c r="M28" s="21">
        <f t="shared" si="8"/>
        <v>0.57756217205116589</v>
      </c>
    </row>
    <row r="29" spans="1:13" ht="14.25" x14ac:dyDescent="0.2">
      <c r="A29" s="27" t="s">
        <v>39</v>
      </c>
      <c r="B29" s="28">
        <v>0</v>
      </c>
      <c r="C29" s="28">
        <v>0</v>
      </c>
      <c r="D29" s="28">
        <v>0</v>
      </c>
      <c r="E29" s="28"/>
      <c r="F29" s="28"/>
      <c r="G29" s="28">
        <v>23207811</v>
      </c>
      <c r="H29" s="28">
        <f t="shared" si="6"/>
        <v>23207811</v>
      </c>
      <c r="I29" s="19">
        <v>47352056.972499996</v>
      </c>
      <c r="J29" s="19">
        <f t="shared" si="9"/>
        <v>70559867.972499996</v>
      </c>
      <c r="K29" s="19">
        <v>46181042</v>
      </c>
      <c r="L29" s="19">
        <f t="shared" si="7"/>
        <v>-24378825.972499996</v>
      </c>
      <c r="M29" s="21">
        <f t="shared" si="8"/>
        <v>0.65449445027304476</v>
      </c>
    </row>
    <row r="30" spans="1:13" ht="14.25" x14ac:dyDescent="0.2">
      <c r="A30" s="27" t="s">
        <v>40</v>
      </c>
      <c r="B30" s="19">
        <v>3061625</v>
      </c>
      <c r="C30" s="19">
        <f>+[1]Funcionamiento!J22</f>
        <v>4998431.874499999</v>
      </c>
      <c r="D30" s="19">
        <v>2743713.4006250016</v>
      </c>
      <c r="E30" s="19"/>
      <c r="F30" s="28">
        <f>+[1]Funcionamiento!L22</f>
        <v>10861004.382225003</v>
      </c>
      <c r="G30" s="19">
        <v>94676162.770000041</v>
      </c>
      <c r="H30" s="28">
        <f t="shared" si="6"/>
        <v>116340937.42735004</v>
      </c>
      <c r="I30" s="19">
        <v>16336283</v>
      </c>
      <c r="J30" s="19">
        <f t="shared" si="9"/>
        <v>132677220.42735004</v>
      </c>
      <c r="K30" s="19">
        <v>73807231.000000045</v>
      </c>
      <c r="L30" s="19">
        <f t="shared" si="7"/>
        <v>-58869989.42735</v>
      </c>
      <c r="M30" s="21">
        <f t="shared" si="8"/>
        <v>0.55629165852486795</v>
      </c>
    </row>
    <row r="31" spans="1:13" ht="14.25" x14ac:dyDescent="0.2">
      <c r="A31" s="27" t="s">
        <v>41</v>
      </c>
      <c r="B31" s="28">
        <v>0</v>
      </c>
      <c r="C31" s="28">
        <v>0</v>
      </c>
      <c r="D31" s="28">
        <v>0</v>
      </c>
      <c r="E31" s="28"/>
      <c r="F31" s="28"/>
      <c r="G31" s="28"/>
      <c r="H31" s="28">
        <f t="shared" si="6"/>
        <v>0</v>
      </c>
      <c r="I31" s="19">
        <v>2007702</v>
      </c>
      <c r="J31" s="19">
        <f t="shared" si="9"/>
        <v>2007702</v>
      </c>
      <c r="K31" s="19">
        <v>1835789</v>
      </c>
      <c r="L31" s="19">
        <f t="shared" si="7"/>
        <v>-171913</v>
      </c>
      <c r="M31" s="21">
        <f t="shared" si="8"/>
        <v>0.91437324861956604</v>
      </c>
    </row>
    <row r="32" spans="1:13" ht="14.25" x14ac:dyDescent="0.2">
      <c r="A32" s="27" t="s">
        <v>42</v>
      </c>
      <c r="B32" s="19">
        <v>3448866.4025000017</v>
      </c>
      <c r="C32" s="19">
        <f>+[1]Funcionamiento!J18</f>
        <v>1166650.078125</v>
      </c>
      <c r="D32" s="19">
        <f>+[1]Funcionamiento!K18</f>
        <v>471387.43250000011</v>
      </c>
      <c r="E32" s="19"/>
      <c r="F32" s="19">
        <f>+[1]Funcionamiento!L18</f>
        <v>2750000</v>
      </c>
      <c r="G32" s="19">
        <v>3032687.49</v>
      </c>
      <c r="H32" s="28">
        <f t="shared" si="6"/>
        <v>10869591.403125003</v>
      </c>
      <c r="I32" s="19">
        <v>10306654</v>
      </c>
      <c r="J32" s="19">
        <f t="shared" si="9"/>
        <v>21176245.403125003</v>
      </c>
      <c r="K32" s="19">
        <v>19130845</v>
      </c>
      <c r="L32" s="19">
        <f t="shared" si="7"/>
        <v>-2045400.403125003</v>
      </c>
      <c r="M32" s="21">
        <f t="shared" si="8"/>
        <v>0.90341062052373267</v>
      </c>
    </row>
    <row r="33" spans="1:13" ht="14.25" x14ac:dyDescent="0.2">
      <c r="A33" s="27" t="s">
        <v>43</v>
      </c>
      <c r="B33" s="28">
        <v>14885341.25</v>
      </c>
      <c r="C33" s="28">
        <v>0</v>
      </c>
      <c r="D33" s="28">
        <v>0</v>
      </c>
      <c r="E33" s="28"/>
      <c r="F33" s="28">
        <f>+[1]Funcionamiento!L20</f>
        <v>10000000</v>
      </c>
      <c r="G33" s="28">
        <v>3036397.0599999987</v>
      </c>
      <c r="H33" s="28">
        <f>+B33+C33+D33+G33+E33+F33</f>
        <v>27921738.309999999</v>
      </c>
      <c r="I33" s="19">
        <v>14115875.917500004</v>
      </c>
      <c r="J33" s="19">
        <f>+H33+I33</f>
        <v>42037614.227500007</v>
      </c>
      <c r="K33" s="19">
        <v>32817371</v>
      </c>
      <c r="L33" s="19">
        <f t="shared" si="7"/>
        <v>-9220243.2275000066</v>
      </c>
      <c r="M33" s="21">
        <f t="shared" si="8"/>
        <v>0.78066682905452933</v>
      </c>
    </row>
    <row r="34" spans="1:13" ht="14.25" x14ac:dyDescent="0.2">
      <c r="A34" s="27" t="s">
        <v>44</v>
      </c>
      <c r="B34" s="28">
        <v>0</v>
      </c>
      <c r="C34" s="28">
        <v>0</v>
      </c>
      <c r="D34" s="28">
        <v>0</v>
      </c>
      <c r="E34" s="28"/>
      <c r="F34" s="28"/>
      <c r="G34" s="28"/>
      <c r="H34" s="28">
        <f t="shared" si="6"/>
        <v>0</v>
      </c>
      <c r="I34" s="19">
        <v>55460130</v>
      </c>
      <c r="J34" s="19">
        <f t="shared" si="9"/>
        <v>55460130</v>
      </c>
      <c r="K34" s="19">
        <v>55460130</v>
      </c>
      <c r="L34" s="19">
        <f t="shared" si="7"/>
        <v>0</v>
      </c>
      <c r="M34" s="21">
        <f t="shared" si="8"/>
        <v>1</v>
      </c>
    </row>
    <row r="35" spans="1:13" ht="14.25" x14ac:dyDescent="0.2">
      <c r="A35" s="27" t="s">
        <v>45</v>
      </c>
      <c r="B35" s="28">
        <v>0</v>
      </c>
      <c r="C35" s="28">
        <v>0</v>
      </c>
      <c r="D35" s="28">
        <v>0</v>
      </c>
      <c r="E35" s="28"/>
      <c r="F35" s="28"/>
      <c r="G35" s="28"/>
      <c r="H35" s="28">
        <f t="shared" si="6"/>
        <v>0</v>
      </c>
      <c r="I35" s="19">
        <v>9567740</v>
      </c>
      <c r="J35" s="19">
        <f t="shared" si="9"/>
        <v>9567740</v>
      </c>
      <c r="K35" s="19">
        <v>5183839</v>
      </c>
      <c r="L35" s="19">
        <f t="shared" si="7"/>
        <v>-4383901</v>
      </c>
      <c r="M35" s="21">
        <f t="shared" si="8"/>
        <v>0.54180391607631473</v>
      </c>
    </row>
    <row r="36" spans="1:13" ht="15" x14ac:dyDescent="0.25">
      <c r="A36" s="25" t="s">
        <v>46</v>
      </c>
      <c r="B36" s="26">
        <f>SUM(B21:B35)</f>
        <v>104735797.5025</v>
      </c>
      <c r="C36" s="26">
        <f t="shared" ref="C36:I36" si="10">SUM(C21:C35)</f>
        <v>17922415.270125002</v>
      </c>
      <c r="D36" s="26">
        <f t="shared" si="10"/>
        <v>13612970.296250004</v>
      </c>
      <c r="E36" s="26">
        <f>SUM(E21:E35)</f>
        <v>3804831.2250000001</v>
      </c>
      <c r="F36" s="26">
        <f t="shared" si="10"/>
        <v>31383167.892415501</v>
      </c>
      <c r="G36" s="26">
        <f>SUM(G21:G35)</f>
        <v>255835009.43000004</v>
      </c>
      <c r="H36" s="29">
        <f>SUM(H21:H35)</f>
        <v>427294191.61629045</v>
      </c>
      <c r="I36" s="26">
        <f t="shared" si="10"/>
        <v>256379340.48200005</v>
      </c>
      <c r="J36" s="26">
        <f>SUM(J21:J35)</f>
        <v>683673532.09829056</v>
      </c>
      <c r="K36" s="26">
        <f>SUM(K21:K35)</f>
        <v>496109857.00000006</v>
      </c>
      <c r="L36" s="26">
        <f t="shared" si="7"/>
        <v>-187563675.0982905</v>
      </c>
      <c r="M36" s="17">
        <f t="shared" si="8"/>
        <v>0.7256531571104835</v>
      </c>
    </row>
    <row r="37" spans="1:13" ht="15" x14ac:dyDescent="0.25">
      <c r="A37" s="30" t="s">
        <v>47</v>
      </c>
      <c r="B37" s="31">
        <f t="shared" ref="B37:G37" si="11">+B36+B19</f>
        <v>456619477.20040244</v>
      </c>
      <c r="C37" s="31">
        <f t="shared" si="11"/>
        <v>119403417.270125</v>
      </c>
      <c r="D37" s="31">
        <f t="shared" si="11"/>
        <v>101740992.11268191</v>
      </c>
      <c r="E37" s="31">
        <f t="shared" si="11"/>
        <v>16233461.596106324</v>
      </c>
      <c r="F37" s="31">
        <f t="shared" si="11"/>
        <v>123340653.45627931</v>
      </c>
      <c r="G37" s="31">
        <f t="shared" si="11"/>
        <v>617214514.93000007</v>
      </c>
      <c r="H37" s="32">
        <f>+B37+C37+D37+G37+E37+F37</f>
        <v>1434552516.5655949</v>
      </c>
      <c r="I37" s="31">
        <f>+I36+I19</f>
        <v>355027467.32255197</v>
      </c>
      <c r="J37" s="31">
        <f>+J36+J19</f>
        <v>1789579983.8881464</v>
      </c>
      <c r="K37" s="31">
        <f>+K36+K19</f>
        <v>1501230982</v>
      </c>
      <c r="L37" s="31">
        <f t="shared" si="7"/>
        <v>-288349001.8881464</v>
      </c>
      <c r="M37" s="33">
        <f t="shared" si="8"/>
        <v>0.83887336442953364</v>
      </c>
    </row>
    <row r="38" spans="1:13" ht="15" x14ac:dyDescent="0.25">
      <c r="A38" s="34"/>
      <c r="B38" s="35"/>
      <c r="C38" s="35"/>
      <c r="D38" s="35"/>
      <c r="E38" s="35"/>
      <c r="F38" s="35"/>
      <c r="G38" s="35"/>
      <c r="H38" s="35"/>
      <c r="I38" s="35"/>
      <c r="J38" s="35"/>
      <c r="K38" s="35"/>
      <c r="L38" s="35"/>
      <c r="M38" s="36"/>
    </row>
    <row r="39" spans="1:13" ht="15" x14ac:dyDescent="0.25">
      <c r="A39" s="37" t="s">
        <v>48</v>
      </c>
      <c r="B39" s="38">
        <f>+B41</f>
        <v>1028564714.3598831</v>
      </c>
      <c r="C39" s="38">
        <f>+C135</f>
        <v>580989219.12</v>
      </c>
      <c r="D39" s="38">
        <f>+D149</f>
        <v>795874557.88750005</v>
      </c>
      <c r="E39" s="38">
        <f>+E184</f>
        <v>394992569</v>
      </c>
      <c r="F39" s="38">
        <f>+F74</f>
        <v>2167190303.8143954</v>
      </c>
      <c r="G39" s="38">
        <f>+G112</f>
        <v>4450330115.976119</v>
      </c>
      <c r="H39" s="38">
        <f>+B39+C39+D39+G39+E39+F39</f>
        <v>9417941480.1578979</v>
      </c>
      <c r="I39" s="38">
        <v>0</v>
      </c>
      <c r="J39" s="38">
        <f>+I39+H39</f>
        <v>9417941480.1578979</v>
      </c>
      <c r="K39" s="38">
        <f>+K41+K74+K112+K135+K149+K184</f>
        <v>8042927222</v>
      </c>
      <c r="L39" s="38">
        <f>+K39-J39</f>
        <v>-1375014258.1578979</v>
      </c>
      <c r="M39" s="39">
        <f>+K39/J39</f>
        <v>0.85400055191945778</v>
      </c>
    </row>
    <row r="40" spans="1:13" ht="15" x14ac:dyDescent="0.25">
      <c r="A40" s="37"/>
      <c r="B40" s="38"/>
      <c r="C40" s="38"/>
      <c r="D40" s="38"/>
      <c r="E40" s="38"/>
      <c r="F40" s="38"/>
      <c r="G40" s="38"/>
      <c r="H40" s="38"/>
      <c r="I40" s="38"/>
      <c r="J40" s="38"/>
      <c r="K40" s="38"/>
      <c r="L40" s="38"/>
      <c r="M40" s="39"/>
    </row>
    <row r="41" spans="1:13" ht="15" x14ac:dyDescent="0.25">
      <c r="A41" s="37" t="s">
        <v>49</v>
      </c>
      <c r="B41" s="38">
        <f>+B42+B45+B58+B62+B66+B70</f>
        <v>1028564714.3598831</v>
      </c>
      <c r="C41" s="38"/>
      <c r="D41" s="38"/>
      <c r="E41" s="38"/>
      <c r="F41" s="38"/>
      <c r="G41" s="38"/>
      <c r="H41" s="38">
        <f>+H42+H45+H58+H62+H66+H70</f>
        <v>1028564714.3598831</v>
      </c>
      <c r="I41" s="38"/>
      <c r="J41" s="38">
        <f>+J42+J45+J58+J62+J66+J70</f>
        <v>1028564714.359883</v>
      </c>
      <c r="K41" s="38">
        <f>+K42+K45+K58+K62+K66+K70</f>
        <v>847843263</v>
      </c>
      <c r="L41" s="38">
        <f t="shared" ref="L41:L72" si="12">+K41-J41</f>
        <v>-180721451.35988295</v>
      </c>
      <c r="M41" s="17">
        <f t="shared" ref="M41:M72" si="13">+K41/J41</f>
        <v>0.82429744202108557</v>
      </c>
    </row>
    <row r="42" spans="1:13" s="41" customFormat="1" ht="15" x14ac:dyDescent="0.25">
      <c r="A42" s="40" t="s">
        <v>50</v>
      </c>
      <c r="B42" s="26">
        <f>+SUM(B43:B44)</f>
        <v>62534418.438749999</v>
      </c>
      <c r="C42" s="26"/>
      <c r="D42" s="26"/>
      <c r="E42" s="26"/>
      <c r="F42" s="26"/>
      <c r="G42" s="26"/>
      <c r="H42" s="26">
        <f>+SUM(H43:H44)</f>
        <v>62534418.438749999</v>
      </c>
      <c r="I42" s="26"/>
      <c r="J42" s="26">
        <f>+SUM(J43:J44)</f>
        <v>62534418.438749999</v>
      </c>
      <c r="K42" s="26">
        <f>+SUM(K43:K44)</f>
        <v>41463127</v>
      </c>
      <c r="L42" s="26">
        <f t="shared" si="12"/>
        <v>-21071291.438749999</v>
      </c>
      <c r="M42" s="17">
        <f t="shared" si="13"/>
        <v>0.66304489647747344</v>
      </c>
    </row>
    <row r="43" spans="1:13" s="41" customFormat="1" ht="15" hidden="1" outlineLevel="1" x14ac:dyDescent="0.25">
      <c r="A43" s="42" t="s">
        <v>51</v>
      </c>
      <c r="B43" s="19">
        <v>62534418.438749999</v>
      </c>
      <c r="C43" s="26"/>
      <c r="D43" s="26"/>
      <c r="E43" s="26"/>
      <c r="F43" s="26"/>
      <c r="G43" s="26"/>
      <c r="H43" s="19">
        <f>+B43+C43+D43+G43+E43+F43</f>
        <v>62534418.438749999</v>
      </c>
      <c r="I43" s="26"/>
      <c r="J43" s="20">
        <f>+H43+I43</f>
        <v>62534418.438749999</v>
      </c>
      <c r="K43" s="20">
        <v>41463127</v>
      </c>
      <c r="L43" s="20">
        <f t="shared" si="12"/>
        <v>-21071291.438749999</v>
      </c>
      <c r="M43" s="21">
        <f t="shared" si="13"/>
        <v>0.66304489647747344</v>
      </c>
    </row>
    <row r="44" spans="1:13" s="41" customFormat="1" ht="15" hidden="1" outlineLevel="1" x14ac:dyDescent="0.25">
      <c r="A44" s="42" t="s">
        <v>52</v>
      </c>
      <c r="B44" s="19"/>
      <c r="C44" s="26"/>
      <c r="D44" s="26"/>
      <c r="E44" s="26"/>
      <c r="F44" s="26"/>
      <c r="G44" s="26"/>
      <c r="H44" s="19">
        <f>+B44+C44+D44+G44+E44+F44</f>
        <v>0</v>
      </c>
      <c r="I44" s="26"/>
      <c r="J44" s="20">
        <f>+H44+I44</f>
        <v>0</v>
      </c>
      <c r="K44" s="20"/>
      <c r="L44" s="20">
        <f t="shared" si="12"/>
        <v>0</v>
      </c>
      <c r="M44" s="21">
        <v>0</v>
      </c>
    </row>
    <row r="45" spans="1:13" s="41" customFormat="1" ht="15" collapsed="1" x14ac:dyDescent="0.25">
      <c r="A45" s="43" t="s">
        <v>53</v>
      </c>
      <c r="B45" s="16">
        <f>+B46+B47+B48+B57</f>
        <v>554949668.68096662</v>
      </c>
      <c r="C45" s="26"/>
      <c r="D45" s="26"/>
      <c r="E45" s="26"/>
      <c r="F45" s="26"/>
      <c r="G45" s="26"/>
      <c r="H45" s="16">
        <f>+H46+H47+H48+H57</f>
        <v>554949668.68096662</v>
      </c>
      <c r="I45" s="26"/>
      <c r="J45" s="16">
        <f>+J46+J48+J57+J47</f>
        <v>554949668.6809665</v>
      </c>
      <c r="K45" s="16">
        <f>+K46+K48+K57+K47</f>
        <v>510391854</v>
      </c>
      <c r="L45" s="16">
        <f t="shared" si="12"/>
        <v>-44557814.680966496</v>
      </c>
      <c r="M45" s="17">
        <f t="shared" si="13"/>
        <v>0.91970836781131193</v>
      </c>
    </row>
    <row r="46" spans="1:13" s="41" customFormat="1" ht="15" hidden="1" outlineLevel="1" x14ac:dyDescent="0.25">
      <c r="A46" s="42" t="s">
        <v>54</v>
      </c>
      <c r="B46" s="19">
        <v>85911459.53125006</v>
      </c>
      <c r="C46" s="26"/>
      <c r="D46" s="26"/>
      <c r="E46" s="26"/>
      <c r="F46" s="26"/>
      <c r="G46" s="26"/>
      <c r="H46" s="19">
        <f>+B46+C46+D46+G46+E46+F46</f>
        <v>85911459.53125006</v>
      </c>
      <c r="I46" s="26"/>
      <c r="J46" s="20">
        <f t="shared" ref="J46:J57" si="14">+H46+I46</f>
        <v>85911459.53125006</v>
      </c>
      <c r="K46" s="20">
        <v>80068034</v>
      </c>
      <c r="L46" s="20">
        <f t="shared" si="12"/>
        <v>-5843425.5312500596</v>
      </c>
      <c r="M46" s="21">
        <f t="shared" si="13"/>
        <v>0.93198316542248327</v>
      </c>
    </row>
    <row r="47" spans="1:13" s="41" customFormat="1" ht="15" hidden="1" outlineLevel="1" x14ac:dyDescent="0.25">
      <c r="A47" s="42" t="s">
        <v>55</v>
      </c>
      <c r="B47" s="19">
        <v>24708438.642839</v>
      </c>
      <c r="C47" s="26"/>
      <c r="D47" s="26"/>
      <c r="E47" s="26"/>
      <c r="F47" s="26"/>
      <c r="G47" s="26"/>
      <c r="H47" s="19">
        <f t="shared" ref="H47:H53" si="15">+B47+C47+D47+G47+E47+F47</f>
        <v>24708438.642839</v>
      </c>
      <c r="I47" s="26"/>
      <c r="J47" s="20">
        <f t="shared" si="14"/>
        <v>24708438.642839</v>
      </c>
      <c r="K47" s="20">
        <v>24566941</v>
      </c>
      <c r="L47" s="20">
        <f t="shared" si="12"/>
        <v>-141497.64283899963</v>
      </c>
      <c r="M47" s="21">
        <f t="shared" si="13"/>
        <v>0.99427330699101024</v>
      </c>
    </row>
    <row r="48" spans="1:13" s="41" customFormat="1" ht="15" hidden="1" outlineLevel="1" x14ac:dyDescent="0.25">
      <c r="A48" s="42" t="s">
        <v>56</v>
      </c>
      <c r="B48" s="16">
        <f>+B49+B53</f>
        <v>318872165</v>
      </c>
      <c r="C48" s="26"/>
      <c r="D48" s="26"/>
      <c r="E48" s="26"/>
      <c r="F48" s="26"/>
      <c r="G48" s="26"/>
      <c r="H48" s="16">
        <f t="shared" si="15"/>
        <v>318872165</v>
      </c>
      <c r="I48" s="16"/>
      <c r="J48" s="16">
        <f t="shared" si="14"/>
        <v>318872165</v>
      </c>
      <c r="K48" s="16">
        <f>+K49+K53</f>
        <v>294764069</v>
      </c>
      <c r="L48" s="16">
        <f t="shared" si="12"/>
        <v>-24108096</v>
      </c>
      <c r="M48" s="17">
        <f t="shared" si="13"/>
        <v>0.92439573394560792</v>
      </c>
    </row>
    <row r="49" spans="1:13" s="41" customFormat="1" ht="15" hidden="1" outlineLevel="2" x14ac:dyDescent="0.25">
      <c r="A49" s="42" t="s">
        <v>57</v>
      </c>
      <c r="B49" s="16">
        <f>SUM(B50:B52)</f>
        <v>217182701</v>
      </c>
      <c r="C49" s="26"/>
      <c r="D49" s="26"/>
      <c r="E49" s="26"/>
      <c r="F49" s="26"/>
      <c r="G49" s="26"/>
      <c r="H49" s="16">
        <f t="shared" si="15"/>
        <v>217182701</v>
      </c>
      <c r="I49" s="16"/>
      <c r="J49" s="16">
        <f t="shared" si="14"/>
        <v>217182701</v>
      </c>
      <c r="K49" s="16">
        <f>SUM(K50:K52)</f>
        <v>210236742</v>
      </c>
      <c r="L49" s="16">
        <f t="shared" si="12"/>
        <v>-6945959</v>
      </c>
      <c r="M49" s="17">
        <f t="shared" si="13"/>
        <v>0.96801789936298843</v>
      </c>
    </row>
    <row r="50" spans="1:13" s="41" customFormat="1" ht="15" hidden="1" outlineLevel="2" x14ac:dyDescent="0.25">
      <c r="A50" s="42" t="s">
        <v>58</v>
      </c>
      <c r="B50" s="19">
        <v>167182701</v>
      </c>
      <c r="C50" s="26"/>
      <c r="D50" s="26"/>
      <c r="E50" s="26"/>
      <c r="F50" s="26"/>
      <c r="G50" s="26"/>
      <c r="H50" s="19">
        <f t="shared" si="15"/>
        <v>167182701</v>
      </c>
      <c r="I50" s="26"/>
      <c r="J50" s="20">
        <f t="shared" si="14"/>
        <v>167182701</v>
      </c>
      <c r="K50" s="20">
        <v>167182701</v>
      </c>
      <c r="L50" s="20">
        <f t="shared" si="12"/>
        <v>0</v>
      </c>
      <c r="M50" s="21">
        <f t="shared" si="13"/>
        <v>1</v>
      </c>
    </row>
    <row r="51" spans="1:13" s="41" customFormat="1" ht="15" hidden="1" outlineLevel="2" x14ac:dyDescent="0.25">
      <c r="A51" s="42" t="s">
        <v>59</v>
      </c>
      <c r="B51" s="19">
        <v>50000000</v>
      </c>
      <c r="C51" s="26"/>
      <c r="D51" s="26"/>
      <c r="E51" s="26"/>
      <c r="F51" s="26"/>
      <c r="G51" s="26"/>
      <c r="H51" s="19">
        <f>+B51+C51+D51+G51+E51+F51</f>
        <v>50000000</v>
      </c>
      <c r="I51" s="26"/>
      <c r="J51" s="20">
        <f t="shared" si="14"/>
        <v>50000000</v>
      </c>
      <c r="K51" s="20">
        <v>43054041</v>
      </c>
      <c r="L51" s="20">
        <f t="shared" si="12"/>
        <v>-6945959</v>
      </c>
      <c r="M51" s="21">
        <f t="shared" si="13"/>
        <v>0.86108081999999997</v>
      </c>
    </row>
    <row r="52" spans="1:13" s="41" customFormat="1" ht="15" hidden="1" outlineLevel="2" x14ac:dyDescent="0.25">
      <c r="A52" s="42" t="s">
        <v>60</v>
      </c>
      <c r="B52" s="19"/>
      <c r="C52" s="26"/>
      <c r="D52" s="26"/>
      <c r="E52" s="26"/>
      <c r="F52" s="26"/>
      <c r="G52" s="26"/>
      <c r="H52" s="19">
        <f t="shared" si="15"/>
        <v>0</v>
      </c>
      <c r="I52" s="26"/>
      <c r="J52" s="20">
        <f t="shared" si="14"/>
        <v>0</v>
      </c>
      <c r="K52" s="20">
        <f>+I52+J52</f>
        <v>0</v>
      </c>
      <c r="L52" s="20">
        <f t="shared" si="12"/>
        <v>0</v>
      </c>
      <c r="M52" s="21">
        <v>0</v>
      </c>
    </row>
    <row r="53" spans="1:13" s="41" customFormat="1" ht="15" hidden="1" outlineLevel="2" x14ac:dyDescent="0.25">
      <c r="A53" s="42" t="s">
        <v>61</v>
      </c>
      <c r="B53" s="16">
        <f>SUM(B54:B56)</f>
        <v>101689464</v>
      </c>
      <c r="C53" s="26"/>
      <c r="D53" s="26"/>
      <c r="E53" s="26"/>
      <c r="F53" s="26"/>
      <c r="G53" s="26"/>
      <c r="H53" s="16">
        <f t="shared" si="15"/>
        <v>101689464</v>
      </c>
      <c r="I53" s="16"/>
      <c r="J53" s="16">
        <f t="shared" si="14"/>
        <v>101689464</v>
      </c>
      <c r="K53" s="16">
        <f>SUM(K54:K56)</f>
        <v>84527327</v>
      </c>
      <c r="L53" s="16">
        <f t="shared" si="12"/>
        <v>-17162137</v>
      </c>
      <c r="M53" s="17">
        <f t="shared" si="13"/>
        <v>0.83122993941633916</v>
      </c>
    </row>
    <row r="54" spans="1:13" s="41" customFormat="1" ht="15" hidden="1" outlineLevel="2" x14ac:dyDescent="0.25">
      <c r="A54" s="42" t="s">
        <v>62</v>
      </c>
      <c r="B54" s="19">
        <v>47263686</v>
      </c>
      <c r="C54" s="26"/>
      <c r="D54" s="26"/>
      <c r="E54" s="26"/>
      <c r="F54" s="26"/>
      <c r="G54" s="26"/>
      <c r="H54" s="19">
        <f>+B54+C54+D54+G54+E54+F54</f>
        <v>47263686</v>
      </c>
      <c r="I54" s="26"/>
      <c r="J54" s="20">
        <f t="shared" si="14"/>
        <v>47263686</v>
      </c>
      <c r="K54" s="20">
        <v>45234485</v>
      </c>
      <c r="L54" s="20">
        <f t="shared" si="12"/>
        <v>-2029201</v>
      </c>
      <c r="M54" s="21">
        <f t="shared" si="13"/>
        <v>0.95706638284623002</v>
      </c>
    </row>
    <row r="55" spans="1:13" s="41" customFormat="1" ht="15" hidden="1" outlineLevel="2" x14ac:dyDescent="0.25">
      <c r="A55" s="42" t="s">
        <v>63</v>
      </c>
      <c r="B55" s="19">
        <v>32505256</v>
      </c>
      <c r="C55" s="26"/>
      <c r="D55" s="26"/>
      <c r="E55" s="26"/>
      <c r="F55" s="26"/>
      <c r="G55" s="26"/>
      <c r="H55" s="19">
        <f>+B55+C55+D55+G55+E55+F55</f>
        <v>32505256</v>
      </c>
      <c r="I55" s="26"/>
      <c r="J55" s="20">
        <f t="shared" si="14"/>
        <v>32505256</v>
      </c>
      <c r="K55" s="20">
        <v>26201667</v>
      </c>
      <c r="L55" s="20">
        <f t="shared" si="12"/>
        <v>-6303589</v>
      </c>
      <c r="M55" s="21">
        <f t="shared" si="13"/>
        <v>0.80607477756828005</v>
      </c>
    </row>
    <row r="56" spans="1:13" s="41" customFormat="1" ht="15" hidden="1" outlineLevel="2" x14ac:dyDescent="0.25">
      <c r="A56" s="42" t="s">
        <v>64</v>
      </c>
      <c r="B56" s="19">
        <v>21920522</v>
      </c>
      <c r="C56" s="26"/>
      <c r="D56" s="26"/>
      <c r="E56" s="26"/>
      <c r="F56" s="26"/>
      <c r="G56" s="26"/>
      <c r="H56" s="19">
        <f>+B56+C56+D56+G56+E56+F56</f>
        <v>21920522</v>
      </c>
      <c r="I56" s="26"/>
      <c r="J56" s="20">
        <f t="shared" si="14"/>
        <v>21920522</v>
      </c>
      <c r="K56" s="20">
        <v>13091175</v>
      </c>
      <c r="L56" s="20">
        <f t="shared" si="12"/>
        <v>-8829347</v>
      </c>
      <c r="M56" s="21">
        <f t="shared" si="13"/>
        <v>0.59721091495905065</v>
      </c>
    </row>
    <row r="57" spans="1:13" s="41" customFormat="1" ht="15" hidden="1" outlineLevel="1" x14ac:dyDescent="0.25">
      <c r="A57" s="42" t="s">
        <v>65</v>
      </c>
      <c r="B57" s="16">
        <v>125457605.50687748</v>
      </c>
      <c r="C57" s="26"/>
      <c r="D57" s="26"/>
      <c r="E57" s="26"/>
      <c r="F57" s="26"/>
      <c r="G57" s="26"/>
      <c r="H57" s="19">
        <f>+B57+C57+D57+G57+E57+F57</f>
        <v>125457605.50687748</v>
      </c>
      <c r="I57" s="26"/>
      <c r="J57" s="20">
        <f t="shared" si="14"/>
        <v>125457605.50687748</v>
      </c>
      <c r="K57" s="20">
        <v>110992810</v>
      </c>
      <c r="L57" s="20">
        <f t="shared" si="12"/>
        <v>-14464795.506877482</v>
      </c>
      <c r="M57" s="21">
        <f t="shared" si="13"/>
        <v>0.88470371765476952</v>
      </c>
    </row>
    <row r="58" spans="1:13" s="41" customFormat="1" ht="15" collapsed="1" x14ac:dyDescent="0.25">
      <c r="A58" s="43" t="s">
        <v>66</v>
      </c>
      <c r="B58" s="16">
        <f>SUM(B59:B61)</f>
        <v>46659007.205193304</v>
      </c>
      <c r="C58" s="26"/>
      <c r="D58" s="26"/>
      <c r="E58" s="26"/>
      <c r="F58" s="26"/>
      <c r="G58" s="26"/>
      <c r="H58" s="16">
        <f>SUM(H59:H61)</f>
        <v>46659007.205193304</v>
      </c>
      <c r="I58" s="26"/>
      <c r="J58" s="16">
        <f>SUM(J59:J61)</f>
        <v>46659007.205193304</v>
      </c>
      <c r="K58" s="16">
        <f>SUM(K59:K61)</f>
        <v>46606971</v>
      </c>
      <c r="L58" s="16">
        <f t="shared" si="12"/>
        <v>-52036.205193303525</v>
      </c>
      <c r="M58" s="17">
        <f t="shared" si="13"/>
        <v>0.99888475541358046</v>
      </c>
    </row>
    <row r="59" spans="1:13" s="41" customFormat="1" ht="15" hidden="1" outlineLevel="1" x14ac:dyDescent="0.25">
      <c r="A59" s="42" t="s">
        <v>67</v>
      </c>
      <c r="B59" s="19">
        <f>25028662.98513+1197000+2432797</f>
        <v>28658459.985130001</v>
      </c>
      <c r="C59" s="26"/>
      <c r="D59" s="26"/>
      <c r="E59" s="26"/>
      <c r="F59" s="26"/>
      <c r="G59" s="26"/>
      <c r="H59" s="19">
        <f>+B59+C59+D59+G59+E59+F59</f>
        <v>28658459.985130001</v>
      </c>
      <c r="I59" s="26"/>
      <c r="J59" s="20">
        <f>+H59+I59</f>
        <v>28658459.985130001</v>
      </c>
      <c r="K59" s="20">
        <v>28655271</v>
      </c>
      <c r="L59" s="20">
        <f t="shared" si="12"/>
        <v>-3188.9851300008595</v>
      </c>
      <c r="M59" s="21">
        <f t="shared" si="13"/>
        <v>0.99988872447676336</v>
      </c>
    </row>
    <row r="60" spans="1:13" s="41" customFormat="1" ht="15" hidden="1" outlineLevel="1" x14ac:dyDescent="0.25">
      <c r="A60" s="42" t="s">
        <v>68</v>
      </c>
      <c r="B60" s="19">
        <f>19197547.0500633-1197000</f>
        <v>18000547.050063301</v>
      </c>
      <c r="C60" s="26"/>
      <c r="D60" s="26"/>
      <c r="E60" s="26"/>
      <c r="F60" s="26"/>
      <c r="G60" s="26"/>
      <c r="H60" s="19">
        <f>+B60+C60+D60+G60+E60+F60</f>
        <v>18000547.050063301</v>
      </c>
      <c r="I60" s="26"/>
      <c r="J60" s="20">
        <f>+H60+I60</f>
        <v>18000547.050063301</v>
      </c>
      <c r="K60" s="20">
        <v>17951700</v>
      </c>
      <c r="L60" s="20">
        <f t="shared" si="12"/>
        <v>-48847.050063300878</v>
      </c>
      <c r="M60" s="21">
        <f t="shared" si="13"/>
        <v>0.99728635746861205</v>
      </c>
    </row>
    <row r="61" spans="1:13" s="41" customFormat="1" ht="15" hidden="1" outlineLevel="1" x14ac:dyDescent="0.25">
      <c r="A61" s="42" t="s">
        <v>69</v>
      </c>
      <c r="B61" s="19">
        <f>2432797.17-2432797</f>
        <v>0.16999999992549419</v>
      </c>
      <c r="C61" s="26"/>
      <c r="D61" s="26"/>
      <c r="E61" s="26"/>
      <c r="F61" s="26"/>
      <c r="G61" s="26"/>
      <c r="H61" s="19">
        <f>+B61+C61+D61+G61+E61+F61</f>
        <v>0.16999999992549419</v>
      </c>
      <c r="I61" s="26"/>
      <c r="J61" s="20">
        <f>+H61+I61</f>
        <v>0.16999999992549419</v>
      </c>
      <c r="K61" s="20"/>
      <c r="L61" s="20">
        <f t="shared" si="12"/>
        <v>-0.16999999992549419</v>
      </c>
      <c r="M61" s="21">
        <f t="shared" si="13"/>
        <v>0</v>
      </c>
    </row>
    <row r="62" spans="1:13" s="41" customFormat="1" ht="15" collapsed="1" x14ac:dyDescent="0.25">
      <c r="A62" s="43" t="s">
        <v>70</v>
      </c>
      <c r="B62" s="16">
        <f>SUM(B63:B65)</f>
        <v>90966568.726731524</v>
      </c>
      <c r="C62" s="26"/>
      <c r="D62" s="26"/>
      <c r="E62" s="26"/>
      <c r="F62" s="26"/>
      <c r="G62" s="26"/>
      <c r="H62" s="16">
        <f>SUM(H63:H65)</f>
        <v>90966568.726731524</v>
      </c>
      <c r="I62" s="26"/>
      <c r="J62" s="16">
        <f>SUM(J63:J65)</f>
        <v>90966568.726731524</v>
      </c>
      <c r="K62" s="16">
        <f>SUM(K63:K65)</f>
        <v>86555468</v>
      </c>
      <c r="L62" s="16">
        <f t="shared" si="12"/>
        <v>-4411100.7267315239</v>
      </c>
      <c r="M62" s="17">
        <f t="shared" si="13"/>
        <v>0.95150855101523391</v>
      </c>
    </row>
    <row r="63" spans="1:13" s="41" customFormat="1" ht="15" hidden="1" outlineLevel="1" x14ac:dyDescent="0.25">
      <c r="A63" s="42" t="s">
        <v>71</v>
      </c>
      <c r="B63" s="19">
        <f>38560473.4253935+800000</f>
        <v>39360473.425393499</v>
      </c>
      <c r="C63" s="26"/>
      <c r="D63" s="26"/>
      <c r="E63" s="26"/>
      <c r="F63" s="26"/>
      <c r="G63" s="26"/>
      <c r="H63" s="19">
        <f>+B63+C63+D63+G63+E63+F63</f>
        <v>39360473.425393499</v>
      </c>
      <c r="I63" s="26"/>
      <c r="J63" s="20">
        <f>+H63+I63</f>
        <v>39360473.425393499</v>
      </c>
      <c r="K63" s="20">
        <v>39339320</v>
      </c>
      <c r="L63" s="20">
        <f t="shared" si="12"/>
        <v>-21153.425393499434</v>
      </c>
      <c r="M63" s="21">
        <f t="shared" si="13"/>
        <v>0.9994625718759812</v>
      </c>
    </row>
    <row r="64" spans="1:13" s="41" customFormat="1" ht="15" hidden="1" outlineLevel="1" x14ac:dyDescent="0.25">
      <c r="A64" s="42" t="s">
        <v>72</v>
      </c>
      <c r="B64" s="19">
        <v>51093799.218838036</v>
      </c>
      <c r="C64" s="26"/>
      <c r="D64" s="26"/>
      <c r="E64" s="26"/>
      <c r="F64" s="26"/>
      <c r="G64" s="26"/>
      <c r="H64" s="19">
        <f>+B64+C64+D64+G64+E64+F64</f>
        <v>51093799.218838036</v>
      </c>
      <c r="I64" s="26"/>
      <c r="J64" s="20">
        <f>+H64+I64</f>
        <v>51093799.218838036</v>
      </c>
      <c r="K64" s="20">
        <v>47216148</v>
      </c>
      <c r="L64" s="20">
        <f t="shared" si="12"/>
        <v>-3877651.2188380361</v>
      </c>
      <c r="M64" s="21">
        <f t="shared" si="13"/>
        <v>0.92410720521623757</v>
      </c>
    </row>
    <row r="65" spans="1:13" s="41" customFormat="1" ht="15" hidden="1" outlineLevel="1" x14ac:dyDescent="0.25">
      <c r="A65" s="42" t="s">
        <v>73</v>
      </c>
      <c r="B65" s="19">
        <f>1312296.0825-800000</f>
        <v>512296.08250000002</v>
      </c>
      <c r="C65" s="26"/>
      <c r="D65" s="26"/>
      <c r="E65" s="26"/>
      <c r="F65" s="26"/>
      <c r="G65" s="26"/>
      <c r="H65" s="19">
        <f>+B65+C65+D65+G65+E65+F65</f>
        <v>512296.08250000002</v>
      </c>
      <c r="I65" s="26"/>
      <c r="J65" s="20">
        <f>+H65+I65</f>
        <v>512296.08250000002</v>
      </c>
      <c r="K65" s="20"/>
      <c r="L65" s="20">
        <f t="shared" si="12"/>
        <v>-512296.08250000002</v>
      </c>
      <c r="M65" s="21">
        <f t="shared" si="13"/>
        <v>0</v>
      </c>
    </row>
    <row r="66" spans="1:13" s="41" customFormat="1" ht="15" collapsed="1" x14ac:dyDescent="0.25">
      <c r="A66" s="43" t="s">
        <v>74</v>
      </c>
      <c r="B66" s="16">
        <f>SUM(B67:B69)</f>
        <v>78000662.682500005</v>
      </c>
      <c r="C66" s="26"/>
      <c r="D66" s="26"/>
      <c r="E66" s="26"/>
      <c r="F66" s="26"/>
      <c r="G66" s="26"/>
      <c r="H66" s="16">
        <f>SUM(H67:H69)</f>
        <v>78000662.682500005</v>
      </c>
      <c r="I66" s="26"/>
      <c r="J66" s="16">
        <f>SUM(J67:J69)</f>
        <v>78000662.682500005</v>
      </c>
      <c r="K66" s="16">
        <f>SUM(K67:K69)</f>
        <v>59472313</v>
      </c>
      <c r="L66" s="16">
        <f t="shared" si="12"/>
        <v>-18528349.682500005</v>
      </c>
      <c r="M66" s="17">
        <f t="shared" si="13"/>
        <v>0.76245907348352604</v>
      </c>
    </row>
    <row r="67" spans="1:13" s="41" customFormat="1" ht="15" hidden="1" outlineLevel="1" x14ac:dyDescent="0.25">
      <c r="A67" s="42" t="s">
        <v>75</v>
      </c>
      <c r="B67" s="19">
        <v>8453861.8125</v>
      </c>
      <c r="C67" s="26"/>
      <c r="D67" s="26"/>
      <c r="E67" s="26"/>
      <c r="F67" s="26"/>
      <c r="G67" s="26"/>
      <c r="H67" s="19">
        <f>+B67+C67+D67+G67+E67+F67</f>
        <v>8453861.8125</v>
      </c>
      <c r="I67" s="26"/>
      <c r="J67" s="20">
        <f>+H67+I67</f>
        <v>8453861.8125</v>
      </c>
      <c r="K67" s="20">
        <v>4485060</v>
      </c>
      <c r="L67" s="20">
        <f t="shared" si="12"/>
        <v>-3968801.8125</v>
      </c>
      <c r="M67" s="21">
        <f t="shared" si="13"/>
        <v>0.53053386718107065</v>
      </c>
    </row>
    <row r="68" spans="1:13" s="41" customFormat="1" ht="15" hidden="1" outlineLevel="1" x14ac:dyDescent="0.25">
      <c r="A68" s="42" t="s">
        <v>76</v>
      </c>
      <c r="B68" s="19">
        <f>66463941-3364000</f>
        <v>63099941</v>
      </c>
      <c r="C68" s="26"/>
      <c r="D68" s="26"/>
      <c r="E68" s="26"/>
      <c r="F68" s="26"/>
      <c r="G68" s="26"/>
      <c r="H68" s="19">
        <f>+B68+C68+D68+G68+E68+F68</f>
        <v>63099941</v>
      </c>
      <c r="I68" s="26"/>
      <c r="J68" s="20">
        <f>+H68+I68</f>
        <v>63099941</v>
      </c>
      <c r="K68" s="20">
        <v>48685233</v>
      </c>
      <c r="L68" s="20">
        <f t="shared" si="12"/>
        <v>-14414708</v>
      </c>
      <c r="M68" s="21">
        <f t="shared" si="13"/>
        <v>0.77155750430891845</v>
      </c>
    </row>
    <row r="69" spans="1:13" s="41" customFormat="1" ht="15" hidden="1" outlineLevel="1" x14ac:dyDescent="0.25">
      <c r="A69" s="42" t="s">
        <v>77</v>
      </c>
      <c r="B69" s="19">
        <f>3082859.87+3364000</f>
        <v>6446859.8700000001</v>
      </c>
      <c r="C69" s="26"/>
      <c r="D69" s="26"/>
      <c r="E69" s="26"/>
      <c r="F69" s="26"/>
      <c r="G69" s="26"/>
      <c r="H69" s="19">
        <f>+B69+C69+D69+G69+E69+F69</f>
        <v>6446859.8700000001</v>
      </c>
      <c r="I69" s="26"/>
      <c r="J69" s="20">
        <f>+H69+I69</f>
        <v>6446859.8700000001</v>
      </c>
      <c r="K69" s="20">
        <v>6302020</v>
      </c>
      <c r="L69" s="20">
        <f t="shared" si="12"/>
        <v>-144839.87000000011</v>
      </c>
      <c r="M69" s="21">
        <f t="shared" si="13"/>
        <v>0.97753326845616695</v>
      </c>
    </row>
    <row r="70" spans="1:13" s="41" customFormat="1" ht="15" collapsed="1" x14ac:dyDescent="0.25">
      <c r="A70" s="43" t="s">
        <v>78</v>
      </c>
      <c r="B70" s="16">
        <f>SUM(B71:B72)</f>
        <v>195454388.62574157</v>
      </c>
      <c r="C70" s="26"/>
      <c r="D70" s="26"/>
      <c r="E70" s="26"/>
      <c r="F70" s="26"/>
      <c r="G70" s="26"/>
      <c r="H70" s="16">
        <f>SUM(H71:H72)</f>
        <v>195454388.62574157</v>
      </c>
      <c r="I70" s="26"/>
      <c r="J70" s="16">
        <f>SUM(J71:J72)</f>
        <v>195454388.62574157</v>
      </c>
      <c r="K70" s="16">
        <f>SUM(K71:K72)</f>
        <v>103353530</v>
      </c>
      <c r="L70" s="16">
        <f t="shared" si="12"/>
        <v>-92100858.625741571</v>
      </c>
      <c r="M70" s="17">
        <f t="shared" si="13"/>
        <v>0.52878592661279455</v>
      </c>
    </row>
    <row r="71" spans="1:13" s="41" customFormat="1" ht="15" hidden="1" outlineLevel="1" x14ac:dyDescent="0.25">
      <c r="A71" s="42" t="s">
        <v>79</v>
      </c>
      <c r="B71" s="19">
        <v>136298299.00949156</v>
      </c>
      <c r="C71" s="26"/>
      <c r="D71" s="26"/>
      <c r="E71" s="26"/>
      <c r="F71" s="26"/>
      <c r="G71" s="26"/>
      <c r="H71" s="19">
        <f>+B71+C71+D71+G71+E71+F71</f>
        <v>136298299.00949156</v>
      </c>
      <c r="I71" s="26"/>
      <c r="J71" s="20">
        <f>+H71+I71</f>
        <v>136298299.00949156</v>
      </c>
      <c r="K71" s="20">
        <v>85809228</v>
      </c>
      <c r="L71" s="20">
        <f t="shared" si="12"/>
        <v>-50489071.009491563</v>
      </c>
      <c r="M71" s="21">
        <f t="shared" si="13"/>
        <v>0.62956932422189948</v>
      </c>
    </row>
    <row r="72" spans="1:13" s="41" customFormat="1" ht="15" hidden="1" outlineLevel="1" x14ac:dyDescent="0.25">
      <c r="A72" s="42" t="s">
        <v>80</v>
      </c>
      <c r="B72" s="19">
        <v>59156089.616250008</v>
      </c>
      <c r="C72" s="26"/>
      <c r="D72" s="26"/>
      <c r="E72" s="26"/>
      <c r="F72" s="26"/>
      <c r="G72" s="26"/>
      <c r="H72" s="19">
        <f>+B72+C72+D72+G72+E72+F72</f>
        <v>59156089.616250008</v>
      </c>
      <c r="I72" s="26"/>
      <c r="J72" s="20">
        <f>+H72+I72</f>
        <v>59156089.616250008</v>
      </c>
      <c r="K72" s="20">
        <v>17544302</v>
      </c>
      <c r="L72" s="20">
        <f t="shared" si="12"/>
        <v>-41611787.616250008</v>
      </c>
      <c r="M72" s="21">
        <f t="shared" si="13"/>
        <v>0.29657643217817814</v>
      </c>
    </row>
    <row r="73" spans="1:13" s="41" customFormat="1" ht="15" collapsed="1" x14ac:dyDescent="0.25">
      <c r="A73" s="42"/>
      <c r="B73" s="19"/>
      <c r="C73" s="26"/>
      <c r="D73" s="26"/>
      <c r="E73" s="26"/>
      <c r="F73" s="26"/>
      <c r="G73" s="26"/>
      <c r="H73" s="19"/>
      <c r="I73" s="26"/>
      <c r="J73" s="20"/>
      <c r="K73" s="20"/>
      <c r="L73" s="20"/>
      <c r="M73" s="21"/>
    </row>
    <row r="74" spans="1:13" s="41" customFormat="1" ht="15" x14ac:dyDescent="0.25">
      <c r="A74" s="43" t="s">
        <v>81</v>
      </c>
      <c r="B74" s="19"/>
      <c r="C74" s="26"/>
      <c r="D74" s="26"/>
      <c r="E74" s="26"/>
      <c r="F74" s="26">
        <f>+F75+F83+F90+F94+F106</f>
        <v>2167190303.8143954</v>
      </c>
      <c r="G74" s="26"/>
      <c r="H74" s="26">
        <f>+H75+H83+H90+H94+H106</f>
        <v>2167190303.8143954</v>
      </c>
      <c r="I74" s="26"/>
      <c r="J74" s="16">
        <f>+H74+I74</f>
        <v>2167190303.8143954</v>
      </c>
      <c r="K74" s="26">
        <f>+K75+K83+K90+K94+K106</f>
        <v>2050792076</v>
      </c>
      <c r="L74" s="16">
        <f t="shared" ref="L74:L110" si="16">+K74-J74</f>
        <v>-116398227.81439543</v>
      </c>
      <c r="M74" s="17">
        <f t="shared" ref="M74:M110" si="17">+K74/J74</f>
        <v>0.94629072139648884</v>
      </c>
    </row>
    <row r="75" spans="1:13" s="41" customFormat="1" ht="15" x14ac:dyDescent="0.25">
      <c r="A75" s="43" t="s">
        <v>82</v>
      </c>
      <c r="B75" s="19"/>
      <c r="C75" s="26"/>
      <c r="D75" s="26"/>
      <c r="E75" s="26"/>
      <c r="F75" s="26">
        <f>SUM(F76:F82)</f>
        <v>195657696.84718749</v>
      </c>
      <c r="G75" s="26"/>
      <c r="H75" s="26">
        <f>SUM(H76:H82)</f>
        <v>195657696.84718749</v>
      </c>
      <c r="I75" s="26"/>
      <c r="J75" s="26">
        <f>SUM(J76:J82)</f>
        <v>195657696.84718749</v>
      </c>
      <c r="K75" s="26">
        <f>SUM(K76:K82)</f>
        <v>184360333</v>
      </c>
      <c r="L75" s="26">
        <f t="shared" si="16"/>
        <v>-11297363.847187489</v>
      </c>
      <c r="M75" s="17">
        <f t="shared" si="17"/>
        <v>0.94225954803091161</v>
      </c>
    </row>
    <row r="76" spans="1:13" s="41" customFormat="1" ht="15" hidden="1" outlineLevel="1" x14ac:dyDescent="0.25">
      <c r="A76" s="42" t="s">
        <v>83</v>
      </c>
      <c r="B76" s="19"/>
      <c r="C76" s="26"/>
      <c r="D76" s="26"/>
      <c r="E76" s="26"/>
      <c r="F76" s="20">
        <v>48192457.785750002</v>
      </c>
      <c r="G76" s="26"/>
      <c r="H76" s="19">
        <f t="shared" ref="H76:H81" si="18">+B76+C76+D76+G76+E76+F76</f>
        <v>48192457.785750002</v>
      </c>
      <c r="I76" s="26"/>
      <c r="J76" s="20">
        <f t="shared" ref="J76:J81" si="19">+H76+I76</f>
        <v>48192457.785750002</v>
      </c>
      <c r="K76" s="20">
        <v>48190000</v>
      </c>
      <c r="L76" s="20">
        <f t="shared" si="16"/>
        <v>-2457.7857500016689</v>
      </c>
      <c r="M76" s="21">
        <f t="shared" si="17"/>
        <v>0.99994900061414327</v>
      </c>
    </row>
    <row r="77" spans="1:13" s="41" customFormat="1" ht="15" hidden="1" outlineLevel="1" x14ac:dyDescent="0.25">
      <c r="A77" s="42" t="s">
        <v>84</v>
      </c>
      <c r="B77" s="19"/>
      <c r="C77" s="26"/>
      <c r="D77" s="26"/>
      <c r="E77" s="26"/>
      <c r="F77" s="20">
        <v>88345262.726999998</v>
      </c>
      <c r="G77" s="26"/>
      <c r="H77" s="19">
        <f t="shared" si="18"/>
        <v>88345262.726999998</v>
      </c>
      <c r="I77" s="26"/>
      <c r="J77" s="20">
        <f t="shared" si="19"/>
        <v>88345262.726999998</v>
      </c>
      <c r="K77" s="20">
        <v>83750000</v>
      </c>
      <c r="L77" s="20">
        <f t="shared" si="16"/>
        <v>-4595262.7269999981</v>
      </c>
      <c r="M77" s="21">
        <f t="shared" si="17"/>
        <v>0.9479851823951212</v>
      </c>
    </row>
    <row r="78" spans="1:13" s="41" customFormat="1" ht="15" hidden="1" outlineLevel="1" x14ac:dyDescent="0.25">
      <c r="A78" s="42" t="s">
        <v>85</v>
      </c>
      <c r="B78" s="19"/>
      <c r="C78" s="26"/>
      <c r="D78" s="26"/>
      <c r="E78" s="26"/>
      <c r="F78" s="20"/>
      <c r="G78" s="26"/>
      <c r="H78" s="19">
        <f t="shared" si="18"/>
        <v>0</v>
      </c>
      <c r="I78" s="26"/>
      <c r="J78" s="20">
        <f t="shared" si="19"/>
        <v>0</v>
      </c>
      <c r="K78" s="20">
        <v>0</v>
      </c>
      <c r="L78" s="20">
        <f t="shared" si="16"/>
        <v>0</v>
      </c>
      <c r="M78" s="21">
        <v>0</v>
      </c>
    </row>
    <row r="79" spans="1:13" s="41" customFormat="1" ht="15" hidden="1" outlineLevel="1" x14ac:dyDescent="0.25">
      <c r="A79" s="42" t="s">
        <v>86</v>
      </c>
      <c r="B79" s="19"/>
      <c r="C79" s="26"/>
      <c r="D79" s="26"/>
      <c r="E79" s="26"/>
      <c r="F79" s="20">
        <v>16819976.334437501</v>
      </c>
      <c r="G79" s="26"/>
      <c r="H79" s="19">
        <f t="shared" si="18"/>
        <v>16819976.334437501</v>
      </c>
      <c r="I79" s="26"/>
      <c r="J79" s="20">
        <f t="shared" si="19"/>
        <v>16819976.334437501</v>
      </c>
      <c r="K79" s="20">
        <v>10621583</v>
      </c>
      <c r="L79" s="20">
        <f t="shared" si="16"/>
        <v>-6198393.3344375007</v>
      </c>
      <c r="M79" s="21">
        <f t="shared" si="17"/>
        <v>0.63148620359549457</v>
      </c>
    </row>
    <row r="80" spans="1:13" s="41" customFormat="1" ht="15" hidden="1" outlineLevel="1" x14ac:dyDescent="0.25">
      <c r="A80" s="42" t="s">
        <v>87</v>
      </c>
      <c r="B80" s="19"/>
      <c r="C80" s="26"/>
      <c r="D80" s="26"/>
      <c r="E80" s="26"/>
      <c r="F80" s="20"/>
      <c r="G80" s="26"/>
      <c r="H80" s="19">
        <f t="shared" si="18"/>
        <v>0</v>
      </c>
      <c r="I80" s="26"/>
      <c r="J80" s="20">
        <f t="shared" si="19"/>
        <v>0</v>
      </c>
      <c r="K80" s="20">
        <v>0</v>
      </c>
      <c r="L80" s="20">
        <f t="shared" si="16"/>
        <v>0</v>
      </c>
      <c r="M80" s="21">
        <v>0</v>
      </c>
    </row>
    <row r="81" spans="1:13" s="41" customFormat="1" ht="15" hidden="1" outlineLevel="1" x14ac:dyDescent="0.25">
      <c r="A81" s="42" t="s">
        <v>88</v>
      </c>
      <c r="B81" s="19"/>
      <c r="C81" s="26"/>
      <c r="D81" s="26"/>
      <c r="E81" s="26"/>
      <c r="F81" s="20"/>
      <c r="G81" s="26"/>
      <c r="H81" s="19">
        <f t="shared" si="18"/>
        <v>0</v>
      </c>
      <c r="I81" s="26"/>
      <c r="J81" s="20">
        <f t="shared" si="19"/>
        <v>0</v>
      </c>
      <c r="K81" s="20">
        <v>0</v>
      </c>
      <c r="L81" s="20">
        <f t="shared" si="16"/>
        <v>0</v>
      </c>
      <c r="M81" s="21">
        <v>0</v>
      </c>
    </row>
    <row r="82" spans="1:13" s="41" customFormat="1" ht="15" hidden="1" outlineLevel="1" x14ac:dyDescent="0.25">
      <c r="A82" s="42" t="s">
        <v>89</v>
      </c>
      <c r="B82" s="19"/>
      <c r="C82" s="26"/>
      <c r="D82" s="26"/>
      <c r="E82" s="26"/>
      <c r="F82" s="20">
        <v>42300000</v>
      </c>
      <c r="G82" s="26"/>
      <c r="H82" s="19">
        <f>+B82+C82+D82+G82+E82+F82</f>
        <v>42300000</v>
      </c>
      <c r="I82" s="26"/>
      <c r="J82" s="20">
        <f>+H82+I82</f>
        <v>42300000</v>
      </c>
      <c r="K82" s="20">
        <v>41798750</v>
      </c>
      <c r="L82" s="20">
        <f t="shared" si="16"/>
        <v>-501250</v>
      </c>
      <c r="M82" s="21">
        <f t="shared" si="17"/>
        <v>0.98815011820330967</v>
      </c>
    </row>
    <row r="83" spans="1:13" s="41" customFormat="1" ht="15" collapsed="1" x14ac:dyDescent="0.25">
      <c r="A83" s="43" t="s">
        <v>90</v>
      </c>
      <c r="B83" s="19"/>
      <c r="C83" s="26"/>
      <c r="D83" s="26"/>
      <c r="E83" s="26"/>
      <c r="F83" s="26">
        <f>SUM(F84:F89)</f>
        <v>289993824.86666662</v>
      </c>
      <c r="G83" s="26"/>
      <c r="H83" s="26">
        <f>SUM(H84:H89)</f>
        <v>289993824.86666662</v>
      </c>
      <c r="I83" s="26"/>
      <c r="J83" s="26">
        <f>SUM(J84:J89)</f>
        <v>289993824.86666662</v>
      </c>
      <c r="K83" s="26">
        <f>SUM(K84:K89)</f>
        <v>280617031</v>
      </c>
      <c r="L83" s="26">
        <f t="shared" si="16"/>
        <v>-9376793.866666615</v>
      </c>
      <c r="M83" s="17">
        <f t="shared" si="17"/>
        <v>0.96766553953009904</v>
      </c>
    </row>
    <row r="84" spans="1:13" s="41" customFormat="1" ht="15" hidden="1" outlineLevel="1" x14ac:dyDescent="0.25">
      <c r="A84" s="42" t="s">
        <v>91</v>
      </c>
      <c r="B84" s="19"/>
      <c r="C84" s="26"/>
      <c r="D84" s="26"/>
      <c r="E84" s="26"/>
      <c r="F84" s="20">
        <v>15698203.866666596</v>
      </c>
      <c r="G84" s="26"/>
      <c r="H84" s="19">
        <f t="shared" ref="H84:H89" si="20">+B84+C84+D84+G84+E84+F84</f>
        <v>15698203.866666596</v>
      </c>
      <c r="I84" s="26"/>
      <c r="J84" s="20">
        <f t="shared" ref="J84:J89" si="21">+H84+I84</f>
        <v>15698203.866666596</v>
      </c>
      <c r="K84" s="20">
        <v>13771654</v>
      </c>
      <c r="L84" s="20">
        <f t="shared" si="16"/>
        <v>-1926549.8666665964</v>
      </c>
      <c r="M84" s="21">
        <f t="shared" si="17"/>
        <v>0.87727577734180073</v>
      </c>
    </row>
    <row r="85" spans="1:13" s="41" customFormat="1" ht="15" hidden="1" outlineLevel="1" x14ac:dyDescent="0.25">
      <c r="A85" s="42" t="s">
        <v>92</v>
      </c>
      <c r="B85" s="19"/>
      <c r="C85" s="26"/>
      <c r="D85" s="26"/>
      <c r="E85" s="26"/>
      <c r="F85" s="20">
        <v>72118808</v>
      </c>
      <c r="G85" s="26"/>
      <c r="H85" s="19">
        <f t="shared" si="20"/>
        <v>72118808</v>
      </c>
      <c r="I85" s="26"/>
      <c r="J85" s="20">
        <f t="shared" si="21"/>
        <v>72118808</v>
      </c>
      <c r="K85" s="20">
        <v>71868264</v>
      </c>
      <c r="L85" s="20">
        <f t="shared" si="16"/>
        <v>-250544</v>
      </c>
      <c r="M85" s="21">
        <f t="shared" si="17"/>
        <v>0.99652595478283557</v>
      </c>
    </row>
    <row r="86" spans="1:13" s="41" customFormat="1" ht="15" hidden="1" outlineLevel="1" x14ac:dyDescent="0.25">
      <c r="A86" s="42" t="s">
        <v>93</v>
      </c>
      <c r="B86" s="19"/>
      <c r="C86" s="26"/>
      <c r="D86" s="26"/>
      <c r="E86" s="26"/>
      <c r="F86" s="20">
        <v>21061278</v>
      </c>
      <c r="G86" s="26"/>
      <c r="H86" s="19">
        <f t="shared" si="20"/>
        <v>21061278</v>
      </c>
      <c r="I86" s="26"/>
      <c r="J86" s="20">
        <f t="shared" si="21"/>
        <v>21061278</v>
      </c>
      <c r="K86" s="20">
        <v>20500000</v>
      </c>
      <c r="L86" s="20">
        <f t="shared" si="16"/>
        <v>-561278</v>
      </c>
      <c r="M86" s="21">
        <f t="shared" si="17"/>
        <v>0.97335024018960292</v>
      </c>
    </row>
    <row r="87" spans="1:13" s="41" customFormat="1" ht="15" hidden="1" outlineLevel="1" x14ac:dyDescent="0.25">
      <c r="A87" s="42" t="s">
        <v>94</v>
      </c>
      <c r="B87" s="19"/>
      <c r="C87" s="26"/>
      <c r="D87" s="26"/>
      <c r="E87" s="26"/>
      <c r="F87" s="20">
        <v>62364357.000000007</v>
      </c>
      <c r="G87" s="26"/>
      <c r="H87" s="19">
        <f t="shared" si="20"/>
        <v>62364357.000000007</v>
      </c>
      <c r="I87" s="26"/>
      <c r="J87" s="20">
        <f t="shared" si="21"/>
        <v>62364357.000000007</v>
      </c>
      <c r="K87" s="20">
        <v>57365089</v>
      </c>
      <c r="L87" s="20">
        <f t="shared" si="16"/>
        <v>-4999268.0000000075</v>
      </c>
      <c r="M87" s="21">
        <f t="shared" si="17"/>
        <v>0.91983773680212866</v>
      </c>
    </row>
    <row r="88" spans="1:13" s="41" customFormat="1" ht="15" hidden="1" outlineLevel="1" x14ac:dyDescent="0.25">
      <c r="A88" s="42" t="s">
        <v>95</v>
      </c>
      <c r="B88" s="19"/>
      <c r="C88" s="26"/>
      <c r="D88" s="26"/>
      <c r="E88" s="26"/>
      <c r="F88" s="20">
        <v>0</v>
      </c>
      <c r="G88" s="26"/>
      <c r="H88" s="19">
        <f t="shared" si="20"/>
        <v>0</v>
      </c>
      <c r="I88" s="26"/>
      <c r="J88" s="20">
        <f t="shared" si="21"/>
        <v>0</v>
      </c>
      <c r="K88" s="20">
        <v>0</v>
      </c>
      <c r="L88" s="20">
        <f t="shared" si="16"/>
        <v>0</v>
      </c>
      <c r="M88" s="21">
        <v>0</v>
      </c>
    </row>
    <row r="89" spans="1:13" s="41" customFormat="1" ht="15" hidden="1" outlineLevel="1" x14ac:dyDescent="0.25">
      <c r="A89" s="42" t="s">
        <v>96</v>
      </c>
      <c r="B89" s="19"/>
      <c r="C89" s="26"/>
      <c r="D89" s="26"/>
      <c r="E89" s="26"/>
      <c r="F89" s="20">
        <v>118751178</v>
      </c>
      <c r="G89" s="26"/>
      <c r="H89" s="19">
        <f t="shared" si="20"/>
        <v>118751178</v>
      </c>
      <c r="I89" s="26"/>
      <c r="J89" s="20">
        <f t="shared" si="21"/>
        <v>118751178</v>
      </c>
      <c r="K89" s="20">
        <v>117112024</v>
      </c>
      <c r="L89" s="20">
        <f t="shared" si="16"/>
        <v>-1639154</v>
      </c>
      <c r="M89" s="21">
        <f t="shared" si="17"/>
        <v>0.98619673482312742</v>
      </c>
    </row>
    <row r="90" spans="1:13" s="41" customFormat="1" ht="15" collapsed="1" x14ac:dyDescent="0.25">
      <c r="A90" s="43" t="s">
        <v>97</v>
      </c>
      <c r="B90" s="19"/>
      <c r="C90" s="26"/>
      <c r="D90" s="26"/>
      <c r="E90" s="26"/>
      <c r="F90" s="26">
        <f>+SUM(F91:F93)</f>
        <v>869661710.79754126</v>
      </c>
      <c r="G90" s="26"/>
      <c r="H90" s="26">
        <f>SUM(H91:H93)</f>
        <v>869661710.79754126</v>
      </c>
      <c r="I90" s="26"/>
      <c r="J90" s="26">
        <f>SUM(J91:J93)</f>
        <v>869661710.79754126</v>
      </c>
      <c r="K90" s="26">
        <f>SUM(K91:K93)</f>
        <v>867891966</v>
      </c>
      <c r="L90" s="26">
        <f t="shared" si="16"/>
        <v>-1769744.7975412607</v>
      </c>
      <c r="M90" s="17">
        <f t="shared" si="17"/>
        <v>0.99796501929937986</v>
      </c>
    </row>
    <row r="91" spans="1:13" s="41" customFormat="1" ht="15" hidden="1" outlineLevel="1" x14ac:dyDescent="0.25">
      <c r="A91" s="42" t="s">
        <v>98</v>
      </c>
      <c r="B91" s="19"/>
      <c r="C91" s="26"/>
      <c r="D91" s="26"/>
      <c r="E91" s="26"/>
      <c r="F91" s="20">
        <v>851173551.39999998</v>
      </c>
      <c r="G91" s="26"/>
      <c r="H91" s="19">
        <f>+B91+C91+D91+G91+E91+F91</f>
        <v>851173551.39999998</v>
      </c>
      <c r="I91" s="26"/>
      <c r="J91" s="20">
        <f>+H91+I91</f>
        <v>851173551.39999998</v>
      </c>
      <c r="K91" s="20">
        <v>849640399</v>
      </c>
      <c r="L91" s="20">
        <f t="shared" si="16"/>
        <v>-1533152.3999999762</v>
      </c>
      <c r="M91" s="21">
        <f t="shared" si="17"/>
        <v>0.99819877814873559</v>
      </c>
    </row>
    <row r="92" spans="1:13" s="41" customFormat="1" ht="15" hidden="1" outlineLevel="1" x14ac:dyDescent="0.25">
      <c r="A92" s="42" t="s">
        <v>99</v>
      </c>
      <c r="B92" s="19"/>
      <c r="C92" s="26"/>
      <c r="D92" s="26"/>
      <c r="E92" s="26"/>
      <c r="F92" s="20">
        <v>9955159.3975412548</v>
      </c>
      <c r="G92" s="26"/>
      <c r="H92" s="19">
        <f>+B92+C92+D92+G92+E92+F92</f>
        <v>9955159.3975412548</v>
      </c>
      <c r="I92" s="26"/>
      <c r="J92" s="20">
        <f>+H92+I92</f>
        <v>9955159.3975412548</v>
      </c>
      <c r="K92" s="20">
        <v>9719549</v>
      </c>
      <c r="L92" s="20">
        <f t="shared" si="16"/>
        <v>-235610.39754125476</v>
      </c>
      <c r="M92" s="21">
        <f t="shared" si="17"/>
        <v>0.97633283525330128</v>
      </c>
    </row>
    <row r="93" spans="1:13" s="41" customFormat="1" ht="15" hidden="1" outlineLevel="1" x14ac:dyDescent="0.25">
      <c r="A93" s="42" t="s">
        <v>100</v>
      </c>
      <c r="B93" s="19"/>
      <c r="C93" s="26"/>
      <c r="D93" s="26"/>
      <c r="E93" s="26"/>
      <c r="F93" s="20">
        <v>8533000</v>
      </c>
      <c r="G93" s="26"/>
      <c r="H93" s="19">
        <f>+B93+C93+D93+G93+E93+F93</f>
        <v>8533000</v>
      </c>
      <c r="I93" s="26"/>
      <c r="J93" s="20">
        <f>+H93+I93</f>
        <v>8533000</v>
      </c>
      <c r="K93" s="20">
        <v>8532018</v>
      </c>
      <c r="L93" s="20">
        <f t="shared" si="16"/>
        <v>-982</v>
      </c>
      <c r="M93" s="21">
        <f t="shared" si="17"/>
        <v>0.99988491737958518</v>
      </c>
    </row>
    <row r="94" spans="1:13" s="41" customFormat="1" ht="15" collapsed="1" x14ac:dyDescent="0.25">
      <c r="A94" s="43" t="s">
        <v>101</v>
      </c>
      <c r="B94" s="19"/>
      <c r="C94" s="26"/>
      <c r="D94" s="26"/>
      <c r="E94" s="26"/>
      <c r="F94" s="26">
        <f>SUM(F95:F105)</f>
        <v>695721147.45499992</v>
      </c>
      <c r="G94" s="26"/>
      <c r="H94" s="26">
        <f>SUM(H95:H105)</f>
        <v>695721147.45499992</v>
      </c>
      <c r="I94" s="26"/>
      <c r="J94" s="26">
        <f>SUM(J95:J105)</f>
        <v>695721147.45499992</v>
      </c>
      <c r="K94" s="26">
        <f>SUM(K95:K105)</f>
        <v>637746072</v>
      </c>
      <c r="L94" s="26">
        <f t="shared" si="16"/>
        <v>-57975075.454999924</v>
      </c>
      <c r="M94" s="17">
        <f t="shared" si="17"/>
        <v>0.91666909124858842</v>
      </c>
    </row>
    <row r="95" spans="1:13" s="41" customFormat="1" ht="15" hidden="1" outlineLevel="1" x14ac:dyDescent="0.25">
      <c r="A95" s="42" t="s">
        <v>102</v>
      </c>
      <c r="B95" s="19"/>
      <c r="C95" s="26"/>
      <c r="D95" s="26"/>
      <c r="E95" s="26"/>
      <c r="F95" s="20">
        <f>51767794-34000</f>
        <v>51733794</v>
      </c>
      <c r="G95" s="26"/>
      <c r="H95" s="19">
        <f t="shared" ref="H95:H110" si="22">+B95+C95+D95+G95+E95+F95</f>
        <v>51733794</v>
      </c>
      <c r="I95" s="26"/>
      <c r="J95" s="20">
        <f t="shared" ref="J95:J110" si="23">+H95+I95</f>
        <v>51733794</v>
      </c>
      <c r="K95" s="20">
        <v>49759659</v>
      </c>
      <c r="L95" s="20">
        <f t="shared" si="16"/>
        <v>-1974135</v>
      </c>
      <c r="M95" s="21">
        <f t="shared" si="17"/>
        <v>0.96184051376552815</v>
      </c>
    </row>
    <row r="96" spans="1:13" s="41" customFormat="1" ht="15" hidden="1" outlineLevel="1" x14ac:dyDescent="0.25">
      <c r="A96" s="42" t="s">
        <v>103</v>
      </c>
      <c r="B96" s="19"/>
      <c r="C96" s="26"/>
      <c r="D96" s="26"/>
      <c r="E96" s="26"/>
      <c r="F96" s="20">
        <f>21495982.6+1960598</f>
        <v>23456580.600000001</v>
      </c>
      <c r="G96" s="26"/>
      <c r="H96" s="19">
        <f t="shared" si="22"/>
        <v>23456580.600000001</v>
      </c>
      <c r="I96" s="26"/>
      <c r="J96" s="20">
        <f t="shared" si="23"/>
        <v>23456580.600000001</v>
      </c>
      <c r="K96" s="20">
        <v>23455181</v>
      </c>
      <c r="L96" s="20">
        <f t="shared" si="16"/>
        <v>-1399.6000000014901</v>
      </c>
      <c r="M96" s="21">
        <f t="shared" si="17"/>
        <v>0.99994033230913459</v>
      </c>
    </row>
    <row r="97" spans="1:13" s="41" customFormat="1" ht="15" hidden="1" outlineLevel="1" x14ac:dyDescent="0.25">
      <c r="A97" s="42" t="s">
        <v>104</v>
      </c>
      <c r="B97" s="19"/>
      <c r="C97" s="26"/>
      <c r="D97" s="26"/>
      <c r="E97" s="26"/>
      <c r="F97" s="20">
        <v>21202740</v>
      </c>
      <c r="G97" s="26"/>
      <c r="H97" s="19">
        <f t="shared" si="22"/>
        <v>21202740</v>
      </c>
      <c r="I97" s="26"/>
      <c r="J97" s="20">
        <f t="shared" si="23"/>
        <v>21202740</v>
      </c>
      <c r="K97" s="20">
        <v>9537630</v>
      </c>
      <c r="L97" s="20">
        <f t="shared" si="16"/>
        <v>-11665110</v>
      </c>
      <c r="M97" s="21">
        <f t="shared" si="17"/>
        <v>0.44983006913257439</v>
      </c>
    </row>
    <row r="98" spans="1:13" s="41" customFormat="1" ht="15" hidden="1" outlineLevel="1" x14ac:dyDescent="0.25">
      <c r="A98" s="42" t="s">
        <v>105</v>
      </c>
      <c r="B98" s="19"/>
      <c r="C98" s="26"/>
      <c r="D98" s="26"/>
      <c r="E98" s="26"/>
      <c r="F98" s="20"/>
      <c r="G98" s="26"/>
      <c r="H98" s="19">
        <f t="shared" si="22"/>
        <v>0</v>
      </c>
      <c r="I98" s="26"/>
      <c r="J98" s="20">
        <f t="shared" si="23"/>
        <v>0</v>
      </c>
      <c r="K98" s="20">
        <v>0</v>
      </c>
      <c r="L98" s="20">
        <f t="shared" si="16"/>
        <v>0</v>
      </c>
      <c r="M98" s="21">
        <v>0</v>
      </c>
    </row>
    <row r="99" spans="1:13" s="41" customFormat="1" ht="15" hidden="1" outlineLevel="1" x14ac:dyDescent="0.25">
      <c r="A99" s="42" t="s">
        <v>106</v>
      </c>
      <c r="B99" s="19"/>
      <c r="C99" s="26"/>
      <c r="D99" s="26"/>
      <c r="E99" s="26"/>
      <c r="F99" s="20">
        <v>51245435</v>
      </c>
      <c r="G99" s="26"/>
      <c r="H99" s="19">
        <f t="shared" si="22"/>
        <v>51245435</v>
      </c>
      <c r="I99" s="26"/>
      <c r="J99" s="20">
        <f t="shared" si="23"/>
        <v>51245435</v>
      </c>
      <c r="K99" s="20">
        <v>49550959</v>
      </c>
      <c r="L99" s="20">
        <f t="shared" si="16"/>
        <v>-1694476</v>
      </c>
      <c r="M99" s="21">
        <f t="shared" si="17"/>
        <v>0.96693410837472649</v>
      </c>
    </row>
    <row r="100" spans="1:13" s="41" customFormat="1" ht="15" hidden="1" outlineLevel="1" x14ac:dyDescent="0.25">
      <c r="A100" s="42" t="s">
        <v>107</v>
      </c>
      <c r="B100" s="19"/>
      <c r="C100" s="26"/>
      <c r="D100" s="26"/>
      <c r="E100" s="26"/>
      <c r="F100" s="20">
        <f>32096025+34000</f>
        <v>32130025</v>
      </c>
      <c r="G100" s="26"/>
      <c r="H100" s="19">
        <f t="shared" si="22"/>
        <v>32130025</v>
      </c>
      <c r="I100" s="26"/>
      <c r="J100" s="20">
        <f t="shared" si="23"/>
        <v>32130025</v>
      </c>
      <c r="K100" s="20">
        <v>32128482</v>
      </c>
      <c r="L100" s="20">
        <f t="shared" si="16"/>
        <v>-1543</v>
      </c>
      <c r="M100" s="21">
        <f t="shared" si="17"/>
        <v>0.99995197638346067</v>
      </c>
    </row>
    <row r="101" spans="1:13" s="41" customFormat="1" ht="15" hidden="1" outlineLevel="1" x14ac:dyDescent="0.25">
      <c r="A101" s="42" t="s">
        <v>108</v>
      </c>
      <c r="B101" s="19"/>
      <c r="C101" s="26"/>
      <c r="D101" s="26"/>
      <c r="E101" s="26"/>
      <c r="F101" s="20">
        <f>47720965.925-1960598</f>
        <v>45760367.924999997</v>
      </c>
      <c r="G101" s="26"/>
      <c r="H101" s="19">
        <f t="shared" si="22"/>
        <v>45760367.924999997</v>
      </c>
      <c r="I101" s="26"/>
      <c r="J101" s="20">
        <f t="shared" si="23"/>
        <v>45760367.924999997</v>
      </c>
      <c r="K101" s="20">
        <v>22311115</v>
      </c>
      <c r="L101" s="20">
        <f t="shared" si="16"/>
        <v>-23449252.924999997</v>
      </c>
      <c r="M101" s="21">
        <f t="shared" si="17"/>
        <v>0.48756415238110218</v>
      </c>
    </row>
    <row r="102" spans="1:13" s="41" customFormat="1" ht="15" hidden="1" outlineLevel="1" x14ac:dyDescent="0.25">
      <c r="A102" s="42" t="s">
        <v>109</v>
      </c>
      <c r="B102" s="19"/>
      <c r="C102" s="26"/>
      <c r="D102" s="26"/>
      <c r="E102" s="26"/>
      <c r="F102" s="20">
        <v>422543963</v>
      </c>
      <c r="G102" s="26"/>
      <c r="H102" s="19">
        <f t="shared" si="22"/>
        <v>422543963</v>
      </c>
      <c r="I102" s="26"/>
      <c r="J102" s="20">
        <f t="shared" si="23"/>
        <v>422543963</v>
      </c>
      <c r="K102" s="20">
        <v>412306793</v>
      </c>
      <c r="L102" s="20">
        <f t="shared" si="16"/>
        <v>-10237170</v>
      </c>
      <c r="M102" s="21">
        <f t="shared" si="17"/>
        <v>0.97577253280979903</v>
      </c>
    </row>
    <row r="103" spans="1:13" s="41" customFormat="1" ht="15" hidden="1" outlineLevel="1" x14ac:dyDescent="0.25">
      <c r="A103" s="42" t="s">
        <v>110</v>
      </c>
      <c r="B103" s="19"/>
      <c r="C103" s="26"/>
      <c r="D103" s="26"/>
      <c r="E103" s="26"/>
      <c r="F103" s="20">
        <v>27486016.93</v>
      </c>
      <c r="G103" s="26"/>
      <c r="H103" s="19">
        <f>+B103+C103+D103+G103+E103+F103</f>
        <v>27486016.93</v>
      </c>
      <c r="I103" s="26"/>
      <c r="J103" s="20">
        <f t="shared" si="23"/>
        <v>27486016.93</v>
      </c>
      <c r="K103" s="20">
        <v>26623655</v>
      </c>
      <c r="L103" s="20">
        <f t="shared" si="16"/>
        <v>-862361.9299999997</v>
      </c>
      <c r="M103" s="21">
        <f t="shared" si="17"/>
        <v>0.96862543117119448</v>
      </c>
    </row>
    <row r="104" spans="1:13" s="41" customFormat="1" ht="15" hidden="1" outlineLevel="1" x14ac:dyDescent="0.25">
      <c r="A104" s="42" t="s">
        <v>111</v>
      </c>
      <c r="B104" s="19"/>
      <c r="C104" s="26"/>
      <c r="D104" s="26"/>
      <c r="E104" s="26"/>
      <c r="F104" s="20"/>
      <c r="G104" s="26"/>
      <c r="H104" s="19">
        <f>+B104+C104+D104+G104+E104+F104</f>
        <v>0</v>
      </c>
      <c r="I104" s="26"/>
      <c r="J104" s="20">
        <f t="shared" si="23"/>
        <v>0</v>
      </c>
      <c r="K104" s="20">
        <v>0</v>
      </c>
      <c r="L104" s="20">
        <f t="shared" si="16"/>
        <v>0</v>
      </c>
      <c r="M104" s="21">
        <v>0</v>
      </c>
    </row>
    <row r="105" spans="1:13" s="41" customFormat="1" ht="15" hidden="1" outlineLevel="1" x14ac:dyDescent="0.25">
      <c r="A105" s="42" t="s">
        <v>112</v>
      </c>
      <c r="B105" s="19"/>
      <c r="C105" s="26"/>
      <c r="D105" s="26"/>
      <c r="E105" s="26"/>
      <c r="F105" s="20">
        <v>20162225</v>
      </c>
      <c r="G105" s="26"/>
      <c r="H105" s="19">
        <f>+B105+C105+D105+G105+E105+F105</f>
        <v>20162225</v>
      </c>
      <c r="I105" s="26"/>
      <c r="J105" s="20">
        <f t="shared" si="23"/>
        <v>20162225</v>
      </c>
      <c r="K105" s="20">
        <v>12072598</v>
      </c>
      <c r="L105" s="20">
        <f t="shared" si="16"/>
        <v>-8089627</v>
      </c>
      <c r="M105" s="21">
        <f t="shared" si="17"/>
        <v>0.59877310167900621</v>
      </c>
    </row>
    <row r="106" spans="1:13" s="41" customFormat="1" ht="15" collapsed="1" x14ac:dyDescent="0.25">
      <c r="A106" s="43" t="s">
        <v>113</v>
      </c>
      <c r="B106" s="16"/>
      <c r="C106" s="16"/>
      <c r="D106" s="16"/>
      <c r="E106" s="16"/>
      <c r="F106" s="16">
        <f>SUM(F107:F110)</f>
        <v>116155923.84799999</v>
      </c>
      <c r="G106" s="16"/>
      <c r="H106" s="16">
        <f t="shared" si="22"/>
        <v>116155923.84799999</v>
      </c>
      <c r="I106" s="16"/>
      <c r="J106" s="16">
        <f t="shared" si="23"/>
        <v>116155923.84799999</v>
      </c>
      <c r="K106" s="16">
        <f>SUM(K107:K110)</f>
        <v>80176674</v>
      </c>
      <c r="L106" s="16">
        <f t="shared" si="16"/>
        <v>-35979249.84799999</v>
      </c>
      <c r="M106" s="17">
        <f t="shared" si="17"/>
        <v>0.69025040948336025</v>
      </c>
    </row>
    <row r="107" spans="1:13" s="41" customFormat="1" ht="15" hidden="1" outlineLevel="1" x14ac:dyDescent="0.25">
      <c r="A107" s="42" t="s">
        <v>114</v>
      </c>
      <c r="B107" s="19"/>
      <c r="C107" s="26"/>
      <c r="D107" s="26"/>
      <c r="E107" s="26"/>
      <c r="F107" s="20">
        <v>35537631.247999996</v>
      </c>
      <c r="G107" s="26"/>
      <c r="H107" s="19">
        <f t="shared" si="22"/>
        <v>35537631.247999996</v>
      </c>
      <c r="I107" s="26"/>
      <c r="J107" s="20">
        <f t="shared" si="23"/>
        <v>35537631.247999996</v>
      </c>
      <c r="K107" s="20">
        <v>23897006</v>
      </c>
      <c r="L107" s="20">
        <f t="shared" si="16"/>
        <v>-11640625.247999996</v>
      </c>
      <c r="M107" s="21">
        <f t="shared" si="17"/>
        <v>0.6724422861285918</v>
      </c>
    </row>
    <row r="108" spans="1:13" s="41" customFormat="1" ht="15" hidden="1" outlineLevel="1" x14ac:dyDescent="0.25">
      <c r="A108" s="42" t="s">
        <v>115</v>
      </c>
      <c r="B108" s="19"/>
      <c r="C108" s="26"/>
      <c r="D108" s="26"/>
      <c r="E108" s="26"/>
      <c r="F108" s="20">
        <v>46910357.599999994</v>
      </c>
      <c r="G108" s="26"/>
      <c r="H108" s="19">
        <f t="shared" si="22"/>
        <v>46910357.599999994</v>
      </c>
      <c r="I108" s="26"/>
      <c r="J108" s="20">
        <f t="shared" si="23"/>
        <v>46910357.599999994</v>
      </c>
      <c r="K108" s="20">
        <v>29318926</v>
      </c>
      <c r="L108" s="20">
        <f t="shared" si="16"/>
        <v>-17591431.599999994</v>
      </c>
      <c r="M108" s="21">
        <f t="shared" si="17"/>
        <v>0.62499898743044335</v>
      </c>
    </row>
    <row r="109" spans="1:13" s="41" customFormat="1" ht="15" hidden="1" outlineLevel="1" x14ac:dyDescent="0.25">
      <c r="A109" s="42" t="s">
        <v>116</v>
      </c>
      <c r="B109" s="19"/>
      <c r="C109" s="26"/>
      <c r="D109" s="26"/>
      <c r="E109" s="26"/>
      <c r="F109" s="20">
        <v>21259241</v>
      </c>
      <c r="G109" s="26"/>
      <c r="H109" s="19">
        <f t="shared" si="22"/>
        <v>21259241</v>
      </c>
      <c r="I109" s="26"/>
      <c r="J109" s="20">
        <f t="shared" si="23"/>
        <v>21259241</v>
      </c>
      <c r="K109" s="20">
        <v>16386300</v>
      </c>
      <c r="L109" s="20">
        <f t="shared" si="16"/>
        <v>-4872941</v>
      </c>
      <c r="M109" s="21">
        <f t="shared" si="17"/>
        <v>0.77078480835698693</v>
      </c>
    </row>
    <row r="110" spans="1:13" s="41" customFormat="1" ht="15" hidden="1" outlineLevel="1" x14ac:dyDescent="0.25">
      <c r="A110" s="42" t="s">
        <v>117</v>
      </c>
      <c r="B110" s="19"/>
      <c r="C110" s="26"/>
      <c r="D110" s="26"/>
      <c r="E110" s="26"/>
      <c r="F110" s="20">
        <v>12448694</v>
      </c>
      <c r="G110" s="26"/>
      <c r="H110" s="19">
        <f t="shared" si="22"/>
        <v>12448694</v>
      </c>
      <c r="I110" s="26"/>
      <c r="J110" s="20">
        <f t="shared" si="23"/>
        <v>12448694</v>
      </c>
      <c r="K110" s="20">
        <v>10574442</v>
      </c>
      <c r="L110" s="20">
        <f t="shared" si="16"/>
        <v>-1874252</v>
      </c>
      <c r="M110" s="21">
        <f t="shared" si="17"/>
        <v>0.84944187719611386</v>
      </c>
    </row>
    <row r="111" spans="1:13" s="41" customFormat="1" ht="15" collapsed="1" x14ac:dyDescent="0.25">
      <c r="A111" s="42"/>
      <c r="B111" s="19"/>
      <c r="C111" s="26"/>
      <c r="D111" s="26"/>
      <c r="E111" s="26"/>
      <c r="F111" s="20"/>
      <c r="G111" s="26"/>
      <c r="H111" s="19"/>
      <c r="I111" s="26"/>
      <c r="J111" s="20"/>
      <c r="K111" s="20"/>
      <c r="L111" s="20"/>
      <c r="M111" s="21"/>
    </row>
    <row r="112" spans="1:13" s="41" customFormat="1" ht="15" x14ac:dyDescent="0.25">
      <c r="A112" s="43" t="s">
        <v>118</v>
      </c>
      <c r="B112" s="26"/>
      <c r="C112" s="26"/>
      <c r="D112" s="26"/>
      <c r="E112" s="26"/>
      <c r="F112" s="26"/>
      <c r="G112" s="26">
        <f>+G113+G118+G121+G127+G130</f>
        <v>4450330115.976119</v>
      </c>
      <c r="H112" s="26">
        <f>+H113+H118+H121+H127+H130</f>
        <v>4450330115.976119</v>
      </c>
      <c r="I112" s="26"/>
      <c r="J112" s="26">
        <f>+J113+J118+J121+J127+J130</f>
        <v>4450330115.976119</v>
      </c>
      <c r="K112" s="26">
        <f>+K113+K118+K121+K127+K130</f>
        <v>3611620358</v>
      </c>
      <c r="L112" s="26">
        <f t="shared" ref="L112:L133" si="24">+K112-J112</f>
        <v>-838709757.97611904</v>
      </c>
      <c r="M112" s="17">
        <f t="shared" ref="M112:M133" si="25">+K112/J112</f>
        <v>0.81153987769013858</v>
      </c>
    </row>
    <row r="113" spans="1:13" s="41" customFormat="1" ht="15" x14ac:dyDescent="0.25">
      <c r="A113" s="43" t="s">
        <v>119</v>
      </c>
      <c r="B113" s="26"/>
      <c r="C113" s="26"/>
      <c r="D113" s="26"/>
      <c r="E113" s="16"/>
      <c r="F113" s="26"/>
      <c r="G113" s="16">
        <f>SUM(G114:G117)</f>
        <v>1336540385.5886166</v>
      </c>
      <c r="H113" s="16">
        <f>SUM(H114:H117)</f>
        <v>1336540385.5886166</v>
      </c>
      <c r="I113" s="26"/>
      <c r="J113" s="16">
        <f>SUM(J114:J117)</f>
        <v>1336540385.5886166</v>
      </c>
      <c r="K113" s="16">
        <f>SUM(K114:K117)</f>
        <v>1207414368</v>
      </c>
      <c r="L113" s="16">
        <f t="shared" si="24"/>
        <v>-129126017.58861661</v>
      </c>
      <c r="M113" s="17">
        <f t="shared" si="25"/>
        <v>0.90338786692797979</v>
      </c>
    </row>
    <row r="114" spans="1:13" s="41" customFormat="1" ht="15" hidden="1" outlineLevel="1" x14ac:dyDescent="0.25">
      <c r="A114" s="42" t="s">
        <v>120</v>
      </c>
      <c r="B114" s="26"/>
      <c r="C114" s="26"/>
      <c r="D114" s="26"/>
      <c r="E114" s="19"/>
      <c r="F114" s="26"/>
      <c r="G114" s="19">
        <v>342703553.44612503</v>
      </c>
      <c r="H114" s="19">
        <f>+B114+C114+D114+G114+E114+F114</f>
        <v>342703553.44612503</v>
      </c>
      <c r="I114" s="26"/>
      <c r="J114" s="20">
        <f>+H114+I114</f>
        <v>342703553.44612503</v>
      </c>
      <c r="K114" s="20">
        <v>340778191</v>
      </c>
      <c r="L114" s="20">
        <f t="shared" si="24"/>
        <v>-1925362.4461250305</v>
      </c>
      <c r="M114" s="21">
        <f t="shared" si="25"/>
        <v>0.994381842771211</v>
      </c>
    </row>
    <row r="115" spans="1:13" s="41" customFormat="1" ht="15" hidden="1" outlineLevel="1" x14ac:dyDescent="0.25">
      <c r="A115" s="42" t="s">
        <v>121</v>
      </c>
      <c r="B115" s="26"/>
      <c r="C115" s="26"/>
      <c r="D115" s="26"/>
      <c r="E115" s="19"/>
      <c r="F115" s="26"/>
      <c r="G115" s="19">
        <v>128174381.51999998</v>
      </c>
      <c r="H115" s="19">
        <f>+B115+C115+D115+G115+E115+F115</f>
        <v>128174381.51999998</v>
      </c>
      <c r="I115" s="26"/>
      <c r="J115" s="20">
        <f>+H115+I115</f>
        <v>128174381.51999998</v>
      </c>
      <c r="K115" s="20">
        <v>102993639</v>
      </c>
      <c r="L115" s="20">
        <f t="shared" si="24"/>
        <v>-25180742.519999981</v>
      </c>
      <c r="M115" s="21">
        <f t="shared" si="25"/>
        <v>0.80354309323450224</v>
      </c>
    </row>
    <row r="116" spans="1:13" s="41" customFormat="1" ht="15" hidden="1" outlineLevel="1" x14ac:dyDescent="0.25">
      <c r="A116" s="42" t="s">
        <v>122</v>
      </c>
      <c r="B116" s="26"/>
      <c r="C116" s="26"/>
      <c r="D116" s="26"/>
      <c r="E116" s="19"/>
      <c r="F116" s="26"/>
      <c r="G116" s="19">
        <v>41160186.420000002</v>
      </c>
      <c r="H116" s="19">
        <f>+B116+C116+D116+G116+E116+F116</f>
        <v>41160186.420000002</v>
      </c>
      <c r="I116" s="26"/>
      <c r="J116" s="20">
        <f>+H116+I116</f>
        <v>41160186.420000002</v>
      </c>
      <c r="K116" s="20">
        <v>21974734</v>
      </c>
      <c r="L116" s="20">
        <f t="shared" si="24"/>
        <v>-19185452.420000002</v>
      </c>
      <c r="M116" s="21">
        <f t="shared" si="25"/>
        <v>0.53388324765512563</v>
      </c>
    </row>
    <row r="117" spans="1:13" s="41" customFormat="1" ht="15" hidden="1" outlineLevel="1" x14ac:dyDescent="0.25">
      <c r="A117" s="42" t="s">
        <v>123</v>
      </c>
      <c r="B117" s="26"/>
      <c r="C117" s="26"/>
      <c r="D117" s="26"/>
      <c r="E117" s="19"/>
      <c r="F117" s="26"/>
      <c r="G117" s="19">
        <v>824502264.20249152</v>
      </c>
      <c r="H117" s="19">
        <f>+B117+C117+D117+G117+E117+F117</f>
        <v>824502264.20249152</v>
      </c>
      <c r="I117" s="26"/>
      <c r="J117" s="20">
        <f>+H117+I117</f>
        <v>824502264.20249152</v>
      </c>
      <c r="K117" s="20">
        <v>741667804</v>
      </c>
      <c r="L117" s="20">
        <f t="shared" si="24"/>
        <v>-82834460.202491522</v>
      </c>
      <c r="M117" s="21">
        <f t="shared" si="25"/>
        <v>0.89953398092531134</v>
      </c>
    </row>
    <row r="118" spans="1:13" s="41" customFormat="1" ht="15" collapsed="1" x14ac:dyDescent="0.25">
      <c r="A118" s="43" t="s">
        <v>124</v>
      </c>
      <c r="B118" s="26"/>
      <c r="C118" s="26"/>
      <c r="D118" s="26"/>
      <c r="E118" s="16"/>
      <c r="F118" s="26"/>
      <c r="G118" s="16">
        <f>SUM(G119:G120)</f>
        <v>270222224</v>
      </c>
      <c r="H118" s="16">
        <f>SUM(H119:H120)</f>
        <v>270222224</v>
      </c>
      <c r="I118" s="26"/>
      <c r="J118" s="16">
        <f>SUM(J119:J120)</f>
        <v>270222224</v>
      </c>
      <c r="K118" s="16">
        <f>SUM(K119:K120)</f>
        <v>137302305</v>
      </c>
      <c r="L118" s="16">
        <f t="shared" si="24"/>
        <v>-132919919</v>
      </c>
      <c r="M118" s="17">
        <f t="shared" si="25"/>
        <v>0.50810885562099439</v>
      </c>
    </row>
    <row r="119" spans="1:13" s="41" customFormat="1" ht="15" hidden="1" outlineLevel="1" x14ac:dyDescent="0.25">
      <c r="A119" s="42" t="s">
        <v>125</v>
      </c>
      <c r="B119" s="26"/>
      <c r="C119" s="26"/>
      <c r="D119" s="26"/>
      <c r="E119" s="19"/>
      <c r="F119" s="26"/>
      <c r="G119" s="19">
        <v>135774324</v>
      </c>
      <c r="H119" s="19">
        <f>+B119+C119+D119+G119+E119+F119</f>
        <v>135774324</v>
      </c>
      <c r="I119" s="26"/>
      <c r="J119" s="20">
        <f>+H119+I119</f>
        <v>135774324</v>
      </c>
      <c r="K119" s="20">
        <v>45412521</v>
      </c>
      <c r="L119" s="20">
        <f t="shared" si="24"/>
        <v>-90361803</v>
      </c>
      <c r="M119" s="21">
        <f t="shared" si="25"/>
        <v>0.33447061021640584</v>
      </c>
    </row>
    <row r="120" spans="1:13" s="41" customFormat="1" ht="15" hidden="1" outlineLevel="1" x14ac:dyDescent="0.25">
      <c r="A120" s="42" t="s">
        <v>126</v>
      </c>
      <c r="B120" s="26"/>
      <c r="C120" s="26"/>
      <c r="D120" s="26"/>
      <c r="E120" s="19"/>
      <c r="F120" s="26"/>
      <c r="G120" s="19">
        <v>134447900</v>
      </c>
      <c r="H120" s="19">
        <f>+B120+C120+D120+G120+E120+F120</f>
        <v>134447900</v>
      </c>
      <c r="I120" s="26"/>
      <c r="J120" s="20">
        <f>+H120+I120</f>
        <v>134447900</v>
      </c>
      <c r="K120" s="20">
        <v>91889784</v>
      </c>
      <c r="L120" s="20">
        <f t="shared" si="24"/>
        <v>-42558116</v>
      </c>
      <c r="M120" s="21">
        <f t="shared" si="25"/>
        <v>0.6834601656106194</v>
      </c>
    </row>
    <row r="121" spans="1:13" s="41" customFormat="1" ht="15" collapsed="1" x14ac:dyDescent="0.25">
      <c r="A121" s="43" t="s">
        <v>127</v>
      </c>
      <c r="B121" s="26"/>
      <c r="C121" s="26"/>
      <c r="D121" s="26"/>
      <c r="E121" s="16"/>
      <c r="F121" s="26"/>
      <c r="G121" s="16">
        <f>SUM(G122:G126)</f>
        <v>282598634</v>
      </c>
      <c r="H121" s="16">
        <f>SUM(H122:H126)</f>
        <v>282598634</v>
      </c>
      <c r="I121" s="26"/>
      <c r="J121" s="16">
        <f>SUM(J122:J126)</f>
        <v>282598634</v>
      </c>
      <c r="K121" s="16">
        <f>SUM(K122:K126)</f>
        <v>280890451</v>
      </c>
      <c r="L121" s="16">
        <f t="shared" si="24"/>
        <v>-1708183</v>
      </c>
      <c r="M121" s="17">
        <f t="shared" si="25"/>
        <v>0.99395544495094768</v>
      </c>
    </row>
    <row r="122" spans="1:13" s="41" customFormat="1" ht="15" hidden="1" outlineLevel="1" x14ac:dyDescent="0.25">
      <c r="A122" s="42" t="s">
        <v>128</v>
      </c>
      <c r="B122" s="26"/>
      <c r="C122" s="26"/>
      <c r="D122" s="26"/>
      <c r="E122" s="19"/>
      <c r="F122" s="26"/>
      <c r="G122" s="19">
        <v>17381398</v>
      </c>
      <c r="H122" s="19">
        <f>+B122+C122+D122+G122+E122+F122</f>
        <v>17381398</v>
      </c>
      <c r="I122" s="26"/>
      <c r="J122" s="20">
        <f>+H122+I122</f>
        <v>17381398</v>
      </c>
      <c r="K122" s="20">
        <v>16744880</v>
      </c>
      <c r="L122" s="20">
        <f t="shared" si="24"/>
        <v>-636518</v>
      </c>
      <c r="M122" s="21">
        <f t="shared" si="25"/>
        <v>0.96337935533148711</v>
      </c>
    </row>
    <row r="123" spans="1:13" s="41" customFormat="1" ht="15" hidden="1" outlineLevel="1" x14ac:dyDescent="0.25">
      <c r="A123" s="42" t="s">
        <v>129</v>
      </c>
      <c r="B123" s="26"/>
      <c r="C123" s="26"/>
      <c r="D123" s="26"/>
      <c r="E123" s="19"/>
      <c r="F123" s="26"/>
      <c r="G123" s="19">
        <f>183665455+1700000</f>
        <v>185365455</v>
      </c>
      <c r="H123" s="19">
        <f>+B123+C123+D123+G123+E123+F123</f>
        <v>185365455</v>
      </c>
      <c r="I123" s="26"/>
      <c r="J123" s="20">
        <f>+H123+I123</f>
        <v>185365455</v>
      </c>
      <c r="K123" s="20">
        <v>185314230</v>
      </c>
      <c r="L123" s="20">
        <f t="shared" si="24"/>
        <v>-51225</v>
      </c>
      <c r="M123" s="21">
        <f t="shared" si="25"/>
        <v>0.99972365401093743</v>
      </c>
    </row>
    <row r="124" spans="1:13" s="41" customFormat="1" ht="15" hidden="1" outlineLevel="1" x14ac:dyDescent="0.25">
      <c r="A124" s="42" t="s">
        <v>130</v>
      </c>
      <c r="B124" s="26"/>
      <c r="C124" s="26"/>
      <c r="D124" s="26"/>
      <c r="E124" s="19"/>
      <c r="F124" s="26"/>
      <c r="G124" s="19">
        <v>0</v>
      </c>
      <c r="H124" s="19">
        <f>+B124+C124+D124+G124+E124+F124</f>
        <v>0</v>
      </c>
      <c r="I124" s="26"/>
      <c r="J124" s="20">
        <f>+H124+I124</f>
        <v>0</v>
      </c>
      <c r="K124" s="20">
        <v>0</v>
      </c>
      <c r="L124" s="20">
        <f t="shared" si="24"/>
        <v>0</v>
      </c>
      <c r="M124" s="21">
        <v>0</v>
      </c>
    </row>
    <row r="125" spans="1:13" s="41" customFormat="1" ht="15" hidden="1" outlineLevel="1" x14ac:dyDescent="0.25">
      <c r="A125" s="42" t="s">
        <v>131</v>
      </c>
      <c r="B125" s="26"/>
      <c r="C125" s="26"/>
      <c r="D125" s="26"/>
      <c r="E125" s="19"/>
      <c r="F125" s="26"/>
      <c r="G125" s="19">
        <f>77967047-500000</f>
        <v>77467047</v>
      </c>
      <c r="H125" s="19">
        <f>+B125+C125+D125+G125+E125+F125</f>
        <v>77467047</v>
      </c>
      <c r="I125" s="26"/>
      <c r="J125" s="20">
        <f>+H125+I125</f>
        <v>77467047</v>
      </c>
      <c r="K125" s="20">
        <v>77126737</v>
      </c>
      <c r="L125" s="20">
        <f t="shared" si="24"/>
        <v>-340310</v>
      </c>
      <c r="M125" s="21">
        <f t="shared" si="25"/>
        <v>0.99560703533723183</v>
      </c>
    </row>
    <row r="126" spans="1:13" s="41" customFormat="1" ht="15" hidden="1" outlineLevel="1" x14ac:dyDescent="0.25">
      <c r="A126" s="42" t="s">
        <v>132</v>
      </c>
      <c r="B126" s="26"/>
      <c r="C126" s="26"/>
      <c r="D126" s="26"/>
      <c r="E126" s="19"/>
      <c r="F126" s="26"/>
      <c r="G126" s="19">
        <f>3584734-1200000</f>
        <v>2384734</v>
      </c>
      <c r="H126" s="19">
        <f>+B126+C126+D126+G126+E126+F126</f>
        <v>2384734</v>
      </c>
      <c r="I126" s="26"/>
      <c r="J126" s="20">
        <f>+H126+I126</f>
        <v>2384734</v>
      </c>
      <c r="K126" s="20">
        <v>1704604</v>
      </c>
      <c r="L126" s="20">
        <f t="shared" si="24"/>
        <v>-680130</v>
      </c>
      <c r="M126" s="21">
        <f t="shared" si="25"/>
        <v>0.71479838002896756</v>
      </c>
    </row>
    <row r="127" spans="1:13" s="41" customFormat="1" ht="15" collapsed="1" x14ac:dyDescent="0.25">
      <c r="A127" s="43" t="s">
        <v>133</v>
      </c>
      <c r="B127" s="26"/>
      <c r="C127" s="26"/>
      <c r="D127" s="26"/>
      <c r="E127" s="16"/>
      <c r="F127" s="26"/>
      <c r="G127" s="16">
        <f>SUM(G128:G129)</f>
        <v>167871192.08749998</v>
      </c>
      <c r="H127" s="16">
        <f>SUM(H128:H129)</f>
        <v>167871192.08749998</v>
      </c>
      <c r="I127" s="26"/>
      <c r="J127" s="16">
        <f>SUM(J128:J129)</f>
        <v>167871192.08749998</v>
      </c>
      <c r="K127" s="16">
        <f>SUM(K128:K129)</f>
        <v>71870730</v>
      </c>
      <c r="L127" s="16">
        <f t="shared" si="24"/>
        <v>-96000462.087499976</v>
      </c>
      <c r="M127" s="17">
        <f t="shared" si="25"/>
        <v>0.42813021761672254</v>
      </c>
    </row>
    <row r="128" spans="1:13" s="41" customFormat="1" ht="15" hidden="1" outlineLevel="1" x14ac:dyDescent="0.25">
      <c r="A128" s="42" t="s">
        <v>134</v>
      </c>
      <c r="B128" s="26"/>
      <c r="C128" s="26"/>
      <c r="D128" s="26"/>
      <c r="E128" s="19"/>
      <c r="F128" s="26"/>
      <c r="G128" s="19">
        <v>98559072.712499976</v>
      </c>
      <c r="H128" s="19">
        <f>+B128+C128+D128+G128+E128+F128</f>
        <v>98559072.712499976</v>
      </c>
      <c r="I128" s="26"/>
      <c r="J128" s="20">
        <f>+H128+I128</f>
        <v>98559072.712499976</v>
      </c>
      <c r="K128" s="20">
        <v>60691917</v>
      </c>
      <c r="L128" s="20">
        <f t="shared" si="24"/>
        <v>-37867155.712499976</v>
      </c>
      <c r="M128" s="21">
        <f t="shared" si="25"/>
        <v>0.61579228912837181</v>
      </c>
    </row>
    <row r="129" spans="1:13" s="41" customFormat="1" ht="15" hidden="1" outlineLevel="1" x14ac:dyDescent="0.25">
      <c r="A129" s="42" t="s">
        <v>135</v>
      </c>
      <c r="B129" s="26"/>
      <c r="C129" s="26"/>
      <c r="D129" s="26"/>
      <c r="E129" s="19"/>
      <c r="F129" s="26"/>
      <c r="G129" s="19">
        <v>69312119.375</v>
      </c>
      <c r="H129" s="19">
        <f>+B129+C129+D129+G129+E129+F129</f>
        <v>69312119.375</v>
      </c>
      <c r="I129" s="26"/>
      <c r="J129" s="20">
        <f>+H129+I129</f>
        <v>69312119.375</v>
      </c>
      <c r="K129" s="20">
        <v>11178813</v>
      </c>
      <c r="L129" s="20">
        <f t="shared" si="24"/>
        <v>-58133306.375</v>
      </c>
      <c r="M129" s="21">
        <f t="shared" si="25"/>
        <v>0.16128222741998646</v>
      </c>
    </row>
    <row r="130" spans="1:13" s="41" customFormat="1" ht="15" collapsed="1" x14ac:dyDescent="0.25">
      <c r="A130" s="43" t="s">
        <v>136</v>
      </c>
      <c r="B130" s="26"/>
      <c r="C130" s="26"/>
      <c r="D130" s="26"/>
      <c r="E130" s="26"/>
      <c r="F130" s="26"/>
      <c r="G130" s="26">
        <f>SUM(G131:G133)</f>
        <v>2393097680.3000026</v>
      </c>
      <c r="H130" s="26">
        <f>SUM(H131:H133)</f>
        <v>2393097680.3000026</v>
      </c>
      <c r="I130" s="26"/>
      <c r="J130" s="26">
        <f>SUM(J131:J133)</f>
        <v>2393097680.3000026</v>
      </c>
      <c r="K130" s="26">
        <f>SUM(K131:K133)</f>
        <v>1914142504</v>
      </c>
      <c r="L130" s="26">
        <f t="shared" si="24"/>
        <v>-478955176.30000257</v>
      </c>
      <c r="M130" s="17">
        <f t="shared" si="25"/>
        <v>0.79985974653572856</v>
      </c>
    </row>
    <row r="131" spans="1:13" s="41" customFormat="1" ht="15" hidden="1" outlineLevel="1" x14ac:dyDescent="0.25">
      <c r="A131" s="42" t="s">
        <v>137</v>
      </c>
      <c r="B131" s="26"/>
      <c r="C131" s="26"/>
      <c r="D131" s="26"/>
      <c r="E131" s="20"/>
      <c r="F131" s="26"/>
      <c r="G131" s="20">
        <v>2314193194.2800026</v>
      </c>
      <c r="H131" s="19">
        <f>+B131+C131+D131+G131+E131+F131</f>
        <v>2314193194.2800026</v>
      </c>
      <c r="I131" s="26"/>
      <c r="J131" s="20">
        <f>+H131+I131</f>
        <v>2314193194.2800026</v>
      </c>
      <c r="K131" s="20">
        <v>1854698551</v>
      </c>
      <c r="L131" s="20">
        <f t="shared" si="24"/>
        <v>-459494643.28000259</v>
      </c>
      <c r="M131" s="21">
        <f t="shared" si="25"/>
        <v>0.8014449941276568</v>
      </c>
    </row>
    <row r="132" spans="1:13" s="41" customFormat="1" ht="15" hidden="1" outlineLevel="1" x14ac:dyDescent="0.25">
      <c r="A132" s="42" t="s">
        <v>138</v>
      </c>
      <c r="B132" s="26"/>
      <c r="C132" s="26"/>
      <c r="D132" s="26"/>
      <c r="E132" s="20"/>
      <c r="F132" s="26"/>
      <c r="G132" s="20">
        <v>53240420.600000009</v>
      </c>
      <c r="H132" s="19">
        <f>+B132+C132+D132+G132+E132+F132</f>
        <v>53240420.600000009</v>
      </c>
      <c r="I132" s="26"/>
      <c r="J132" s="20">
        <f>+H132+I132</f>
        <v>53240420.600000009</v>
      </c>
      <c r="K132" s="20">
        <v>34128492</v>
      </c>
      <c r="L132" s="20">
        <f t="shared" si="24"/>
        <v>-19111928.600000009</v>
      </c>
      <c r="M132" s="21">
        <f t="shared" si="25"/>
        <v>0.64102596514799126</v>
      </c>
    </row>
    <row r="133" spans="1:13" s="41" customFormat="1" ht="15" hidden="1" outlineLevel="1" x14ac:dyDescent="0.25">
      <c r="A133" s="42" t="s">
        <v>139</v>
      </c>
      <c r="B133" s="26"/>
      <c r="C133" s="26"/>
      <c r="D133" s="26"/>
      <c r="E133" s="20"/>
      <c r="F133" s="26"/>
      <c r="G133" s="20">
        <v>25664065.420000002</v>
      </c>
      <c r="H133" s="19">
        <f>+B133+C133+D133+G133+E133+F133</f>
        <v>25664065.420000002</v>
      </c>
      <c r="I133" s="26"/>
      <c r="J133" s="20">
        <f>+H133+I133</f>
        <v>25664065.420000002</v>
      </c>
      <c r="K133" s="20">
        <v>25315461</v>
      </c>
      <c r="L133" s="20">
        <f t="shared" si="24"/>
        <v>-348604.42000000179</v>
      </c>
      <c r="M133" s="21">
        <f t="shared" si="25"/>
        <v>0.98641663297318694</v>
      </c>
    </row>
    <row r="134" spans="1:13" s="41" customFormat="1" ht="15" collapsed="1" x14ac:dyDescent="0.25">
      <c r="A134" s="42"/>
      <c r="B134" s="26"/>
      <c r="C134" s="26"/>
      <c r="D134" s="26"/>
      <c r="E134" s="20"/>
      <c r="F134" s="26"/>
      <c r="G134" s="20"/>
      <c r="H134" s="19"/>
      <c r="I134" s="26"/>
      <c r="J134" s="20"/>
      <c r="K134" s="20"/>
      <c r="L134" s="20"/>
      <c r="M134" s="21"/>
    </row>
    <row r="135" spans="1:13" s="46" customFormat="1" ht="15" x14ac:dyDescent="0.25">
      <c r="A135" s="43" t="s">
        <v>140</v>
      </c>
      <c r="B135" s="44"/>
      <c r="C135" s="16">
        <f>+C136+C140+C143+C146</f>
        <v>580989219.12</v>
      </c>
      <c r="D135" s="44"/>
      <c r="E135" s="45"/>
      <c r="F135" s="44"/>
      <c r="G135" s="45"/>
      <c r="H135" s="16">
        <f>+H136+H140+H143+H146</f>
        <v>580989219.12</v>
      </c>
      <c r="I135" s="44"/>
      <c r="J135" s="16">
        <f>+H135+I135</f>
        <v>580989219.12</v>
      </c>
      <c r="K135" s="16">
        <f>+K136+K140+K143+K146</f>
        <v>462740476</v>
      </c>
      <c r="L135" s="16">
        <f t="shared" ref="L135:L147" si="26">+K135-J135</f>
        <v>-118248743.12</v>
      </c>
      <c r="M135" s="17">
        <f t="shared" ref="M135:M147" si="27">+K135/J135</f>
        <v>0.79646998734484886</v>
      </c>
    </row>
    <row r="136" spans="1:13" s="41" customFormat="1" ht="15" x14ac:dyDescent="0.25">
      <c r="A136" s="43" t="s">
        <v>141</v>
      </c>
      <c r="B136" s="44"/>
      <c r="C136" s="26">
        <f>SUM(C137:C139)</f>
        <v>156661178.77500001</v>
      </c>
      <c r="D136" s="26"/>
      <c r="E136" s="26"/>
      <c r="F136" s="26"/>
      <c r="G136" s="26"/>
      <c r="H136" s="16">
        <f>+B136+C136+D136+G136+E136+F136</f>
        <v>156661178.77500001</v>
      </c>
      <c r="I136" s="16"/>
      <c r="J136" s="26">
        <f>SUM(J137:J139)</f>
        <v>156661178.77500001</v>
      </c>
      <c r="K136" s="26">
        <f>SUM(K137:K139)</f>
        <v>133448398</v>
      </c>
      <c r="L136" s="26">
        <f t="shared" si="26"/>
        <v>-23212780.775000006</v>
      </c>
      <c r="M136" s="17">
        <f t="shared" si="27"/>
        <v>0.85182812387529216</v>
      </c>
    </row>
    <row r="137" spans="1:13" s="41" customFormat="1" ht="15" hidden="1" outlineLevel="1" x14ac:dyDescent="0.25">
      <c r="A137" s="42" t="s">
        <v>142</v>
      </c>
      <c r="B137" s="44"/>
      <c r="C137" s="20">
        <f>74101658.775-5369000</f>
        <v>68732658.775000006</v>
      </c>
      <c r="D137" s="26"/>
      <c r="E137" s="26"/>
      <c r="F137" s="26"/>
      <c r="G137" s="26"/>
      <c r="H137" s="20">
        <f>+B137+C137+D137+G137+E137+F137</f>
        <v>68732658.775000006</v>
      </c>
      <c r="I137" s="16"/>
      <c r="J137" s="20">
        <f t="shared" ref="J137:J145" si="28">+H137+I137</f>
        <v>68732658.775000006</v>
      </c>
      <c r="K137" s="20">
        <v>46848849</v>
      </c>
      <c r="L137" s="20">
        <f t="shared" si="26"/>
        <v>-21883809.775000006</v>
      </c>
      <c r="M137" s="21">
        <f t="shared" si="27"/>
        <v>0.68160973014825721</v>
      </c>
    </row>
    <row r="138" spans="1:13" s="41" customFormat="1" ht="15" hidden="1" outlineLevel="1" x14ac:dyDescent="0.25">
      <c r="A138" s="42" t="s">
        <v>143</v>
      </c>
      <c r="B138" s="44"/>
      <c r="C138" s="20">
        <v>45250000</v>
      </c>
      <c r="D138" s="26"/>
      <c r="E138" s="26"/>
      <c r="F138" s="26"/>
      <c r="G138" s="26"/>
      <c r="H138" s="20">
        <f t="shared" ref="H138:H145" si="29">+B138+C138+D138+G138+E138+F138</f>
        <v>45250000</v>
      </c>
      <c r="I138" s="16"/>
      <c r="J138" s="20">
        <f t="shared" si="28"/>
        <v>45250000</v>
      </c>
      <c r="K138" s="20">
        <v>43921396</v>
      </c>
      <c r="L138" s="20">
        <f t="shared" si="26"/>
        <v>-1328604</v>
      </c>
      <c r="M138" s="21">
        <f t="shared" si="27"/>
        <v>0.9706385856353591</v>
      </c>
    </row>
    <row r="139" spans="1:13" s="41" customFormat="1" ht="15" hidden="1" outlineLevel="1" x14ac:dyDescent="0.25">
      <c r="A139" s="42" t="s">
        <v>144</v>
      </c>
      <c r="B139" s="44"/>
      <c r="C139" s="20">
        <f>37309520+5369000</f>
        <v>42678520</v>
      </c>
      <c r="D139" s="26"/>
      <c r="E139" s="26"/>
      <c r="F139" s="26"/>
      <c r="G139" s="26"/>
      <c r="H139" s="20">
        <f t="shared" si="29"/>
        <v>42678520</v>
      </c>
      <c r="I139" s="16"/>
      <c r="J139" s="20">
        <f t="shared" si="28"/>
        <v>42678520</v>
      </c>
      <c r="K139" s="20">
        <v>42678153</v>
      </c>
      <c r="L139" s="20">
        <f t="shared" si="26"/>
        <v>-367</v>
      </c>
      <c r="M139" s="21">
        <f t="shared" si="27"/>
        <v>0.99999140082645788</v>
      </c>
    </row>
    <row r="140" spans="1:13" s="41" customFormat="1" ht="15" collapsed="1" x14ac:dyDescent="0.25">
      <c r="A140" s="43" t="s">
        <v>145</v>
      </c>
      <c r="B140" s="44"/>
      <c r="C140" s="26">
        <f>SUM(C141:C142)</f>
        <v>331035226.42499995</v>
      </c>
      <c r="D140" s="26"/>
      <c r="E140" s="26"/>
      <c r="F140" s="26"/>
      <c r="G140" s="26"/>
      <c r="H140" s="16">
        <f>+B140+C140+D140+G140+E140+F140</f>
        <v>331035226.42499995</v>
      </c>
      <c r="I140" s="16"/>
      <c r="J140" s="26">
        <f>SUM(J141:J142)</f>
        <v>331035226.42499995</v>
      </c>
      <c r="K140" s="26">
        <f>SUM(K141:K142)</f>
        <v>283105711</v>
      </c>
      <c r="L140" s="26">
        <f t="shared" si="26"/>
        <v>-47929515.424999952</v>
      </c>
      <c r="M140" s="17">
        <f t="shared" si="27"/>
        <v>0.8552132474159545</v>
      </c>
    </row>
    <row r="141" spans="1:13" s="41" customFormat="1" ht="15" hidden="1" outlineLevel="1" x14ac:dyDescent="0.25">
      <c r="A141" s="42" t="s">
        <v>146</v>
      </c>
      <c r="B141" s="44"/>
      <c r="C141" s="20">
        <v>169218384.42499995</v>
      </c>
      <c r="D141" s="26"/>
      <c r="E141" s="26"/>
      <c r="F141" s="26"/>
      <c r="G141" s="26"/>
      <c r="H141" s="20">
        <f t="shared" si="29"/>
        <v>169218384.42499995</v>
      </c>
      <c r="I141" s="16"/>
      <c r="J141" s="20">
        <f t="shared" si="28"/>
        <v>169218384.42499995</v>
      </c>
      <c r="K141" s="20">
        <v>167942089</v>
      </c>
      <c r="L141" s="20">
        <f t="shared" si="26"/>
        <v>-1276295.4249999523</v>
      </c>
      <c r="M141" s="21">
        <f t="shared" si="27"/>
        <v>0.99245770233927733</v>
      </c>
    </row>
    <row r="142" spans="1:13" s="41" customFormat="1" ht="15" hidden="1" outlineLevel="1" x14ac:dyDescent="0.25">
      <c r="A142" s="42" t="s">
        <v>147</v>
      </c>
      <c r="B142" s="44"/>
      <c r="C142" s="20">
        <v>161816842</v>
      </c>
      <c r="D142" s="26"/>
      <c r="E142" s="26"/>
      <c r="F142" s="26"/>
      <c r="G142" s="26"/>
      <c r="H142" s="20">
        <f t="shared" si="29"/>
        <v>161816842</v>
      </c>
      <c r="I142" s="16"/>
      <c r="J142" s="20">
        <f t="shared" si="28"/>
        <v>161816842</v>
      </c>
      <c r="K142" s="20">
        <v>115163622</v>
      </c>
      <c r="L142" s="20">
        <f t="shared" si="26"/>
        <v>-46653220</v>
      </c>
      <c r="M142" s="21">
        <f t="shared" si="27"/>
        <v>0.71169119713756368</v>
      </c>
    </row>
    <row r="143" spans="1:13" s="41" customFormat="1" ht="15" collapsed="1" x14ac:dyDescent="0.25">
      <c r="A143" s="43" t="s">
        <v>148</v>
      </c>
      <c r="B143" s="44"/>
      <c r="C143" s="26">
        <f>SUM(C144:C145)</f>
        <v>53513907.815000013</v>
      </c>
      <c r="D143" s="26"/>
      <c r="E143" s="26"/>
      <c r="F143" s="26"/>
      <c r="G143" s="26"/>
      <c r="H143" s="16">
        <f>+B143+C143+D143+G143+E143+F143</f>
        <v>53513907.815000013</v>
      </c>
      <c r="I143" s="16"/>
      <c r="J143" s="26">
        <f>SUM(J144:J145)</f>
        <v>53513907.815000013</v>
      </c>
      <c r="K143" s="26">
        <f>SUM(K144:K145)</f>
        <v>21387658</v>
      </c>
      <c r="L143" s="26">
        <f t="shared" si="26"/>
        <v>-32126249.815000013</v>
      </c>
      <c r="M143" s="17">
        <f t="shared" si="27"/>
        <v>0.39966541172694947</v>
      </c>
    </row>
    <row r="144" spans="1:13" s="41" customFormat="1" ht="15" hidden="1" outlineLevel="1" x14ac:dyDescent="0.25">
      <c r="A144" s="42" t="s">
        <v>149</v>
      </c>
      <c r="B144" s="44"/>
      <c r="C144" s="20">
        <v>33217375.814999998</v>
      </c>
      <c r="D144" s="26"/>
      <c r="E144" s="26"/>
      <c r="F144" s="26"/>
      <c r="G144" s="26"/>
      <c r="H144" s="20">
        <f t="shared" si="29"/>
        <v>33217375.814999998</v>
      </c>
      <c r="I144" s="16"/>
      <c r="J144" s="20">
        <f t="shared" si="28"/>
        <v>33217375.814999998</v>
      </c>
      <c r="K144" s="20">
        <v>10357260</v>
      </c>
      <c r="L144" s="20">
        <f t="shared" si="26"/>
        <v>-22860115.814999998</v>
      </c>
      <c r="M144" s="21">
        <f t="shared" si="27"/>
        <v>0.31180247523716076</v>
      </c>
    </row>
    <row r="145" spans="1:13" s="41" customFormat="1" ht="15" hidden="1" outlineLevel="1" x14ac:dyDescent="0.25">
      <c r="A145" s="42" t="s">
        <v>150</v>
      </c>
      <c r="B145" s="44"/>
      <c r="C145" s="20">
        <v>20296532.000000015</v>
      </c>
      <c r="D145" s="26"/>
      <c r="E145" s="26"/>
      <c r="F145" s="26"/>
      <c r="G145" s="26"/>
      <c r="H145" s="20">
        <f t="shared" si="29"/>
        <v>20296532.000000015</v>
      </c>
      <c r="I145" s="16"/>
      <c r="J145" s="20">
        <f t="shared" si="28"/>
        <v>20296532.000000015</v>
      </c>
      <c r="K145" s="20">
        <v>11030398</v>
      </c>
      <c r="L145" s="20">
        <f t="shared" si="26"/>
        <v>-9266134.0000000149</v>
      </c>
      <c r="M145" s="21">
        <f t="shared" si="27"/>
        <v>0.54346220329660222</v>
      </c>
    </row>
    <row r="146" spans="1:13" s="41" customFormat="1" ht="15" collapsed="1" x14ac:dyDescent="0.25">
      <c r="A146" s="43" t="s">
        <v>151</v>
      </c>
      <c r="B146" s="44"/>
      <c r="C146" s="26">
        <f>SUM(C147:C148)</f>
        <v>39778906.105000004</v>
      </c>
      <c r="D146" s="26"/>
      <c r="E146" s="26"/>
      <c r="F146" s="26"/>
      <c r="G146" s="26"/>
      <c r="H146" s="16">
        <f>+B146+C146+D146+G146+E146+F146</f>
        <v>39778906.105000004</v>
      </c>
      <c r="I146" s="16"/>
      <c r="J146" s="26">
        <f>SUM(J147:J148)</f>
        <v>39778906.105000004</v>
      </c>
      <c r="K146" s="26">
        <f>SUM(K147:K148)</f>
        <v>24798709</v>
      </c>
      <c r="L146" s="26">
        <f t="shared" si="26"/>
        <v>-14980197.105000004</v>
      </c>
      <c r="M146" s="17">
        <f t="shared" si="27"/>
        <v>0.62341354823940043</v>
      </c>
    </row>
    <row r="147" spans="1:13" s="41" customFormat="1" ht="15" hidden="1" outlineLevel="1" x14ac:dyDescent="0.25">
      <c r="A147" s="42" t="s">
        <v>152</v>
      </c>
      <c r="B147" s="44"/>
      <c r="C147" s="20">
        <v>39778906.105000004</v>
      </c>
      <c r="D147" s="26"/>
      <c r="E147" s="26"/>
      <c r="F147" s="26"/>
      <c r="G147" s="26"/>
      <c r="H147" s="20">
        <f>+B147+C147+D147+G147+E147+F147</f>
        <v>39778906.105000004</v>
      </c>
      <c r="I147" s="16"/>
      <c r="J147" s="20">
        <f>+H147+I147</f>
        <v>39778906.105000004</v>
      </c>
      <c r="K147" s="20">
        <v>24798709</v>
      </c>
      <c r="L147" s="20">
        <f t="shared" si="26"/>
        <v>-14980197.105000004</v>
      </c>
      <c r="M147" s="21">
        <f t="shared" si="27"/>
        <v>0.62341354823940043</v>
      </c>
    </row>
    <row r="148" spans="1:13" s="41" customFormat="1" ht="15" collapsed="1" x14ac:dyDescent="0.25">
      <c r="A148" s="42"/>
      <c r="B148" s="44"/>
      <c r="C148" s="26"/>
      <c r="D148" s="26"/>
      <c r="E148" s="26"/>
      <c r="F148" s="26"/>
      <c r="G148" s="26"/>
      <c r="H148" s="20"/>
      <c r="I148" s="26"/>
      <c r="J148" s="20"/>
      <c r="K148" s="20"/>
      <c r="L148" s="20"/>
      <c r="M148" s="21"/>
    </row>
    <row r="149" spans="1:13" s="41" customFormat="1" ht="15" x14ac:dyDescent="0.25">
      <c r="A149" s="43" t="s">
        <v>153</v>
      </c>
      <c r="B149" s="44"/>
      <c r="C149" s="26"/>
      <c r="D149" s="26">
        <f>+D150+D154+D168</f>
        <v>795874557.88750005</v>
      </c>
      <c r="E149" s="26"/>
      <c r="F149" s="26"/>
      <c r="G149" s="26"/>
      <c r="H149" s="26">
        <f>+H150+H154+H168</f>
        <v>795874557.88750005</v>
      </c>
      <c r="I149" s="26"/>
      <c r="J149" s="16">
        <f>+H149+I149</f>
        <v>795874557.88750005</v>
      </c>
      <c r="K149" s="26">
        <f>+K150+K154+K168</f>
        <v>733257750</v>
      </c>
      <c r="L149" s="16">
        <f t="shared" ref="L149:L182" si="30">+K149-J149</f>
        <v>-62616807.887500048</v>
      </c>
      <c r="M149" s="17">
        <f t="shared" ref="M149:M182" si="31">+K149/J149</f>
        <v>0.92132326977042134</v>
      </c>
    </row>
    <row r="150" spans="1:13" s="41" customFormat="1" ht="15" x14ac:dyDescent="0.25">
      <c r="A150" s="43" t="s">
        <v>154</v>
      </c>
      <c r="B150" s="26"/>
      <c r="C150" s="26"/>
      <c r="D150" s="26">
        <f>SUM(D151:D153)</f>
        <v>139710390</v>
      </c>
      <c r="E150" s="26"/>
      <c r="F150" s="26"/>
      <c r="G150" s="26"/>
      <c r="H150" s="26">
        <f>SUM(H151:H153)</f>
        <v>139710390</v>
      </c>
      <c r="I150" s="26"/>
      <c r="J150" s="26">
        <f>SUM(J151:J153)</f>
        <v>139710390</v>
      </c>
      <c r="K150" s="26">
        <f>SUM(K151:K153)</f>
        <v>132577035</v>
      </c>
      <c r="L150" s="26">
        <f t="shared" si="30"/>
        <v>-7133355</v>
      </c>
      <c r="M150" s="17">
        <f t="shared" si="31"/>
        <v>0.94894184319433939</v>
      </c>
    </row>
    <row r="151" spans="1:13" s="41" customFormat="1" ht="15" hidden="1" outlineLevel="1" x14ac:dyDescent="0.25">
      <c r="A151" s="42" t="s">
        <v>155</v>
      </c>
      <c r="B151" s="26"/>
      <c r="C151" s="26"/>
      <c r="D151" s="20">
        <f>133254767+4007909</f>
        <v>137262676</v>
      </c>
      <c r="E151" s="26"/>
      <c r="F151" s="26"/>
      <c r="G151" s="26"/>
      <c r="H151" s="19">
        <f>+B151+C151+D151+G151+E151+F151</f>
        <v>137262676</v>
      </c>
      <c r="I151" s="26"/>
      <c r="J151" s="20">
        <f>+H151+I151</f>
        <v>137262676</v>
      </c>
      <c r="K151" s="20">
        <v>131758235</v>
      </c>
      <c r="L151" s="20">
        <f t="shared" si="30"/>
        <v>-5504441</v>
      </c>
      <c r="M151" s="21">
        <f t="shared" si="31"/>
        <v>0.95989848689821555</v>
      </c>
    </row>
    <row r="152" spans="1:13" s="41" customFormat="1" ht="15" hidden="1" outlineLevel="1" x14ac:dyDescent="0.25">
      <c r="A152" s="42" t="s">
        <v>156</v>
      </c>
      <c r="B152" s="26"/>
      <c r="C152" s="26"/>
      <c r="D152" s="20">
        <f>4007909-4007909</f>
        <v>0</v>
      </c>
      <c r="E152" s="26"/>
      <c r="F152" s="26"/>
      <c r="G152" s="26"/>
      <c r="H152" s="19">
        <f>+B152+C152+D152+G152+E152+F152</f>
        <v>0</v>
      </c>
      <c r="I152" s="26"/>
      <c r="J152" s="20">
        <f>+H152+I152</f>
        <v>0</v>
      </c>
      <c r="K152" s="20">
        <v>0</v>
      </c>
      <c r="L152" s="20">
        <f t="shared" si="30"/>
        <v>0</v>
      </c>
      <c r="M152" s="21">
        <v>0</v>
      </c>
    </row>
    <row r="153" spans="1:13" s="41" customFormat="1" ht="15" hidden="1" outlineLevel="1" x14ac:dyDescent="0.25">
      <c r="A153" s="42" t="s">
        <v>157</v>
      </c>
      <c r="B153" s="26"/>
      <c r="C153" s="26"/>
      <c r="D153" s="20">
        <v>2447714</v>
      </c>
      <c r="E153" s="26"/>
      <c r="F153" s="26"/>
      <c r="G153" s="26"/>
      <c r="H153" s="19">
        <f>+B153+C153+D153+G153+E153+F153</f>
        <v>2447714</v>
      </c>
      <c r="I153" s="26"/>
      <c r="J153" s="20">
        <f>+H153+I153</f>
        <v>2447714</v>
      </c>
      <c r="K153" s="20">
        <v>818800</v>
      </c>
      <c r="L153" s="20">
        <f t="shared" si="30"/>
        <v>-1628914</v>
      </c>
      <c r="M153" s="21">
        <f t="shared" si="31"/>
        <v>0.33451620573318613</v>
      </c>
    </row>
    <row r="154" spans="1:13" s="41" customFormat="1" ht="15" collapsed="1" x14ac:dyDescent="0.25">
      <c r="A154" s="43" t="s">
        <v>158</v>
      </c>
      <c r="B154" s="26"/>
      <c r="C154" s="26"/>
      <c r="D154" s="26">
        <f>+D155+D163</f>
        <v>453645132</v>
      </c>
      <c r="E154" s="26"/>
      <c r="F154" s="26"/>
      <c r="G154" s="26"/>
      <c r="H154" s="26">
        <f>+H155+H163</f>
        <v>453645132</v>
      </c>
      <c r="I154" s="26"/>
      <c r="J154" s="26">
        <f>+J155+J163</f>
        <v>453645132</v>
      </c>
      <c r="K154" s="26">
        <f>+K155+K163</f>
        <v>405092880</v>
      </c>
      <c r="L154" s="26">
        <f t="shared" si="30"/>
        <v>-48552252</v>
      </c>
      <c r="M154" s="17">
        <f t="shared" si="31"/>
        <v>0.89297305630516499</v>
      </c>
    </row>
    <row r="155" spans="1:13" s="41" customFormat="1" ht="15" hidden="1" outlineLevel="1" x14ac:dyDescent="0.25">
      <c r="A155" s="43" t="s">
        <v>159</v>
      </c>
      <c r="B155" s="26"/>
      <c r="C155" s="26"/>
      <c r="D155" s="26">
        <f>SUM(D156:D162)</f>
        <v>323260989</v>
      </c>
      <c r="E155" s="26"/>
      <c r="F155" s="26"/>
      <c r="G155" s="26"/>
      <c r="H155" s="26">
        <f>SUM(H156:H162)</f>
        <v>323260989</v>
      </c>
      <c r="I155" s="26"/>
      <c r="J155" s="26">
        <f>SUM(J156:J162)</f>
        <v>323260989</v>
      </c>
      <c r="K155" s="26">
        <f>SUM(K156:K162)</f>
        <v>284415562</v>
      </c>
      <c r="L155" s="26">
        <f t="shared" si="30"/>
        <v>-38845427</v>
      </c>
      <c r="M155" s="17">
        <f t="shared" si="31"/>
        <v>0.87983261722929396</v>
      </c>
    </row>
    <row r="156" spans="1:13" s="41" customFormat="1" ht="15" hidden="1" outlineLevel="2" x14ac:dyDescent="0.25">
      <c r="A156" s="42" t="s">
        <v>160</v>
      </c>
      <c r="B156" s="26"/>
      <c r="C156" s="26"/>
      <c r="D156" s="20">
        <f>157449592-13000000-2000000</f>
        <v>142449592</v>
      </c>
      <c r="E156" s="26"/>
      <c r="F156" s="26"/>
      <c r="G156" s="26"/>
      <c r="H156" s="19">
        <f t="shared" ref="H156:H161" si="32">+B156+C156+D156+G156+E156+F156</f>
        <v>142449592</v>
      </c>
      <c r="I156" s="26"/>
      <c r="J156" s="20">
        <f t="shared" ref="J156:J161" si="33">+H156+I156</f>
        <v>142449592</v>
      </c>
      <c r="K156" s="20">
        <v>134548196</v>
      </c>
      <c r="L156" s="20">
        <f t="shared" si="30"/>
        <v>-7901396</v>
      </c>
      <c r="M156" s="21">
        <f t="shared" si="31"/>
        <v>0.94453198574271802</v>
      </c>
    </row>
    <row r="157" spans="1:13" s="41" customFormat="1" ht="15" hidden="1" outlineLevel="2" x14ac:dyDescent="0.25">
      <c r="A157" s="42" t="s">
        <v>161</v>
      </c>
      <c r="B157" s="26"/>
      <c r="C157" s="26"/>
      <c r="D157" s="20">
        <f>10272882-10272882</f>
        <v>0</v>
      </c>
      <c r="E157" s="26"/>
      <c r="F157" s="26"/>
      <c r="G157" s="26"/>
      <c r="H157" s="19">
        <f t="shared" si="32"/>
        <v>0</v>
      </c>
      <c r="I157" s="26"/>
      <c r="J157" s="20">
        <f t="shared" si="33"/>
        <v>0</v>
      </c>
      <c r="K157" s="20">
        <v>0</v>
      </c>
      <c r="L157" s="20">
        <f t="shared" si="30"/>
        <v>0</v>
      </c>
      <c r="M157" s="21">
        <v>0</v>
      </c>
    </row>
    <row r="158" spans="1:13" s="41" customFormat="1" ht="15" hidden="1" outlineLevel="2" x14ac:dyDescent="0.25">
      <c r="A158" s="42" t="s">
        <v>162</v>
      </c>
      <c r="B158" s="26"/>
      <c r="C158" s="26"/>
      <c r="D158" s="20">
        <v>12330707</v>
      </c>
      <c r="E158" s="26"/>
      <c r="F158" s="26"/>
      <c r="G158" s="26"/>
      <c r="H158" s="19">
        <f t="shared" si="32"/>
        <v>12330707</v>
      </c>
      <c r="I158" s="26"/>
      <c r="J158" s="20">
        <f t="shared" si="33"/>
        <v>12330707</v>
      </c>
      <c r="K158" s="20">
        <v>10911775</v>
      </c>
      <c r="L158" s="20">
        <f t="shared" si="30"/>
        <v>-1418932</v>
      </c>
      <c r="M158" s="21">
        <f t="shared" si="31"/>
        <v>0.88492695512106478</v>
      </c>
    </row>
    <row r="159" spans="1:13" s="41" customFormat="1" ht="15" hidden="1" outlineLevel="2" x14ac:dyDescent="0.25">
      <c r="A159" s="42" t="s">
        <v>163</v>
      </c>
      <c r="B159" s="26"/>
      <c r="C159" s="26"/>
      <c r="D159" s="20">
        <f>39242405+20782426+13000000+10272882</f>
        <v>83297713</v>
      </c>
      <c r="E159" s="26"/>
      <c r="F159" s="26"/>
      <c r="G159" s="26"/>
      <c r="H159" s="19">
        <f t="shared" si="32"/>
        <v>83297713</v>
      </c>
      <c r="I159" s="26"/>
      <c r="J159" s="20">
        <f t="shared" si="33"/>
        <v>83297713</v>
      </c>
      <c r="K159" s="20">
        <v>69757218</v>
      </c>
      <c r="L159" s="20">
        <f t="shared" si="30"/>
        <v>-13540495</v>
      </c>
      <c r="M159" s="21">
        <f t="shared" si="31"/>
        <v>0.83744457665962568</v>
      </c>
    </row>
    <row r="160" spans="1:13" s="41" customFormat="1" ht="15" hidden="1" outlineLevel="2" x14ac:dyDescent="0.25">
      <c r="A160" s="42" t="s">
        <v>164</v>
      </c>
      <c r="B160" s="26"/>
      <c r="C160" s="26"/>
      <c r="D160" s="20">
        <f>20782426-20782426+2000000</f>
        <v>2000000</v>
      </c>
      <c r="E160" s="26"/>
      <c r="F160" s="26"/>
      <c r="G160" s="26"/>
      <c r="H160" s="19">
        <f t="shared" si="32"/>
        <v>2000000</v>
      </c>
      <c r="I160" s="26"/>
      <c r="J160" s="20">
        <f t="shared" si="33"/>
        <v>2000000</v>
      </c>
      <c r="K160" s="20">
        <v>940000</v>
      </c>
      <c r="L160" s="20">
        <f t="shared" si="30"/>
        <v>-1060000</v>
      </c>
      <c r="M160" s="21">
        <f t="shared" si="31"/>
        <v>0.47</v>
      </c>
    </row>
    <row r="161" spans="1:13" s="41" customFormat="1" ht="15" hidden="1" outlineLevel="2" x14ac:dyDescent="0.25">
      <c r="A161" s="42" t="s">
        <v>165</v>
      </c>
      <c r="B161" s="26"/>
      <c r="C161" s="26"/>
      <c r="D161" s="20">
        <v>45182977</v>
      </c>
      <c r="E161" s="26"/>
      <c r="F161" s="26"/>
      <c r="G161" s="26"/>
      <c r="H161" s="19">
        <f t="shared" si="32"/>
        <v>45182977</v>
      </c>
      <c r="I161" s="26"/>
      <c r="J161" s="20">
        <f t="shared" si="33"/>
        <v>45182977</v>
      </c>
      <c r="K161" s="20">
        <v>32072496</v>
      </c>
      <c r="L161" s="20">
        <f t="shared" si="30"/>
        <v>-13110481</v>
      </c>
      <c r="M161" s="21">
        <f t="shared" si="31"/>
        <v>0.70983583042790654</v>
      </c>
    </row>
    <row r="162" spans="1:13" s="41" customFormat="1" ht="15" hidden="1" outlineLevel="2" x14ac:dyDescent="0.25">
      <c r="A162" s="42" t="s">
        <v>166</v>
      </c>
      <c r="B162" s="26"/>
      <c r="C162" s="26"/>
      <c r="D162" s="20">
        <v>38000000</v>
      </c>
      <c r="E162" s="26"/>
      <c r="F162" s="26"/>
      <c r="G162" s="26"/>
      <c r="H162" s="19">
        <f>+B162+C162+D162+G162+E162+F162</f>
        <v>38000000</v>
      </c>
      <c r="I162" s="26"/>
      <c r="J162" s="20">
        <f>+H162+I162</f>
        <v>38000000</v>
      </c>
      <c r="K162" s="20">
        <v>36185877</v>
      </c>
      <c r="L162" s="20">
        <f t="shared" si="30"/>
        <v>-1814123</v>
      </c>
      <c r="M162" s="21">
        <f t="shared" si="31"/>
        <v>0.95225992105263157</v>
      </c>
    </row>
    <row r="163" spans="1:13" s="41" customFormat="1" ht="15" hidden="1" outlineLevel="1" x14ac:dyDescent="0.25">
      <c r="A163" s="43" t="s">
        <v>167</v>
      </c>
      <c r="B163" s="26"/>
      <c r="C163" s="26"/>
      <c r="D163" s="26">
        <f>SUM(D164:D167)</f>
        <v>130384143</v>
      </c>
      <c r="E163" s="26"/>
      <c r="F163" s="26"/>
      <c r="G163" s="26"/>
      <c r="H163" s="26">
        <f>SUM(H164:H167)</f>
        <v>130384143</v>
      </c>
      <c r="I163" s="26"/>
      <c r="J163" s="26">
        <f>SUM(J164:J167)</f>
        <v>130384143</v>
      </c>
      <c r="K163" s="26">
        <f>SUM(K164:K167)</f>
        <v>120677318</v>
      </c>
      <c r="L163" s="26">
        <f t="shared" si="30"/>
        <v>-9706825</v>
      </c>
      <c r="M163" s="17">
        <f t="shared" si="31"/>
        <v>0.92555210490588569</v>
      </c>
    </row>
    <row r="164" spans="1:13" s="41" customFormat="1" ht="15" hidden="1" outlineLevel="2" x14ac:dyDescent="0.25">
      <c r="A164" s="42" t="s">
        <v>168</v>
      </c>
      <c r="B164" s="26"/>
      <c r="C164" s="26"/>
      <c r="D164" s="20">
        <v>31234263</v>
      </c>
      <c r="E164" s="26"/>
      <c r="F164" s="26"/>
      <c r="G164" s="26"/>
      <c r="H164" s="19">
        <f>+B164+C164+D164+G164+E164+F164</f>
        <v>31234263</v>
      </c>
      <c r="I164" s="26"/>
      <c r="J164" s="20">
        <f>+H164+I164</f>
        <v>31234263</v>
      </c>
      <c r="K164" s="20">
        <v>29516882</v>
      </c>
      <c r="L164" s="20">
        <f t="shared" si="30"/>
        <v>-1717381</v>
      </c>
      <c r="M164" s="21">
        <f t="shared" si="31"/>
        <v>0.94501611899726912</v>
      </c>
    </row>
    <row r="165" spans="1:13" s="41" customFormat="1" ht="15" hidden="1" outlineLevel="2" x14ac:dyDescent="0.25">
      <c r="A165" s="42" t="s">
        <v>169</v>
      </c>
      <c r="B165" s="26"/>
      <c r="C165" s="26"/>
      <c r="D165" s="20">
        <f>24356571-2600000</f>
        <v>21756571</v>
      </c>
      <c r="E165" s="26"/>
      <c r="F165" s="26"/>
      <c r="G165" s="26"/>
      <c r="H165" s="19">
        <f>+B165+C165+D165+G165+E165+F165</f>
        <v>21756571</v>
      </c>
      <c r="I165" s="26"/>
      <c r="J165" s="20">
        <f>+H165+I165</f>
        <v>21756571</v>
      </c>
      <c r="K165" s="20">
        <v>21695806</v>
      </c>
      <c r="L165" s="20">
        <f t="shared" si="30"/>
        <v>-60765</v>
      </c>
      <c r="M165" s="21">
        <f t="shared" si="31"/>
        <v>0.99720705068827253</v>
      </c>
    </row>
    <row r="166" spans="1:13" s="41" customFormat="1" ht="15" hidden="1" outlineLevel="2" x14ac:dyDescent="0.25">
      <c r="A166" s="42" t="s">
        <v>170</v>
      </c>
      <c r="B166" s="26"/>
      <c r="C166" s="26"/>
      <c r="D166" s="20">
        <f>10925823+2600000</f>
        <v>13525823</v>
      </c>
      <c r="E166" s="26"/>
      <c r="F166" s="26"/>
      <c r="G166" s="26"/>
      <c r="H166" s="19">
        <f>+B166+C166+D166+G166+E166+F166</f>
        <v>13525823</v>
      </c>
      <c r="I166" s="26"/>
      <c r="J166" s="20">
        <f>+H166+I166</f>
        <v>13525823</v>
      </c>
      <c r="K166" s="20">
        <v>13510280</v>
      </c>
      <c r="L166" s="20">
        <f t="shared" si="30"/>
        <v>-15543</v>
      </c>
      <c r="M166" s="21">
        <f t="shared" si="31"/>
        <v>0.99885086474959783</v>
      </c>
    </row>
    <row r="167" spans="1:13" s="41" customFormat="1" ht="15" hidden="1" outlineLevel="2" x14ac:dyDescent="0.25">
      <c r="A167" s="42" t="s">
        <v>171</v>
      </c>
      <c r="B167" s="26"/>
      <c r="C167" s="26"/>
      <c r="D167" s="20">
        <v>63867486</v>
      </c>
      <c r="E167" s="26"/>
      <c r="F167" s="26"/>
      <c r="G167" s="26"/>
      <c r="H167" s="19">
        <f>+B167+C167+D167+G167+E167+F167</f>
        <v>63867486</v>
      </c>
      <c r="I167" s="26"/>
      <c r="J167" s="20">
        <f>+H167+I167</f>
        <v>63867486</v>
      </c>
      <c r="K167" s="20">
        <v>55954350</v>
      </c>
      <c r="L167" s="20">
        <f t="shared" si="30"/>
        <v>-7913136</v>
      </c>
      <c r="M167" s="21">
        <f t="shared" si="31"/>
        <v>0.87610071265369671</v>
      </c>
    </row>
    <row r="168" spans="1:13" s="41" customFormat="1" ht="15" collapsed="1" x14ac:dyDescent="0.25">
      <c r="A168" s="43" t="s">
        <v>172</v>
      </c>
      <c r="B168" s="26"/>
      <c r="C168" s="26"/>
      <c r="D168" s="26">
        <f>+D169+D176+D181+D182</f>
        <v>202519035.88749999</v>
      </c>
      <c r="E168" s="26"/>
      <c r="F168" s="26"/>
      <c r="G168" s="26"/>
      <c r="H168" s="26">
        <f>+H169+H176+H181+H182</f>
        <v>202519035.88749999</v>
      </c>
      <c r="I168" s="26"/>
      <c r="J168" s="26">
        <f>+J169+J176+J181+J182</f>
        <v>202519035.88749999</v>
      </c>
      <c r="K168" s="26">
        <f>+K169+K176+K181+K182</f>
        <v>195587835</v>
      </c>
      <c r="L168" s="26">
        <f t="shared" si="30"/>
        <v>-6931200.8874999881</v>
      </c>
      <c r="M168" s="17">
        <f t="shared" si="31"/>
        <v>0.96577506476304631</v>
      </c>
    </row>
    <row r="169" spans="1:13" s="41" customFormat="1" ht="15" hidden="1" outlineLevel="1" x14ac:dyDescent="0.25">
      <c r="A169" s="43" t="s">
        <v>173</v>
      </c>
      <c r="B169" s="26"/>
      <c r="C169" s="26"/>
      <c r="D169" s="26">
        <f>SUM(D170:D175)</f>
        <v>83838679.522500008</v>
      </c>
      <c r="E169" s="26"/>
      <c r="F169" s="26"/>
      <c r="G169" s="26"/>
      <c r="H169" s="26">
        <f>SUM(H170:H175)</f>
        <v>83838679.522500008</v>
      </c>
      <c r="I169" s="26"/>
      <c r="J169" s="26">
        <f>SUM(J170:J175)</f>
        <v>83838679.522500008</v>
      </c>
      <c r="K169" s="26">
        <f>SUM(K170:K175)</f>
        <v>78495035</v>
      </c>
      <c r="L169" s="26">
        <f t="shared" si="30"/>
        <v>-5343644.5225000083</v>
      </c>
      <c r="M169" s="17">
        <f t="shared" si="31"/>
        <v>0.93626277807648528</v>
      </c>
    </row>
    <row r="170" spans="1:13" s="41" customFormat="1" ht="15" hidden="1" outlineLevel="2" x14ac:dyDescent="0.25">
      <c r="A170" s="42" t="s">
        <v>174</v>
      </c>
      <c r="B170" s="26"/>
      <c r="C170" s="26"/>
      <c r="D170" s="19">
        <f>2338814.425+2160000</f>
        <v>4498814.4249999998</v>
      </c>
      <c r="E170" s="26"/>
      <c r="F170" s="26"/>
      <c r="G170" s="26"/>
      <c r="H170" s="19">
        <f t="shared" ref="H170:H175" si="34">+B170+C170+D170+G170+E170+F170</f>
        <v>4498814.4249999998</v>
      </c>
      <c r="I170" s="26"/>
      <c r="J170" s="20">
        <f t="shared" ref="J170:J175" si="35">+H170+I170</f>
        <v>4498814.4249999998</v>
      </c>
      <c r="K170" s="20">
        <v>4421175</v>
      </c>
      <c r="L170" s="20">
        <f t="shared" si="30"/>
        <v>-77639.424999999814</v>
      </c>
      <c r="M170" s="21">
        <f t="shared" si="31"/>
        <v>0.98274224769784768</v>
      </c>
    </row>
    <row r="171" spans="1:13" s="41" customFormat="1" ht="15" hidden="1" outlineLevel="2" x14ac:dyDescent="0.25">
      <c r="A171" s="42" t="s">
        <v>175</v>
      </c>
      <c r="B171" s="26"/>
      <c r="C171" s="26"/>
      <c r="D171" s="19">
        <v>5789848.8475000001</v>
      </c>
      <c r="E171" s="26"/>
      <c r="F171" s="26"/>
      <c r="G171" s="26"/>
      <c r="H171" s="19">
        <f t="shared" si="34"/>
        <v>5789848.8475000001</v>
      </c>
      <c r="I171" s="26"/>
      <c r="J171" s="20">
        <f t="shared" si="35"/>
        <v>5789848.8475000001</v>
      </c>
      <c r="K171" s="20">
        <v>5785010</v>
      </c>
      <c r="L171" s="20">
        <f t="shared" si="30"/>
        <v>-4838.847500000149</v>
      </c>
      <c r="M171" s="21">
        <f t="shared" si="31"/>
        <v>0.99916425322535152</v>
      </c>
    </row>
    <row r="172" spans="1:13" s="41" customFormat="1" ht="15" hidden="1" outlineLevel="2" x14ac:dyDescent="0.25">
      <c r="A172" s="42" t="s">
        <v>176</v>
      </c>
      <c r="B172" s="26"/>
      <c r="C172" s="26"/>
      <c r="D172" s="19">
        <f>6938876.25-2160000</f>
        <v>4778876.25</v>
      </c>
      <c r="E172" s="26"/>
      <c r="F172" s="26"/>
      <c r="G172" s="26"/>
      <c r="H172" s="19">
        <f t="shared" si="34"/>
        <v>4778876.25</v>
      </c>
      <c r="I172" s="26"/>
      <c r="J172" s="20">
        <f t="shared" si="35"/>
        <v>4778876.25</v>
      </c>
      <c r="K172" s="20">
        <v>4730650</v>
      </c>
      <c r="L172" s="20">
        <f t="shared" si="30"/>
        <v>-48226.25</v>
      </c>
      <c r="M172" s="21">
        <f t="shared" si="31"/>
        <v>0.98990845389645732</v>
      </c>
    </row>
    <row r="173" spans="1:13" s="41" customFormat="1" ht="15" hidden="1" outlineLevel="2" x14ac:dyDescent="0.25">
      <c r="A173" s="42" t="s">
        <v>177</v>
      </c>
      <c r="B173" s="26"/>
      <c r="C173" s="26"/>
      <c r="D173" s="19">
        <f>41366652-3500000</f>
        <v>37866652</v>
      </c>
      <c r="E173" s="26"/>
      <c r="F173" s="26"/>
      <c r="G173" s="26"/>
      <c r="H173" s="19">
        <f t="shared" si="34"/>
        <v>37866652</v>
      </c>
      <c r="I173" s="26"/>
      <c r="J173" s="20">
        <f t="shared" si="35"/>
        <v>37866652</v>
      </c>
      <c r="K173" s="20">
        <v>37764700</v>
      </c>
      <c r="L173" s="20">
        <f t="shared" si="30"/>
        <v>-101952</v>
      </c>
      <c r="M173" s="21">
        <f t="shared" si="31"/>
        <v>0.99730760459097356</v>
      </c>
    </row>
    <row r="174" spans="1:13" s="41" customFormat="1" ht="15" hidden="1" outlineLevel="2" x14ac:dyDescent="0.25">
      <c r="A174" s="42" t="s">
        <v>178</v>
      </c>
      <c r="B174" s="26"/>
      <c r="C174" s="26"/>
      <c r="D174" s="19">
        <f>6204488+5300000</f>
        <v>11504488</v>
      </c>
      <c r="E174" s="26"/>
      <c r="F174" s="26"/>
      <c r="G174" s="26"/>
      <c r="H174" s="19">
        <f t="shared" si="34"/>
        <v>11504488</v>
      </c>
      <c r="I174" s="26"/>
      <c r="J174" s="20">
        <f t="shared" si="35"/>
        <v>11504488</v>
      </c>
      <c r="K174" s="20">
        <v>6730000</v>
      </c>
      <c r="L174" s="20">
        <f t="shared" si="30"/>
        <v>-4774488</v>
      </c>
      <c r="M174" s="21">
        <f t="shared" si="31"/>
        <v>0.5849890929522461</v>
      </c>
    </row>
    <row r="175" spans="1:13" s="41" customFormat="1" ht="15" hidden="1" outlineLevel="2" x14ac:dyDescent="0.25">
      <c r="A175" s="42" t="s">
        <v>179</v>
      </c>
      <c r="B175" s="26"/>
      <c r="C175" s="26"/>
      <c r="D175" s="19">
        <f>20000000-600000</f>
        <v>19400000</v>
      </c>
      <c r="E175" s="26"/>
      <c r="F175" s="26"/>
      <c r="G175" s="26"/>
      <c r="H175" s="19">
        <f t="shared" si="34"/>
        <v>19400000</v>
      </c>
      <c r="I175" s="26"/>
      <c r="J175" s="20">
        <f t="shared" si="35"/>
        <v>19400000</v>
      </c>
      <c r="K175" s="20">
        <v>19063500</v>
      </c>
      <c r="L175" s="20">
        <f t="shared" si="30"/>
        <v>-336500</v>
      </c>
      <c r="M175" s="21">
        <f t="shared" si="31"/>
        <v>0.98265463917525775</v>
      </c>
    </row>
    <row r="176" spans="1:13" s="41" customFormat="1" ht="15" hidden="1" outlineLevel="1" x14ac:dyDescent="0.25">
      <c r="A176" s="43" t="s">
        <v>180</v>
      </c>
      <c r="B176" s="26"/>
      <c r="C176" s="26"/>
      <c r="D176" s="26">
        <f>SUM(D177:D180)</f>
        <v>101547392.36499999</v>
      </c>
      <c r="E176" s="26"/>
      <c r="F176" s="26"/>
      <c r="G176" s="26"/>
      <c r="H176" s="26">
        <f>SUM(H177:H180)</f>
        <v>101547392.36499999</v>
      </c>
      <c r="I176" s="26"/>
      <c r="J176" s="26">
        <f>SUM(J177:J180)</f>
        <v>101547392.36499999</v>
      </c>
      <c r="K176" s="26">
        <f>SUM(K177:K180)</f>
        <v>100274419</v>
      </c>
      <c r="L176" s="26">
        <f t="shared" si="30"/>
        <v>-1272973.3649999946</v>
      </c>
      <c r="M176" s="17">
        <f t="shared" si="31"/>
        <v>0.98746424368609642</v>
      </c>
    </row>
    <row r="177" spans="1:13" s="41" customFormat="1" ht="15" hidden="1" outlineLevel="2" x14ac:dyDescent="0.25">
      <c r="A177" s="42" t="s">
        <v>181</v>
      </c>
      <c r="B177" s="26"/>
      <c r="C177" s="26"/>
      <c r="D177" s="19">
        <f>10546779.18+20550000+5250000</f>
        <v>36346779.18</v>
      </c>
      <c r="E177" s="26"/>
      <c r="F177" s="26"/>
      <c r="G177" s="26"/>
      <c r="H177" s="19">
        <f t="shared" ref="H177:H182" si="36">+B177+C177+D177+G177+E177+F177</f>
        <v>36346779.18</v>
      </c>
      <c r="I177" s="26"/>
      <c r="J177" s="20">
        <f t="shared" ref="J177:J182" si="37">+H177+I177</f>
        <v>36346779.18</v>
      </c>
      <c r="K177" s="20">
        <v>36342230</v>
      </c>
      <c r="L177" s="20">
        <f t="shared" si="30"/>
        <v>-4549.179999999702</v>
      </c>
      <c r="M177" s="21">
        <f t="shared" si="31"/>
        <v>0.99987483952904133</v>
      </c>
    </row>
    <row r="178" spans="1:13" s="41" customFormat="1" ht="15" hidden="1" outlineLevel="2" x14ac:dyDescent="0.25">
      <c r="A178" s="42" t="s">
        <v>182</v>
      </c>
      <c r="B178" s="26"/>
      <c r="C178" s="26"/>
      <c r="D178" s="19">
        <f>28238626.935+2100000</f>
        <v>30338626.934999999</v>
      </c>
      <c r="E178" s="26"/>
      <c r="F178" s="26"/>
      <c r="G178" s="26"/>
      <c r="H178" s="19">
        <f t="shared" si="36"/>
        <v>30338626.934999999</v>
      </c>
      <c r="I178" s="26"/>
      <c r="J178" s="20">
        <f t="shared" si="37"/>
        <v>30338626.934999999</v>
      </c>
      <c r="K178" s="20">
        <v>30244547</v>
      </c>
      <c r="L178" s="20">
        <f t="shared" si="30"/>
        <v>-94079.934999998659</v>
      </c>
      <c r="M178" s="21">
        <f t="shared" si="31"/>
        <v>0.99689900484944283</v>
      </c>
    </row>
    <row r="179" spans="1:13" s="41" customFormat="1" ht="15" hidden="1" outlineLevel="2" x14ac:dyDescent="0.25">
      <c r="A179" s="42" t="s">
        <v>183</v>
      </c>
      <c r="B179" s="26"/>
      <c r="C179" s="26"/>
      <c r="D179" s="19">
        <v>32861986.25</v>
      </c>
      <c r="E179" s="26"/>
      <c r="F179" s="26"/>
      <c r="G179" s="26"/>
      <c r="H179" s="19">
        <f t="shared" si="36"/>
        <v>32861986.25</v>
      </c>
      <c r="I179" s="26"/>
      <c r="J179" s="20">
        <f t="shared" si="37"/>
        <v>32861986.25</v>
      </c>
      <c r="K179" s="20">
        <v>32854576</v>
      </c>
      <c r="L179" s="20">
        <f t="shared" si="30"/>
        <v>-7410.25</v>
      </c>
      <c r="M179" s="21">
        <f t="shared" si="31"/>
        <v>0.99977450389201594</v>
      </c>
    </row>
    <row r="180" spans="1:13" s="41" customFormat="1" ht="15" hidden="1" outlineLevel="2" x14ac:dyDescent="0.25">
      <c r="A180" s="42" t="s">
        <v>184</v>
      </c>
      <c r="B180" s="26"/>
      <c r="C180" s="26"/>
      <c r="D180" s="19">
        <f>25000000-15000000-8000000</f>
        <v>2000000</v>
      </c>
      <c r="E180" s="26"/>
      <c r="F180" s="26"/>
      <c r="G180" s="26"/>
      <c r="H180" s="19">
        <f t="shared" si="36"/>
        <v>2000000</v>
      </c>
      <c r="I180" s="26"/>
      <c r="J180" s="20">
        <f t="shared" si="37"/>
        <v>2000000</v>
      </c>
      <c r="K180" s="20">
        <v>833066</v>
      </c>
      <c r="L180" s="20">
        <f t="shared" si="30"/>
        <v>-1166934</v>
      </c>
      <c r="M180" s="21">
        <f t="shared" si="31"/>
        <v>0.41653299999999999</v>
      </c>
    </row>
    <row r="181" spans="1:13" s="41" customFormat="1" ht="15" hidden="1" outlineLevel="1" x14ac:dyDescent="0.25">
      <c r="A181" s="43" t="s">
        <v>185</v>
      </c>
      <c r="B181" s="26"/>
      <c r="C181" s="26"/>
      <c r="D181" s="26">
        <f>6099154-2800000</f>
        <v>3299154</v>
      </c>
      <c r="E181" s="26"/>
      <c r="F181" s="26"/>
      <c r="G181" s="26"/>
      <c r="H181" s="16">
        <f t="shared" si="36"/>
        <v>3299154</v>
      </c>
      <c r="I181" s="16"/>
      <c r="J181" s="16">
        <f t="shared" si="37"/>
        <v>3299154</v>
      </c>
      <c r="K181" s="16">
        <v>3111120</v>
      </c>
      <c r="L181" s="16">
        <f t="shared" si="30"/>
        <v>-188034</v>
      </c>
      <c r="M181" s="17">
        <f t="shared" si="31"/>
        <v>0.94300538865418226</v>
      </c>
    </row>
    <row r="182" spans="1:13" s="41" customFormat="1" ht="15" hidden="1" outlineLevel="1" x14ac:dyDescent="0.25">
      <c r="A182" s="43" t="s">
        <v>186</v>
      </c>
      <c r="B182" s="26"/>
      <c r="C182" s="26"/>
      <c r="D182" s="26">
        <f>17133810-1200000-2100000</f>
        <v>13833810</v>
      </c>
      <c r="E182" s="26"/>
      <c r="F182" s="26"/>
      <c r="G182" s="26"/>
      <c r="H182" s="16">
        <f t="shared" si="36"/>
        <v>13833810</v>
      </c>
      <c r="I182" s="16"/>
      <c r="J182" s="16">
        <f t="shared" si="37"/>
        <v>13833810</v>
      </c>
      <c r="K182" s="16">
        <v>13707261</v>
      </c>
      <c r="L182" s="16">
        <f t="shared" si="30"/>
        <v>-126549</v>
      </c>
      <c r="M182" s="17">
        <f t="shared" si="31"/>
        <v>0.99085219473160324</v>
      </c>
    </row>
    <row r="183" spans="1:13" s="41" customFormat="1" ht="15" collapsed="1" x14ac:dyDescent="0.25">
      <c r="A183" s="42"/>
      <c r="B183" s="26"/>
      <c r="C183" s="26"/>
      <c r="D183" s="26"/>
      <c r="E183" s="26"/>
      <c r="F183" s="26"/>
      <c r="G183" s="26"/>
      <c r="H183" s="19"/>
      <c r="I183" s="26"/>
      <c r="J183" s="20"/>
      <c r="K183" s="20"/>
      <c r="L183" s="20"/>
      <c r="M183" s="21"/>
    </row>
    <row r="184" spans="1:13" s="41" customFormat="1" ht="15" x14ac:dyDescent="0.25">
      <c r="A184" s="43" t="s">
        <v>187</v>
      </c>
      <c r="B184" s="26"/>
      <c r="C184" s="26"/>
      <c r="D184" s="26"/>
      <c r="E184" s="16">
        <f>+E185</f>
        <v>394992569</v>
      </c>
      <c r="F184" s="16"/>
      <c r="G184" s="16"/>
      <c r="H184" s="16">
        <f>+H185</f>
        <v>394992569</v>
      </c>
      <c r="I184" s="16"/>
      <c r="J184" s="16">
        <f>+H184+I184</f>
        <v>394992569</v>
      </c>
      <c r="K184" s="16">
        <f>+K185</f>
        <v>336673299</v>
      </c>
      <c r="L184" s="16">
        <f t="shared" ref="L184:L190" si="38">+K184-J184</f>
        <v>-58319270</v>
      </c>
      <c r="M184" s="17">
        <f t="shared" ref="M184:M190" si="39">+K184/J184</f>
        <v>0.85235350085788575</v>
      </c>
    </row>
    <row r="185" spans="1:13" s="41" customFormat="1" ht="15" x14ac:dyDescent="0.25">
      <c r="A185" s="43" t="s">
        <v>188</v>
      </c>
      <c r="B185" s="26"/>
      <c r="C185" s="26"/>
      <c r="D185" s="26"/>
      <c r="E185" s="26">
        <f>SUM(E186:E190)</f>
        <v>394992569</v>
      </c>
      <c r="F185" s="26"/>
      <c r="G185" s="26"/>
      <c r="H185" s="26">
        <f>SUM(H186:H190)</f>
        <v>394992569</v>
      </c>
      <c r="I185" s="26">
        <f>SUM(I186:I190)</f>
        <v>0</v>
      </c>
      <c r="J185" s="26">
        <f>SUM(J186:J190)</f>
        <v>394992569</v>
      </c>
      <c r="K185" s="26">
        <f>SUM(K186:K190)</f>
        <v>336673299</v>
      </c>
      <c r="L185" s="26">
        <f t="shared" si="38"/>
        <v>-58319270</v>
      </c>
      <c r="M185" s="17">
        <f t="shared" si="39"/>
        <v>0.85235350085788575</v>
      </c>
    </row>
    <row r="186" spans="1:13" s="41" customFormat="1" ht="15" hidden="1" outlineLevel="1" x14ac:dyDescent="0.25">
      <c r="A186" s="42" t="s">
        <v>189</v>
      </c>
      <c r="B186" s="26"/>
      <c r="C186" s="26"/>
      <c r="D186" s="26"/>
      <c r="E186" s="20">
        <v>14566497</v>
      </c>
      <c r="F186" s="26"/>
      <c r="G186" s="26"/>
      <c r="H186" s="19">
        <f>+B186+C186+D186+G186+E186+F186</f>
        <v>14566497</v>
      </c>
      <c r="I186" s="26"/>
      <c r="J186" s="20">
        <f>+H186+I186</f>
        <v>14566497</v>
      </c>
      <c r="K186" s="20">
        <v>4912960</v>
      </c>
      <c r="L186" s="20">
        <f t="shared" si="38"/>
        <v>-9653537</v>
      </c>
      <c r="M186" s="21">
        <f t="shared" si="39"/>
        <v>0.33727807035555629</v>
      </c>
    </row>
    <row r="187" spans="1:13" s="41" customFormat="1" ht="15" hidden="1" outlineLevel="1" x14ac:dyDescent="0.25">
      <c r="A187" s="42" t="s">
        <v>190</v>
      </c>
      <c r="B187" s="26"/>
      <c r="C187" s="26"/>
      <c r="D187" s="26"/>
      <c r="E187" s="20">
        <v>160683074</v>
      </c>
      <c r="F187" s="26"/>
      <c r="G187" s="26"/>
      <c r="H187" s="19">
        <f>+B187+C187+D187+G187+E187+F187</f>
        <v>160683074</v>
      </c>
      <c r="I187" s="26"/>
      <c r="J187" s="20">
        <f>+H187+I187</f>
        <v>160683074</v>
      </c>
      <c r="K187" s="20">
        <v>147992781</v>
      </c>
      <c r="L187" s="20">
        <f t="shared" si="38"/>
        <v>-12690293</v>
      </c>
      <c r="M187" s="21">
        <f t="shared" si="39"/>
        <v>0.92102283903281557</v>
      </c>
    </row>
    <row r="188" spans="1:13" s="41" customFormat="1" ht="15" hidden="1" outlineLevel="1" x14ac:dyDescent="0.25">
      <c r="A188" s="42" t="s">
        <v>191</v>
      </c>
      <c r="B188" s="26"/>
      <c r="C188" s="26"/>
      <c r="D188" s="26"/>
      <c r="E188" s="20">
        <v>942998</v>
      </c>
      <c r="F188" s="26"/>
      <c r="G188" s="26"/>
      <c r="H188" s="19">
        <f>+B188+C188+D188+G188+E188+F188</f>
        <v>942998</v>
      </c>
      <c r="I188" s="26"/>
      <c r="J188" s="20">
        <f>+H188+I188</f>
        <v>942998</v>
      </c>
      <c r="K188" s="20">
        <v>0</v>
      </c>
      <c r="L188" s="20">
        <f t="shared" si="38"/>
        <v>-942998</v>
      </c>
      <c r="M188" s="21">
        <f t="shared" si="39"/>
        <v>0</v>
      </c>
    </row>
    <row r="189" spans="1:13" s="41" customFormat="1" ht="15" hidden="1" outlineLevel="1" x14ac:dyDescent="0.25">
      <c r="A189" s="42" t="s">
        <v>192</v>
      </c>
      <c r="B189" s="26"/>
      <c r="C189" s="26"/>
      <c r="D189" s="26"/>
      <c r="E189" s="20">
        <v>35000000</v>
      </c>
      <c r="F189" s="26"/>
      <c r="G189" s="26"/>
      <c r="H189" s="19">
        <f>+B189+C189+D189+G189+E189+F189</f>
        <v>35000000</v>
      </c>
      <c r="I189" s="26"/>
      <c r="J189" s="20">
        <f>+H189+I189</f>
        <v>35000000</v>
      </c>
      <c r="K189" s="20">
        <v>0</v>
      </c>
      <c r="L189" s="20">
        <f t="shared" si="38"/>
        <v>-35000000</v>
      </c>
      <c r="M189" s="21">
        <f t="shared" si="39"/>
        <v>0</v>
      </c>
    </row>
    <row r="190" spans="1:13" s="41" customFormat="1" ht="15" hidden="1" outlineLevel="1" x14ac:dyDescent="0.25">
      <c r="A190" s="42" t="s">
        <v>193</v>
      </c>
      <c r="B190" s="26"/>
      <c r="C190" s="26"/>
      <c r="D190" s="26"/>
      <c r="E190" s="20">
        <v>183800000</v>
      </c>
      <c r="F190" s="26"/>
      <c r="G190" s="26"/>
      <c r="H190" s="19">
        <f>+B190+C190+D190+G190+E190+F190</f>
        <v>183800000</v>
      </c>
      <c r="I190" s="26"/>
      <c r="J190" s="20">
        <f>+H190+I190</f>
        <v>183800000</v>
      </c>
      <c r="K190" s="20">
        <v>183767558</v>
      </c>
      <c r="L190" s="20">
        <f t="shared" si="38"/>
        <v>-32442</v>
      </c>
      <c r="M190" s="21">
        <f t="shared" si="39"/>
        <v>0.99982349292709471</v>
      </c>
    </row>
    <row r="191" spans="1:13" s="41" customFormat="1" ht="15" collapsed="1" x14ac:dyDescent="0.25">
      <c r="A191" s="42"/>
      <c r="B191" s="19"/>
      <c r="C191" s="26"/>
      <c r="D191" s="26"/>
      <c r="E191" s="26"/>
      <c r="F191" s="26"/>
      <c r="G191" s="26"/>
      <c r="H191" s="19"/>
      <c r="I191" s="26"/>
      <c r="J191" s="20"/>
      <c r="K191" s="20"/>
      <c r="L191" s="20"/>
      <c r="M191" s="21"/>
    </row>
    <row r="192" spans="1:13" ht="15" x14ac:dyDescent="0.25">
      <c r="A192" s="40" t="s">
        <v>194</v>
      </c>
      <c r="B192" s="19"/>
      <c r="C192" s="19"/>
      <c r="D192" s="19"/>
      <c r="E192" s="19"/>
      <c r="F192" s="19"/>
      <c r="G192" s="19"/>
      <c r="H192" s="19"/>
      <c r="I192" s="26">
        <f>+I193+I194</f>
        <v>912441838.06877947</v>
      </c>
      <c r="J192" s="26">
        <f>+I192+H192</f>
        <v>912441838.06877947</v>
      </c>
      <c r="K192" s="26">
        <f>+K193+K194</f>
        <v>892936819</v>
      </c>
      <c r="L192" s="26">
        <f>+K192-J192</f>
        <v>-19505019.068779469</v>
      </c>
      <c r="M192" s="17">
        <f>+K192/J192</f>
        <v>0.97862327410362659</v>
      </c>
    </row>
    <row r="193" spans="1:18" ht="14.25" hidden="1" outlineLevel="1" x14ac:dyDescent="0.2">
      <c r="A193" s="47" t="s">
        <v>195</v>
      </c>
      <c r="B193" s="19"/>
      <c r="C193" s="19"/>
      <c r="D193" s="19"/>
      <c r="E193" s="19"/>
      <c r="F193" s="19"/>
      <c r="G193" s="19"/>
      <c r="H193" s="19"/>
      <c r="I193" s="20">
        <v>570276148.05548716</v>
      </c>
      <c r="J193" s="20">
        <f>+I193+H193</f>
        <v>570276148.05548716</v>
      </c>
      <c r="K193" s="20">
        <v>558085513</v>
      </c>
      <c r="L193" s="20">
        <f>+K193-J193</f>
        <v>-12190635.055487156</v>
      </c>
      <c r="M193" s="21">
        <f>+K193/J193</f>
        <v>0.9786232773419431</v>
      </c>
    </row>
    <row r="194" spans="1:18" ht="14.25" hidden="1" outlineLevel="1" x14ac:dyDescent="0.2">
      <c r="A194" s="47" t="s">
        <v>196</v>
      </c>
      <c r="B194" s="19"/>
      <c r="C194" s="19"/>
      <c r="D194" s="19"/>
      <c r="E194" s="19"/>
      <c r="F194" s="19"/>
      <c r="G194" s="19"/>
      <c r="H194" s="19"/>
      <c r="I194" s="20">
        <v>342165690.01329231</v>
      </c>
      <c r="J194" s="20">
        <f>+I194+H194</f>
        <v>342165690.01329231</v>
      </c>
      <c r="K194" s="20">
        <v>334851306</v>
      </c>
      <c r="L194" s="20">
        <f>+K194-J194</f>
        <v>-7314384.0132923126</v>
      </c>
      <c r="M194" s="21">
        <f>+K194/J194</f>
        <v>0.97862326870643235</v>
      </c>
    </row>
    <row r="195" spans="1:18" ht="15" collapsed="1" x14ac:dyDescent="0.25">
      <c r="A195" s="25"/>
      <c r="B195" s="19"/>
      <c r="C195" s="19"/>
      <c r="D195" s="19"/>
      <c r="E195" s="19"/>
      <c r="F195" s="19"/>
      <c r="G195" s="19"/>
      <c r="H195" s="19"/>
      <c r="I195" s="19"/>
      <c r="J195" s="19"/>
      <c r="K195" s="19"/>
      <c r="L195" s="19"/>
      <c r="M195" s="17"/>
    </row>
    <row r="196" spans="1:18" ht="15" x14ac:dyDescent="0.25">
      <c r="A196" s="48" t="s">
        <v>197</v>
      </c>
      <c r="B196" s="16"/>
      <c r="C196" s="16"/>
      <c r="D196" s="16"/>
      <c r="E196" s="16"/>
      <c r="F196" s="16"/>
      <c r="G196" s="16">
        <v>0</v>
      </c>
      <c r="H196" s="16">
        <f>+B196+C196+D196+G196+F196</f>
        <v>0</v>
      </c>
      <c r="I196" s="16"/>
      <c r="J196" s="49">
        <f>+I196+H196</f>
        <v>0</v>
      </c>
      <c r="K196" s="49">
        <f>+J196+I196</f>
        <v>0</v>
      </c>
      <c r="L196" s="49">
        <f>+K196-J196</f>
        <v>0</v>
      </c>
      <c r="M196" s="17">
        <f>+J196/$J$202</f>
        <v>0</v>
      </c>
    </row>
    <row r="197" spans="1:18" ht="15" x14ac:dyDescent="0.25">
      <c r="A197" s="25"/>
      <c r="B197" s="19"/>
      <c r="C197" s="19"/>
      <c r="D197" s="19"/>
      <c r="E197" s="19"/>
      <c r="F197" s="19"/>
      <c r="G197" s="19"/>
      <c r="H197" s="19"/>
      <c r="I197" s="19"/>
      <c r="J197" s="19"/>
      <c r="K197" s="19"/>
      <c r="L197" s="19"/>
      <c r="M197" s="17"/>
    </row>
    <row r="198" spans="1:18" ht="15" x14ac:dyDescent="0.25">
      <c r="A198" s="40" t="s">
        <v>198</v>
      </c>
      <c r="B198" s="19"/>
      <c r="C198" s="19"/>
      <c r="D198" s="19"/>
      <c r="E198" s="19"/>
      <c r="F198" s="19"/>
      <c r="G198" s="19"/>
      <c r="H198" s="26">
        <f>+B198+C198+G198+F198</f>
        <v>0</v>
      </c>
      <c r="I198" s="26">
        <f>+I199+I200</f>
        <v>0</v>
      </c>
      <c r="J198" s="26">
        <f t="shared" ref="J198:K200" si="40">+I198+H198</f>
        <v>0</v>
      </c>
      <c r="K198" s="26">
        <f t="shared" si="40"/>
        <v>0</v>
      </c>
      <c r="L198" s="26">
        <f>+K198-J198</f>
        <v>0</v>
      </c>
      <c r="M198" s="17">
        <f>+J198/$J$202</f>
        <v>0</v>
      </c>
    </row>
    <row r="199" spans="1:18" s="51" customFormat="1" ht="14.25" hidden="1" outlineLevel="1" x14ac:dyDescent="0.2">
      <c r="A199" s="27" t="s">
        <v>199</v>
      </c>
      <c r="B199" s="19"/>
      <c r="C199" s="19"/>
      <c r="D199" s="19"/>
      <c r="E199" s="19"/>
      <c r="F199" s="19"/>
      <c r="G199" s="19"/>
      <c r="H199" s="19">
        <f>+B199+C199+G199+F199</f>
        <v>0</v>
      </c>
      <c r="I199" s="19">
        <v>0</v>
      </c>
      <c r="J199" s="19">
        <f t="shared" si="40"/>
        <v>0</v>
      </c>
      <c r="K199" s="19">
        <f t="shared" si="40"/>
        <v>0</v>
      </c>
      <c r="L199" s="19">
        <f>+K199-J199</f>
        <v>0</v>
      </c>
      <c r="M199" s="21">
        <f>+J199/$J$202</f>
        <v>0</v>
      </c>
      <c r="N199" s="50"/>
    </row>
    <row r="200" spans="1:18" s="51" customFormat="1" ht="14.25" hidden="1" outlineLevel="1" x14ac:dyDescent="0.2">
      <c r="A200" s="27" t="s">
        <v>200</v>
      </c>
      <c r="B200" s="19"/>
      <c r="C200" s="19"/>
      <c r="D200" s="19"/>
      <c r="E200" s="19"/>
      <c r="F200" s="19"/>
      <c r="G200" s="19"/>
      <c r="H200" s="19">
        <f>+B200+C200+G200+F200</f>
        <v>0</v>
      </c>
      <c r="I200" s="19">
        <v>0</v>
      </c>
      <c r="J200" s="19">
        <f t="shared" si="40"/>
        <v>0</v>
      </c>
      <c r="K200" s="19">
        <f t="shared" si="40"/>
        <v>0</v>
      </c>
      <c r="L200" s="19">
        <f>+K200-J200</f>
        <v>0</v>
      </c>
      <c r="M200" s="21">
        <f>+J200/$J$202</f>
        <v>0</v>
      </c>
      <c r="N200" s="52"/>
    </row>
    <row r="201" spans="1:18" ht="15" collapsed="1" x14ac:dyDescent="0.25">
      <c r="A201" s="25"/>
      <c r="B201" s="19"/>
      <c r="C201" s="19"/>
      <c r="D201" s="19"/>
      <c r="E201" s="19"/>
      <c r="F201" s="19"/>
      <c r="G201" s="19"/>
      <c r="H201" s="19"/>
      <c r="I201" s="19"/>
      <c r="J201" s="19"/>
      <c r="K201" s="19"/>
      <c r="L201" s="19"/>
      <c r="M201" s="17"/>
    </row>
    <row r="202" spans="1:18" ht="15" x14ac:dyDescent="0.25">
      <c r="A202" s="25" t="s">
        <v>201</v>
      </c>
      <c r="B202" s="16">
        <f>+B39+B37</f>
        <v>1485184191.5602856</v>
      </c>
      <c r="C202" s="26">
        <f>+C37+C39</f>
        <v>700392636.39012504</v>
      </c>
      <c r="D202" s="26">
        <f>+D39+D37</f>
        <v>897615550.00018191</v>
      </c>
      <c r="E202" s="26">
        <f>+E39+E37</f>
        <v>411226030.59610635</v>
      </c>
      <c r="F202" s="26">
        <f>+F39+F37</f>
        <v>2290530957.2706747</v>
      </c>
      <c r="G202" s="26">
        <f>+G37+G39+G196</f>
        <v>5067544630.9061193</v>
      </c>
      <c r="H202" s="26">
        <f>+B202+C202+D202+G202+E202+F202</f>
        <v>10852493996.723494</v>
      </c>
      <c r="I202" s="26">
        <f>+I198+I192+I39+I37</f>
        <v>1267469305.3913314</v>
      </c>
      <c r="J202" s="26">
        <f>+I202+H202</f>
        <v>12119963302.114824</v>
      </c>
      <c r="K202" s="26">
        <f>+K198+K196+K192+K39+K37</f>
        <v>10437095023</v>
      </c>
      <c r="L202" s="26">
        <f>+K202-J202</f>
        <v>-1682868279.1148243</v>
      </c>
      <c r="M202" s="17">
        <f>+K202/J202</f>
        <v>0.86114906149747339</v>
      </c>
    </row>
    <row r="203" spans="1:18" ht="15.75" thickBot="1" x14ac:dyDescent="0.3">
      <c r="A203" s="53"/>
      <c r="B203" s="54"/>
      <c r="C203" s="55"/>
      <c r="D203" s="55"/>
      <c r="E203" s="56"/>
      <c r="F203" s="55"/>
      <c r="G203" s="56"/>
      <c r="H203" s="55"/>
      <c r="I203" s="55"/>
      <c r="J203" s="55"/>
      <c r="K203" s="55"/>
      <c r="L203" s="55"/>
      <c r="M203" s="57"/>
      <c r="N203" s="58"/>
      <c r="O203" s="58"/>
      <c r="P203" s="58"/>
      <c r="Q203" s="58"/>
      <c r="R203" s="58"/>
    </row>
    <row r="204" spans="1:18" ht="13.5" thickTop="1" x14ac:dyDescent="0.2">
      <c r="A204" s="59"/>
      <c r="B204" s="60"/>
      <c r="C204" s="60"/>
      <c r="D204" s="60"/>
      <c r="E204" s="60"/>
      <c r="F204" s="60"/>
      <c r="G204" s="61"/>
      <c r="H204" s="62"/>
      <c r="I204" s="60"/>
      <c r="J204" s="60"/>
      <c r="K204" s="60"/>
      <c r="L204" s="60"/>
      <c r="M204" s="63"/>
    </row>
    <row r="205" spans="1:18" x14ac:dyDescent="0.2">
      <c r="A205" s="59"/>
      <c r="B205" s="60"/>
      <c r="C205" s="60"/>
      <c r="D205" s="60"/>
      <c r="E205" s="60"/>
      <c r="F205" s="60"/>
      <c r="G205" s="64"/>
      <c r="H205" s="60"/>
      <c r="I205" s="60"/>
      <c r="J205" s="65"/>
      <c r="K205" s="65"/>
      <c r="L205" s="65"/>
      <c r="M205" s="66"/>
    </row>
    <row r="206" spans="1:18" ht="15.75" x14ac:dyDescent="0.25">
      <c r="A206" s="59"/>
      <c r="B206" s="62"/>
      <c r="C206" s="62"/>
      <c r="D206" s="62"/>
      <c r="E206" s="62"/>
      <c r="F206" s="62"/>
      <c r="G206" s="67"/>
      <c r="H206" s="68"/>
      <c r="I206" s="67"/>
      <c r="J206" s="69"/>
      <c r="K206" s="69"/>
      <c r="L206" s="69"/>
      <c r="M206" s="62"/>
    </row>
    <row r="207" spans="1:18" x14ac:dyDescent="0.2">
      <c r="A207" s="62"/>
      <c r="B207" s="62"/>
      <c r="C207" s="62"/>
      <c r="D207" s="62"/>
      <c r="E207" s="62"/>
      <c r="F207" s="62"/>
      <c r="G207" s="62"/>
      <c r="H207" s="62"/>
      <c r="I207" s="62"/>
      <c r="J207" s="65"/>
      <c r="K207" s="65"/>
      <c r="L207" s="65"/>
      <c r="M207" s="62"/>
    </row>
    <row r="208" spans="1:18" x14ac:dyDescent="0.2">
      <c r="A208" s="62"/>
      <c r="B208" s="62"/>
      <c r="C208" s="62"/>
      <c r="D208" s="62"/>
      <c r="E208" s="62"/>
      <c r="F208" s="62"/>
      <c r="G208" s="62"/>
      <c r="H208" s="60"/>
      <c r="I208" s="60"/>
      <c r="J208" s="62"/>
      <c r="K208" s="62"/>
      <c r="L208" s="62"/>
      <c r="M208" s="62"/>
    </row>
    <row r="209" spans="1:13" x14ac:dyDescent="0.2">
      <c r="A209" s="62"/>
      <c r="B209" s="62"/>
      <c r="C209" s="62"/>
      <c r="D209" s="62"/>
      <c r="E209" s="62"/>
      <c r="F209" s="62"/>
      <c r="G209" s="62"/>
      <c r="H209" s="62"/>
      <c r="I209" s="62"/>
      <c r="J209" s="62"/>
      <c r="K209" s="62"/>
      <c r="L209" s="62"/>
      <c r="M209" s="62"/>
    </row>
    <row r="210" spans="1:13" x14ac:dyDescent="0.2">
      <c r="A210" s="62"/>
      <c r="B210" s="62"/>
      <c r="C210" s="62"/>
      <c r="D210" s="62"/>
      <c r="E210" s="62"/>
      <c r="F210" s="62"/>
      <c r="G210" s="62"/>
      <c r="H210" s="62"/>
      <c r="I210" s="62"/>
      <c r="J210" s="62"/>
      <c r="K210" s="62"/>
      <c r="L210" s="62"/>
      <c r="M210" s="62"/>
    </row>
    <row r="211" spans="1:13" x14ac:dyDescent="0.2">
      <c r="A211" s="62"/>
      <c r="B211" s="62"/>
      <c r="C211" s="62"/>
      <c r="D211" s="62"/>
      <c r="E211" s="62"/>
      <c r="F211" s="62"/>
      <c r="G211" s="62"/>
      <c r="H211" s="62"/>
      <c r="I211" s="70"/>
      <c r="J211" s="62"/>
      <c r="K211" s="62"/>
      <c r="L211" s="62"/>
      <c r="M211" s="62"/>
    </row>
    <row r="212" spans="1:13" x14ac:dyDescent="0.2">
      <c r="A212" s="62"/>
      <c r="B212" s="62"/>
      <c r="C212" s="62"/>
      <c r="D212" s="62"/>
      <c r="E212" s="62"/>
      <c r="F212" s="62"/>
      <c r="G212" s="62"/>
      <c r="H212" s="62"/>
      <c r="I212" s="62"/>
      <c r="J212" s="62"/>
      <c r="K212" s="62"/>
      <c r="L212" s="62"/>
      <c r="M212" s="62"/>
    </row>
    <row r="213" spans="1:13" x14ac:dyDescent="0.2">
      <c r="A213" s="62"/>
      <c r="B213" s="62"/>
      <c r="C213" s="62"/>
      <c r="D213" s="62"/>
      <c r="E213" s="62"/>
      <c r="F213" s="62"/>
      <c r="G213" s="62"/>
      <c r="H213" s="62"/>
      <c r="I213" s="62"/>
      <c r="J213" s="62"/>
      <c r="K213" s="62"/>
      <c r="L213" s="62"/>
      <c r="M213" s="62"/>
    </row>
    <row r="214" spans="1:13" x14ac:dyDescent="0.2">
      <c r="A214" s="62"/>
      <c r="B214" s="62"/>
      <c r="C214" s="62"/>
      <c r="D214" s="62"/>
      <c r="E214" s="62"/>
      <c r="F214" s="62"/>
      <c r="G214" s="62"/>
      <c r="H214" s="62"/>
      <c r="I214" s="62"/>
      <c r="J214" s="62"/>
      <c r="K214" s="62"/>
      <c r="L214" s="62"/>
      <c r="M214" s="62"/>
    </row>
    <row r="215" spans="1:13" x14ac:dyDescent="0.2">
      <c r="A215" s="62"/>
      <c r="B215" s="62"/>
      <c r="C215" s="62"/>
      <c r="D215" s="62"/>
      <c r="E215" s="62"/>
      <c r="F215" s="62"/>
      <c r="G215" s="62"/>
      <c r="H215" s="62"/>
      <c r="I215" s="62"/>
      <c r="J215" s="62"/>
      <c r="K215" s="62"/>
      <c r="L215" s="62"/>
      <c r="M215" s="62"/>
    </row>
    <row r="216" spans="1:13" x14ac:dyDescent="0.2">
      <c r="A216" s="62"/>
      <c r="B216" s="62"/>
      <c r="C216" s="62"/>
      <c r="D216" s="62"/>
      <c r="E216" s="62"/>
      <c r="F216" s="62"/>
      <c r="G216" s="62"/>
      <c r="H216" s="62"/>
      <c r="I216" s="62"/>
      <c r="J216" s="62"/>
      <c r="K216" s="62"/>
      <c r="L216" s="62"/>
      <c r="M216" s="62"/>
    </row>
    <row r="217" spans="1:13" x14ac:dyDescent="0.2">
      <c r="A217" s="62"/>
      <c r="B217" s="62"/>
      <c r="C217" s="62"/>
      <c r="D217" s="62"/>
      <c r="E217" s="62"/>
      <c r="F217" s="62"/>
      <c r="G217" s="62"/>
      <c r="H217" s="62"/>
      <c r="I217" s="62"/>
      <c r="J217" s="62"/>
      <c r="K217" s="62"/>
      <c r="L217" s="62"/>
      <c r="M217" s="62"/>
    </row>
    <row r="218" spans="1:13" x14ac:dyDescent="0.2">
      <c r="A218" s="62"/>
      <c r="B218" s="62"/>
      <c r="C218" s="62"/>
      <c r="D218" s="62"/>
      <c r="E218" s="62"/>
      <c r="F218" s="62"/>
      <c r="G218" s="62"/>
      <c r="H218" s="62"/>
      <c r="I218" s="62"/>
      <c r="J218" s="62"/>
      <c r="K218" s="62"/>
      <c r="L218" s="62"/>
      <c r="M218" s="62"/>
    </row>
    <row r="219" spans="1:13" x14ac:dyDescent="0.2">
      <c r="A219" s="62"/>
      <c r="B219" s="62"/>
      <c r="C219" s="62"/>
      <c r="D219" s="62"/>
      <c r="E219" s="62"/>
      <c r="F219" s="62"/>
      <c r="G219" s="62"/>
      <c r="H219" s="62"/>
      <c r="I219" s="62"/>
      <c r="J219" s="62"/>
      <c r="K219" s="62"/>
      <c r="L219" s="62"/>
      <c r="M219" s="62"/>
    </row>
    <row r="220" spans="1:13" x14ac:dyDescent="0.2">
      <c r="A220" s="62"/>
      <c r="B220" s="62"/>
      <c r="C220" s="62"/>
      <c r="D220" s="62"/>
      <c r="E220" s="62"/>
      <c r="F220" s="62"/>
      <c r="G220" s="62"/>
      <c r="H220" s="62"/>
      <c r="I220" s="62"/>
      <c r="J220" s="62"/>
      <c r="K220" s="62"/>
      <c r="L220" s="62"/>
      <c r="M220" s="62"/>
    </row>
    <row r="221" spans="1:13" x14ac:dyDescent="0.2">
      <c r="A221" s="62"/>
      <c r="B221" s="62"/>
      <c r="C221" s="62"/>
      <c r="D221" s="62"/>
      <c r="E221" s="62"/>
      <c r="F221" s="62"/>
      <c r="G221" s="62"/>
      <c r="H221" s="62"/>
      <c r="I221" s="62"/>
      <c r="J221" s="62"/>
      <c r="K221" s="62"/>
      <c r="L221" s="62"/>
      <c r="M221" s="62"/>
    </row>
    <row r="222" spans="1:13" x14ac:dyDescent="0.2">
      <c r="A222" s="62"/>
      <c r="B222" s="62"/>
      <c r="C222" s="62"/>
      <c r="D222" s="62"/>
      <c r="E222" s="62"/>
      <c r="F222" s="62"/>
      <c r="G222" s="62"/>
      <c r="H222" s="62"/>
      <c r="I222" s="62"/>
      <c r="J222" s="62"/>
      <c r="K222" s="62"/>
      <c r="L222" s="62"/>
      <c r="M222" s="62"/>
    </row>
    <row r="223" spans="1:13" x14ac:dyDescent="0.2">
      <c r="A223" s="62"/>
      <c r="B223" s="62"/>
      <c r="C223" s="62"/>
      <c r="D223" s="62"/>
      <c r="E223" s="62"/>
      <c r="F223" s="62"/>
      <c r="G223" s="62"/>
      <c r="H223" s="62"/>
      <c r="I223" s="62"/>
      <c r="J223" s="62"/>
      <c r="K223" s="62"/>
      <c r="L223" s="62"/>
      <c r="M223" s="62"/>
    </row>
    <row r="224" spans="1:13" x14ac:dyDescent="0.2">
      <c r="A224" s="62"/>
      <c r="B224" s="62"/>
      <c r="C224" s="62"/>
      <c r="D224" s="62"/>
      <c r="E224" s="62"/>
      <c r="F224" s="62"/>
      <c r="G224" s="62"/>
      <c r="H224" s="62"/>
      <c r="I224" s="62"/>
      <c r="J224" s="62"/>
      <c r="K224" s="62"/>
      <c r="L224" s="62"/>
      <c r="M224" s="62"/>
    </row>
    <row r="225" spans="1:13" x14ac:dyDescent="0.2">
      <c r="A225" s="62"/>
      <c r="B225" s="62"/>
      <c r="C225" s="62"/>
      <c r="D225" s="62"/>
      <c r="E225" s="62"/>
      <c r="F225" s="62"/>
      <c r="G225" s="62"/>
      <c r="H225" s="62"/>
      <c r="I225" s="62"/>
      <c r="J225" s="62"/>
      <c r="K225" s="62"/>
      <c r="L225" s="62"/>
      <c r="M225" s="62"/>
    </row>
    <row r="226" spans="1:13" x14ac:dyDescent="0.2">
      <c r="A226" s="62"/>
      <c r="B226" s="62"/>
      <c r="C226" s="62"/>
      <c r="D226" s="62"/>
      <c r="E226" s="62"/>
      <c r="F226" s="62"/>
      <c r="G226" s="62"/>
      <c r="H226" s="62"/>
      <c r="I226" s="62"/>
      <c r="J226" s="62"/>
      <c r="K226" s="62"/>
      <c r="L226" s="62"/>
      <c r="M226" s="62"/>
    </row>
    <row r="227" spans="1:13" x14ac:dyDescent="0.2">
      <c r="A227" s="62"/>
      <c r="B227" s="62"/>
      <c r="C227" s="62"/>
      <c r="D227" s="62"/>
      <c r="E227" s="62"/>
      <c r="F227" s="62"/>
      <c r="G227" s="62"/>
      <c r="H227" s="62"/>
      <c r="I227" s="62"/>
      <c r="J227" s="62"/>
      <c r="K227" s="62"/>
      <c r="L227" s="62"/>
      <c r="M227" s="62"/>
    </row>
    <row r="228" spans="1:13" x14ac:dyDescent="0.2">
      <c r="A228" s="62"/>
      <c r="B228" s="62"/>
      <c r="C228" s="62"/>
      <c r="D228" s="62"/>
      <c r="E228" s="62"/>
      <c r="F228" s="62"/>
      <c r="G228" s="62"/>
      <c r="H228" s="62"/>
      <c r="I228" s="62"/>
      <c r="J228" s="62"/>
      <c r="K228" s="62"/>
      <c r="L228" s="62"/>
      <c r="M228" s="62"/>
    </row>
    <row r="229" spans="1:13" x14ac:dyDescent="0.2">
      <c r="A229" s="62"/>
      <c r="B229" s="62"/>
      <c r="C229" s="62"/>
      <c r="D229" s="62"/>
      <c r="E229" s="62"/>
      <c r="F229" s="62"/>
      <c r="G229" s="62"/>
      <c r="H229" s="62"/>
      <c r="I229" s="62"/>
      <c r="J229" s="62"/>
      <c r="K229" s="62"/>
      <c r="L229" s="62"/>
      <c r="M229" s="62"/>
    </row>
    <row r="230" spans="1:13" x14ac:dyDescent="0.2">
      <c r="A230" s="62"/>
      <c r="B230" s="62"/>
      <c r="C230" s="62"/>
      <c r="D230" s="62"/>
      <c r="E230" s="62"/>
      <c r="F230" s="62"/>
      <c r="G230" s="62"/>
      <c r="H230" s="62"/>
      <c r="I230" s="62"/>
      <c r="J230" s="62"/>
      <c r="K230" s="62"/>
      <c r="L230" s="62"/>
      <c r="M230" s="62"/>
    </row>
    <row r="231" spans="1:13" x14ac:dyDescent="0.2">
      <c r="A231" s="62"/>
      <c r="B231" s="62"/>
      <c r="C231" s="62"/>
      <c r="D231" s="62"/>
      <c r="E231" s="62"/>
      <c r="F231" s="62"/>
      <c r="G231" s="62"/>
      <c r="H231" s="62"/>
      <c r="I231" s="62"/>
      <c r="J231" s="62"/>
      <c r="K231" s="62"/>
      <c r="L231" s="62"/>
      <c r="M231" s="62"/>
    </row>
    <row r="232" spans="1:13" x14ac:dyDescent="0.2">
      <c r="A232" s="62"/>
      <c r="B232" s="62"/>
      <c r="C232" s="62"/>
      <c r="D232" s="62"/>
      <c r="E232" s="62"/>
      <c r="F232" s="62"/>
      <c r="G232" s="62"/>
      <c r="H232" s="62"/>
      <c r="I232" s="62"/>
      <c r="J232" s="62"/>
      <c r="K232" s="62"/>
      <c r="L232" s="62"/>
      <c r="M232" s="62"/>
    </row>
    <row r="233" spans="1:13" x14ac:dyDescent="0.2">
      <c r="A233" s="62"/>
      <c r="B233" s="62"/>
      <c r="C233" s="62"/>
      <c r="D233" s="62"/>
      <c r="E233" s="62"/>
      <c r="F233" s="62"/>
      <c r="G233" s="62"/>
      <c r="H233" s="62"/>
      <c r="I233" s="62"/>
      <c r="J233" s="62"/>
      <c r="K233" s="62"/>
      <c r="L233" s="62"/>
      <c r="M233" s="62"/>
    </row>
    <row r="234" spans="1:13" x14ac:dyDescent="0.2">
      <c r="A234" s="62"/>
      <c r="B234" s="62"/>
      <c r="C234" s="62"/>
      <c r="D234" s="62"/>
      <c r="E234" s="62"/>
      <c r="F234" s="62"/>
      <c r="G234" s="62"/>
      <c r="H234" s="62"/>
      <c r="I234" s="62"/>
      <c r="J234" s="62"/>
      <c r="K234" s="62"/>
      <c r="L234" s="62"/>
      <c r="M234" s="62"/>
    </row>
    <row r="235" spans="1:13" x14ac:dyDescent="0.2">
      <c r="A235" s="62"/>
      <c r="B235" s="62"/>
      <c r="C235" s="62"/>
      <c r="D235" s="62"/>
      <c r="E235" s="62"/>
      <c r="F235" s="62"/>
      <c r="G235" s="62"/>
      <c r="H235" s="62"/>
      <c r="I235" s="62"/>
      <c r="J235" s="62"/>
      <c r="K235" s="62"/>
      <c r="L235" s="62"/>
      <c r="M235" s="62"/>
    </row>
    <row r="236" spans="1:13" x14ac:dyDescent="0.2">
      <c r="A236" s="62"/>
      <c r="B236" s="62"/>
      <c r="C236" s="62"/>
      <c r="D236" s="62"/>
      <c r="E236" s="62"/>
      <c r="F236" s="62"/>
      <c r="G236" s="62"/>
      <c r="H236" s="62"/>
      <c r="I236" s="62"/>
      <c r="J236" s="62"/>
      <c r="K236" s="62"/>
      <c r="L236" s="62"/>
      <c r="M236" s="62"/>
    </row>
    <row r="237" spans="1:13" x14ac:dyDescent="0.2">
      <c r="A237" s="62"/>
      <c r="B237" s="62"/>
      <c r="C237" s="62"/>
      <c r="D237" s="62"/>
      <c r="E237" s="62"/>
      <c r="F237" s="62"/>
      <c r="G237" s="62"/>
      <c r="H237" s="62"/>
      <c r="I237" s="62"/>
      <c r="J237" s="62"/>
      <c r="K237" s="62"/>
      <c r="L237" s="62"/>
      <c r="M237" s="62"/>
    </row>
    <row r="238" spans="1:13" x14ac:dyDescent="0.2">
      <c r="A238" s="62"/>
      <c r="B238" s="62"/>
      <c r="C238" s="62"/>
      <c r="D238" s="62"/>
      <c r="E238" s="62"/>
      <c r="F238" s="62"/>
      <c r="G238" s="62"/>
      <c r="H238" s="62"/>
      <c r="I238" s="62"/>
      <c r="J238" s="62"/>
      <c r="K238" s="62"/>
      <c r="L238" s="62"/>
      <c r="M238" s="62"/>
    </row>
    <row r="239" spans="1:13" x14ac:dyDescent="0.2">
      <c r="A239" s="62"/>
      <c r="B239" s="62"/>
      <c r="C239" s="62"/>
      <c r="D239" s="62"/>
      <c r="E239" s="62"/>
      <c r="F239" s="62"/>
      <c r="G239" s="62"/>
      <c r="H239" s="62"/>
      <c r="I239" s="62"/>
      <c r="J239" s="62"/>
      <c r="K239" s="62"/>
      <c r="L239" s="62"/>
      <c r="M239" s="62"/>
    </row>
    <row r="240" spans="1:13" x14ac:dyDescent="0.2">
      <c r="A240" s="62"/>
      <c r="B240" s="62"/>
      <c r="C240" s="62"/>
      <c r="D240" s="62"/>
      <c r="E240" s="62"/>
      <c r="F240" s="62"/>
      <c r="G240" s="62"/>
      <c r="H240" s="62"/>
      <c r="I240" s="62"/>
      <c r="J240" s="62"/>
      <c r="K240" s="62"/>
      <c r="L240" s="62"/>
      <c r="M240" s="62"/>
    </row>
    <row r="241" spans="1:13" x14ac:dyDescent="0.2">
      <c r="A241" s="62"/>
      <c r="B241" s="62"/>
      <c r="C241" s="62"/>
      <c r="D241" s="62"/>
      <c r="E241" s="62"/>
      <c r="F241" s="62"/>
      <c r="G241" s="62"/>
      <c r="H241" s="62"/>
      <c r="I241" s="62"/>
      <c r="J241" s="62"/>
      <c r="K241" s="62"/>
      <c r="L241" s="62"/>
      <c r="M241" s="62"/>
    </row>
    <row r="242" spans="1:13" x14ac:dyDescent="0.2">
      <c r="A242" s="62"/>
      <c r="B242" s="62"/>
      <c r="C242" s="62"/>
      <c r="D242" s="62"/>
      <c r="E242" s="62"/>
      <c r="F242" s="62"/>
      <c r="G242" s="62"/>
      <c r="H242" s="62"/>
      <c r="I242" s="62"/>
      <c r="J242" s="62"/>
      <c r="K242" s="62"/>
      <c r="L242" s="62"/>
      <c r="M242" s="62"/>
    </row>
    <row r="243" spans="1:13" x14ac:dyDescent="0.2">
      <c r="A243" s="62"/>
      <c r="B243" s="62"/>
      <c r="C243" s="62"/>
      <c r="D243" s="62"/>
      <c r="E243" s="62"/>
      <c r="F243" s="62"/>
      <c r="G243" s="62"/>
      <c r="H243" s="62"/>
      <c r="I243" s="62"/>
      <c r="J243" s="62"/>
      <c r="K243" s="62"/>
      <c r="L243" s="62"/>
      <c r="M243" s="62"/>
    </row>
    <row r="244" spans="1:13" x14ac:dyDescent="0.2">
      <c r="A244" s="62"/>
      <c r="B244" s="62"/>
      <c r="C244" s="62"/>
      <c r="D244" s="62"/>
      <c r="E244" s="62"/>
      <c r="F244" s="62"/>
      <c r="G244" s="62"/>
      <c r="H244" s="62"/>
      <c r="I244" s="62"/>
      <c r="J244" s="62"/>
      <c r="K244" s="62"/>
      <c r="L244" s="62"/>
      <c r="M244" s="62"/>
    </row>
    <row r="245" spans="1:13" x14ac:dyDescent="0.2">
      <c r="A245" s="62"/>
      <c r="B245" s="62"/>
      <c r="C245" s="62"/>
      <c r="D245" s="62"/>
      <c r="E245" s="62"/>
      <c r="F245" s="62"/>
      <c r="G245" s="62"/>
      <c r="H245" s="62"/>
      <c r="I245" s="62"/>
      <c r="J245" s="62"/>
      <c r="K245" s="62"/>
      <c r="L245" s="62"/>
      <c r="M245" s="62"/>
    </row>
    <row r="246" spans="1:13" x14ac:dyDescent="0.2">
      <c r="A246" s="62"/>
      <c r="B246" s="62"/>
      <c r="C246" s="62"/>
      <c r="D246" s="62"/>
      <c r="E246" s="62"/>
      <c r="F246" s="62"/>
      <c r="G246" s="62"/>
      <c r="H246" s="62"/>
      <c r="I246" s="62"/>
      <c r="J246" s="62"/>
      <c r="K246" s="62"/>
      <c r="L246" s="62"/>
      <c r="M246" s="62"/>
    </row>
    <row r="247" spans="1:13" x14ac:dyDescent="0.2">
      <c r="A247" s="62"/>
      <c r="B247" s="62"/>
      <c r="C247" s="62"/>
      <c r="D247" s="62"/>
      <c r="E247" s="62"/>
      <c r="F247" s="62"/>
      <c r="G247" s="62"/>
      <c r="H247" s="62"/>
      <c r="I247" s="62"/>
      <c r="J247" s="62"/>
      <c r="K247" s="62"/>
      <c r="L247" s="62"/>
      <c r="M247" s="62"/>
    </row>
    <row r="248" spans="1:13" x14ac:dyDescent="0.2">
      <c r="A248" s="62"/>
      <c r="B248" s="62"/>
      <c r="C248" s="62"/>
      <c r="D248" s="62"/>
      <c r="E248" s="62"/>
      <c r="F248" s="62"/>
      <c r="G248" s="62"/>
      <c r="H248" s="62"/>
      <c r="I248" s="62"/>
      <c r="J248" s="62"/>
      <c r="K248" s="62"/>
      <c r="L248" s="62"/>
      <c r="M248" s="62"/>
    </row>
    <row r="249" spans="1:13" x14ac:dyDescent="0.2">
      <c r="A249" s="62"/>
      <c r="B249" s="62"/>
      <c r="C249" s="62"/>
      <c r="D249" s="62"/>
      <c r="E249" s="62"/>
      <c r="F249" s="62"/>
      <c r="G249" s="62"/>
      <c r="H249" s="62"/>
      <c r="I249" s="62"/>
      <c r="J249" s="62"/>
      <c r="K249" s="62"/>
      <c r="L249" s="62"/>
      <c r="M249" s="62"/>
    </row>
    <row r="250" spans="1:13" x14ac:dyDescent="0.2">
      <c r="A250" s="62"/>
      <c r="B250" s="62"/>
      <c r="C250" s="62"/>
      <c r="D250" s="62"/>
      <c r="E250" s="62"/>
      <c r="F250" s="62"/>
      <c r="G250" s="62"/>
      <c r="H250" s="62"/>
      <c r="I250" s="62"/>
      <c r="J250" s="62"/>
      <c r="K250" s="62"/>
      <c r="L250" s="62"/>
      <c r="M250" s="62"/>
    </row>
    <row r="251" spans="1:13" x14ac:dyDescent="0.2">
      <c r="A251" s="62"/>
      <c r="B251" s="62"/>
      <c r="C251" s="62"/>
      <c r="D251" s="62"/>
      <c r="E251" s="62"/>
      <c r="F251" s="62"/>
      <c r="G251" s="62"/>
      <c r="H251" s="62"/>
      <c r="I251" s="62"/>
      <c r="J251" s="62"/>
      <c r="K251" s="62"/>
      <c r="L251" s="62"/>
      <c r="M251" s="62"/>
    </row>
    <row r="252" spans="1:13" x14ac:dyDescent="0.2">
      <c r="A252" s="62"/>
      <c r="B252" s="62"/>
      <c r="C252" s="62"/>
      <c r="D252" s="62"/>
      <c r="E252" s="62"/>
      <c r="F252" s="62"/>
      <c r="G252" s="62"/>
      <c r="H252" s="62"/>
      <c r="I252" s="62"/>
      <c r="J252" s="62"/>
      <c r="K252" s="62"/>
      <c r="L252" s="62"/>
      <c r="M252" s="62"/>
    </row>
    <row r="253" spans="1:13" x14ac:dyDescent="0.2">
      <c r="A253" s="62"/>
      <c r="B253" s="62"/>
      <c r="C253" s="62"/>
      <c r="D253" s="62"/>
      <c r="E253" s="62"/>
      <c r="F253" s="62"/>
      <c r="G253" s="62"/>
      <c r="H253" s="62"/>
      <c r="I253" s="62"/>
      <c r="J253" s="62"/>
      <c r="K253" s="62"/>
      <c r="L253" s="62"/>
      <c r="M253" s="62"/>
    </row>
    <row r="254" spans="1:13" x14ac:dyDescent="0.2">
      <c r="A254" s="62"/>
      <c r="B254" s="62"/>
      <c r="C254" s="62"/>
      <c r="D254" s="62"/>
      <c r="E254" s="62"/>
      <c r="F254" s="62"/>
      <c r="G254" s="62"/>
      <c r="H254" s="62"/>
      <c r="I254" s="62"/>
      <c r="J254" s="62"/>
      <c r="K254" s="62"/>
      <c r="L254" s="62"/>
      <c r="M254" s="62"/>
    </row>
    <row r="255" spans="1:13" x14ac:dyDescent="0.2">
      <c r="A255" s="62"/>
      <c r="B255" s="62"/>
      <c r="C255" s="62"/>
      <c r="D255" s="62"/>
      <c r="E255" s="62"/>
      <c r="F255" s="62"/>
      <c r="G255" s="62"/>
      <c r="H255" s="62"/>
      <c r="I255" s="62"/>
      <c r="J255" s="62"/>
      <c r="K255" s="62"/>
      <c r="L255" s="62"/>
      <c r="M255" s="62"/>
    </row>
    <row r="256" spans="1:13" x14ac:dyDescent="0.2">
      <c r="A256" s="62"/>
      <c r="B256" s="62"/>
      <c r="C256" s="62"/>
      <c r="D256" s="62"/>
      <c r="E256" s="62"/>
      <c r="F256" s="62"/>
      <c r="G256" s="62"/>
      <c r="H256" s="62"/>
      <c r="I256" s="62"/>
      <c r="J256" s="62"/>
      <c r="K256" s="62"/>
      <c r="L256" s="62"/>
      <c r="M256" s="62"/>
    </row>
    <row r="257" spans="1:13" x14ac:dyDescent="0.2">
      <c r="A257" s="62"/>
      <c r="B257" s="62"/>
      <c r="C257" s="62"/>
      <c r="D257" s="62"/>
      <c r="E257" s="62"/>
      <c r="F257" s="62"/>
      <c r="G257" s="62"/>
      <c r="H257" s="62"/>
      <c r="I257" s="62"/>
      <c r="J257" s="62"/>
      <c r="K257" s="62"/>
      <c r="L257" s="62"/>
      <c r="M257" s="62"/>
    </row>
    <row r="258" spans="1:13" x14ac:dyDescent="0.2">
      <c r="A258" s="62"/>
      <c r="B258" s="62"/>
      <c r="C258" s="62"/>
      <c r="D258" s="62"/>
      <c r="E258" s="62"/>
      <c r="F258" s="62"/>
      <c r="G258" s="62"/>
      <c r="H258" s="62"/>
      <c r="I258" s="62"/>
      <c r="J258" s="62"/>
      <c r="K258" s="62"/>
      <c r="L258" s="62"/>
      <c r="M258" s="62"/>
    </row>
    <row r="259" spans="1:13" x14ac:dyDescent="0.2">
      <c r="A259" s="62"/>
      <c r="B259" s="62"/>
      <c r="C259" s="62"/>
      <c r="D259" s="62"/>
      <c r="E259" s="62"/>
      <c r="F259" s="62"/>
      <c r="G259" s="62"/>
      <c r="H259" s="62"/>
      <c r="I259" s="62"/>
      <c r="J259" s="62"/>
      <c r="K259" s="62"/>
      <c r="L259" s="62"/>
      <c r="M259" s="62"/>
    </row>
    <row r="260" spans="1:13" x14ac:dyDescent="0.2">
      <c r="A260" s="62"/>
      <c r="B260" s="62"/>
      <c r="C260" s="62"/>
      <c r="D260" s="62"/>
      <c r="E260" s="62"/>
      <c r="F260" s="62"/>
      <c r="G260" s="62"/>
      <c r="H260" s="62"/>
      <c r="I260" s="62"/>
      <c r="J260" s="62"/>
      <c r="K260" s="62"/>
      <c r="L260" s="62"/>
      <c r="M260" s="62"/>
    </row>
    <row r="261" spans="1:13" x14ac:dyDescent="0.2">
      <c r="A261" s="62"/>
      <c r="B261" s="62"/>
      <c r="C261" s="62"/>
      <c r="D261" s="62"/>
      <c r="E261" s="62"/>
      <c r="F261" s="62"/>
      <c r="G261" s="62"/>
      <c r="H261" s="62"/>
      <c r="I261" s="62"/>
      <c r="J261" s="62"/>
      <c r="K261" s="62"/>
      <c r="L261" s="62"/>
      <c r="M261" s="62"/>
    </row>
    <row r="262" spans="1:13" x14ac:dyDescent="0.2">
      <c r="A262" s="62"/>
      <c r="B262" s="62"/>
      <c r="C262" s="62"/>
      <c r="D262" s="62"/>
      <c r="E262" s="62"/>
      <c r="F262" s="62"/>
      <c r="G262" s="62"/>
      <c r="H262" s="62"/>
      <c r="I262" s="62"/>
      <c r="J262" s="62"/>
      <c r="K262" s="62"/>
      <c r="L262" s="62"/>
      <c r="M262" s="62"/>
    </row>
    <row r="263" spans="1:13" x14ac:dyDescent="0.2">
      <c r="A263" s="62"/>
      <c r="B263" s="62"/>
      <c r="C263" s="62"/>
      <c r="D263" s="62"/>
      <c r="E263" s="62"/>
      <c r="F263" s="62"/>
      <c r="G263" s="62"/>
      <c r="H263" s="62"/>
      <c r="I263" s="62"/>
      <c r="J263" s="62"/>
      <c r="K263" s="62"/>
      <c r="L263" s="62"/>
      <c r="M263" s="62"/>
    </row>
    <row r="264" spans="1:13" x14ac:dyDescent="0.2">
      <c r="A264" s="62"/>
      <c r="B264" s="62"/>
      <c r="C264" s="62"/>
      <c r="D264" s="62"/>
      <c r="E264" s="62"/>
      <c r="F264" s="62"/>
      <c r="G264" s="62"/>
      <c r="H264" s="62"/>
      <c r="I264" s="62"/>
      <c r="J264" s="62"/>
      <c r="K264" s="62"/>
      <c r="L264" s="62"/>
      <c r="M264" s="62"/>
    </row>
    <row r="265" spans="1:13" x14ac:dyDescent="0.2">
      <c r="A265" s="62"/>
      <c r="B265" s="62"/>
      <c r="C265" s="62"/>
      <c r="D265" s="62"/>
      <c r="E265" s="62"/>
      <c r="F265" s="62"/>
      <c r="G265" s="62"/>
      <c r="H265" s="62"/>
      <c r="I265" s="62"/>
      <c r="J265" s="62"/>
      <c r="K265" s="62"/>
      <c r="L265" s="62"/>
      <c r="M265" s="62"/>
    </row>
    <row r="266" spans="1:13" x14ac:dyDescent="0.2">
      <c r="A266" s="62"/>
      <c r="B266" s="62"/>
      <c r="C266" s="62"/>
      <c r="D266" s="62"/>
      <c r="E266" s="62"/>
      <c r="F266" s="62"/>
      <c r="G266" s="62"/>
      <c r="H266" s="62"/>
      <c r="I266" s="62"/>
      <c r="J266" s="62"/>
      <c r="K266" s="62"/>
      <c r="L266" s="62"/>
      <c r="M266" s="62"/>
    </row>
    <row r="267" spans="1:13" x14ac:dyDescent="0.2">
      <c r="A267" s="62"/>
      <c r="B267" s="62"/>
      <c r="C267" s="62"/>
      <c r="D267" s="62"/>
      <c r="E267" s="62"/>
      <c r="F267" s="62"/>
      <c r="G267" s="62"/>
      <c r="H267" s="62"/>
      <c r="I267" s="62"/>
      <c r="J267" s="62"/>
      <c r="K267" s="62"/>
      <c r="L267" s="62"/>
      <c r="M267" s="62"/>
    </row>
    <row r="268" spans="1:13" x14ac:dyDescent="0.2">
      <c r="A268" s="62"/>
      <c r="B268" s="62"/>
      <c r="C268" s="62"/>
      <c r="D268" s="62"/>
      <c r="E268" s="62"/>
      <c r="F268" s="62"/>
      <c r="G268" s="62"/>
      <c r="H268" s="62"/>
      <c r="I268" s="62"/>
      <c r="J268" s="62"/>
      <c r="K268" s="62"/>
      <c r="L268" s="62"/>
      <c r="M268" s="62"/>
    </row>
    <row r="269" spans="1:13" x14ac:dyDescent="0.2">
      <c r="A269" s="62"/>
      <c r="B269" s="62"/>
      <c r="C269" s="62"/>
      <c r="D269" s="62"/>
      <c r="E269" s="62"/>
      <c r="F269" s="62"/>
      <c r="G269" s="62"/>
      <c r="H269" s="62"/>
      <c r="I269" s="62"/>
      <c r="J269" s="62"/>
      <c r="K269" s="62"/>
      <c r="L269" s="62"/>
      <c r="M269" s="62"/>
    </row>
    <row r="270" spans="1:13" x14ac:dyDescent="0.2">
      <c r="A270" s="62"/>
      <c r="B270" s="62"/>
      <c r="C270" s="62"/>
      <c r="D270" s="62"/>
      <c r="E270" s="62"/>
      <c r="F270" s="62"/>
      <c r="G270" s="62"/>
      <c r="H270" s="62"/>
      <c r="I270" s="62"/>
      <c r="J270" s="62"/>
      <c r="K270" s="62"/>
      <c r="L270" s="62"/>
      <c r="M270" s="62"/>
    </row>
    <row r="271" spans="1:13" x14ac:dyDescent="0.2">
      <c r="A271" s="62"/>
      <c r="B271" s="62"/>
      <c r="C271" s="62"/>
      <c r="D271" s="62"/>
      <c r="E271" s="62"/>
      <c r="F271" s="62"/>
      <c r="G271" s="62"/>
      <c r="H271" s="62"/>
      <c r="I271" s="62"/>
      <c r="J271" s="62"/>
      <c r="K271" s="62"/>
      <c r="L271" s="62"/>
      <c r="M271" s="62"/>
    </row>
    <row r="272" spans="1:13" x14ac:dyDescent="0.2">
      <c r="A272" s="62"/>
      <c r="B272" s="62"/>
      <c r="C272" s="62"/>
      <c r="D272" s="62"/>
      <c r="E272" s="62"/>
      <c r="F272" s="62"/>
      <c r="G272" s="62"/>
      <c r="H272" s="62"/>
      <c r="I272" s="62"/>
      <c r="J272" s="62"/>
      <c r="K272" s="62"/>
      <c r="L272" s="62"/>
      <c r="M272" s="62"/>
    </row>
    <row r="273" spans="1:13" x14ac:dyDescent="0.2">
      <c r="A273" s="62"/>
      <c r="B273" s="62"/>
      <c r="C273" s="62"/>
      <c r="D273" s="62"/>
      <c r="E273" s="62"/>
      <c r="F273" s="62"/>
      <c r="G273" s="62"/>
      <c r="H273" s="62"/>
      <c r="I273" s="62"/>
      <c r="J273" s="62"/>
      <c r="K273" s="62"/>
      <c r="L273" s="62"/>
      <c r="M273" s="62"/>
    </row>
    <row r="274" spans="1:13" x14ac:dyDescent="0.2">
      <c r="A274" s="62"/>
      <c r="B274" s="62"/>
      <c r="C274" s="62"/>
      <c r="D274" s="62"/>
      <c r="E274" s="62"/>
      <c r="F274" s="62"/>
      <c r="G274" s="62"/>
      <c r="H274" s="62"/>
      <c r="I274" s="62"/>
      <c r="J274" s="62"/>
      <c r="K274" s="62"/>
      <c r="L274" s="62"/>
      <c r="M274" s="62"/>
    </row>
    <row r="275" spans="1:13" x14ac:dyDescent="0.2">
      <c r="A275" s="62"/>
      <c r="B275" s="62"/>
      <c r="C275" s="62"/>
      <c r="D275" s="62"/>
      <c r="E275" s="62"/>
      <c r="F275" s="62"/>
      <c r="G275" s="62"/>
      <c r="H275" s="62"/>
      <c r="I275" s="62"/>
      <c r="J275" s="62"/>
      <c r="K275" s="62"/>
      <c r="L275" s="62"/>
      <c r="M275" s="62"/>
    </row>
    <row r="276" spans="1:13" x14ac:dyDescent="0.2">
      <c r="A276" s="62"/>
      <c r="B276" s="62"/>
      <c r="C276" s="62"/>
      <c r="D276" s="62"/>
      <c r="E276" s="62"/>
      <c r="F276" s="62"/>
      <c r="G276" s="62"/>
      <c r="H276" s="62"/>
      <c r="I276" s="62"/>
      <c r="J276" s="62"/>
      <c r="K276" s="62"/>
      <c r="L276" s="62"/>
      <c r="M276" s="62"/>
    </row>
    <row r="277" spans="1:13" x14ac:dyDescent="0.2">
      <c r="A277" s="62"/>
      <c r="B277" s="62"/>
      <c r="C277" s="62"/>
      <c r="D277" s="62"/>
      <c r="E277" s="62"/>
      <c r="F277" s="62"/>
      <c r="G277" s="62"/>
      <c r="H277" s="62"/>
      <c r="I277" s="62"/>
      <c r="J277" s="62"/>
      <c r="K277" s="62"/>
      <c r="L277" s="62"/>
      <c r="M277" s="62"/>
    </row>
  </sheetData>
  <mergeCells count="4">
    <mergeCell ref="A1:M1"/>
    <mergeCell ref="A2:M2"/>
    <mergeCell ref="A3:M3"/>
    <mergeCell ref="A4:M4"/>
  </mergeCells>
  <printOptions horizontalCentered="1"/>
  <pageMargins left="0.39370078740157483" right="0.39370078740157483" top="0.39370078740157483" bottom="0.39370078740157483" header="0" footer="0"/>
  <pageSetup scale="38"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Anexo 2 </vt:lpstr>
      <vt:lpstr>'Anexo 2 '!Área_de_impresión</vt:lpstr>
      <vt:lpstr>'Anexo 2 '!Títulos_a_imprimir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Rubio</dc:creator>
  <cp:lastModifiedBy>Oscar Rubio</cp:lastModifiedBy>
  <dcterms:created xsi:type="dcterms:W3CDTF">2019-10-16T17:22:00Z</dcterms:created>
  <dcterms:modified xsi:type="dcterms:W3CDTF">2019-10-16T17:22:30Z</dcterms:modified>
</cp:coreProperties>
</file>