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Año 2019\LEY 1712\EJECUCION PRESUPUESTAL HISTORICA ANUAL\2014\Gasto\"/>
    </mc:Choice>
  </mc:AlternateContent>
  <bookViews>
    <workbookView xWindow="0" yWindow="0" windowWidth="24000" windowHeight="9435"/>
  </bookViews>
  <sheets>
    <sheet name="Anexo 2 "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s>
  <definedNames>
    <definedName name="_xlnm._FilterDatabase" hidden="1">#REF!</definedName>
    <definedName name="ANEXO" hidden="1">'[2]Inversión total en programas'!$A$50:$IV$50,'[2]Inversión total en programas'!$A$60:$IV$63</definedName>
    <definedName name="_xlnm.Print_Area" localSheetId="0">'Anexo 2 '!$A$1:$L$208</definedName>
    <definedName name="_xlnm.Print_Area">#REF!</definedName>
    <definedName name="ASISCALLCENTER">#REF!</definedName>
    <definedName name="ASISCONTABPPC">#REF!</definedName>
    <definedName name="ASISDESPACHOS">#REF!</definedName>
    <definedName name="ASISICA">#REF!</definedName>
    <definedName name="AUXBODEGA">#REF!</definedName>
    <definedName name="cabezas">'[4]Anexo 1 Minagricultura'!#REF!</definedName>
    <definedName name="CABEZAS_PROYEC">'[1]Anexo 1 Minagricultura'!#REF!</definedName>
    <definedName name="CUOTAPPC2005">'[1]Anexo 1 Minagricultura'!#REF!</definedName>
    <definedName name="CUOTAPPC2013">'[1]Anexo 1 Minagricultura'!#REF!</definedName>
    <definedName name="CUOTAPPC203">'[1]Anexo 1 Minagricultura'!#REF!</definedName>
    <definedName name="DIAG_PPC">#REF!</definedName>
    <definedName name="DISTRIBUIDOR">#REF!</definedName>
    <definedName name="eeeee">#REF!</definedName>
    <definedName name="EPPC">'[1]Anexo 1 Minagricultura'!#REF!</definedName>
    <definedName name="FDGFDG">#REF!</definedName>
    <definedName name="FECHA_DE_RECIBIDO">[5]BASE!$E$3:$E$177</definedName>
    <definedName name="FOMENTO">'[1]Anexo 1 Minagricultura'!#REF!</definedName>
    <definedName name="FOMENTOS">'[7]Anexo 1 Minagricultura'!$C$51</definedName>
    <definedName name="fondo">#REF!</definedName>
    <definedName name="GTOSEPPC">#REF!</definedName>
    <definedName name="HONORAUDI_JURIDIC">#REF!</definedName>
    <definedName name="HONTOTAL">#REF!</definedName>
    <definedName name="LABORATORIOS">#REF!</definedName>
    <definedName name="NOMBDISTRI">#REF!</definedName>
    <definedName name="ojo">#REF!</definedName>
    <definedName name="ppc">'[8]Inversión total en programas'!$B$86</definedName>
    <definedName name="RESERV_FUTU">#REF!</definedName>
    <definedName name="saldo">#REF!</definedName>
    <definedName name="saldos">#REF!</definedName>
    <definedName name="SUPERA2004">'[1]Anexo 1 Minagricultura'!#REF!</definedName>
    <definedName name="SUPERA2005">'[1]Anexo 1 Minagricultura'!#REF!</definedName>
    <definedName name="SUPERA2010">'[8]Anexo 1 Minagricultura'!$C$21</definedName>
    <definedName name="SUPERA2012">'[1]Anexo 1 Minagricultura'!#REF!</definedName>
    <definedName name="SUPERAVIT">#REF!</definedName>
    <definedName name="SUPERAVIT2005_FNP">#REF!</definedName>
    <definedName name="SUPERAVITPPC_2005">#REF!</definedName>
    <definedName name="_xlnm.Print_Titles" localSheetId="0">'Anexo 2 '!$1:$7</definedName>
    <definedName name="_xlnm.Print_Titles">#REF!</definedName>
    <definedName name="VTAS2005">'[1]Anexo 1 Minagricultura'!#REF!</definedName>
    <definedName name="xx">[9]Ingresos!$C$19</definedName>
    <definedName name="Z_4099E833_BB74_4680_85C9_A6CF399D1CE2_.wvu.Cols" hidden="1">#REF!,#REF!,#REF!,#REF!</definedName>
    <definedName name="Z_4099E833_BB74_4680_85C9_A6CF399D1CE2_.wvu.FilterData" hidden="1">#REF!</definedName>
    <definedName name="Z_4099E833_BB74_4680_85C9_A6CF399D1CE2_.wvu.PrintArea" hidden="1">#REF!</definedName>
    <definedName name="Z_4099E833_BB74_4680_85C9_A6CF399D1CE2_.wvu.PrintTitles" hidden="1">#REF!</definedName>
    <definedName name="Z_4099E833_BB74_4680_85C9_A6CF399D1CE2_.wvu.Rows" hidden="1">#REF!,#REF!</definedName>
  </definedNames>
  <calcPr calcId="152511" fullCalcOn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05" i="1" l="1"/>
  <c r="I205" i="1"/>
  <c r="L205" i="1" s="1"/>
  <c r="G205" i="1"/>
  <c r="G204" i="1"/>
  <c r="I204" i="1" s="1"/>
  <c r="L203" i="1"/>
  <c r="K203" i="1"/>
  <c r="J203" i="1"/>
  <c r="H203" i="1"/>
  <c r="I203" i="1" s="1"/>
  <c r="G203" i="1"/>
  <c r="G201" i="1"/>
  <c r="I201" i="1" s="1"/>
  <c r="L199" i="1"/>
  <c r="I199" i="1"/>
  <c r="K199" i="1" s="1"/>
  <c r="H199" i="1"/>
  <c r="H198" i="1"/>
  <c r="H197" i="1" s="1"/>
  <c r="I197" i="1" s="1"/>
  <c r="J197" i="1"/>
  <c r="G195" i="1"/>
  <c r="I195" i="1" s="1"/>
  <c r="L195" i="1" s="1"/>
  <c r="D195" i="1"/>
  <c r="G194" i="1"/>
  <c r="I194" i="1" s="1"/>
  <c r="K194" i="1" s="1"/>
  <c r="L193" i="1"/>
  <c r="I193" i="1"/>
  <c r="K193" i="1" s="1"/>
  <c r="G193" i="1"/>
  <c r="L192" i="1"/>
  <c r="G192" i="1"/>
  <c r="I192" i="1" s="1"/>
  <c r="K192" i="1" s="1"/>
  <c r="I191" i="1"/>
  <c r="G191" i="1"/>
  <c r="L190" i="1"/>
  <c r="D190" i="1"/>
  <c r="G190" i="1" s="1"/>
  <c r="I190" i="1" s="1"/>
  <c r="K190" i="1" s="1"/>
  <c r="G189" i="1"/>
  <c r="I189" i="1" s="1"/>
  <c r="L189" i="1" s="1"/>
  <c r="G188" i="1"/>
  <c r="I188" i="1" s="1"/>
  <c r="L187" i="1"/>
  <c r="G187" i="1"/>
  <c r="I187" i="1" s="1"/>
  <c r="K187" i="1" s="1"/>
  <c r="J186" i="1"/>
  <c r="D186" i="1"/>
  <c r="G185" i="1"/>
  <c r="I185" i="1" s="1"/>
  <c r="L185" i="1" s="1"/>
  <c r="G184" i="1"/>
  <c r="I184" i="1" s="1"/>
  <c r="G183" i="1"/>
  <c r="I183" i="1" s="1"/>
  <c r="L182" i="1"/>
  <c r="K182" i="1"/>
  <c r="G182" i="1"/>
  <c r="I182" i="1" s="1"/>
  <c r="G181" i="1"/>
  <c r="I181" i="1" s="1"/>
  <c r="L181" i="1" s="1"/>
  <c r="J180" i="1"/>
  <c r="I180" i="1"/>
  <c r="D180" i="1"/>
  <c r="G180" i="1" s="1"/>
  <c r="D178" i="1"/>
  <c r="G178" i="1" s="1"/>
  <c r="I178" i="1" s="1"/>
  <c r="L178" i="1" s="1"/>
  <c r="L177" i="1"/>
  <c r="I177" i="1"/>
  <c r="K177" i="1" s="1"/>
  <c r="G177" i="1"/>
  <c r="D176" i="1"/>
  <c r="G176" i="1" s="1"/>
  <c r="I176" i="1" s="1"/>
  <c r="L175" i="1"/>
  <c r="K175" i="1"/>
  <c r="G175" i="1"/>
  <c r="I175" i="1" s="1"/>
  <c r="D175" i="1"/>
  <c r="J174" i="1"/>
  <c r="I171" i="1"/>
  <c r="K171" i="1" s="1"/>
  <c r="G171" i="1"/>
  <c r="L170" i="1"/>
  <c r="G170" i="1"/>
  <c r="I170" i="1" s="1"/>
  <c r="K170" i="1" s="1"/>
  <c r="J169" i="1"/>
  <c r="G169" i="1"/>
  <c r="I169" i="1" s="1"/>
  <c r="B169" i="1"/>
  <c r="I168" i="1"/>
  <c r="L168" i="1" s="1"/>
  <c r="G168" i="1"/>
  <c r="B167" i="1"/>
  <c r="G167" i="1" s="1"/>
  <c r="I167" i="1" s="1"/>
  <c r="K166" i="1"/>
  <c r="G166" i="1"/>
  <c r="I166" i="1" s="1"/>
  <c r="L166" i="1" s="1"/>
  <c r="B166" i="1"/>
  <c r="B165" i="1"/>
  <c r="L164" i="1"/>
  <c r="K164" i="1"/>
  <c r="G164" i="1"/>
  <c r="I164" i="1" s="1"/>
  <c r="J163" i="1"/>
  <c r="K161" i="1"/>
  <c r="G161" i="1"/>
  <c r="I161" i="1" s="1"/>
  <c r="L161" i="1" s="1"/>
  <c r="G160" i="1"/>
  <c r="I160" i="1" s="1"/>
  <c r="L159" i="1"/>
  <c r="J159" i="1"/>
  <c r="B159" i="1"/>
  <c r="G159" i="1" s="1"/>
  <c r="I159" i="1" s="1"/>
  <c r="K159" i="1" s="1"/>
  <c r="G158" i="1"/>
  <c r="I158" i="1" s="1"/>
  <c r="B158" i="1"/>
  <c r="B157" i="1"/>
  <c r="B156" i="1" s="1"/>
  <c r="G156" i="1" s="1"/>
  <c r="J156" i="1"/>
  <c r="I156" i="1"/>
  <c r="J155" i="1"/>
  <c r="G154" i="1"/>
  <c r="I154" i="1" s="1"/>
  <c r="G153" i="1"/>
  <c r="I153" i="1" s="1"/>
  <c r="L153" i="1" s="1"/>
  <c r="G152" i="1"/>
  <c r="I152" i="1" s="1"/>
  <c r="J151" i="1"/>
  <c r="F151" i="1"/>
  <c r="G151" i="1" s="1"/>
  <c r="I151" i="1" s="1"/>
  <c r="L150" i="1"/>
  <c r="I150" i="1"/>
  <c r="K150" i="1" s="1"/>
  <c r="G150" i="1"/>
  <c r="F149" i="1"/>
  <c r="G149" i="1" s="1"/>
  <c r="I149" i="1" s="1"/>
  <c r="L149" i="1" s="1"/>
  <c r="K148" i="1"/>
  <c r="I148" i="1"/>
  <c r="L148" i="1" s="1"/>
  <c r="F148" i="1"/>
  <c r="G148" i="1" s="1"/>
  <c r="I147" i="1"/>
  <c r="G147" i="1"/>
  <c r="G146" i="1"/>
  <c r="I146" i="1" s="1"/>
  <c r="F146" i="1"/>
  <c r="F145" i="1" s="1"/>
  <c r="J145" i="1"/>
  <c r="G144" i="1"/>
  <c r="I144" i="1" s="1"/>
  <c r="K144" i="1" s="1"/>
  <c r="I143" i="1"/>
  <c r="K143" i="1" s="1"/>
  <c r="G143" i="1"/>
  <c r="J142" i="1"/>
  <c r="C142" i="1"/>
  <c r="J141" i="1"/>
  <c r="G140" i="1"/>
  <c r="I140" i="1" s="1"/>
  <c r="L140" i="1" s="1"/>
  <c r="G139" i="1"/>
  <c r="I139" i="1" s="1"/>
  <c r="L138" i="1"/>
  <c r="G138" i="1"/>
  <c r="I138" i="1" s="1"/>
  <c r="K138" i="1" s="1"/>
  <c r="G137" i="1"/>
  <c r="I137" i="1" s="1"/>
  <c r="K136" i="1"/>
  <c r="G136" i="1"/>
  <c r="I136" i="1" s="1"/>
  <c r="L136" i="1" s="1"/>
  <c r="J135" i="1"/>
  <c r="G135" i="1"/>
  <c r="I135" i="1" s="1"/>
  <c r="B135" i="1"/>
  <c r="G134" i="1"/>
  <c r="I134" i="1" s="1"/>
  <c r="L134" i="1" s="1"/>
  <c r="L133" i="1"/>
  <c r="I133" i="1"/>
  <c r="K133" i="1" s="1"/>
  <c r="G133" i="1"/>
  <c r="K132" i="1"/>
  <c r="G132" i="1"/>
  <c r="I132" i="1" s="1"/>
  <c r="L132" i="1" s="1"/>
  <c r="G131" i="1"/>
  <c r="I131" i="1" s="1"/>
  <c r="K130" i="1"/>
  <c r="J130" i="1"/>
  <c r="G130" i="1"/>
  <c r="I130" i="1" s="1"/>
  <c r="B130" i="1"/>
  <c r="B129" i="1" s="1"/>
  <c r="G129" i="1" s="1"/>
  <c r="I129" i="1"/>
  <c r="G128" i="1"/>
  <c r="I128" i="1" s="1"/>
  <c r="L128" i="1" s="1"/>
  <c r="B128" i="1"/>
  <c r="B127" i="1"/>
  <c r="G127" i="1" s="1"/>
  <c r="I127" i="1" s="1"/>
  <c r="L126" i="1"/>
  <c r="K126" i="1"/>
  <c r="G126" i="1"/>
  <c r="I126" i="1" s="1"/>
  <c r="B126" i="1"/>
  <c r="B125" i="1"/>
  <c r="J124" i="1"/>
  <c r="G123" i="1"/>
  <c r="I123" i="1" s="1"/>
  <c r="L123" i="1" s="1"/>
  <c r="I122" i="1"/>
  <c r="G122" i="1"/>
  <c r="L121" i="1"/>
  <c r="G121" i="1"/>
  <c r="I121" i="1" s="1"/>
  <c r="K121" i="1" s="1"/>
  <c r="B121" i="1"/>
  <c r="I118" i="1"/>
  <c r="K118" i="1" s="1"/>
  <c r="G118" i="1"/>
  <c r="I117" i="1"/>
  <c r="L117" i="1" s="1"/>
  <c r="G117" i="1"/>
  <c r="L116" i="1"/>
  <c r="I116" i="1"/>
  <c r="K116" i="1" s="1"/>
  <c r="G116" i="1"/>
  <c r="I115" i="1"/>
  <c r="G115" i="1"/>
  <c r="G114" i="1" s="1"/>
  <c r="J114" i="1"/>
  <c r="C114" i="1"/>
  <c r="I113" i="1"/>
  <c r="L113" i="1" s="1"/>
  <c r="G113" i="1"/>
  <c r="G112" i="1"/>
  <c r="I112" i="1" s="1"/>
  <c r="K112" i="1" s="1"/>
  <c r="K111" i="1"/>
  <c r="I111" i="1"/>
  <c r="L111" i="1" s="1"/>
  <c r="G111" i="1"/>
  <c r="J110" i="1"/>
  <c r="I110" i="1"/>
  <c r="G110" i="1"/>
  <c r="E110" i="1"/>
  <c r="L109" i="1"/>
  <c r="I109" i="1"/>
  <c r="K109" i="1" s="1"/>
  <c r="G109" i="1"/>
  <c r="G108" i="1"/>
  <c r="G107" i="1" s="1"/>
  <c r="J107" i="1"/>
  <c r="E107" i="1"/>
  <c r="I106" i="1"/>
  <c r="L106" i="1" s="1"/>
  <c r="G106" i="1"/>
  <c r="G105" i="1"/>
  <c r="I105" i="1" s="1"/>
  <c r="K105" i="1" s="1"/>
  <c r="K104" i="1"/>
  <c r="I104" i="1"/>
  <c r="L104" i="1" s="1"/>
  <c r="G104" i="1"/>
  <c r="G103" i="1"/>
  <c r="I103" i="1" s="1"/>
  <c r="L102" i="1"/>
  <c r="K102" i="1"/>
  <c r="I102" i="1"/>
  <c r="G102" i="1"/>
  <c r="L101" i="1"/>
  <c r="G101" i="1"/>
  <c r="I101" i="1" s="1"/>
  <c r="J100" i="1"/>
  <c r="E100" i="1"/>
  <c r="E99" i="1"/>
  <c r="G99" i="1" s="1"/>
  <c r="I99" i="1" s="1"/>
  <c r="J98" i="1"/>
  <c r="G98" i="1"/>
  <c r="L97" i="1"/>
  <c r="G97" i="1"/>
  <c r="I97" i="1" s="1"/>
  <c r="K97" i="1" s="1"/>
  <c r="E97" i="1"/>
  <c r="G96" i="1"/>
  <c r="I96" i="1" s="1"/>
  <c r="I95" i="1"/>
  <c r="K95" i="1" s="1"/>
  <c r="G95" i="1"/>
  <c r="J94" i="1"/>
  <c r="E94" i="1"/>
  <c r="I92" i="1"/>
  <c r="G92" i="1"/>
  <c r="E92" i="1"/>
  <c r="G91" i="1"/>
  <c r="I91" i="1" s="1"/>
  <c r="E91" i="1"/>
  <c r="G90" i="1"/>
  <c r="I90" i="1" s="1"/>
  <c r="K90" i="1" s="1"/>
  <c r="L89" i="1"/>
  <c r="I89" i="1"/>
  <c r="E89" i="1"/>
  <c r="G89" i="1" s="1"/>
  <c r="J88" i="1"/>
  <c r="G88" i="1"/>
  <c r="E88" i="1"/>
  <c r="C86" i="1"/>
  <c r="L84" i="1"/>
  <c r="K84" i="1"/>
  <c r="I84" i="1"/>
  <c r="G84" i="1"/>
  <c r="G83" i="1"/>
  <c r="I83" i="1" s="1"/>
  <c r="K83" i="1" s="1"/>
  <c r="K82" i="1"/>
  <c r="I82" i="1"/>
  <c r="L82" i="1" s="1"/>
  <c r="G82" i="1"/>
  <c r="G81" i="1"/>
  <c r="I81" i="1" s="1"/>
  <c r="J80" i="1"/>
  <c r="G80" i="1"/>
  <c r="F80" i="1"/>
  <c r="G79" i="1"/>
  <c r="I79" i="1" s="1"/>
  <c r="L79" i="1" s="1"/>
  <c r="I78" i="1"/>
  <c r="K78" i="1" s="1"/>
  <c r="G78" i="1"/>
  <c r="G77" i="1"/>
  <c r="I77" i="1" s="1"/>
  <c r="I76" i="1"/>
  <c r="K76" i="1" s="1"/>
  <c r="G76" i="1"/>
  <c r="G75" i="1"/>
  <c r="I75" i="1" s="1"/>
  <c r="I74" i="1"/>
  <c r="K74" i="1" s="1"/>
  <c r="G74" i="1"/>
  <c r="G73" i="1"/>
  <c r="J72" i="1"/>
  <c r="F72" i="1"/>
  <c r="L71" i="1"/>
  <c r="I71" i="1"/>
  <c r="K71" i="1" s="1"/>
  <c r="G71" i="1"/>
  <c r="G70" i="1"/>
  <c r="I70" i="1" s="1"/>
  <c r="J69" i="1"/>
  <c r="F69" i="1"/>
  <c r="G68" i="1"/>
  <c r="I68" i="1" s="1"/>
  <c r="L67" i="1"/>
  <c r="I67" i="1"/>
  <c r="G67" i="1"/>
  <c r="J66" i="1"/>
  <c r="F66" i="1"/>
  <c r="F65" i="1"/>
  <c r="F61" i="1" s="1"/>
  <c r="F47" i="1" s="1"/>
  <c r="K64" i="1"/>
  <c r="G64" i="1"/>
  <c r="I64" i="1" s="1"/>
  <c r="L64" i="1" s="1"/>
  <c r="F64" i="1"/>
  <c r="G63" i="1"/>
  <c r="I63" i="1" s="1"/>
  <c r="L62" i="1"/>
  <c r="I62" i="1"/>
  <c r="K62" i="1" s="1"/>
  <c r="G62" i="1"/>
  <c r="F62" i="1"/>
  <c r="J61" i="1"/>
  <c r="G60" i="1"/>
  <c r="I60" i="1" s="1"/>
  <c r="G59" i="1"/>
  <c r="I59" i="1" s="1"/>
  <c r="L59" i="1" s="1"/>
  <c r="G58" i="1"/>
  <c r="I58" i="1" s="1"/>
  <c r="L57" i="1"/>
  <c r="G57" i="1"/>
  <c r="I57" i="1" s="1"/>
  <c r="K57" i="1" s="1"/>
  <c r="G56" i="1"/>
  <c r="J55" i="1"/>
  <c r="F55" i="1"/>
  <c r="G54" i="1"/>
  <c r="I54" i="1" s="1"/>
  <c r="K53" i="1"/>
  <c r="I53" i="1"/>
  <c r="L53" i="1" s="1"/>
  <c r="G53" i="1"/>
  <c r="G52" i="1"/>
  <c r="I52" i="1" s="1"/>
  <c r="L52" i="1" s="1"/>
  <c r="K51" i="1"/>
  <c r="I51" i="1"/>
  <c r="L51" i="1" s="1"/>
  <c r="G51" i="1"/>
  <c r="L50" i="1"/>
  <c r="I50" i="1"/>
  <c r="K50" i="1" s="1"/>
  <c r="G50" i="1"/>
  <c r="K49" i="1"/>
  <c r="I49" i="1"/>
  <c r="L49" i="1" s="1"/>
  <c r="G49" i="1"/>
  <c r="J48" i="1"/>
  <c r="F48" i="1"/>
  <c r="K46" i="1"/>
  <c r="B46" i="1"/>
  <c r="G46" i="1" s="1"/>
  <c r="I46" i="1" s="1"/>
  <c r="L46" i="1" s="1"/>
  <c r="L45" i="1"/>
  <c r="K45" i="1"/>
  <c r="I45" i="1"/>
  <c r="G45" i="1"/>
  <c r="B44" i="1"/>
  <c r="B43" i="1" s="1"/>
  <c r="B42" i="1" s="1"/>
  <c r="J43" i="1"/>
  <c r="J42" i="1"/>
  <c r="J38" i="1"/>
  <c r="J37" i="1"/>
  <c r="E37" i="1"/>
  <c r="E38" i="1" s="1"/>
  <c r="C37" i="1"/>
  <c r="C38" i="1" s="1"/>
  <c r="H36" i="1"/>
  <c r="G36" i="1"/>
  <c r="I36" i="1" s="1"/>
  <c r="I35" i="1"/>
  <c r="K35" i="1" s="1"/>
  <c r="H35" i="1"/>
  <c r="G35" i="1"/>
  <c r="H34" i="1"/>
  <c r="F34" i="1"/>
  <c r="E34" i="1"/>
  <c r="B34" i="1"/>
  <c r="H33" i="1"/>
  <c r="F33" i="1"/>
  <c r="F37" i="1" s="1"/>
  <c r="F38" i="1" s="1"/>
  <c r="E33" i="1"/>
  <c r="D33" i="1"/>
  <c r="C33" i="1"/>
  <c r="B33" i="1"/>
  <c r="H32" i="1"/>
  <c r="G32" i="1"/>
  <c r="I32" i="1" s="1"/>
  <c r="L32" i="1" s="1"/>
  <c r="H31" i="1"/>
  <c r="F31" i="1"/>
  <c r="E31" i="1"/>
  <c r="G31" i="1" s="1"/>
  <c r="I31" i="1" s="1"/>
  <c r="D31" i="1"/>
  <c r="C31" i="1"/>
  <c r="B31" i="1"/>
  <c r="H30" i="1"/>
  <c r="G30" i="1"/>
  <c r="I30" i="1" s="1"/>
  <c r="E30" i="1"/>
  <c r="H29" i="1"/>
  <c r="E29" i="1"/>
  <c r="D29" i="1"/>
  <c r="G29" i="1" s="1"/>
  <c r="I29" i="1" s="1"/>
  <c r="C29" i="1"/>
  <c r="B29" i="1"/>
  <c r="H28" i="1"/>
  <c r="I28" i="1" s="1"/>
  <c r="F28" i="1"/>
  <c r="E28" i="1"/>
  <c r="D28" i="1"/>
  <c r="C28" i="1"/>
  <c r="B28" i="1"/>
  <c r="G28" i="1" s="1"/>
  <c r="H27" i="1"/>
  <c r="G27" i="1"/>
  <c r="H26" i="1"/>
  <c r="F26" i="1"/>
  <c r="E26" i="1"/>
  <c r="G26" i="1" s="1"/>
  <c r="I26" i="1" s="1"/>
  <c r="D26" i="1"/>
  <c r="C26" i="1"/>
  <c r="B26" i="1"/>
  <c r="H25" i="1"/>
  <c r="G25" i="1"/>
  <c r="I25" i="1" s="1"/>
  <c r="F25" i="1"/>
  <c r="E25" i="1"/>
  <c r="D25" i="1"/>
  <c r="C25" i="1"/>
  <c r="B25" i="1"/>
  <c r="H24" i="1"/>
  <c r="E24" i="1"/>
  <c r="G24" i="1" s="1"/>
  <c r="I24" i="1" s="1"/>
  <c r="H23" i="1"/>
  <c r="E23" i="1"/>
  <c r="D23" i="1"/>
  <c r="C23" i="1"/>
  <c r="B23" i="1"/>
  <c r="G23" i="1" s="1"/>
  <c r="I23" i="1" s="1"/>
  <c r="H22" i="1"/>
  <c r="F22" i="1"/>
  <c r="E22" i="1"/>
  <c r="D22" i="1"/>
  <c r="D37" i="1" s="1"/>
  <c r="D38" i="1" s="1"/>
  <c r="C22" i="1"/>
  <c r="B22" i="1"/>
  <c r="J20" i="1"/>
  <c r="F20" i="1"/>
  <c r="E20" i="1"/>
  <c r="D20" i="1"/>
  <c r="C20" i="1"/>
  <c r="G20" i="1" s="1"/>
  <c r="B20" i="1"/>
  <c r="G19" i="1"/>
  <c r="I19" i="1" s="1"/>
  <c r="I18" i="1"/>
  <c r="K18" i="1" s="1"/>
  <c r="G18" i="1"/>
  <c r="G17" i="1"/>
  <c r="I17" i="1" s="1"/>
  <c r="L16" i="1"/>
  <c r="I16" i="1"/>
  <c r="K16" i="1" s="1"/>
  <c r="G16" i="1"/>
  <c r="G15" i="1"/>
  <c r="I15" i="1" s="1"/>
  <c r="I14" i="1"/>
  <c r="K14" i="1" s="1"/>
  <c r="G14" i="1"/>
  <c r="I13" i="1"/>
  <c r="G13" i="1"/>
  <c r="L12" i="1"/>
  <c r="I12" i="1"/>
  <c r="K12" i="1" s="1"/>
  <c r="G12" i="1"/>
  <c r="H11" i="1"/>
  <c r="H20" i="1" s="1"/>
  <c r="G11" i="1"/>
  <c r="I11" i="1" s="1"/>
  <c r="K10" i="1"/>
  <c r="H10" i="1"/>
  <c r="G10" i="1"/>
  <c r="I10" i="1" s="1"/>
  <c r="J9" i="1"/>
  <c r="H9" i="1"/>
  <c r="F9" i="1"/>
  <c r="E9" i="1"/>
  <c r="D9" i="1"/>
  <c r="C9" i="1"/>
  <c r="B9" i="1"/>
  <c r="K26" i="1" l="1"/>
  <c r="L26" i="1"/>
  <c r="L9" i="1"/>
  <c r="L31" i="1"/>
  <c r="K31" i="1"/>
  <c r="L96" i="1"/>
  <c r="K96" i="1"/>
  <c r="I94" i="1"/>
  <c r="L151" i="1"/>
  <c r="K151" i="1"/>
  <c r="K17" i="1"/>
  <c r="L17" i="1"/>
  <c r="K23" i="1"/>
  <c r="L23" i="1"/>
  <c r="L30" i="1"/>
  <c r="K30" i="1"/>
  <c r="L188" i="1"/>
  <c r="K188" i="1"/>
  <c r="L19" i="1"/>
  <c r="K19" i="1"/>
  <c r="L28" i="1"/>
  <c r="K28" i="1"/>
  <c r="L139" i="1"/>
  <c r="K139" i="1"/>
  <c r="L15" i="1"/>
  <c r="K15" i="1"/>
  <c r="K25" i="1"/>
  <c r="L25" i="1"/>
  <c r="L131" i="1"/>
  <c r="K131" i="1"/>
  <c r="K24" i="1"/>
  <c r="L24" i="1"/>
  <c r="L58" i="1"/>
  <c r="K58" i="1"/>
  <c r="L63" i="1"/>
  <c r="K63" i="1"/>
  <c r="I61" i="1"/>
  <c r="L61" i="1" s="1"/>
  <c r="L11" i="1"/>
  <c r="K11" i="1"/>
  <c r="K29" i="1"/>
  <c r="L29" i="1"/>
  <c r="L77" i="1"/>
  <c r="K77" i="1"/>
  <c r="K191" i="1"/>
  <c r="L191" i="1"/>
  <c r="L146" i="1"/>
  <c r="K146" i="1"/>
  <c r="L160" i="1"/>
  <c r="K160" i="1"/>
  <c r="K195" i="1"/>
  <c r="I20" i="1"/>
  <c r="K20" i="1" s="1"/>
  <c r="L10" i="1"/>
  <c r="I9" i="1"/>
  <c r="L20" i="1"/>
  <c r="K36" i="1"/>
  <c r="L36" i="1"/>
  <c r="G94" i="1"/>
  <c r="G93" i="1" s="1"/>
  <c r="G100" i="1"/>
  <c r="I114" i="1"/>
  <c r="L114" i="1" s="1"/>
  <c r="L115" i="1"/>
  <c r="K115" i="1"/>
  <c r="L122" i="1"/>
  <c r="K122" i="1"/>
  <c r="G186" i="1"/>
  <c r="I186" i="1" s="1"/>
  <c r="D179" i="1"/>
  <c r="G179" i="1" s="1"/>
  <c r="I179" i="1" s="1"/>
  <c r="I27" i="1"/>
  <c r="I48" i="1"/>
  <c r="K67" i="1"/>
  <c r="I66" i="1"/>
  <c r="L74" i="1"/>
  <c r="L90" i="1"/>
  <c r="K103" i="1"/>
  <c r="L103" i="1"/>
  <c r="L112" i="1"/>
  <c r="K127" i="1"/>
  <c r="L127" i="1"/>
  <c r="L137" i="1"/>
  <c r="K137" i="1"/>
  <c r="G142" i="1"/>
  <c r="I142" i="1" s="1"/>
  <c r="L142" i="1" s="1"/>
  <c r="C141" i="1"/>
  <c r="G141" i="1" s="1"/>
  <c r="I141" i="1" s="1"/>
  <c r="L141" i="1" s="1"/>
  <c r="L152" i="1"/>
  <c r="K152" i="1"/>
  <c r="L156" i="1"/>
  <c r="K156" i="1"/>
  <c r="K204" i="1"/>
  <c r="L204" i="1"/>
  <c r="K13" i="1"/>
  <c r="L13" i="1"/>
  <c r="B37" i="1"/>
  <c r="B38" i="1" s="1"/>
  <c r="G38" i="1" s="1"/>
  <c r="G22" i="1"/>
  <c r="G37" i="1" s="1"/>
  <c r="L75" i="1"/>
  <c r="K75" i="1"/>
  <c r="K167" i="1"/>
  <c r="L167" i="1"/>
  <c r="K54" i="1"/>
  <c r="L54" i="1"/>
  <c r="K79" i="1"/>
  <c r="L91" i="1"/>
  <c r="K91" i="1"/>
  <c r="K153" i="1"/>
  <c r="K178" i="1"/>
  <c r="G125" i="1"/>
  <c r="I125" i="1" s="1"/>
  <c r="B124" i="1"/>
  <c r="G124" i="1" s="1"/>
  <c r="I124" i="1" s="1"/>
  <c r="K124" i="1" s="1"/>
  <c r="L14" i="1"/>
  <c r="G165" i="1"/>
  <c r="I165" i="1" s="1"/>
  <c r="B163" i="1"/>
  <c r="L171" i="1"/>
  <c r="K9" i="1"/>
  <c r="G33" i="1"/>
  <c r="I33" i="1" s="1"/>
  <c r="G34" i="1"/>
  <c r="I34" i="1" s="1"/>
  <c r="G44" i="1"/>
  <c r="L60" i="1"/>
  <c r="K60" i="1"/>
  <c r="I88" i="1"/>
  <c r="K92" i="1"/>
  <c r="L92" i="1"/>
  <c r="L99" i="1"/>
  <c r="I98" i="1"/>
  <c r="K98" i="1" s="1"/>
  <c r="K99" i="1"/>
  <c r="L105" i="1"/>
  <c r="K117" i="1"/>
  <c r="L135" i="1"/>
  <c r="K135" i="1"/>
  <c r="L143" i="1"/>
  <c r="L158" i="1"/>
  <c r="K158" i="1"/>
  <c r="K176" i="1"/>
  <c r="L176" i="1"/>
  <c r="L180" i="1"/>
  <c r="J179" i="1"/>
  <c r="K197" i="1"/>
  <c r="L197" i="1"/>
  <c r="G145" i="1"/>
  <c r="I145" i="1" s="1"/>
  <c r="K145" i="1" s="1"/>
  <c r="F141" i="1"/>
  <c r="F40" i="1" s="1"/>
  <c r="F207" i="1" s="1"/>
  <c r="L68" i="1"/>
  <c r="K68" i="1"/>
  <c r="K110" i="1"/>
  <c r="L110" i="1"/>
  <c r="L201" i="1"/>
  <c r="K201" i="1"/>
  <c r="K32" i="1"/>
  <c r="G65" i="1"/>
  <c r="I65" i="1" s="1"/>
  <c r="K128" i="1"/>
  <c r="L183" i="1"/>
  <c r="K183" i="1"/>
  <c r="I108" i="1"/>
  <c r="L154" i="1"/>
  <c r="K154" i="1"/>
  <c r="L184" i="1"/>
  <c r="K184" i="1"/>
  <c r="L18" i="1"/>
  <c r="H37" i="1"/>
  <c r="H38" i="1" s="1"/>
  <c r="H207" i="1" s="1"/>
  <c r="I22" i="1"/>
  <c r="L35" i="1"/>
  <c r="K52" i="1"/>
  <c r="K169" i="1"/>
  <c r="L169" i="1"/>
  <c r="K180" i="1"/>
  <c r="K185" i="1"/>
  <c r="G61" i="1"/>
  <c r="L66" i="1"/>
  <c r="K81" i="1"/>
  <c r="I80" i="1"/>
  <c r="K80" i="1" s="1"/>
  <c r="L147" i="1"/>
  <c r="K147" i="1"/>
  <c r="J162" i="1"/>
  <c r="D174" i="1"/>
  <c r="K66" i="1"/>
  <c r="G69" i="1"/>
  <c r="L76" i="1"/>
  <c r="L81" i="1"/>
  <c r="K89" i="1"/>
  <c r="L95" i="1"/>
  <c r="E98" i="1"/>
  <c r="E93" i="1" s="1"/>
  <c r="E87" i="1" s="1"/>
  <c r="K114" i="1"/>
  <c r="L130" i="1"/>
  <c r="G157" i="1"/>
  <c r="I157" i="1" s="1"/>
  <c r="K168" i="1"/>
  <c r="K70" i="1"/>
  <c r="I69" i="1"/>
  <c r="L69" i="1" s="1"/>
  <c r="J93" i="1"/>
  <c r="J47" i="1"/>
  <c r="G55" i="1"/>
  <c r="K59" i="1"/>
  <c r="G66" i="1"/>
  <c r="L70" i="1"/>
  <c r="G72" i="1"/>
  <c r="L88" i="1"/>
  <c r="J87" i="1"/>
  <c r="K88" i="1"/>
  <c r="K94" i="1"/>
  <c r="K101" i="1"/>
  <c r="I100" i="1"/>
  <c r="K100" i="1" s="1"/>
  <c r="K106" i="1"/>
  <c r="K113" i="1"/>
  <c r="L118" i="1"/>
  <c r="K123" i="1"/>
  <c r="K134" i="1"/>
  <c r="K140" i="1"/>
  <c r="L144" i="1"/>
  <c r="K149" i="1"/>
  <c r="J173" i="1"/>
  <c r="K189" i="1"/>
  <c r="L194" i="1"/>
  <c r="G9" i="1"/>
  <c r="G48" i="1"/>
  <c r="I56" i="1"/>
  <c r="I73" i="1"/>
  <c r="L78" i="1"/>
  <c r="L83" i="1"/>
  <c r="K142" i="1"/>
  <c r="B155" i="1"/>
  <c r="G155" i="1" s="1"/>
  <c r="I155" i="1" s="1"/>
  <c r="K181" i="1"/>
  <c r="L186" i="1"/>
  <c r="K186" i="1"/>
  <c r="I198" i="1"/>
  <c r="J129" i="1"/>
  <c r="E86" i="1" l="1"/>
  <c r="G87" i="1"/>
  <c r="I87" i="1" s="1"/>
  <c r="L87" i="1" s="1"/>
  <c r="K165" i="1"/>
  <c r="L165" i="1"/>
  <c r="L162" i="1"/>
  <c r="K162" i="1"/>
  <c r="G47" i="1"/>
  <c r="K129" i="1"/>
  <c r="J120" i="1"/>
  <c r="L129" i="1"/>
  <c r="B120" i="1"/>
  <c r="K93" i="1"/>
  <c r="L93" i="1"/>
  <c r="K65" i="1"/>
  <c r="L65" i="1"/>
  <c r="L80" i="1"/>
  <c r="L124" i="1"/>
  <c r="I93" i="1"/>
  <c r="L198" i="1"/>
  <c r="K198" i="1"/>
  <c r="J172" i="1"/>
  <c r="L94" i="1"/>
  <c r="D173" i="1"/>
  <c r="G174" i="1"/>
  <c r="I174" i="1" s="1"/>
  <c r="I107" i="1"/>
  <c r="L108" i="1"/>
  <c r="K108" i="1"/>
  <c r="K69" i="1"/>
  <c r="G163" i="1"/>
  <c r="I163" i="1" s="1"/>
  <c r="B162" i="1"/>
  <c r="G162" i="1" s="1"/>
  <c r="I162" i="1" s="1"/>
  <c r="C40" i="1"/>
  <c r="C207" i="1" s="1"/>
  <c r="I37" i="1"/>
  <c r="L22" i="1"/>
  <c r="K22" i="1"/>
  <c r="K61" i="1"/>
  <c r="G43" i="1"/>
  <c r="G42" i="1" s="1"/>
  <c r="I44" i="1"/>
  <c r="K157" i="1"/>
  <c r="L157" i="1"/>
  <c r="L34" i="1"/>
  <c r="K34" i="1"/>
  <c r="I47" i="1"/>
  <c r="K47" i="1" s="1"/>
  <c r="L48" i="1"/>
  <c r="K48" i="1"/>
  <c r="K155" i="1"/>
  <c r="L155" i="1"/>
  <c r="L145" i="1"/>
  <c r="L33" i="1"/>
  <c r="K33" i="1"/>
  <c r="L98" i="1"/>
  <c r="L100" i="1"/>
  <c r="I72" i="1"/>
  <c r="L73" i="1"/>
  <c r="K73" i="1"/>
  <c r="L56" i="1"/>
  <c r="K56" i="1"/>
  <c r="I55" i="1"/>
  <c r="L125" i="1"/>
  <c r="K125" i="1"/>
  <c r="J86" i="1"/>
  <c r="K87" i="1"/>
  <c r="K141" i="1"/>
  <c r="L179" i="1"/>
  <c r="K179" i="1"/>
  <c r="K27" i="1"/>
  <c r="L27" i="1"/>
  <c r="L107" i="1" l="1"/>
  <c r="K107" i="1"/>
  <c r="L47" i="1"/>
  <c r="I38" i="1"/>
  <c r="K37" i="1"/>
  <c r="L37" i="1"/>
  <c r="K44" i="1"/>
  <c r="I43" i="1"/>
  <c r="L44" i="1"/>
  <c r="K72" i="1"/>
  <c r="L72" i="1"/>
  <c r="L163" i="1"/>
  <c r="K163" i="1"/>
  <c r="L55" i="1"/>
  <c r="K55" i="1"/>
  <c r="K174" i="1"/>
  <c r="L174" i="1"/>
  <c r="B119" i="1"/>
  <c r="B40" i="1" s="1"/>
  <c r="G120" i="1"/>
  <c r="D172" i="1"/>
  <c r="G173" i="1"/>
  <c r="I173" i="1" s="1"/>
  <c r="J119" i="1"/>
  <c r="E40" i="1"/>
  <c r="E207" i="1" s="1"/>
  <c r="G86" i="1"/>
  <c r="I86" i="1" s="1"/>
  <c r="L86" i="1" s="1"/>
  <c r="J40" i="1" l="1"/>
  <c r="K173" i="1"/>
  <c r="L173" i="1"/>
  <c r="G172" i="1"/>
  <c r="I172" i="1" s="1"/>
  <c r="D40" i="1"/>
  <c r="D207" i="1" s="1"/>
  <c r="K86" i="1"/>
  <c r="G119" i="1"/>
  <c r="I120" i="1"/>
  <c r="K38" i="1"/>
  <c r="L38" i="1"/>
  <c r="G40" i="1"/>
  <c r="I40" i="1" s="1"/>
  <c r="B207" i="1"/>
  <c r="G207" i="1" s="1"/>
  <c r="I207" i="1" s="1"/>
  <c r="L43" i="1"/>
  <c r="K43" i="1"/>
  <c r="I42" i="1"/>
  <c r="L40" i="1" l="1"/>
  <c r="K40" i="1"/>
  <c r="J207" i="1"/>
  <c r="I119" i="1"/>
  <c r="L120" i="1"/>
  <c r="K120" i="1"/>
  <c r="K42" i="1"/>
  <c r="L42" i="1"/>
  <c r="L172" i="1"/>
  <c r="K172" i="1"/>
  <c r="L207" i="1" l="1"/>
  <c r="K207" i="1"/>
  <c r="K119" i="1"/>
  <c r="L119" i="1"/>
</calcChain>
</file>

<file path=xl/comments1.xml><?xml version="1.0" encoding="utf-8"?>
<comments xmlns="http://schemas.openxmlformats.org/spreadsheetml/2006/main">
  <authors>
    <author>Oscar Rubio</author>
  </authors>
  <commentList>
    <comment ref="L10" authorId="0" shapeId="0">
      <text>
        <r>
          <rPr>
            <sz val="9"/>
            <color indexed="81"/>
            <rFont val="Tahoma"/>
            <family val="2"/>
          </rPr>
          <t xml:space="preserve">No se ejecuto gran parte de los salarios solicitados debido al pago de vacaciones de la vigencia </t>
        </r>
      </text>
    </comment>
    <comment ref="L25" authorId="0" shapeId="0">
      <text>
        <r>
          <rPr>
            <sz val="9"/>
            <color indexed="81"/>
            <rFont val="Tahoma"/>
            <family val="2"/>
          </rPr>
          <t xml:space="preserve"> No se realizaron envios de biologico a la zona atlantica debido a la demora del ICA en la expedición de la resolución de PPC</t>
        </r>
      </text>
    </comment>
    <comment ref="L26" authorId="0" shapeId="0">
      <text>
        <r>
          <rPr>
            <sz val="9"/>
            <color indexed="81"/>
            <rFont val="Tahoma"/>
            <family val="2"/>
          </rPr>
          <t>Se optimizo los recursos en los traslados internos</t>
        </r>
      </text>
    </comment>
    <comment ref="L29" authorId="0" shapeId="0">
      <text>
        <r>
          <rPr>
            <sz val="9"/>
            <color indexed="81"/>
            <rFont val="Tahoma"/>
            <family val="2"/>
          </rPr>
          <t>Se efectua devolución ya que los convenios se firmaron por menor valor al contemplado inicialmente</t>
        </r>
      </text>
    </comment>
    <comment ref="L30" authorId="0" shapeId="0">
      <text>
        <r>
          <rPr>
            <sz val="9"/>
            <color indexed="81"/>
            <rFont val="Tahoma"/>
            <family val="2"/>
          </rPr>
          <t>Debido a que se manejan CDT y Fiducias optimizamos el recurso en gastos bancarios</t>
        </r>
      </text>
    </comment>
    <comment ref="L31" authorId="0" shapeId="0">
      <text>
        <r>
          <rPr>
            <sz val="9"/>
            <color indexed="81"/>
            <rFont val="Tahoma"/>
            <family val="2"/>
          </rPr>
          <t>Debido a que se tuvieron vacaciones colectivas se reduce el valor de los auxilios de movilización en PPC</t>
        </r>
      </text>
    </comment>
    <comment ref="L35" authorId="0" shapeId="0">
      <text>
        <r>
          <rPr>
            <sz val="9"/>
            <color indexed="81"/>
            <rFont val="Tahoma"/>
            <family val="2"/>
          </rPr>
          <t>Se optimizo recurso en el alquiler de equipos de computo para la contraloria</t>
        </r>
      </text>
    </comment>
    <comment ref="L36" authorId="0" shapeId="0">
      <text>
        <r>
          <rPr>
            <sz val="9"/>
            <color indexed="81"/>
            <rFont val="Tahoma"/>
            <family val="2"/>
          </rPr>
          <t>Debido a que las juntas directivas se realizaron en un solo dia no fue necesario cubrir hospedaje de los miembros de junta</t>
        </r>
      </text>
    </comment>
    <comment ref="L110" authorId="0" shapeId="0">
      <text>
        <r>
          <rPr>
            <sz val="9"/>
            <color indexed="81"/>
            <rFont val="Tahoma"/>
            <family val="2"/>
          </rPr>
          <t xml:space="preserve"> No se realizaron vacunación de biologico en la zona atlantica debido a la demora del ICA en la expedición de la resolución de PPC</t>
        </r>
      </text>
    </comment>
    <comment ref="L151" authorId="0" shapeId="0">
      <text>
        <r>
          <rPr>
            <sz val="9"/>
            <color indexed="81"/>
            <rFont val="Tahoma"/>
            <family val="2"/>
          </rPr>
          <t>Se optimizaron los recursos en los gastos de consultoria internacional</t>
        </r>
      </text>
    </comment>
    <comment ref="L163" authorId="0" shapeId="0">
      <text>
        <r>
          <rPr>
            <sz val="9"/>
            <color indexed="81"/>
            <rFont val="Tahoma"/>
            <family val="2"/>
          </rPr>
          <t>se solicito recurso para realizar el ejercicio de divulgacion en todas las plantas en referencia al nuevo software de recaudo sin embargo no se pudo realizar por que la resolución no fue emitida</t>
        </r>
      </text>
    </comment>
  </commentList>
</comments>
</file>

<file path=xl/sharedStrings.xml><?xml version="1.0" encoding="utf-8"?>
<sst xmlns="http://schemas.openxmlformats.org/spreadsheetml/2006/main" count="210" uniqueCount="205">
  <si>
    <t>MINISTERIO DE AGRICULTURA  Y DESARROLLO RURAL</t>
  </si>
  <si>
    <t>DIRECCIÓN DE PLANEACIÓN Y SEGUIMIENTO PRESUPUESTAL</t>
  </si>
  <si>
    <t>PRESUPUESTO DE GASTOS DE FUNCIONAMIENTO E INVERSIÓN 2.014</t>
  </si>
  <si>
    <t>EJECUCIÓN TRIMESTRE OCTUBRE-DICIEMBRE 2014</t>
  </si>
  <si>
    <t>ANEXO 2</t>
  </si>
  <si>
    <t>CUENTAS</t>
  </si>
  <si>
    <t>PROGRAMAS ECONÓMICA</t>
  </si>
  <si>
    <t>PROGRAMAS TÉCNICA</t>
  </si>
  <si>
    <t>PROGRAMAS INVESTIGACIÓN Y TRANSFERENCIA DE TÉCNOLOGÍA</t>
  </si>
  <si>
    <t>PROGRAMA PPC</t>
  </si>
  <si>
    <t>PROGRAMAS MERCADEO</t>
  </si>
  <si>
    <t>TOTAL INVERSIÓN</t>
  </si>
  <si>
    <t>GASTOS DE FUNCIONAMIENTO</t>
  </si>
  <si>
    <t>TOTAL PRESUPUESTO</t>
  </si>
  <si>
    <t>TOTAL EJECUTADO</t>
  </si>
  <si>
    <t>ACUERDO 02/15</t>
  </si>
  <si>
    <t>% EJECUCIÓN</t>
  </si>
  <si>
    <t>GASTOS DE PERSONAL</t>
  </si>
  <si>
    <t>Servicios de personal</t>
  </si>
  <si>
    <t>Sueldos</t>
  </si>
  <si>
    <t>Vacaciones</t>
  </si>
  <si>
    <t>Prima legal</t>
  </si>
  <si>
    <t>Honorarios</t>
  </si>
  <si>
    <t xml:space="preserve">Dotación y suministro </t>
  </si>
  <si>
    <t>Cesantías</t>
  </si>
  <si>
    <t>Intereses de cesantías</t>
  </si>
  <si>
    <t>Seguros y/o fondos privados</t>
  </si>
  <si>
    <t>Caja de compensación</t>
  </si>
  <si>
    <t>Aportes ICBF y SENA</t>
  </si>
  <si>
    <t>SUBTOTAL GASTOS PERSONAL</t>
  </si>
  <si>
    <t>GASTOS GENERALES</t>
  </si>
  <si>
    <t>Muebles, equipos de oficina y software</t>
  </si>
  <si>
    <t>Impresos y publicaciones</t>
  </si>
  <si>
    <t>Materiales y suministros</t>
  </si>
  <si>
    <t>Correo</t>
  </si>
  <si>
    <t>Transportes, fletes y acarreos</t>
  </si>
  <si>
    <t xml:space="preserve">Capacitación </t>
  </si>
  <si>
    <t xml:space="preserve">Mantenimiento </t>
  </si>
  <si>
    <t>Seguros, impuestos y gastos legales</t>
  </si>
  <si>
    <t>Comisiones y gastos bancarios</t>
  </si>
  <si>
    <t>Gastos de viaje</t>
  </si>
  <si>
    <t>Aseo, vigilancia y cafetería</t>
  </si>
  <si>
    <t>Servicios públicos</t>
  </si>
  <si>
    <t>Arriendos</t>
  </si>
  <si>
    <t>Cuota auditaje CGR</t>
  </si>
  <si>
    <t>Gastos comisión de fomento</t>
  </si>
  <si>
    <t>SUBTOTAL GASTOS GENERALES</t>
  </si>
  <si>
    <t>TOTAL FUNCIONAMIENTO</t>
  </si>
  <si>
    <t>TOTAL PROGRAMAS Y PROYECTOS</t>
  </si>
  <si>
    <t>FORTALECER LA INSTITUCIONALIDAD SECTORIAL</t>
  </si>
  <si>
    <t>Fortalecimiento institucional</t>
  </si>
  <si>
    <t>Comsac</t>
  </si>
  <si>
    <t>Participación en Negociaciones Internacionales</t>
  </si>
  <si>
    <t xml:space="preserve">Cadena porcícola </t>
  </si>
  <si>
    <t>PROMOVER EL CONSUMO DE CARNE DE CERDO COLOMBIANA</t>
  </si>
  <si>
    <t>Investigación de mercados</t>
  </si>
  <si>
    <t>Home Panel Nielsen</t>
  </si>
  <si>
    <t>Brand Equity and Tracking</t>
  </si>
  <si>
    <t>Eye Tracking</t>
  </si>
  <si>
    <t>Ingesta de Carne de cerdo (Pacientes diabeticos y obesos) Fase III</t>
  </si>
  <si>
    <t>Monitoreo de Medios</t>
  </si>
  <si>
    <t>Tracking publicitario</t>
  </si>
  <si>
    <t>Sensibilización de las bondades gastronómicas y nutricionales de la carne de cerdo</t>
  </si>
  <si>
    <t>Nutricionistas</t>
  </si>
  <si>
    <t>Asesores Gastronómicos</t>
  </si>
  <si>
    <t>Día de la Carne de Cerdo</t>
  </si>
  <si>
    <t>Capacitación anual contratistas</t>
  </si>
  <si>
    <t>Viajes regionales equipo día de la Carne de Cerdo</t>
  </si>
  <si>
    <t>Campaña de fomento al consumo</t>
  </si>
  <si>
    <t>Campaña de publicidad</t>
  </si>
  <si>
    <t>Desarrollo nuevas recetas</t>
  </si>
  <si>
    <t>Agencia Free Press</t>
  </si>
  <si>
    <t>Consultoría MESA</t>
  </si>
  <si>
    <t>Estrategia Digital</t>
  </si>
  <si>
    <t>Me encanta la canta de cerdo.com</t>
  </si>
  <si>
    <t>Club Gourmet de la Carne de Cerdo</t>
  </si>
  <si>
    <t>Divulgación sectorial</t>
  </si>
  <si>
    <t>Pauta institucional</t>
  </si>
  <si>
    <t>Kit publicitario</t>
  </si>
  <si>
    <t>Eventos de incentivo al consumo</t>
  </si>
  <si>
    <t>Gestión y seguimiento a eventos de mercadeo</t>
  </si>
  <si>
    <t>Eventos Feriales</t>
  </si>
  <si>
    <t>Festival de la Carne de cerdo</t>
  </si>
  <si>
    <t>Concurso Sabor innovador</t>
  </si>
  <si>
    <t>Eventos al Sector</t>
  </si>
  <si>
    <t>Porciamericas</t>
  </si>
  <si>
    <t>Activaciones y eventos meencantalacarnedecerdo.com,club     gourmet, Facebook , Twitter</t>
  </si>
  <si>
    <t>Incentivo al consumo de la carne de cerdo en el canal institucional (horeca)</t>
  </si>
  <si>
    <t xml:space="preserve">Seguimiento gestión HORECA </t>
  </si>
  <si>
    <t>Seguimiento e implementación otras ciudades</t>
  </si>
  <si>
    <t>Material Publicitario, Promoción y Divulgación</t>
  </si>
  <si>
    <t>Eventos Canal Institucional de capacitación y divulgación  (Horeca)</t>
  </si>
  <si>
    <t>FORTALECER EL ESTATUS SANITARIO Y LA PRODUCCIÓN SOSTENIBLE DEL SECTOR PORCICOLA</t>
  </si>
  <si>
    <t>ERRADICACIÓN DE PPC</t>
  </si>
  <si>
    <t>Regionalización</t>
  </si>
  <si>
    <t>Compra de biológico, chapetas y tenazas</t>
  </si>
  <si>
    <t>Compra de materiales y dotaciones</t>
  </si>
  <si>
    <t>Pago de auxilios de frío, flete y movilizaciones</t>
  </si>
  <si>
    <t>Brigadas</t>
  </si>
  <si>
    <t>Capacitación y divulgación</t>
  </si>
  <si>
    <t>Capacitación</t>
  </si>
  <si>
    <t>Reunión anual</t>
  </si>
  <si>
    <t>Talleres de formación PPC</t>
  </si>
  <si>
    <t>Asesoría internacional</t>
  </si>
  <si>
    <t>Divulgación</t>
  </si>
  <si>
    <t>Publicidad</t>
  </si>
  <si>
    <t>Vigilancia epidemiológica</t>
  </si>
  <si>
    <t>Diagnóstico Rutinario</t>
  </si>
  <si>
    <t>Vigilancia de campo</t>
  </si>
  <si>
    <t>Determinación de factores de riesgo</t>
  </si>
  <si>
    <t>Equipos comunicación puestos control</t>
  </si>
  <si>
    <t>Admisibilidad y normatividad sanitaria</t>
  </si>
  <si>
    <t>Control al Contrabando</t>
  </si>
  <si>
    <t>Administración del programa</t>
  </si>
  <si>
    <t>Administración de la base de datos</t>
  </si>
  <si>
    <t>Depuración, codificación y verificación de predios</t>
  </si>
  <si>
    <t>Ciclos de vacunación</t>
  </si>
  <si>
    <t>Contratación de personal</t>
  </si>
  <si>
    <t xml:space="preserve">Auxilios de comités de ganaderos </t>
  </si>
  <si>
    <t>Recolección de desechos biológicos</t>
  </si>
  <si>
    <t>MEJORAMIENTO DEL ESTATUS SANITARIO</t>
  </si>
  <si>
    <t>Evaluación condición TGEV -PRCV en Colombia</t>
  </si>
  <si>
    <t>Control y monitoreo para la enfermedad de PRRS en granjas de Colombia</t>
  </si>
  <si>
    <t>Diagnóstico sanitario</t>
  </si>
  <si>
    <t>Programa Nacional de Mejoramiento del Estatus Sanitario</t>
  </si>
  <si>
    <t>FORTALECER LA GESTIÓN EMPRESARIAL E INTEGRACIÓN DE LA CADENA CARNICA PORCICOLA</t>
  </si>
  <si>
    <t>Centro de servicios técnicos y financieros</t>
  </si>
  <si>
    <t xml:space="preserve">  Programa IAT </t>
  </si>
  <si>
    <t xml:space="preserve">   Contrapartida FNP </t>
  </si>
  <si>
    <t xml:space="preserve">   Administración Fiducia</t>
  </si>
  <si>
    <t xml:space="preserve">  Asistencia a productores</t>
  </si>
  <si>
    <t>Asesorías a medianos y grandes productores y grupos</t>
  </si>
  <si>
    <t>Asesorías a pequeños productores</t>
  </si>
  <si>
    <t>Herramientas del Centro de servicios</t>
  </si>
  <si>
    <t>Programa Resolución 2640 (Divulgación e Implementación de BPP en granja)</t>
  </si>
  <si>
    <t xml:space="preserve">  Convenios con las Gobernaciones</t>
  </si>
  <si>
    <t>Contrapartidas Gobernaciones</t>
  </si>
  <si>
    <t>Contrapartida Gobernación Cundinamarca</t>
  </si>
  <si>
    <t>Contrapartida Gobernación Antioquia</t>
  </si>
  <si>
    <t>Contrapartida Gobernación Valle</t>
  </si>
  <si>
    <t>Convenio Pereira</t>
  </si>
  <si>
    <t>Contrapartidas FNP</t>
  </si>
  <si>
    <t>Seguimiento a Convenios</t>
  </si>
  <si>
    <t>PROMOVER EL ASEGURAMIENTO DE LA CALIDAD DE LA CADENA CÁRNICA PORCINA</t>
  </si>
  <si>
    <t>Aseguramiento de la calidad en gestión primaria</t>
  </si>
  <si>
    <t xml:space="preserve">  Gestión ambiental en producción primaria</t>
  </si>
  <si>
    <t xml:space="preserve">  Diseño Sistema de Certificación BPP</t>
  </si>
  <si>
    <t xml:space="preserve">Aseguramiento de la calidad en la cadena de transformación(HACCP-BPM) </t>
  </si>
  <si>
    <t>Asesorías BPM y HACCP</t>
  </si>
  <si>
    <t>Afiliación ICONTEC</t>
  </si>
  <si>
    <t>Seguimiento magro</t>
  </si>
  <si>
    <t>Asesoría internacional en calidad</t>
  </si>
  <si>
    <t>Estrategias en diferenciación</t>
  </si>
  <si>
    <t>Consultoría nacional</t>
  </si>
  <si>
    <t>Asesores Transición sello de respaldo</t>
  </si>
  <si>
    <t>Gastos de viaje consultoría</t>
  </si>
  <si>
    <t>FORTALECER LOS SISTEMAS DE INFORMACIÓN Y GESTIONAR INTELIGENCIA DE MERCADOS</t>
  </si>
  <si>
    <t>Sistemas de información de mercados</t>
  </si>
  <si>
    <t xml:space="preserve">Monitoreo Precios de la Carne al Consumidor </t>
  </si>
  <si>
    <t>Actualización de información</t>
  </si>
  <si>
    <t>Promoción de exportaciones</t>
  </si>
  <si>
    <t>Informes de los mercados internacionales de Carne</t>
  </si>
  <si>
    <t>Actividades CAAC Admisibilidad Corea</t>
  </si>
  <si>
    <t>FORTALECER EL BENEFICIO FORMAL</t>
  </si>
  <si>
    <t>Fortalecimiento al recaudo</t>
  </si>
  <si>
    <t>Auxilios de movilización de los coordinadores de recaudo</t>
  </si>
  <si>
    <t>Jornadas de trabajo coordinadores</t>
  </si>
  <si>
    <t>Seguimiento recaudo regional</t>
  </si>
  <si>
    <t>Trabajo con autoridades</t>
  </si>
  <si>
    <t>Gastos legalizables coordinadores</t>
  </si>
  <si>
    <t>Fortalecimiento de la infraestructura de beneficio</t>
  </si>
  <si>
    <t xml:space="preserve">Evaluación de Infraestructura existente </t>
  </si>
  <si>
    <t>Estudios de infraestructura regional</t>
  </si>
  <si>
    <t>GESTIONAR LA INVESTIGACIÓN Y DESARROLLO DE LA CADENA</t>
  </si>
  <si>
    <t>INVESTIGACIÓN Y DESARROLLO</t>
  </si>
  <si>
    <t>Investigación</t>
  </si>
  <si>
    <t>Proyectos</t>
  </si>
  <si>
    <t>Capacitación anual</t>
  </si>
  <si>
    <t>Jornadas de divulgación resultados de investigación</t>
  </si>
  <si>
    <t>PEDv</t>
  </si>
  <si>
    <t>TRANSFERENCIA DE TECNOLOGÍA</t>
  </si>
  <si>
    <t>Vinculación Tecnológica</t>
  </si>
  <si>
    <t>Capacitación en desposte de carne de cerdo</t>
  </si>
  <si>
    <t>Valor agregado a los cortes secundarios</t>
  </si>
  <si>
    <t>Diplomado en gerencia integral porcícola</t>
  </si>
  <si>
    <t>Gira técnica</t>
  </si>
  <si>
    <t>Fortalecimiento centros de formación SENA</t>
  </si>
  <si>
    <t>Talleres y seminarios</t>
  </si>
  <si>
    <t>Seminario Internacional</t>
  </si>
  <si>
    <t>Capacitación para expendios</t>
  </si>
  <si>
    <t>Capacitación a operarios de granja</t>
  </si>
  <si>
    <t>Mejore las finanzas</t>
  </si>
  <si>
    <t>Talleres para chef</t>
  </si>
  <si>
    <t>Capacitación HACCP avanzado</t>
  </si>
  <si>
    <t>Capacitación plantas de alimento balanceado</t>
  </si>
  <si>
    <t>Curso Premezcla y aditivos</t>
  </si>
  <si>
    <t>Material de apoyo</t>
  </si>
  <si>
    <t>CUOTA DE ADMINISTRACIÓN</t>
  </si>
  <si>
    <t>Cuota de administración FNP</t>
  </si>
  <si>
    <t>Cuota de administración PPC</t>
  </si>
  <si>
    <t>FONDO DE EMERGENCIA</t>
  </si>
  <si>
    <t xml:space="preserve">RESERVA FUTURAS INVERSIONES Y GASTOS </t>
  </si>
  <si>
    <t>Cuota de fomento porcícola</t>
  </si>
  <si>
    <t>Cuota de erradicación Peste Porcina Clásica</t>
  </si>
  <si>
    <t xml:space="preserve">TOTAL GASTOS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</si>
</sst>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 #,##0.00_ ;_ * \-#,##0.00_ ;_ * &quot;-&quot;??_ ;_ @_ "/>
  </numFmts>
  <fonts count="15" x14ac:knownFonts="1">
    <font>
      <sz val="10"/>
      <name val="Arial"/>
    </font>
    <font>
      <sz val="10"/>
      <name val="Arial"/>
    </font>
    <font>
      <b/>
      <sz val="11"/>
      <name val="Arial"/>
      <family val="2"/>
      <charset val="186"/>
    </font>
    <font>
      <b/>
      <sz val="11"/>
      <color indexed="10"/>
      <name val="Arial"/>
      <family val="2"/>
      <charset val="186"/>
    </font>
    <font>
      <b/>
      <sz val="11"/>
      <color rgb="FFFF0000"/>
      <name val="Arial"/>
      <family val="2"/>
      <charset val="186"/>
    </font>
    <font>
      <sz val="11"/>
      <name val="Arial"/>
      <family val="2"/>
      <charset val="186"/>
    </font>
    <font>
      <b/>
      <sz val="11"/>
      <name val="Arial"/>
      <family val="2"/>
    </font>
    <font>
      <sz val="10"/>
      <color indexed="14"/>
      <name val="Arial"/>
      <family val="2"/>
    </font>
    <font>
      <sz val="11"/>
      <name val="Arial"/>
      <family val="2"/>
    </font>
    <font>
      <sz val="11"/>
      <color indexed="8"/>
      <name val="Arial"/>
      <family val="2"/>
    </font>
    <font>
      <b/>
      <sz val="10"/>
      <name val="Arial"/>
      <family val="2"/>
    </font>
    <font>
      <sz val="10"/>
      <name val="Arial"/>
      <family val="2"/>
    </font>
    <font>
      <sz val="9"/>
      <name val="Times New Roman"/>
      <family val="1"/>
    </font>
    <font>
      <sz val="12"/>
      <name val="Times New Roman"/>
      <family val="1"/>
    </font>
    <font>
      <sz val="9"/>
      <color indexed="81"/>
      <name val="Tahoma"/>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59999389629810485"/>
        <bgColor indexed="64"/>
      </patternFill>
    </fill>
  </fills>
  <borders count="21">
    <border>
      <left/>
      <right/>
      <top/>
      <bottom/>
      <diagonal/>
    </border>
    <border>
      <left/>
      <right/>
      <top/>
      <bottom style="double">
        <color indexed="64"/>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right style="double">
        <color indexed="64"/>
      </right>
      <top style="hair">
        <color indexed="64"/>
      </top>
      <bottom/>
      <diagonal/>
    </border>
    <border>
      <left style="double">
        <color indexed="64"/>
      </left>
      <right style="hair">
        <color indexed="64"/>
      </right>
      <top/>
      <bottom/>
      <diagonal/>
    </border>
    <border>
      <left style="hair">
        <color indexed="64"/>
      </left>
      <right style="hair">
        <color indexed="64"/>
      </right>
      <top/>
      <bottom/>
      <diagonal/>
    </border>
    <border>
      <left/>
      <right style="double">
        <color indexed="64"/>
      </right>
      <top/>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double">
        <color indexed="64"/>
      </right>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right style="double">
        <color indexed="64"/>
      </right>
      <top style="hair">
        <color indexed="64"/>
      </top>
      <bottom style="double">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164" fontId="11" fillId="0" borderId="0" applyFont="0" applyFill="0" applyBorder="0" applyAlignment="0" applyProtection="0"/>
  </cellStyleXfs>
  <cellXfs count="106">
    <xf numFmtId="0" fontId="0" fillId="0" borderId="0" xfId="0"/>
    <xf numFmtId="0" fontId="2" fillId="0" borderId="0" xfId="0" applyFont="1" applyFill="1" applyAlignment="1">
      <alignment horizontal="center"/>
    </xf>
    <xf numFmtId="0" fontId="0" fillId="0" borderId="0" xfId="0" applyFill="1"/>
    <xf numFmtId="3" fontId="3" fillId="0" borderId="1" xfId="0" applyNumberFormat="1" applyFont="1" applyFill="1" applyBorder="1" applyAlignment="1">
      <alignment horizontal="centerContinuous"/>
    </xf>
    <xf numFmtId="3" fontId="2" fillId="0" borderId="1" xfId="0" applyNumberFormat="1" applyFont="1" applyFill="1" applyBorder="1" applyAlignment="1">
      <alignment horizontal="centerContinuous"/>
    </xf>
    <xf numFmtId="0" fontId="3" fillId="0" borderId="1" xfId="0" applyFont="1" applyFill="1" applyBorder="1" applyAlignment="1">
      <alignment horizontal="centerContinuous"/>
    </xf>
    <xf numFmtId="0" fontId="2" fillId="0" borderId="1" xfId="0" applyFont="1" applyFill="1" applyBorder="1" applyAlignment="1">
      <alignment horizontal="centerContinuous"/>
    </xf>
    <xf numFmtId="0" fontId="4" fillId="0" borderId="1" xfId="0" applyFont="1" applyFill="1" applyBorder="1" applyAlignment="1">
      <alignment horizontal="centerContinuous"/>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3" fontId="2" fillId="0" borderId="6" xfId="0" applyNumberFormat="1" applyFont="1" applyFill="1" applyBorder="1" applyAlignment="1"/>
    <xf numFmtId="0" fontId="5" fillId="0" borderId="7" xfId="0" applyFont="1" applyFill="1" applyBorder="1"/>
    <xf numFmtId="0" fontId="5" fillId="0" borderId="8" xfId="0" applyFont="1" applyFill="1" applyBorder="1"/>
    <xf numFmtId="3" fontId="6" fillId="0" borderId="6" xfId="0" applyNumberFormat="1" applyFont="1" applyFill="1" applyBorder="1" applyAlignment="1"/>
    <xf numFmtId="3" fontId="6" fillId="0" borderId="7" xfId="0" applyNumberFormat="1" applyFont="1" applyFill="1" applyBorder="1"/>
    <xf numFmtId="10" fontId="6" fillId="0" borderId="8" xfId="2" applyNumberFormat="1" applyFont="1" applyFill="1" applyBorder="1"/>
    <xf numFmtId="0" fontId="7" fillId="0" borderId="0" xfId="0" applyFont="1" applyFill="1"/>
    <xf numFmtId="3" fontId="5" fillId="0" borderId="6" xfId="0" applyNumberFormat="1" applyFont="1" applyFill="1" applyBorder="1" applyAlignment="1"/>
    <xf numFmtId="3" fontId="5" fillId="0" borderId="7" xfId="0" applyNumberFormat="1" applyFont="1" applyFill="1" applyBorder="1"/>
    <xf numFmtId="3" fontId="8" fillId="0" borderId="7" xfId="0" applyNumberFormat="1" applyFont="1" applyFill="1" applyBorder="1"/>
    <xf numFmtId="10" fontId="8" fillId="0" borderId="8" xfId="2" applyNumberFormat="1" applyFont="1" applyFill="1" applyBorder="1"/>
    <xf numFmtId="0" fontId="0" fillId="0" borderId="0" xfId="0" applyFill="1" applyAlignment="1">
      <alignment horizontal="center"/>
    </xf>
    <xf numFmtId="10" fontId="0" fillId="0" borderId="0" xfId="2" applyNumberFormat="1" applyFont="1" applyFill="1"/>
    <xf numFmtId="3" fontId="9" fillId="0" borderId="7" xfId="0" applyNumberFormat="1" applyFont="1" applyFill="1" applyBorder="1"/>
    <xf numFmtId="3" fontId="0" fillId="0" borderId="0" xfId="0" applyNumberFormat="1" applyFill="1"/>
    <xf numFmtId="0" fontId="2" fillId="0" borderId="6" xfId="0" applyFont="1" applyFill="1" applyBorder="1" applyAlignment="1"/>
    <xf numFmtId="3" fontId="2" fillId="2" borderId="7" xfId="0" applyNumberFormat="1" applyFont="1" applyFill="1" applyBorder="1"/>
    <xf numFmtId="3" fontId="5" fillId="2" borderId="7" xfId="0" applyNumberFormat="1" applyFont="1" applyFill="1" applyBorder="1"/>
    <xf numFmtId="3" fontId="5" fillId="3" borderId="7" xfId="0" applyNumberFormat="1" applyFont="1" applyFill="1" applyBorder="1"/>
    <xf numFmtId="0" fontId="5" fillId="0" borderId="6" xfId="0" applyFont="1" applyFill="1" applyBorder="1" applyAlignment="1"/>
    <xf numFmtId="3" fontId="5" fillId="0" borderId="7" xfId="1" applyNumberFormat="1" applyFont="1" applyFill="1" applyBorder="1"/>
    <xf numFmtId="3" fontId="5" fillId="2" borderId="7" xfId="1" applyNumberFormat="1" applyFont="1" applyFill="1" applyBorder="1"/>
    <xf numFmtId="0" fontId="5" fillId="3" borderId="6" xfId="0" applyFont="1" applyFill="1" applyBorder="1" applyAlignment="1"/>
    <xf numFmtId="3" fontId="2" fillId="0" borderId="7" xfId="0" applyNumberFormat="1" applyFont="1" applyFill="1" applyBorder="1"/>
    <xf numFmtId="3" fontId="6" fillId="0" borderId="7" xfId="1" applyNumberFormat="1" applyFont="1" applyFill="1" applyBorder="1"/>
    <xf numFmtId="0" fontId="2" fillId="0" borderId="9" xfId="0" applyFont="1" applyFill="1" applyBorder="1" applyAlignment="1"/>
    <xf numFmtId="3" fontId="2" fillId="0" borderId="10" xfId="0" applyNumberFormat="1" applyFont="1" applyFill="1" applyBorder="1"/>
    <xf numFmtId="3" fontId="6" fillId="0" borderId="10" xfId="1" applyNumberFormat="1" applyFont="1" applyFill="1" applyBorder="1"/>
    <xf numFmtId="10" fontId="6" fillId="0" borderId="11" xfId="2" applyNumberFormat="1" applyFont="1" applyFill="1" applyBorder="1"/>
    <xf numFmtId="43" fontId="0" fillId="0" borderId="0" xfId="0" applyNumberFormat="1" applyFill="1"/>
    <xf numFmtId="0" fontId="5" fillId="0" borderId="12" xfId="0" applyFont="1" applyFill="1" applyBorder="1" applyAlignment="1"/>
    <xf numFmtId="3" fontId="5" fillId="0" borderId="13" xfId="0" applyNumberFormat="1" applyFont="1" applyFill="1" applyBorder="1"/>
    <xf numFmtId="10" fontId="6" fillId="0" borderId="14" xfId="2" applyNumberFormat="1" applyFont="1" applyFill="1" applyBorder="1"/>
    <xf numFmtId="0" fontId="2" fillId="0" borderId="15" xfId="0" applyFont="1" applyFill="1" applyBorder="1" applyAlignment="1"/>
    <xf numFmtId="3" fontId="2" fillId="0" borderId="16" xfId="0" applyNumberFormat="1" applyFont="1" applyFill="1" applyBorder="1"/>
    <xf numFmtId="10" fontId="6" fillId="0" borderId="17" xfId="2" applyNumberFormat="1" applyFont="1" applyFill="1" applyBorder="1"/>
    <xf numFmtId="0" fontId="2" fillId="4" borderId="6" xfId="0" applyFont="1" applyFill="1" applyBorder="1" applyAlignment="1">
      <alignment wrapText="1"/>
    </xf>
    <xf numFmtId="3" fontId="2" fillId="4" borderId="7" xfId="0" applyNumberFormat="1" applyFont="1" applyFill="1" applyBorder="1"/>
    <xf numFmtId="10" fontId="6" fillId="4" borderId="8" xfId="2" applyNumberFormat="1" applyFont="1" applyFill="1" applyBorder="1"/>
    <xf numFmtId="0" fontId="0" fillId="3" borderId="0" xfId="0" applyFill="1"/>
    <xf numFmtId="37" fontId="2" fillId="3" borderId="6" xfId="0" applyNumberFormat="1" applyFont="1" applyFill="1" applyBorder="1" applyAlignment="1"/>
    <xf numFmtId="3" fontId="2" fillId="3" borderId="7" xfId="0" applyNumberFormat="1" applyFont="1" applyFill="1" applyBorder="1"/>
    <xf numFmtId="10" fontId="6" fillId="3" borderId="8" xfId="2" applyNumberFormat="1" applyFont="1" applyFill="1" applyBorder="1"/>
    <xf numFmtId="0" fontId="10" fillId="0" borderId="0" xfId="0" applyFont="1" applyFill="1"/>
    <xf numFmtId="37" fontId="8" fillId="3" borderId="6" xfId="0" applyNumberFormat="1" applyFont="1" applyFill="1" applyBorder="1" applyAlignment="1">
      <alignment horizontal="left"/>
    </xf>
    <xf numFmtId="3" fontId="8" fillId="3" borderId="7" xfId="0" applyNumberFormat="1" applyFont="1" applyFill="1" applyBorder="1"/>
    <xf numFmtId="10" fontId="8" fillId="3" borderId="8" xfId="2" applyNumberFormat="1" applyFont="1" applyFill="1" applyBorder="1"/>
    <xf numFmtId="3" fontId="2" fillId="3" borderId="7" xfId="1" applyNumberFormat="1" applyFont="1" applyFill="1" applyBorder="1"/>
    <xf numFmtId="37" fontId="2" fillId="3" borderId="6" xfId="0" applyNumberFormat="1" applyFont="1" applyFill="1" applyBorder="1" applyAlignment="1">
      <alignment horizontal="left" vertical="center" wrapText="1"/>
    </xf>
    <xf numFmtId="37" fontId="5" fillId="3" borderId="6" xfId="0" applyNumberFormat="1" applyFont="1" applyFill="1" applyBorder="1" applyAlignment="1">
      <alignment horizontal="left"/>
    </xf>
    <xf numFmtId="37" fontId="2" fillId="3" borderId="6" xfId="0" applyNumberFormat="1" applyFont="1" applyFill="1" applyBorder="1" applyAlignment="1">
      <alignment horizontal="left"/>
    </xf>
    <xf numFmtId="37" fontId="8" fillId="0" borderId="6" xfId="0" applyNumberFormat="1" applyFont="1" applyFill="1" applyBorder="1" applyAlignment="1">
      <alignment horizontal="left"/>
    </xf>
    <xf numFmtId="37" fontId="6" fillId="3" borderId="6" xfId="0" applyNumberFormat="1" applyFont="1" applyFill="1" applyBorder="1" applyAlignment="1">
      <alignment horizontal="left"/>
    </xf>
    <xf numFmtId="3" fontId="6" fillId="3" borderId="7" xfId="1" applyNumberFormat="1" applyFont="1" applyFill="1" applyBorder="1"/>
    <xf numFmtId="3" fontId="6" fillId="3" borderId="7" xfId="0" applyNumberFormat="1" applyFont="1" applyFill="1" applyBorder="1"/>
    <xf numFmtId="37" fontId="8" fillId="3" borderId="6" xfId="0" applyNumberFormat="1" applyFont="1" applyFill="1" applyBorder="1" applyAlignment="1">
      <alignment horizontal="left" wrapText="1"/>
    </xf>
    <xf numFmtId="37" fontId="2" fillId="3" borderId="6" xfId="0" applyNumberFormat="1" applyFont="1" applyFill="1" applyBorder="1" applyAlignment="1">
      <alignment horizontal="left" wrapText="1"/>
    </xf>
    <xf numFmtId="3" fontId="2" fillId="3" borderId="6" xfId="0" applyNumberFormat="1" applyFont="1" applyFill="1" applyBorder="1" applyAlignment="1"/>
    <xf numFmtId="0" fontId="2" fillId="3" borderId="6" xfId="0" applyFont="1" applyFill="1" applyBorder="1" applyAlignment="1"/>
    <xf numFmtId="0" fontId="6" fillId="3" borderId="6" xfId="0" applyFont="1" applyFill="1" applyBorder="1" applyAlignment="1"/>
    <xf numFmtId="0" fontId="8" fillId="3" borderId="6" xfId="0" applyFont="1" applyFill="1" applyBorder="1" applyAlignment="1"/>
    <xf numFmtId="0" fontId="6" fillId="0" borderId="6" xfId="0" applyFont="1" applyFill="1" applyBorder="1"/>
    <xf numFmtId="0" fontId="6" fillId="0" borderId="6" xfId="0" applyFont="1" applyFill="1" applyBorder="1" applyAlignment="1"/>
    <xf numFmtId="37" fontId="6" fillId="0" borderId="6" xfId="0" applyNumberFormat="1" applyFont="1" applyFill="1" applyBorder="1" applyAlignment="1"/>
    <xf numFmtId="37" fontId="8" fillId="0" borderId="6" xfId="0" applyNumberFormat="1" applyFont="1" applyFill="1" applyBorder="1" applyAlignment="1"/>
    <xf numFmtId="37" fontId="8" fillId="3" borderId="6" xfId="0" applyNumberFormat="1" applyFont="1" applyFill="1" applyBorder="1" applyAlignment="1"/>
    <xf numFmtId="37" fontId="2" fillId="0" borderId="6" xfId="0" applyNumberFormat="1" applyFont="1" applyFill="1" applyBorder="1" applyAlignment="1"/>
    <xf numFmtId="3" fontId="5" fillId="3" borderId="7" xfId="1" applyNumberFormat="1" applyFont="1" applyFill="1" applyBorder="1"/>
    <xf numFmtId="0" fontId="11" fillId="0" borderId="0" xfId="0" applyFont="1" applyFill="1"/>
    <xf numFmtId="37" fontId="5" fillId="0" borderId="6" xfId="0" applyNumberFormat="1" applyFont="1" applyFill="1" applyBorder="1" applyAlignment="1">
      <alignment horizontal="left"/>
    </xf>
    <xf numFmtId="3" fontId="2" fillId="3" borderId="7" xfId="3" applyNumberFormat="1" applyFont="1" applyFill="1" applyBorder="1"/>
    <xf numFmtId="3" fontId="5" fillId="3" borderId="7" xfId="3" applyNumberFormat="1" applyFont="1" applyFill="1" applyBorder="1"/>
    <xf numFmtId="3" fontId="6" fillId="3" borderId="7" xfId="3" applyNumberFormat="1" applyFont="1" applyFill="1" applyBorder="1"/>
    <xf numFmtId="3" fontId="5" fillId="0" borderId="7" xfId="3" applyNumberFormat="1" applyFont="1" applyFill="1" applyBorder="1"/>
    <xf numFmtId="3" fontId="2" fillId="3" borderId="6" xfId="0" applyNumberFormat="1" applyFont="1" applyFill="1" applyBorder="1"/>
    <xf numFmtId="3" fontId="6" fillId="0" borderId="7" xfId="3" applyNumberFormat="1" applyFont="1" applyFill="1" applyBorder="1"/>
    <xf numFmtId="37" fontId="6" fillId="3" borderId="6" xfId="0" applyNumberFormat="1" applyFont="1" applyFill="1" applyBorder="1" applyAlignment="1"/>
    <xf numFmtId="0" fontId="5" fillId="0" borderId="18" xfId="0" applyFont="1" applyFill="1" applyBorder="1" applyAlignment="1"/>
    <xf numFmtId="3" fontId="2" fillId="0" borderId="19" xfId="0" applyNumberFormat="1" applyFont="1" applyFill="1" applyBorder="1"/>
    <xf numFmtId="0" fontId="5" fillId="0" borderId="19" xfId="0" applyFont="1" applyFill="1" applyBorder="1"/>
    <xf numFmtId="3" fontId="5" fillId="0" borderId="19" xfId="0" applyNumberFormat="1" applyFont="1" applyFill="1" applyBorder="1"/>
    <xf numFmtId="0" fontId="5" fillId="0" borderId="20" xfId="0" applyFont="1" applyFill="1" applyBorder="1"/>
    <xf numFmtId="0" fontId="12" fillId="0" borderId="0" xfId="0" applyFont="1" applyFill="1" applyAlignment="1"/>
    <xf numFmtId="3" fontId="12" fillId="0" borderId="0" xfId="0" applyNumberFormat="1" applyFont="1" applyFill="1"/>
    <xf numFmtId="37" fontId="12" fillId="0" borderId="0" xfId="0" applyNumberFormat="1" applyFont="1" applyFill="1"/>
    <xf numFmtId="0" fontId="12" fillId="0" borderId="0" xfId="0" applyFont="1" applyFill="1"/>
    <xf numFmtId="10" fontId="12" fillId="0" borderId="0" xfId="0" applyNumberFormat="1" applyFont="1" applyFill="1"/>
    <xf numFmtId="37" fontId="0" fillId="0" borderId="0" xfId="0" applyNumberFormat="1" applyFill="1"/>
    <xf numFmtId="164" fontId="12" fillId="0" borderId="0" xfId="1" applyFont="1" applyFill="1"/>
    <xf numFmtId="9" fontId="12" fillId="0" borderId="0" xfId="2" applyFont="1" applyFill="1"/>
    <xf numFmtId="0" fontId="13" fillId="0" borderId="0" xfId="0" applyFont="1" applyFill="1"/>
    <xf numFmtId="3" fontId="13" fillId="0" borderId="0" xfId="0" applyNumberFormat="1" applyFont="1" applyFill="1"/>
    <xf numFmtId="164" fontId="13" fillId="0" borderId="0" xfId="1" applyFont="1" applyFill="1"/>
    <xf numFmtId="10" fontId="12" fillId="0" borderId="0" xfId="2" applyNumberFormat="1" applyFont="1" applyFill="1"/>
  </cellXfs>
  <cellStyles count="4">
    <cellStyle name="Millares" xfId="1" builtinId="3"/>
    <cellStyle name="Millares 2 2" xf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calcChain" Target="calcChain.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241;o%202019/LEY%201712/EJECUCION%20PRESUPUESTAL%20HISTORICA%20ANUAL/2014/CIERRE%20OCT-DIC%20201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ORCICOL\Administrativa\CONTABILIDAD\ANEXO%20CIERRE%20DE%20INGRESOS%20201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ORCICOL\Administrativa\Informe%20gesti&#243;n%20definitivo%20I%20semestre%202012\gastos%20enero%20junio%20de%20201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ORCICOL\Administrativa\A&#241;o%202010\A&#241;o%202010\MANEJO%20PTO%202010\PRESUPUESTO%20INGRESOS%20ESTIMADO%2020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ORCICOL\Administrativa\2011\Presentaciones\COMITES%20PPC\DESPACHOS%20BIOLOGICO%20201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ORCICOL\Administrativa\Temp\desagregado%20ppc%20201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ORCICOL\Administrativa\Documents%20and%20Settings\PatriciaMart&#237;nez\Configuraci&#243;n%20local\Archivos%20temporales%20de%20Internet\Content.Outlook\RD6RDTKZ\A&#241;o%202008\Presupuesto%202009\nomina%202009%20ppc.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ORCICOL\Administrativa\A&#241;o%202010\PTO%20FONDO%202010\Presupuesto%202010%20versi&#243;n%203\PRESUPUESTO%2010%203a%20%20versi&#243;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PORCICOL\Administrativa\JefeControlRegional\Presupuesto%202008\Presupuesto%202008.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ORCICOL\Administrativa\Users\OscarRubio\AppData\Local\Microsoft\Windows\Temporary%20Internet%20Files\Content.Outlook\INBWVVAW\ANEXO%20ACUERDO%2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1 Minagricultura"/>
      <sheetName val="Otros ingresos"/>
      <sheetName val="Anexo 2 "/>
      <sheetName val="Funcionamiento"/>
      <sheetName val="Nómina y honorarios 2014"/>
    </sheetNames>
    <sheetDataSet>
      <sheetData sheetId="0">
        <row r="14">
          <cell r="B14">
            <v>3372087412.125</v>
          </cell>
        </row>
        <row r="15">
          <cell r="B15">
            <v>2023252469.2749996</v>
          </cell>
        </row>
      </sheetData>
      <sheetData sheetId="1"/>
      <sheetData sheetId="2"/>
      <sheetData sheetId="3">
        <row r="7">
          <cell r="F7">
            <v>11779100</v>
          </cell>
        </row>
        <row r="9">
          <cell r="F9">
            <v>33750975</v>
          </cell>
          <cell r="G9">
            <v>4582865</v>
          </cell>
          <cell r="H9">
            <v>119791276</v>
          </cell>
          <cell r="K9">
            <v>610401</v>
          </cell>
        </row>
        <row r="11">
          <cell r="F11">
            <v>1657506</v>
          </cell>
        </row>
        <row r="13">
          <cell r="F13">
            <v>8376419</v>
          </cell>
          <cell r="G13">
            <v>3368562</v>
          </cell>
        </row>
        <row r="15">
          <cell r="F15">
            <v>15853477.3584</v>
          </cell>
          <cell r="G15">
            <v>1492814.5152000003</v>
          </cell>
          <cell r="H15">
            <v>1421815.5152000003</v>
          </cell>
          <cell r="I15">
            <v>1492817.5152000003</v>
          </cell>
          <cell r="J15">
            <v>1492817.5152000003</v>
          </cell>
          <cell r="K15">
            <v>1492815.5152000003</v>
          </cell>
        </row>
        <row r="17">
          <cell r="F17">
            <v>8916792.2200000007</v>
          </cell>
          <cell r="G17">
            <v>2056522</v>
          </cell>
          <cell r="H17">
            <v>2349614.6999999993</v>
          </cell>
          <cell r="I17">
            <v>1059755.81</v>
          </cell>
          <cell r="J17">
            <v>522892.49</v>
          </cell>
          <cell r="K17">
            <v>4094084</v>
          </cell>
        </row>
        <row r="19">
          <cell r="F19">
            <v>11756518.541350001</v>
          </cell>
          <cell r="G19">
            <v>3922433</v>
          </cell>
          <cell r="H19">
            <v>1209435</v>
          </cell>
          <cell r="K19">
            <v>7000000</v>
          </cell>
        </row>
        <row r="21">
          <cell r="F21">
            <v>14155026</v>
          </cell>
          <cell r="G21">
            <v>83288737</v>
          </cell>
          <cell r="H21">
            <v>2990489</v>
          </cell>
          <cell r="I21">
            <v>5813560</v>
          </cell>
          <cell r="J21">
            <v>3220076</v>
          </cell>
          <cell r="K21">
            <v>2536495</v>
          </cell>
        </row>
        <row r="23">
          <cell r="F23">
            <v>3748023</v>
          </cell>
          <cell r="G23">
            <v>5668350</v>
          </cell>
          <cell r="H23">
            <v>23313368</v>
          </cell>
          <cell r="I23">
            <v>185627</v>
          </cell>
        </row>
        <row r="25">
          <cell r="F25">
            <v>20664988</v>
          </cell>
          <cell r="G25">
            <v>83164793</v>
          </cell>
          <cell r="H25">
            <v>17482557</v>
          </cell>
          <cell r="I25">
            <v>4473800</v>
          </cell>
          <cell r="J25">
            <v>1384078</v>
          </cell>
          <cell r="K25">
            <v>5711349</v>
          </cell>
        </row>
        <row r="27">
          <cell r="F27">
            <v>2109727.1552999998</v>
          </cell>
          <cell r="G27">
            <v>629110</v>
          </cell>
          <cell r="H27">
            <v>1453980</v>
          </cell>
          <cell r="I27">
            <v>1569600</v>
          </cell>
          <cell r="J27">
            <v>1031500</v>
          </cell>
          <cell r="K27">
            <v>1063232</v>
          </cell>
        </row>
        <row r="29">
          <cell r="F29">
            <v>20225402</v>
          </cell>
          <cell r="G29">
            <v>21749530</v>
          </cell>
          <cell r="H29">
            <v>3355466</v>
          </cell>
          <cell r="I29">
            <v>276174</v>
          </cell>
          <cell r="J29">
            <v>1000000</v>
          </cell>
        </row>
        <row r="31">
          <cell r="F31">
            <v>6927532.0484000007</v>
          </cell>
        </row>
        <row r="33">
          <cell r="F33">
            <v>18697836.25</v>
          </cell>
          <cell r="G33">
            <v>29894724</v>
          </cell>
        </row>
        <row r="35">
          <cell r="F35">
            <v>1491727.7402000129</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general"/>
      <sheetName val="2004VS2005"/>
      <sheetName val="Otros ingresos Modificaciones"/>
      <sheetName val="Inversión total en programas"/>
      <sheetName val="MODELO CONTRATISTAS"/>
      <sheetName val="Servicios personal 2005"/>
      <sheetName val="Nómina 2004"/>
    </sheetNames>
    <sheetDataSet>
      <sheetData sheetId="0"/>
      <sheetData sheetId="1"/>
      <sheetData sheetId="2"/>
      <sheetData sheetId="3">
        <row r="50">
          <cell r="A50" t="str">
            <v>Cadena avícola porcícola</v>
          </cell>
          <cell r="B50">
            <v>0</v>
          </cell>
        </row>
        <row r="60">
          <cell r="A60" t="str">
            <v>Honorarios director nacional</v>
          </cell>
          <cell r="B60" t="e">
            <v>#REF!</v>
          </cell>
        </row>
        <row r="61">
          <cell r="A61" t="str">
            <v>Conceptualización gráfica</v>
          </cell>
          <cell r="B61" t="e">
            <v>#REF!</v>
          </cell>
        </row>
        <row r="62">
          <cell r="A62" t="str">
            <v>Asistente Call Center</v>
          </cell>
          <cell r="B62" t="e">
            <v>#REF!</v>
          </cell>
        </row>
        <row r="63">
          <cell r="A63" t="str">
            <v>Subtotal gastos de personal</v>
          </cell>
          <cell r="B63" t="e">
            <v>#REF!</v>
          </cell>
        </row>
      </sheetData>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1 Minagricultura"/>
      <sheetName val="Anexo 2 X Areas"/>
      <sheetName val="#¡REF"/>
    </sheetNames>
    <sheetDataSet>
      <sheetData sheetId="0"/>
      <sheetData sheetId="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1 Minagricultura"/>
      <sheetName val="Presupuesto general"/>
      <sheetName val="2004VS2005"/>
      <sheetName val="Inversión total en programas"/>
      <sheetName val="MODELO CONTRATISTAS"/>
      <sheetName val="Servicios personal 2005"/>
      <sheetName val="Nómina 2004"/>
      <sheetName val="Anexo cierre 2010"/>
    </sheetNames>
    <sheetDataSet>
      <sheetData sheetId="0"/>
      <sheetData sheetId="1" refreshError="1"/>
      <sheetData sheetId="2" refreshError="1"/>
      <sheetData sheetId="3"/>
      <sheetData sheetId="4" refreshError="1"/>
      <sheetData sheetId="5" refreshError="1"/>
      <sheetData sheetId="6"/>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ES"/>
      <sheetName val="2010  LABORATORIOS"/>
      <sheetName val="2011 LABORATORIOS"/>
      <sheetName val="COMPARATIVO POR DOSIS"/>
      <sheetName val="COMPARATIVO POR LABORATORIO"/>
      <sheetName val="Hoja1"/>
      <sheetName val="BRIGADAS"/>
      <sheetName val="COMITÉ"/>
      <sheetName val="DISTRIBUIDOR"/>
      <sheetName val="DEPARTAMENTO"/>
      <sheetName val="CONSOLIDADO GENERAL"/>
      <sheetName val="BASE"/>
    </sheetNames>
    <sheetDataSet>
      <sheetData sheetId="0"/>
      <sheetData sheetId="1"/>
      <sheetData sheetId="2"/>
      <sheetData sheetId="3"/>
      <sheetData sheetId="4"/>
      <sheetData sheetId="5"/>
      <sheetData sheetId="6"/>
      <sheetData sheetId="7"/>
      <sheetData sheetId="8"/>
      <sheetData sheetId="9"/>
      <sheetData sheetId="10"/>
      <sheetData sheetId="11">
        <row r="3">
          <cell r="E3">
            <v>40191</v>
          </cell>
        </row>
        <row r="4">
          <cell r="E4">
            <v>40196</v>
          </cell>
        </row>
        <row r="5">
          <cell r="E5">
            <v>40179</v>
          </cell>
        </row>
        <row r="6">
          <cell r="E6">
            <v>40193</v>
          </cell>
        </row>
        <row r="7">
          <cell r="E7">
            <v>40193</v>
          </cell>
        </row>
        <row r="8">
          <cell r="E8">
            <v>40190</v>
          </cell>
        </row>
        <row r="9">
          <cell r="E9">
            <v>40190</v>
          </cell>
        </row>
        <row r="10">
          <cell r="E10">
            <v>40190</v>
          </cell>
        </row>
        <row r="11">
          <cell r="E11">
            <v>40190</v>
          </cell>
        </row>
        <row r="12">
          <cell r="E12">
            <v>40190</v>
          </cell>
        </row>
        <row r="13">
          <cell r="E13">
            <v>40191</v>
          </cell>
        </row>
        <row r="14">
          <cell r="E14">
            <v>40191</v>
          </cell>
        </row>
        <row r="15">
          <cell r="E15">
            <v>40196</v>
          </cell>
        </row>
        <row r="16">
          <cell r="E16">
            <v>40196</v>
          </cell>
        </row>
        <row r="17">
          <cell r="E17">
            <v>40196</v>
          </cell>
        </row>
        <row r="18">
          <cell r="E18">
            <v>40196</v>
          </cell>
        </row>
        <row r="19">
          <cell r="E19">
            <v>40197</v>
          </cell>
        </row>
        <row r="20">
          <cell r="E20">
            <v>40197</v>
          </cell>
        </row>
        <row r="21">
          <cell r="E21">
            <v>40197</v>
          </cell>
        </row>
        <row r="22">
          <cell r="E22">
            <v>40192</v>
          </cell>
        </row>
        <row r="23">
          <cell r="E23">
            <v>40192</v>
          </cell>
        </row>
        <row r="24">
          <cell r="E24">
            <v>40192</v>
          </cell>
        </row>
        <row r="25">
          <cell r="E25">
            <v>40192</v>
          </cell>
        </row>
        <row r="26">
          <cell r="E26">
            <v>40197</v>
          </cell>
        </row>
        <row r="27">
          <cell r="E27">
            <v>40197</v>
          </cell>
        </row>
        <row r="28">
          <cell r="E28">
            <v>40196</v>
          </cell>
        </row>
        <row r="29">
          <cell r="E29">
            <v>40196</v>
          </cell>
        </row>
        <row r="30">
          <cell r="E30">
            <v>40196</v>
          </cell>
        </row>
        <row r="31">
          <cell r="E31">
            <v>40199</v>
          </cell>
        </row>
        <row r="32">
          <cell r="E32">
            <v>40199</v>
          </cell>
        </row>
        <row r="33">
          <cell r="E33">
            <v>40199</v>
          </cell>
        </row>
        <row r="34">
          <cell r="E34">
            <v>40199</v>
          </cell>
        </row>
        <row r="35">
          <cell r="E35">
            <v>40203</v>
          </cell>
        </row>
        <row r="36">
          <cell r="E36">
            <v>40203</v>
          </cell>
        </row>
        <row r="37">
          <cell r="E37">
            <v>40203</v>
          </cell>
        </row>
        <row r="38">
          <cell r="E38">
            <v>40203</v>
          </cell>
        </row>
        <row r="39">
          <cell r="E39">
            <v>40200</v>
          </cell>
        </row>
        <row r="40">
          <cell r="E40">
            <v>40200</v>
          </cell>
        </row>
        <row r="41">
          <cell r="E41">
            <v>40199</v>
          </cell>
        </row>
        <row r="42">
          <cell r="E42">
            <v>40203</v>
          </cell>
        </row>
        <row r="43">
          <cell r="E43">
            <v>40203</v>
          </cell>
        </row>
        <row r="44">
          <cell r="E44">
            <v>40203</v>
          </cell>
        </row>
        <row r="45">
          <cell r="E45">
            <v>40203</v>
          </cell>
        </row>
        <row r="46">
          <cell r="E46">
            <v>40203</v>
          </cell>
        </row>
        <row r="47">
          <cell r="E47">
            <v>40203</v>
          </cell>
        </row>
        <row r="48">
          <cell r="E48">
            <v>40205</v>
          </cell>
        </row>
        <row r="49">
          <cell r="E49">
            <v>40205</v>
          </cell>
        </row>
        <row r="50">
          <cell r="E50">
            <v>40205</v>
          </cell>
        </row>
        <row r="51">
          <cell r="E51">
            <v>40205</v>
          </cell>
        </row>
        <row r="52">
          <cell r="E52">
            <v>40205</v>
          </cell>
        </row>
        <row r="53">
          <cell r="E53">
            <v>40205</v>
          </cell>
        </row>
        <row r="54">
          <cell r="E54">
            <v>40205</v>
          </cell>
        </row>
        <row r="55">
          <cell r="E55">
            <v>40205</v>
          </cell>
        </row>
        <row r="56">
          <cell r="E56">
            <v>40205</v>
          </cell>
        </row>
        <row r="57">
          <cell r="E57">
            <v>40205</v>
          </cell>
        </row>
        <row r="58">
          <cell r="E58">
            <v>40205</v>
          </cell>
        </row>
        <row r="59">
          <cell r="E59">
            <v>40205</v>
          </cell>
        </row>
        <row r="60">
          <cell r="E60">
            <v>40210</v>
          </cell>
        </row>
        <row r="61">
          <cell r="E61">
            <v>40210</v>
          </cell>
        </row>
        <row r="62">
          <cell r="E62">
            <v>40210</v>
          </cell>
        </row>
        <row r="63">
          <cell r="E63">
            <v>40210</v>
          </cell>
        </row>
        <row r="64">
          <cell r="E64">
            <v>40210</v>
          </cell>
        </row>
        <row r="65">
          <cell r="E65">
            <v>40210</v>
          </cell>
        </row>
        <row r="66">
          <cell r="E66">
            <v>40210</v>
          </cell>
        </row>
        <row r="67">
          <cell r="E67">
            <v>40210</v>
          </cell>
        </row>
        <row r="68">
          <cell r="E68">
            <v>40210</v>
          </cell>
        </row>
        <row r="69">
          <cell r="E69">
            <v>40210</v>
          </cell>
        </row>
        <row r="70">
          <cell r="E70">
            <v>40211</v>
          </cell>
        </row>
        <row r="71">
          <cell r="E71">
            <v>40211</v>
          </cell>
        </row>
        <row r="72">
          <cell r="E72">
            <v>40211</v>
          </cell>
        </row>
        <row r="73">
          <cell r="E73">
            <v>40211</v>
          </cell>
        </row>
        <row r="74">
          <cell r="E74">
            <v>40211</v>
          </cell>
        </row>
        <row r="75">
          <cell r="E75">
            <v>40211</v>
          </cell>
        </row>
        <row r="76">
          <cell r="E76">
            <v>40211</v>
          </cell>
        </row>
        <row r="77">
          <cell r="E77">
            <v>40211</v>
          </cell>
        </row>
        <row r="78">
          <cell r="E78">
            <v>40211</v>
          </cell>
        </row>
        <row r="79">
          <cell r="E79">
            <v>40211</v>
          </cell>
        </row>
        <row r="80">
          <cell r="E80">
            <v>40211</v>
          </cell>
        </row>
        <row r="81">
          <cell r="E81">
            <v>40211</v>
          </cell>
        </row>
        <row r="82">
          <cell r="E82">
            <v>40211</v>
          </cell>
        </row>
        <row r="83">
          <cell r="E83">
            <v>40210</v>
          </cell>
        </row>
        <row r="84">
          <cell r="E84">
            <v>40210</v>
          </cell>
        </row>
        <row r="85">
          <cell r="E85">
            <v>40205</v>
          </cell>
        </row>
        <row r="86">
          <cell r="E86">
            <v>40205</v>
          </cell>
        </row>
        <row r="87">
          <cell r="E87">
            <v>40210</v>
          </cell>
        </row>
        <row r="88">
          <cell r="E88">
            <v>40212</v>
          </cell>
        </row>
        <row r="89">
          <cell r="E89">
            <v>40212</v>
          </cell>
        </row>
        <row r="90">
          <cell r="E90">
            <v>40210</v>
          </cell>
        </row>
        <row r="91">
          <cell r="E91">
            <v>40210</v>
          </cell>
        </row>
        <row r="92">
          <cell r="E92">
            <v>40213</v>
          </cell>
        </row>
        <row r="93">
          <cell r="E93">
            <v>40213</v>
          </cell>
        </row>
        <row r="94">
          <cell r="E94">
            <v>40210</v>
          </cell>
        </row>
        <row r="95">
          <cell r="E95">
            <v>40210</v>
          </cell>
        </row>
        <row r="96">
          <cell r="E96">
            <v>40212</v>
          </cell>
        </row>
        <row r="97">
          <cell r="E97">
            <v>40212</v>
          </cell>
        </row>
        <row r="98">
          <cell r="E98">
            <v>40213</v>
          </cell>
        </row>
        <row r="99">
          <cell r="E99">
            <v>40213</v>
          </cell>
        </row>
        <row r="100">
          <cell r="E100">
            <v>40214</v>
          </cell>
        </row>
        <row r="101">
          <cell r="E101">
            <v>40214</v>
          </cell>
        </row>
        <row r="102">
          <cell r="E102">
            <v>40217</v>
          </cell>
        </row>
        <row r="103">
          <cell r="E103">
            <v>40217</v>
          </cell>
        </row>
        <row r="104">
          <cell r="E104">
            <v>40217</v>
          </cell>
        </row>
        <row r="105">
          <cell r="E105">
            <v>40217</v>
          </cell>
        </row>
        <row r="106">
          <cell r="E106">
            <v>40214</v>
          </cell>
        </row>
        <row r="107">
          <cell r="E107">
            <v>40214</v>
          </cell>
        </row>
        <row r="108">
          <cell r="E108">
            <v>40207</v>
          </cell>
        </row>
        <row r="109">
          <cell r="E109">
            <v>40207</v>
          </cell>
        </row>
        <row r="110">
          <cell r="E110">
            <v>40212</v>
          </cell>
        </row>
        <row r="111">
          <cell r="E111">
            <v>40212</v>
          </cell>
        </row>
        <row r="112">
          <cell r="E112">
            <v>40212</v>
          </cell>
        </row>
        <row r="113">
          <cell r="E113">
            <v>40212</v>
          </cell>
        </row>
        <row r="114">
          <cell r="E114">
            <v>40212</v>
          </cell>
        </row>
        <row r="115">
          <cell r="E115">
            <v>40212</v>
          </cell>
        </row>
        <row r="116">
          <cell r="E116">
            <v>40218</v>
          </cell>
        </row>
        <row r="117">
          <cell r="E117">
            <v>40218</v>
          </cell>
        </row>
        <row r="118">
          <cell r="E118">
            <v>40218</v>
          </cell>
        </row>
        <row r="119">
          <cell r="E119">
            <v>40218</v>
          </cell>
        </row>
        <row r="120">
          <cell r="E120">
            <v>40218</v>
          </cell>
        </row>
        <row r="121">
          <cell r="E121">
            <v>40211</v>
          </cell>
        </row>
        <row r="122">
          <cell r="E122">
            <v>40211</v>
          </cell>
        </row>
        <row r="123">
          <cell r="E123">
            <v>40211</v>
          </cell>
        </row>
        <row r="124">
          <cell r="E124">
            <v>40211</v>
          </cell>
        </row>
        <row r="125">
          <cell r="E125">
            <v>40211</v>
          </cell>
        </row>
        <row r="126">
          <cell r="E126">
            <v>40214</v>
          </cell>
        </row>
        <row r="127">
          <cell r="E127">
            <v>40214</v>
          </cell>
        </row>
        <row r="128">
          <cell r="E128">
            <v>40211</v>
          </cell>
        </row>
        <row r="129">
          <cell r="E129">
            <v>40218</v>
          </cell>
        </row>
        <row r="130">
          <cell r="E130">
            <v>40218</v>
          </cell>
        </row>
        <row r="131">
          <cell r="E131">
            <v>40218</v>
          </cell>
        </row>
        <row r="132">
          <cell r="E132">
            <v>40218</v>
          </cell>
        </row>
        <row r="133">
          <cell r="E133">
            <v>40213</v>
          </cell>
        </row>
        <row r="134">
          <cell r="E134">
            <v>40213</v>
          </cell>
        </row>
        <row r="135">
          <cell r="E135">
            <v>40213</v>
          </cell>
        </row>
        <row r="136">
          <cell r="E136">
            <v>40213</v>
          </cell>
        </row>
        <row r="137">
          <cell r="E137">
            <v>40218</v>
          </cell>
        </row>
        <row r="138">
          <cell r="E138">
            <v>40218</v>
          </cell>
        </row>
        <row r="139">
          <cell r="E139">
            <v>40218</v>
          </cell>
        </row>
        <row r="140">
          <cell r="E140">
            <v>40218</v>
          </cell>
        </row>
        <row r="141">
          <cell r="E141">
            <v>40218</v>
          </cell>
        </row>
        <row r="142">
          <cell r="E142">
            <v>40210</v>
          </cell>
        </row>
        <row r="143">
          <cell r="E143">
            <v>40210</v>
          </cell>
        </row>
        <row r="144">
          <cell r="E144">
            <v>40218</v>
          </cell>
        </row>
        <row r="145">
          <cell r="E145">
            <v>40218</v>
          </cell>
        </row>
        <row r="146">
          <cell r="E146">
            <v>40218</v>
          </cell>
        </row>
        <row r="147">
          <cell r="E147">
            <v>40220</v>
          </cell>
        </row>
        <row r="148">
          <cell r="E148">
            <v>40220</v>
          </cell>
        </row>
        <row r="149">
          <cell r="E149">
            <v>40220</v>
          </cell>
        </row>
        <row r="150">
          <cell r="E150">
            <v>40220</v>
          </cell>
        </row>
        <row r="151">
          <cell r="E151">
            <v>40224</v>
          </cell>
        </row>
        <row r="152">
          <cell r="E152">
            <v>40224</v>
          </cell>
        </row>
        <row r="153">
          <cell r="E153">
            <v>40224</v>
          </cell>
        </row>
        <row r="154">
          <cell r="E154">
            <v>40224</v>
          </cell>
        </row>
        <row r="155">
          <cell r="E155">
            <v>40224</v>
          </cell>
        </row>
        <row r="156">
          <cell r="E156">
            <v>40218</v>
          </cell>
        </row>
        <row r="157">
          <cell r="E157">
            <v>40218</v>
          </cell>
        </row>
        <row r="158">
          <cell r="E158">
            <v>40218</v>
          </cell>
        </row>
        <row r="159">
          <cell r="E159">
            <v>40225</v>
          </cell>
        </row>
        <row r="160">
          <cell r="E160">
            <v>40225</v>
          </cell>
        </row>
        <row r="161">
          <cell r="E161">
            <v>40225</v>
          </cell>
        </row>
        <row r="162">
          <cell r="E162">
            <v>40227</v>
          </cell>
        </row>
        <row r="163">
          <cell r="E163">
            <v>40227</v>
          </cell>
        </row>
        <row r="164">
          <cell r="E164">
            <v>40227</v>
          </cell>
        </row>
        <row r="165">
          <cell r="E165">
            <v>40227</v>
          </cell>
        </row>
        <row r="166">
          <cell r="E166">
            <v>40228</v>
          </cell>
        </row>
        <row r="167">
          <cell r="E167">
            <v>40228</v>
          </cell>
        </row>
        <row r="168">
          <cell r="E168">
            <v>40228</v>
          </cell>
        </row>
        <row r="169">
          <cell r="E169">
            <v>40231</v>
          </cell>
        </row>
        <row r="170">
          <cell r="E170">
            <v>40231</v>
          </cell>
        </row>
        <row r="171">
          <cell r="E171">
            <v>40233</v>
          </cell>
        </row>
        <row r="172">
          <cell r="E172">
            <v>40233</v>
          </cell>
        </row>
        <row r="173">
          <cell r="E173">
            <v>40232</v>
          </cell>
        </row>
        <row r="174">
          <cell r="E174">
            <v>40232</v>
          </cell>
        </row>
        <row r="175">
          <cell r="E175">
            <v>40233</v>
          </cell>
        </row>
        <row r="176">
          <cell r="E176">
            <v>40232</v>
          </cell>
        </row>
        <row r="177">
          <cell r="E177">
            <v>40233</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stificacion formulada"/>
      <sheetName val="Ciclos"/>
      <sheetName val="INGRESOS 2010"/>
      <sheetName val="anexo viaticos gastos de viaje"/>
      <sheetName val="anexo materiales y dotaciones"/>
      <sheetName val="anexo publicidad"/>
      <sheetName val="anexo impresos y publicaciones"/>
      <sheetName val="Escenario PPC"/>
      <sheetName val="Auxilios distribuidores"/>
      <sheetName val="NOMINA HONORARIOS 2010"/>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1 Minagricultura"/>
      <sheetName val="Otros ingresos"/>
      <sheetName val="Presupuesto general"/>
      <sheetName val="2004VS2005"/>
      <sheetName val="Escenarios PPC"/>
      <sheetName val="Superávit 2006"/>
      <sheetName val="Anexo 2 Minagricultura"/>
      <sheetName val="Anexo 3 Minagricultura"/>
      <sheetName val="Anexo 4 Regionalizacion"/>
      <sheetName val="Funcionamiento"/>
      <sheetName val="NOMINA HONORARIOS 2009 1"/>
      <sheetName val="NOMINA HONORARIOS 2009 2"/>
      <sheetName val="comparativo  alternativas "/>
      <sheetName val="Inversión total en programas"/>
      <sheetName val="MODELO CONTRATISTAS"/>
      <sheetName val="Servicios personal 2005"/>
      <sheetName val="Nómina 2004"/>
    </sheetNames>
    <sheetDataSet>
      <sheetData sheetId="0">
        <row r="51">
          <cell r="C51">
            <v>2168.25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1 Minagricultura"/>
      <sheetName val="Otros ingresos"/>
      <sheetName val="Presupuesto general"/>
      <sheetName val="2004VS2005"/>
      <sheetName val="Escenario PPC"/>
      <sheetName val="Ejecución ingresos 2009"/>
      <sheetName val="Ejecución gastos 2009"/>
      <sheetName val="Superavit 2009"/>
      <sheetName val="Anexo 2 "/>
      <sheetName val="Anexo 3 "/>
      <sheetName val="Anexo 4"/>
      <sheetName val="Funcionamiento"/>
      <sheetName val="Nómina y honorarios 2010"/>
      <sheetName val="Comparativo nómina 2009-2010"/>
      <sheetName val="Inversión total en programas"/>
      <sheetName val="MODELO CONTRATISTAS"/>
      <sheetName val="Servicios personal 2005"/>
      <sheetName val="Nómina 2004"/>
      <sheetName val="Hoja1"/>
    </sheetNames>
    <sheetDataSet>
      <sheetData sheetId="0">
        <row r="21">
          <cell r="C21">
            <v>1344784788</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sheetData sheetId="13" refreshError="1"/>
      <sheetData sheetId="14">
        <row r="86">
          <cell r="B86">
            <v>117000000</v>
          </cell>
        </row>
      </sheetData>
      <sheetData sheetId="15" refreshError="1"/>
      <sheetData sheetId="16" refreshError="1"/>
      <sheetData sheetId="17" refreshError="1"/>
      <sheetData sheetId="1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gresos"/>
      <sheetName val="Superávit 2006"/>
      <sheetName val="Otros ingresos"/>
      <sheetName val="Presupuesto general"/>
      <sheetName val="2004VS2005"/>
      <sheetName val="Escenarios PPC"/>
      <sheetName val="Anexo 2 Minagricultura"/>
      <sheetName val="Anexo 3 Minagricultura"/>
      <sheetName val="Anexo 4 Regionalizacion"/>
      <sheetName val="Funcionamiento"/>
      <sheetName val="Presupuesto de recaudo"/>
      <sheetName val="Inversión total en programas"/>
      <sheetName val="MODELO CONTRATISTAS"/>
      <sheetName val="Servicios personal 2005"/>
      <sheetName val="Nómina 2004"/>
    </sheetNames>
    <sheetDataSet>
      <sheetData sheetId="0">
        <row r="19">
          <cell r="C19">
            <v>2489922289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I"/>
      <sheetName val="ANEXO INGRESOS"/>
      <sheetName val="ANEXO II"/>
      <sheetName val="Anexo 2 x Areas"/>
      <sheetName val="SUPERAVIT"/>
      <sheetName val="RES"/>
      <sheetName val="ECO"/>
      <sheetName val="TEC"/>
      <sheetName val="PPC"/>
      <sheetName val="MER"/>
      <sheetName val="FUN"/>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R282"/>
  <sheetViews>
    <sheetView tabSelected="1" zoomScale="85" zoomScaleNormal="85" zoomScaleSheetLayoutView="90" workbookViewId="0">
      <pane xSplit="1" ySplit="9" topLeftCell="B10" activePane="bottomRight" state="frozen"/>
      <selection pane="topRight" activeCell="B1" sqref="B1"/>
      <selection pane="bottomLeft" activeCell="A9" sqref="A9"/>
      <selection pane="bottomRight" activeCell="A5" sqref="A5:L5"/>
    </sheetView>
  </sheetViews>
  <sheetFormatPr baseColWidth="10" defaultRowHeight="12.75" outlineLevelRow="4" x14ac:dyDescent="0.2"/>
  <cols>
    <col min="1" max="1" width="73" style="2" customWidth="1"/>
    <col min="2" max="2" width="14.7109375" style="2" customWidth="1"/>
    <col min="3" max="3" width="13.85546875" style="2" customWidth="1"/>
    <col min="4" max="4" width="17" style="2" customWidth="1"/>
    <col min="5" max="5" width="16.140625" style="2" customWidth="1"/>
    <col min="6" max="6" width="14.5703125" style="2" customWidth="1"/>
    <col min="7" max="7" width="16.5703125" style="2" customWidth="1"/>
    <col min="8" max="8" width="18.28515625" style="2" customWidth="1"/>
    <col min="9" max="9" width="15.28515625" style="2" customWidth="1"/>
    <col min="10" max="10" width="15.5703125" style="2" customWidth="1"/>
    <col min="11" max="11" width="14.42578125" style="2" customWidth="1"/>
    <col min="12" max="12" width="10.140625" style="2" customWidth="1"/>
    <col min="13" max="16" width="14.5703125" style="2" customWidth="1"/>
    <col min="17" max="16384" width="11.42578125" style="2"/>
  </cols>
  <sheetData>
    <row r="1" spans="1:15" ht="15" x14ac:dyDescent="0.25">
      <c r="A1" s="1" t="s">
        <v>0</v>
      </c>
      <c r="B1" s="1"/>
      <c r="C1" s="1"/>
      <c r="D1" s="1"/>
      <c r="E1" s="1"/>
      <c r="F1" s="1"/>
      <c r="G1" s="1"/>
      <c r="H1" s="1"/>
      <c r="I1" s="1"/>
      <c r="J1" s="1"/>
      <c r="K1" s="1"/>
      <c r="L1" s="1"/>
    </row>
    <row r="2" spans="1:15" ht="15" x14ac:dyDescent="0.25">
      <c r="A2" s="1" t="s">
        <v>1</v>
      </c>
      <c r="B2" s="1"/>
      <c r="C2" s="1"/>
      <c r="D2" s="1"/>
      <c r="E2" s="1"/>
      <c r="F2" s="1"/>
      <c r="G2" s="1"/>
      <c r="H2" s="1"/>
      <c r="I2" s="1"/>
      <c r="J2" s="1"/>
      <c r="K2" s="1"/>
      <c r="L2" s="1"/>
    </row>
    <row r="3" spans="1:15" ht="15" x14ac:dyDescent="0.25">
      <c r="A3" s="1" t="s">
        <v>2</v>
      </c>
      <c r="B3" s="1"/>
      <c r="C3" s="1"/>
      <c r="D3" s="1"/>
      <c r="E3" s="1"/>
      <c r="F3" s="1"/>
      <c r="G3" s="1"/>
      <c r="H3" s="1"/>
      <c r="I3" s="1"/>
      <c r="J3" s="1"/>
      <c r="K3" s="1"/>
      <c r="L3" s="1"/>
    </row>
    <row r="4" spans="1:15" ht="15" x14ac:dyDescent="0.25">
      <c r="A4" s="1" t="s">
        <v>3</v>
      </c>
      <c r="B4" s="1"/>
      <c r="C4" s="1"/>
      <c r="D4" s="1"/>
      <c r="E4" s="1"/>
      <c r="F4" s="1"/>
      <c r="G4" s="1"/>
      <c r="H4" s="1"/>
      <c r="I4" s="1"/>
      <c r="J4" s="1"/>
      <c r="K4" s="1"/>
      <c r="L4" s="1"/>
    </row>
    <row r="5" spans="1:15" ht="15" x14ac:dyDescent="0.25">
      <c r="A5" s="1" t="s">
        <v>4</v>
      </c>
      <c r="B5" s="1"/>
      <c r="C5" s="1"/>
      <c r="D5" s="1"/>
      <c r="E5" s="1"/>
      <c r="F5" s="1"/>
      <c r="G5" s="1"/>
      <c r="H5" s="1"/>
      <c r="I5" s="1"/>
      <c r="J5" s="1"/>
      <c r="K5" s="1"/>
      <c r="L5" s="1"/>
    </row>
    <row r="6" spans="1:15" ht="15.75" thickBot="1" x14ac:dyDescent="0.3">
      <c r="A6" s="3"/>
      <c r="B6" s="4"/>
      <c r="C6" s="5"/>
      <c r="D6" s="5"/>
      <c r="E6" s="6"/>
      <c r="F6" s="6"/>
      <c r="G6" s="7"/>
      <c r="H6" s="6"/>
    </row>
    <row r="7" spans="1:15" ht="90.75" thickTop="1" x14ac:dyDescent="0.2">
      <c r="A7" s="8" t="s">
        <v>5</v>
      </c>
      <c r="B7" s="9" t="s">
        <v>6</v>
      </c>
      <c r="C7" s="9" t="s">
        <v>7</v>
      </c>
      <c r="D7" s="9" t="s">
        <v>8</v>
      </c>
      <c r="E7" s="9" t="s">
        <v>9</v>
      </c>
      <c r="F7" s="9" t="s">
        <v>10</v>
      </c>
      <c r="G7" s="9" t="s">
        <v>11</v>
      </c>
      <c r="H7" s="9" t="s">
        <v>12</v>
      </c>
      <c r="I7" s="9" t="s">
        <v>13</v>
      </c>
      <c r="J7" s="10" t="s">
        <v>14</v>
      </c>
      <c r="K7" s="10" t="s">
        <v>15</v>
      </c>
      <c r="L7" s="11" t="s">
        <v>16</v>
      </c>
    </row>
    <row r="8" spans="1:15" ht="15" x14ac:dyDescent="0.25">
      <c r="A8" s="12" t="s">
        <v>17</v>
      </c>
      <c r="B8" s="13"/>
      <c r="C8" s="13"/>
      <c r="D8" s="13"/>
      <c r="E8" s="13"/>
      <c r="F8" s="13"/>
      <c r="G8" s="13"/>
      <c r="H8" s="13"/>
      <c r="I8" s="13"/>
      <c r="J8" s="13"/>
      <c r="K8" s="13"/>
      <c r="L8" s="14"/>
    </row>
    <row r="9" spans="1:15" ht="15" x14ac:dyDescent="0.25">
      <c r="A9" s="15" t="s">
        <v>18</v>
      </c>
      <c r="B9" s="16">
        <f t="shared" ref="B9:H9" si="0">SUM(B10:B19)</f>
        <v>320657805.01377988</v>
      </c>
      <c r="C9" s="16">
        <f t="shared" si="0"/>
        <v>122552738</v>
      </c>
      <c r="D9" s="16">
        <f>SUM(D10:D19)</f>
        <v>68958616</v>
      </c>
      <c r="E9" s="16">
        <f t="shared" si="0"/>
        <v>331970133.00000006</v>
      </c>
      <c r="F9" s="16">
        <f t="shared" si="0"/>
        <v>99152646.145976007</v>
      </c>
      <c r="G9" s="16">
        <f t="shared" si="0"/>
        <v>943291938.15975606</v>
      </c>
      <c r="H9" s="16">
        <f t="shared" si="0"/>
        <v>151200342</v>
      </c>
      <c r="I9" s="16">
        <f>SUM(I10:I19)</f>
        <v>1094492280.1597559</v>
      </c>
      <c r="J9" s="16">
        <f>SUM(J10:J19)</f>
        <v>967329030</v>
      </c>
      <c r="K9" s="16">
        <f>+J9-I9</f>
        <v>-127163250.15975595</v>
      </c>
      <c r="L9" s="17">
        <f>IFERROR(J9/I9,0)</f>
        <v>0.88381530645314854</v>
      </c>
      <c r="M9" s="18"/>
    </row>
    <row r="10" spans="1:15" ht="14.25" x14ac:dyDescent="0.2">
      <c r="A10" s="19" t="s">
        <v>19</v>
      </c>
      <c r="B10" s="20">
        <v>163432181.41691345</v>
      </c>
      <c r="C10" s="20">
        <v>74286365</v>
      </c>
      <c r="D10" s="20">
        <v>43715649</v>
      </c>
      <c r="E10" s="20">
        <v>179293167.00000006</v>
      </c>
      <c r="F10" s="20">
        <v>57758634</v>
      </c>
      <c r="G10" s="21">
        <f t="shared" ref="G10:G19" si="1">+B10+C10+E10+F10+D10</f>
        <v>518485996.41691351</v>
      </c>
      <c r="H10" s="20">
        <f>65488567-405367</f>
        <v>65083200</v>
      </c>
      <c r="I10" s="20">
        <f>+G10+H10</f>
        <v>583569196.41691351</v>
      </c>
      <c r="J10" s="20">
        <v>482280865</v>
      </c>
      <c r="K10" s="20">
        <f t="shared" ref="K10:K73" si="2">+J10-I10</f>
        <v>-101288331.41691351</v>
      </c>
      <c r="L10" s="22">
        <f t="shared" ref="L10:L73" si="3">IFERROR(J10/I10,0)</f>
        <v>0.826433039922568</v>
      </c>
      <c r="O10" s="23"/>
    </row>
    <row r="11" spans="1:15" ht="14.25" x14ac:dyDescent="0.2">
      <c r="A11" s="19" t="s">
        <v>20</v>
      </c>
      <c r="B11" s="20">
        <v>24065086.999999996</v>
      </c>
      <c r="C11" s="20">
        <v>9571136</v>
      </c>
      <c r="D11" s="20">
        <v>6637813</v>
      </c>
      <c r="E11" s="20">
        <v>26645932</v>
      </c>
      <c r="F11" s="20">
        <v>9306316</v>
      </c>
      <c r="G11" s="21">
        <f>+B11+C11+E11+F11+D11</f>
        <v>76226284</v>
      </c>
      <c r="H11" s="20">
        <f>8226917+405367</f>
        <v>8632284</v>
      </c>
      <c r="I11" s="20">
        <f>+G11+H11</f>
        <v>84858568</v>
      </c>
      <c r="J11" s="20">
        <v>84162485</v>
      </c>
      <c r="K11" s="20">
        <f t="shared" si="2"/>
        <v>-696083</v>
      </c>
      <c r="L11" s="22">
        <f t="shared" si="3"/>
        <v>0.99179713944736847</v>
      </c>
      <c r="M11" s="24"/>
    </row>
    <row r="12" spans="1:15" ht="14.25" x14ac:dyDescent="0.2">
      <c r="A12" s="19" t="s">
        <v>21</v>
      </c>
      <c r="B12" s="20">
        <v>21028204</v>
      </c>
      <c r="C12" s="20">
        <v>6691665</v>
      </c>
      <c r="D12" s="20">
        <v>2636000</v>
      </c>
      <c r="E12" s="20">
        <v>23907860.999999993</v>
      </c>
      <c r="F12" s="20">
        <v>5302137</v>
      </c>
      <c r="G12" s="21">
        <f>+B12+C12+E12+F12+D12</f>
        <v>59565866.999999993</v>
      </c>
      <c r="H12" s="20">
        <v>8674585.0000000037</v>
      </c>
      <c r="I12" s="20">
        <f t="shared" ref="I12:I19" si="4">+G12+H12</f>
        <v>68240452</v>
      </c>
      <c r="J12" s="20">
        <v>65106259</v>
      </c>
      <c r="K12" s="20">
        <f t="shared" si="2"/>
        <v>-3134193</v>
      </c>
      <c r="L12" s="22">
        <f t="shared" si="3"/>
        <v>0.95407133293900226</v>
      </c>
      <c r="M12" s="24"/>
    </row>
    <row r="13" spans="1:15" ht="14.25" x14ac:dyDescent="0.2">
      <c r="A13" s="19" t="s">
        <v>22</v>
      </c>
      <c r="B13" s="21">
        <v>22070268</v>
      </c>
      <c r="C13" s="25"/>
      <c r="D13" s="25"/>
      <c r="E13" s="21"/>
      <c r="F13" s="21"/>
      <c r="G13" s="21">
        <f>+B13+C13+E13+F13+D13</f>
        <v>22070268</v>
      </c>
      <c r="H13" s="20">
        <v>31021945</v>
      </c>
      <c r="I13" s="20">
        <f>+G13+H13</f>
        <v>53092213</v>
      </c>
      <c r="J13" s="20">
        <v>47909836</v>
      </c>
      <c r="K13" s="20">
        <f t="shared" si="2"/>
        <v>-5182377</v>
      </c>
      <c r="L13" s="22">
        <f t="shared" si="3"/>
        <v>0.90238913190527581</v>
      </c>
      <c r="M13" s="24"/>
    </row>
    <row r="14" spans="1:15" ht="14.25" x14ac:dyDescent="0.2">
      <c r="A14" s="19" t="s">
        <v>23</v>
      </c>
      <c r="B14" s="20">
        <v>200000</v>
      </c>
      <c r="C14" s="20">
        <v>200000</v>
      </c>
      <c r="D14" s="20">
        <v>200000</v>
      </c>
      <c r="E14" s="20">
        <v>600000</v>
      </c>
      <c r="F14" s="20">
        <v>200000</v>
      </c>
      <c r="G14" s="21">
        <f>+B14+C14+E14+F14+D14</f>
        <v>1400000</v>
      </c>
      <c r="H14" s="20">
        <v>800000</v>
      </c>
      <c r="I14" s="20">
        <f t="shared" si="4"/>
        <v>2200000</v>
      </c>
      <c r="J14" s="20">
        <v>2000000</v>
      </c>
      <c r="K14" s="20">
        <f t="shared" si="2"/>
        <v>-200000</v>
      </c>
      <c r="L14" s="22">
        <f t="shared" si="3"/>
        <v>0.90909090909090906</v>
      </c>
      <c r="M14" s="24"/>
    </row>
    <row r="15" spans="1:15" ht="14.25" x14ac:dyDescent="0.2">
      <c r="A15" s="19" t="s">
        <v>24</v>
      </c>
      <c r="B15" s="20">
        <v>40584395</v>
      </c>
      <c r="C15" s="20">
        <v>11363113</v>
      </c>
      <c r="D15" s="20">
        <v>5272000</v>
      </c>
      <c r="E15" s="20">
        <v>45992304.999999993</v>
      </c>
      <c r="F15" s="20">
        <v>10604275</v>
      </c>
      <c r="G15" s="21">
        <f>+B15+C15+E15+F15+D15</f>
        <v>113816088</v>
      </c>
      <c r="H15" s="20">
        <v>17205171.000000004</v>
      </c>
      <c r="I15" s="20">
        <f t="shared" si="4"/>
        <v>131021259</v>
      </c>
      <c r="J15" s="20">
        <v>127887066</v>
      </c>
      <c r="K15" s="20">
        <f t="shared" si="2"/>
        <v>-3134193</v>
      </c>
      <c r="L15" s="22">
        <f t="shared" si="3"/>
        <v>0.97607874459518051</v>
      </c>
      <c r="M15" s="24"/>
      <c r="N15" s="26"/>
      <c r="O15" s="26"/>
    </row>
    <row r="16" spans="1:15" ht="14.25" x14ac:dyDescent="0.2">
      <c r="A16" s="19" t="s">
        <v>25</v>
      </c>
      <c r="B16" s="20">
        <v>4940533</v>
      </c>
      <c r="C16" s="20">
        <v>1436302.0000000002</v>
      </c>
      <c r="D16" s="20">
        <v>632640</v>
      </c>
      <c r="E16" s="20">
        <v>5586878</v>
      </c>
      <c r="F16" s="20">
        <v>1272513</v>
      </c>
      <c r="G16" s="21">
        <f t="shared" si="1"/>
        <v>13868866</v>
      </c>
      <c r="H16" s="20">
        <v>2072395</v>
      </c>
      <c r="I16" s="20">
        <f t="shared" si="4"/>
        <v>15941261</v>
      </c>
      <c r="J16" s="20">
        <v>14816470</v>
      </c>
      <c r="K16" s="20">
        <f t="shared" si="2"/>
        <v>-1124791</v>
      </c>
      <c r="L16" s="22">
        <f t="shared" si="3"/>
        <v>0.92944152912369982</v>
      </c>
      <c r="M16" s="24"/>
      <c r="N16" s="26"/>
      <c r="O16" s="26"/>
    </row>
    <row r="17" spans="1:13" ht="14.25" x14ac:dyDescent="0.2">
      <c r="A17" s="19" t="s">
        <v>26</v>
      </c>
      <c r="B17" s="20">
        <v>31284881.596866444</v>
      </c>
      <c r="C17" s="20">
        <v>13516944</v>
      </c>
      <c r="D17" s="20">
        <v>6914256</v>
      </c>
      <c r="E17" s="20">
        <v>35339664</v>
      </c>
      <c r="F17" s="20">
        <v>10302265</v>
      </c>
      <c r="G17" s="21">
        <f t="shared" si="1"/>
        <v>97358010.596866444</v>
      </c>
      <c r="H17" s="20">
        <v>13120178</v>
      </c>
      <c r="I17" s="20">
        <f t="shared" si="4"/>
        <v>110478188.59686644</v>
      </c>
      <c r="J17" s="20">
        <v>99656229</v>
      </c>
      <c r="K17" s="20">
        <f t="shared" si="2"/>
        <v>-10821959.596866444</v>
      </c>
      <c r="L17" s="22">
        <f t="shared" si="3"/>
        <v>0.90204437876551691</v>
      </c>
      <c r="M17" s="24"/>
    </row>
    <row r="18" spans="1:13" ht="14.25" x14ac:dyDescent="0.2">
      <c r="A18" s="19" t="s">
        <v>27</v>
      </c>
      <c r="B18" s="20">
        <v>5799609</v>
      </c>
      <c r="C18" s="20">
        <v>2439353</v>
      </c>
      <c r="D18" s="20">
        <v>1311416</v>
      </c>
      <c r="E18" s="20">
        <v>6488607</v>
      </c>
      <c r="F18" s="20">
        <v>1958852.8426559996</v>
      </c>
      <c r="G18" s="21">
        <f t="shared" si="1"/>
        <v>17997837.842656001</v>
      </c>
      <c r="H18" s="20">
        <v>2040369</v>
      </c>
      <c r="I18" s="20">
        <f t="shared" si="4"/>
        <v>20038206.842656001</v>
      </c>
      <c r="J18" s="20">
        <v>19338480</v>
      </c>
      <c r="K18" s="20">
        <f t="shared" si="2"/>
        <v>-699726.84265600145</v>
      </c>
      <c r="L18" s="22">
        <f t="shared" si="3"/>
        <v>0.96508036631469096</v>
      </c>
      <c r="M18" s="24"/>
    </row>
    <row r="19" spans="1:13" ht="14.25" x14ac:dyDescent="0.2">
      <c r="A19" s="19" t="s">
        <v>28</v>
      </c>
      <c r="B19" s="20">
        <v>7252646</v>
      </c>
      <c r="C19" s="20">
        <v>3047860</v>
      </c>
      <c r="D19" s="20">
        <v>1638842</v>
      </c>
      <c r="E19" s="20">
        <v>8115719</v>
      </c>
      <c r="F19" s="20">
        <v>2447653.3033199999</v>
      </c>
      <c r="G19" s="21">
        <f t="shared" si="1"/>
        <v>22502720.303319998</v>
      </c>
      <c r="H19" s="20">
        <v>2550215</v>
      </c>
      <c r="I19" s="20">
        <f t="shared" si="4"/>
        <v>25052935.303319998</v>
      </c>
      <c r="J19" s="20">
        <v>24171340</v>
      </c>
      <c r="K19" s="20">
        <f t="shared" si="2"/>
        <v>-881595.30331999809</v>
      </c>
      <c r="L19" s="22">
        <f t="shared" si="3"/>
        <v>0.96481069812194142</v>
      </c>
      <c r="M19" s="24"/>
    </row>
    <row r="20" spans="1:13" ht="15" x14ac:dyDescent="0.25">
      <c r="A20" s="27" t="s">
        <v>29</v>
      </c>
      <c r="B20" s="28">
        <f>SUM(B10:B19)</f>
        <v>320657805.01377988</v>
      </c>
      <c r="C20" s="28">
        <f>SUM(C10:C19)</f>
        <v>122552738</v>
      </c>
      <c r="D20" s="28">
        <f>SUM(D10:D19)</f>
        <v>68958616</v>
      </c>
      <c r="E20" s="28">
        <f>SUM(E10:E19)</f>
        <v>331970133.00000006</v>
      </c>
      <c r="F20" s="28">
        <f>SUM(F10:F19)</f>
        <v>99152646.145976007</v>
      </c>
      <c r="G20" s="28">
        <f>+B20+C20+E20+F20+D20</f>
        <v>943291938.15975595</v>
      </c>
      <c r="H20" s="28">
        <f>SUM(H10:H19)</f>
        <v>151200342</v>
      </c>
      <c r="I20" s="28">
        <f>SUM(I10:I19)</f>
        <v>1094492280.1597559</v>
      </c>
      <c r="J20" s="28">
        <f>SUM(J10:J19)</f>
        <v>967329030</v>
      </c>
      <c r="K20" s="28">
        <f t="shared" si="2"/>
        <v>-127163250.15975595</v>
      </c>
      <c r="L20" s="17">
        <f t="shared" si="3"/>
        <v>0.88381530645314854</v>
      </c>
      <c r="M20" s="24"/>
    </row>
    <row r="21" spans="1:13" ht="15" x14ac:dyDescent="0.25">
      <c r="A21" s="12" t="s">
        <v>30</v>
      </c>
      <c r="B21" s="29"/>
      <c r="C21" s="29"/>
      <c r="D21" s="29"/>
      <c r="E21" s="30"/>
      <c r="F21" s="29"/>
      <c r="G21" s="29"/>
      <c r="H21" s="28"/>
      <c r="I21" s="29"/>
      <c r="J21" s="29"/>
      <c r="K21" s="29"/>
      <c r="L21" s="17"/>
      <c r="M21" s="24"/>
    </row>
    <row r="22" spans="1:13" ht="14.25" x14ac:dyDescent="0.2">
      <c r="A22" s="31" t="s">
        <v>31</v>
      </c>
      <c r="B22" s="32">
        <f>+[1]Funcionamiento!H9</f>
        <v>119791276</v>
      </c>
      <c r="C22" s="32">
        <f>+[1]Funcionamiento!I9</f>
        <v>0</v>
      </c>
      <c r="D22" s="33">
        <f>+[1]Funcionamiento!J9</f>
        <v>0</v>
      </c>
      <c r="E22" s="32">
        <f>+[1]Funcionamiento!G9</f>
        <v>4582865</v>
      </c>
      <c r="F22" s="33">
        <f>+[1]Funcionamiento!K9</f>
        <v>610401</v>
      </c>
      <c r="G22" s="33">
        <f t="shared" ref="G22:G36" si="5">+B22+C22+E22+F22+D22</f>
        <v>124984542</v>
      </c>
      <c r="H22" s="29">
        <f>+[1]Funcionamiento!F9</f>
        <v>33750975</v>
      </c>
      <c r="I22" s="20">
        <f>+H22+G22</f>
        <v>158735517</v>
      </c>
      <c r="J22" s="20">
        <v>152965155</v>
      </c>
      <c r="K22" s="20">
        <f t="shared" si="2"/>
        <v>-5770362</v>
      </c>
      <c r="L22" s="22">
        <f t="shared" si="3"/>
        <v>0.96364794653990382</v>
      </c>
      <c r="M22" s="24"/>
    </row>
    <row r="23" spans="1:13" ht="14.25" x14ac:dyDescent="0.2">
      <c r="A23" s="31" t="s">
        <v>32</v>
      </c>
      <c r="B23" s="20">
        <f>+[1]Funcionamiento!H23</f>
        <v>23313368</v>
      </c>
      <c r="C23" s="32">
        <f>+[1]Funcionamiento!I23</f>
        <v>185627</v>
      </c>
      <c r="D23" s="33">
        <f>+[1]Funcionamiento!J23</f>
        <v>0</v>
      </c>
      <c r="E23" s="20">
        <f>+[1]Funcionamiento!G23</f>
        <v>5668350</v>
      </c>
      <c r="F23" s="33">
        <v>0</v>
      </c>
      <c r="G23" s="33">
        <f t="shared" si="5"/>
        <v>29167345</v>
      </c>
      <c r="H23" s="29">
        <f>+[1]Funcionamiento!F23</f>
        <v>3748023</v>
      </c>
      <c r="I23" s="20">
        <f>+G23+H23</f>
        <v>32915368</v>
      </c>
      <c r="J23" s="20">
        <v>28731974</v>
      </c>
      <c r="K23" s="20">
        <f t="shared" si="2"/>
        <v>-4183394</v>
      </c>
      <c r="L23" s="22">
        <f t="shared" si="3"/>
        <v>0.87290453504879539</v>
      </c>
    </row>
    <row r="24" spans="1:13" ht="14.25" x14ac:dyDescent="0.2">
      <c r="A24" s="31" t="s">
        <v>33</v>
      </c>
      <c r="B24" s="32">
        <v>0</v>
      </c>
      <c r="C24" s="32">
        <v>0</v>
      </c>
      <c r="D24" s="33"/>
      <c r="E24" s="32">
        <f>+[1]Funcionamiento!G13</f>
        <v>3368562</v>
      </c>
      <c r="F24" s="33">
        <v>0</v>
      </c>
      <c r="G24" s="33">
        <f t="shared" si="5"/>
        <v>3368562</v>
      </c>
      <c r="H24" s="29">
        <f>+[1]Funcionamiento!F13</f>
        <v>8376419</v>
      </c>
      <c r="I24" s="20">
        <f t="shared" ref="I24:I35" si="6">+G24+H24</f>
        <v>11744981</v>
      </c>
      <c r="J24" s="20">
        <v>10307448</v>
      </c>
      <c r="K24" s="20">
        <f t="shared" si="2"/>
        <v>-1437533</v>
      </c>
      <c r="L24" s="22">
        <f t="shared" si="3"/>
        <v>0.87760448484335563</v>
      </c>
      <c r="M24" s="24"/>
    </row>
    <row r="25" spans="1:13" ht="14.25" x14ac:dyDescent="0.2">
      <c r="A25" s="31" t="s">
        <v>34</v>
      </c>
      <c r="B25" s="20">
        <f>+[1]Funcionamiento!H25</f>
        <v>17482557</v>
      </c>
      <c r="C25" s="32">
        <f>+[1]Funcionamiento!I25</f>
        <v>4473800</v>
      </c>
      <c r="D25" s="32">
        <f>+[1]Funcionamiento!J25</f>
        <v>1384078</v>
      </c>
      <c r="E25" s="32">
        <f>+[1]Funcionamiento!G25</f>
        <v>83164793</v>
      </c>
      <c r="F25" s="32">
        <f>+[1]Funcionamiento!K25</f>
        <v>5711349</v>
      </c>
      <c r="G25" s="32">
        <f t="shared" si="5"/>
        <v>112216577</v>
      </c>
      <c r="H25" s="20">
        <f>+[1]Funcionamiento!F25</f>
        <v>20664988</v>
      </c>
      <c r="I25" s="20">
        <f t="shared" si="6"/>
        <v>132881565</v>
      </c>
      <c r="J25" s="20">
        <v>80380427</v>
      </c>
      <c r="K25" s="20">
        <f t="shared" si="2"/>
        <v>-52501138</v>
      </c>
      <c r="L25" s="22">
        <f t="shared" si="3"/>
        <v>0.6049027718781006</v>
      </c>
    </row>
    <row r="26" spans="1:13" ht="14.25" x14ac:dyDescent="0.2">
      <c r="A26" s="31" t="s">
        <v>35</v>
      </c>
      <c r="B26" s="32">
        <f>+[1]Funcionamiento!H27</f>
        <v>1453980</v>
      </c>
      <c r="C26" s="32">
        <f>+[1]Funcionamiento!I27</f>
        <v>1569600</v>
      </c>
      <c r="D26" s="32">
        <f>+[1]Funcionamiento!J27</f>
        <v>1031500</v>
      </c>
      <c r="E26" s="32">
        <f>+[1]Funcionamiento!G27</f>
        <v>629110</v>
      </c>
      <c r="F26" s="32">
        <f>+[1]Funcionamiento!K27</f>
        <v>1063232</v>
      </c>
      <c r="G26" s="32">
        <f t="shared" si="5"/>
        <v>5747422</v>
      </c>
      <c r="H26" s="20">
        <f>+[1]Funcionamiento!F27</f>
        <v>2109727.1552999998</v>
      </c>
      <c r="I26" s="20">
        <f t="shared" si="6"/>
        <v>7857149.1552999998</v>
      </c>
      <c r="J26" s="20">
        <v>3815893</v>
      </c>
      <c r="K26" s="20">
        <f t="shared" si="2"/>
        <v>-4041256.1552999998</v>
      </c>
      <c r="L26" s="22">
        <f t="shared" si="3"/>
        <v>0.48565871979482644</v>
      </c>
    </row>
    <row r="27" spans="1:13" ht="14.25" x14ac:dyDescent="0.2">
      <c r="A27" s="19" t="s">
        <v>36</v>
      </c>
      <c r="B27" s="32">
        <v>0</v>
      </c>
      <c r="C27" s="32">
        <v>0</v>
      </c>
      <c r="D27" s="32">
        <v>0</v>
      </c>
      <c r="E27" s="32">
        <v>0</v>
      </c>
      <c r="F27" s="32">
        <v>0</v>
      </c>
      <c r="G27" s="32">
        <f t="shared" si="5"/>
        <v>0</v>
      </c>
      <c r="H27" s="20">
        <f>+[1]Funcionamiento!F7</f>
        <v>11779100</v>
      </c>
      <c r="I27" s="20">
        <f t="shared" si="6"/>
        <v>11779100</v>
      </c>
      <c r="J27" s="20">
        <v>11445256</v>
      </c>
      <c r="K27" s="20">
        <f t="shared" si="2"/>
        <v>-333844</v>
      </c>
      <c r="L27" s="22">
        <f t="shared" si="3"/>
        <v>0.97165793651467425</v>
      </c>
      <c r="M27" s="24"/>
    </row>
    <row r="28" spans="1:13" ht="14.25" x14ac:dyDescent="0.2">
      <c r="A28" s="31" t="s">
        <v>37</v>
      </c>
      <c r="B28" s="32">
        <f>+[1]Funcionamiento!H15</f>
        <v>1421815.5152000003</v>
      </c>
      <c r="C28" s="32">
        <f>+[1]Funcionamiento!I15</f>
        <v>1492817.5152000003</v>
      </c>
      <c r="D28" s="32">
        <f>+[1]Funcionamiento!J15</f>
        <v>1492817.5152000003</v>
      </c>
      <c r="E28" s="32">
        <f>+[1]Funcionamiento!G15</f>
        <v>1492814.5152000003</v>
      </c>
      <c r="F28" s="32">
        <f>+[1]Funcionamiento!K15</f>
        <v>1492815.5152000003</v>
      </c>
      <c r="G28" s="32">
        <f t="shared" si="5"/>
        <v>7393080.5760000013</v>
      </c>
      <c r="H28" s="20">
        <f>+[1]Funcionamiento!F15</f>
        <v>15853477.3584</v>
      </c>
      <c r="I28" s="20">
        <f t="shared" si="6"/>
        <v>23246557.9344</v>
      </c>
      <c r="J28" s="20">
        <v>20378092</v>
      </c>
      <c r="K28" s="20">
        <f t="shared" si="2"/>
        <v>-2868465.9343999997</v>
      </c>
      <c r="L28" s="22">
        <f t="shared" si="3"/>
        <v>0.87660685325997123</v>
      </c>
    </row>
    <row r="29" spans="1:13" ht="14.25" x14ac:dyDescent="0.2">
      <c r="A29" s="34" t="s">
        <v>38</v>
      </c>
      <c r="B29" s="32">
        <f>+[1]Funcionamiento!H29</f>
        <v>3355466</v>
      </c>
      <c r="C29" s="32">
        <f>[1]Funcionamiento!I29</f>
        <v>276174</v>
      </c>
      <c r="D29" s="32">
        <f>+[1]Funcionamiento!J29</f>
        <v>1000000</v>
      </c>
      <c r="E29" s="32">
        <f>+[1]Funcionamiento!G29</f>
        <v>21749530</v>
      </c>
      <c r="F29" s="32">
        <v>0</v>
      </c>
      <c r="G29" s="32">
        <f t="shared" si="5"/>
        <v>26381170</v>
      </c>
      <c r="H29" s="20">
        <f>+[1]Funcionamiento!F29</f>
        <v>20225402</v>
      </c>
      <c r="I29" s="20">
        <f t="shared" si="6"/>
        <v>46606572</v>
      </c>
      <c r="J29" s="20">
        <v>30264040</v>
      </c>
      <c r="K29" s="20">
        <f t="shared" si="2"/>
        <v>-16342532</v>
      </c>
      <c r="L29" s="22">
        <f t="shared" si="3"/>
        <v>0.64935134040752884</v>
      </c>
    </row>
    <row r="30" spans="1:13" ht="14.25" x14ac:dyDescent="0.2">
      <c r="A30" s="31" t="s">
        <v>39</v>
      </c>
      <c r="B30" s="32">
        <v>0</v>
      </c>
      <c r="C30" s="32">
        <v>0</v>
      </c>
      <c r="D30" s="32"/>
      <c r="E30" s="32">
        <f>+[1]Funcionamiento!G33</f>
        <v>29894724</v>
      </c>
      <c r="F30" s="32">
        <v>0</v>
      </c>
      <c r="G30" s="32">
        <f t="shared" si="5"/>
        <v>29894724</v>
      </c>
      <c r="H30" s="20">
        <f>+[1]Funcionamiento!F33</f>
        <v>18697836.25</v>
      </c>
      <c r="I30" s="20">
        <f t="shared" si="6"/>
        <v>48592560.25</v>
      </c>
      <c r="J30" s="20">
        <v>29481014</v>
      </c>
      <c r="K30" s="20">
        <f t="shared" si="2"/>
        <v>-19111546.25</v>
      </c>
      <c r="L30" s="22">
        <f t="shared" si="3"/>
        <v>0.60669810045664352</v>
      </c>
    </row>
    <row r="31" spans="1:13" ht="14.25" x14ac:dyDescent="0.2">
      <c r="A31" s="31" t="s">
        <v>40</v>
      </c>
      <c r="B31" s="20">
        <f>[1]Funcionamiento!H21</f>
        <v>2990489</v>
      </c>
      <c r="C31" s="20">
        <f>[1]Funcionamiento!I21</f>
        <v>5813560</v>
      </c>
      <c r="D31" s="20">
        <f>+[1]Funcionamiento!J21</f>
        <v>3220076</v>
      </c>
      <c r="E31" s="20">
        <f>+[1]Funcionamiento!G21</f>
        <v>83288737</v>
      </c>
      <c r="F31" s="32">
        <f>+[1]Funcionamiento!K21</f>
        <v>2536495</v>
      </c>
      <c r="G31" s="32">
        <f t="shared" si="5"/>
        <v>97849357</v>
      </c>
      <c r="H31" s="20">
        <f>+[1]Funcionamiento!F21</f>
        <v>14155026</v>
      </c>
      <c r="I31" s="20">
        <f t="shared" si="6"/>
        <v>112004383</v>
      </c>
      <c r="J31" s="20">
        <v>90384059</v>
      </c>
      <c r="K31" s="20">
        <f t="shared" si="2"/>
        <v>-21620324</v>
      </c>
      <c r="L31" s="22">
        <f t="shared" si="3"/>
        <v>0.80696894692058618</v>
      </c>
    </row>
    <row r="32" spans="1:13" ht="14.25" x14ac:dyDescent="0.2">
      <c r="A32" s="31" t="s">
        <v>41</v>
      </c>
      <c r="B32" s="32">
        <v>0</v>
      </c>
      <c r="C32" s="32">
        <v>0</v>
      </c>
      <c r="D32" s="32"/>
      <c r="E32" s="32">
        <v>0</v>
      </c>
      <c r="F32" s="32">
        <v>0</v>
      </c>
      <c r="G32" s="32">
        <f t="shared" si="5"/>
        <v>0</v>
      </c>
      <c r="H32" s="20">
        <f>+[1]Funcionamiento!F11</f>
        <v>1657506</v>
      </c>
      <c r="I32" s="20">
        <f t="shared" si="6"/>
        <v>1657506</v>
      </c>
      <c r="J32" s="20">
        <v>1490399</v>
      </c>
      <c r="K32" s="20">
        <f t="shared" si="2"/>
        <v>-167107</v>
      </c>
      <c r="L32" s="22">
        <f t="shared" si="3"/>
        <v>0.89918166208749772</v>
      </c>
      <c r="M32" s="24"/>
    </row>
    <row r="33" spans="1:13" ht="14.25" x14ac:dyDescent="0.2">
      <c r="A33" s="31" t="s">
        <v>42</v>
      </c>
      <c r="B33" s="20">
        <f>[1]Funcionamiento!H17</f>
        <v>2349614.6999999993</v>
      </c>
      <c r="C33" s="20">
        <f>[1]Funcionamiento!I17</f>
        <v>1059755.81</v>
      </c>
      <c r="D33" s="20">
        <f>+[1]Funcionamiento!J17</f>
        <v>522892.49</v>
      </c>
      <c r="E33" s="20">
        <f>+[1]Funcionamiento!G17</f>
        <v>2056522</v>
      </c>
      <c r="F33" s="20">
        <f>+[1]Funcionamiento!K17</f>
        <v>4094084</v>
      </c>
      <c r="G33" s="32">
        <f t="shared" si="5"/>
        <v>10082869</v>
      </c>
      <c r="H33" s="20">
        <f>+[1]Funcionamiento!F17</f>
        <v>8916792.2200000007</v>
      </c>
      <c r="I33" s="20">
        <f t="shared" si="6"/>
        <v>18999661.219999999</v>
      </c>
      <c r="J33" s="20">
        <v>16719957</v>
      </c>
      <c r="K33" s="20">
        <f t="shared" si="2"/>
        <v>-2279704.2199999988</v>
      </c>
      <c r="L33" s="22">
        <f t="shared" si="3"/>
        <v>0.88001342794469051</v>
      </c>
    </row>
    <row r="34" spans="1:13" ht="14.25" x14ac:dyDescent="0.2">
      <c r="A34" s="31" t="s">
        <v>43</v>
      </c>
      <c r="B34" s="32">
        <f>+[1]Funcionamiento!H19</f>
        <v>1209435</v>
      </c>
      <c r="C34" s="32">
        <v>0</v>
      </c>
      <c r="D34" s="32"/>
      <c r="E34" s="32">
        <f>+[1]Funcionamiento!G19</f>
        <v>3922433</v>
      </c>
      <c r="F34" s="32">
        <f>+[1]Funcionamiento!K19</f>
        <v>7000000</v>
      </c>
      <c r="G34" s="32">
        <f t="shared" si="5"/>
        <v>12131868</v>
      </c>
      <c r="H34" s="20">
        <f>+[1]Funcionamiento!F19</f>
        <v>11756518.541350001</v>
      </c>
      <c r="I34" s="20">
        <f>+G34+H34</f>
        <v>23888386.54135</v>
      </c>
      <c r="J34" s="20">
        <v>21564949</v>
      </c>
      <c r="K34" s="20">
        <f t="shared" si="2"/>
        <v>-2323437.5413499996</v>
      </c>
      <c r="L34" s="22">
        <f t="shared" si="3"/>
        <v>0.90273777857168347</v>
      </c>
    </row>
    <row r="35" spans="1:13" ht="14.25" x14ac:dyDescent="0.2">
      <c r="A35" s="31" t="s">
        <v>44</v>
      </c>
      <c r="B35" s="32">
        <v>0</v>
      </c>
      <c r="C35" s="32">
        <v>0</v>
      </c>
      <c r="D35" s="32"/>
      <c r="E35" s="32">
        <v>0</v>
      </c>
      <c r="F35" s="32">
        <v>0</v>
      </c>
      <c r="G35" s="32">
        <f t="shared" si="5"/>
        <v>0</v>
      </c>
      <c r="H35" s="20">
        <f>+[1]Funcionamiento!F35</f>
        <v>1491727.7402000129</v>
      </c>
      <c r="I35" s="20">
        <f t="shared" si="6"/>
        <v>1491727.7402000129</v>
      </c>
      <c r="J35" s="20">
        <v>811536</v>
      </c>
      <c r="K35" s="20">
        <f t="shared" si="2"/>
        <v>-680191.74020001292</v>
      </c>
      <c r="L35" s="22">
        <f t="shared" si="3"/>
        <v>0.54402420638178128</v>
      </c>
    </row>
    <row r="36" spans="1:13" ht="14.25" x14ac:dyDescent="0.2">
      <c r="A36" s="31" t="s">
        <v>45</v>
      </c>
      <c r="B36" s="32">
        <v>0</v>
      </c>
      <c r="C36" s="32">
        <v>0</v>
      </c>
      <c r="D36" s="32"/>
      <c r="E36" s="32">
        <v>0</v>
      </c>
      <c r="F36" s="32">
        <v>0</v>
      </c>
      <c r="G36" s="32">
        <f t="shared" si="5"/>
        <v>0</v>
      </c>
      <c r="H36" s="20">
        <f>+[1]Funcionamiento!F31</f>
        <v>6927532.0484000007</v>
      </c>
      <c r="I36" s="20">
        <f>+G36+H36</f>
        <v>6927532.0484000007</v>
      </c>
      <c r="J36" s="20">
        <v>2591516</v>
      </c>
      <c r="K36" s="20">
        <f t="shared" si="2"/>
        <v>-4336016.0484000007</v>
      </c>
      <c r="L36" s="22">
        <f t="shared" si="3"/>
        <v>0.37408935561670087</v>
      </c>
    </row>
    <row r="37" spans="1:13" ht="15" x14ac:dyDescent="0.25">
      <c r="A37" s="27" t="s">
        <v>46</v>
      </c>
      <c r="B37" s="35">
        <f t="shared" ref="B37:H37" si="7">SUM(B22:B36)</f>
        <v>173368001.21519998</v>
      </c>
      <c r="C37" s="35">
        <f t="shared" si="7"/>
        <v>14871334.325200001</v>
      </c>
      <c r="D37" s="35">
        <f t="shared" si="7"/>
        <v>8651364.0052000005</v>
      </c>
      <c r="E37" s="35">
        <f t="shared" si="7"/>
        <v>239818440.51520002</v>
      </c>
      <c r="F37" s="35">
        <f t="shared" si="7"/>
        <v>22508376.5152</v>
      </c>
      <c r="G37" s="36">
        <f t="shared" si="7"/>
        <v>459217516.57599998</v>
      </c>
      <c r="H37" s="35">
        <f t="shared" si="7"/>
        <v>180111050.31365004</v>
      </c>
      <c r="I37" s="35">
        <f>SUM(I22:I36)</f>
        <v>639328566.88965011</v>
      </c>
      <c r="J37" s="35">
        <f>SUM(J22:J36)</f>
        <v>501331715</v>
      </c>
      <c r="K37" s="35">
        <f t="shared" si="2"/>
        <v>-137996851.88965011</v>
      </c>
      <c r="L37" s="17">
        <f t="shared" si="3"/>
        <v>0.78415347125655854</v>
      </c>
    </row>
    <row r="38" spans="1:13" ht="15" x14ac:dyDescent="0.25">
      <c r="A38" s="37" t="s">
        <v>47</v>
      </c>
      <c r="B38" s="38">
        <f>+B37+B20</f>
        <v>494025806.22897983</v>
      </c>
      <c r="C38" s="38">
        <f>+C37+C20</f>
        <v>137424072.32519999</v>
      </c>
      <c r="D38" s="38">
        <f>+D37+D20</f>
        <v>77609980.005199999</v>
      </c>
      <c r="E38" s="38">
        <f>+E37+E20</f>
        <v>571788573.51520014</v>
      </c>
      <c r="F38" s="38">
        <f>+F37+F20</f>
        <v>121661022.66117601</v>
      </c>
      <c r="G38" s="39">
        <f>+B38+C38+E38+F38+D38</f>
        <v>1402509454.7357557</v>
      </c>
      <c r="H38" s="38">
        <f>+H37+H20</f>
        <v>331311392.31365001</v>
      </c>
      <c r="I38" s="38">
        <f>+I37+I20</f>
        <v>1733820847.0494061</v>
      </c>
      <c r="J38" s="38">
        <f>+J37+J20</f>
        <v>1468660745</v>
      </c>
      <c r="K38" s="38">
        <f t="shared" si="2"/>
        <v>-265160102.04940605</v>
      </c>
      <c r="L38" s="40">
        <f t="shared" si="3"/>
        <v>0.84706603193712193</v>
      </c>
      <c r="M38" s="41"/>
    </row>
    <row r="39" spans="1:13" ht="15" x14ac:dyDescent="0.25">
      <c r="A39" s="42"/>
      <c r="B39" s="43"/>
      <c r="C39" s="43"/>
      <c r="D39" s="43"/>
      <c r="E39" s="43"/>
      <c r="F39" s="43"/>
      <c r="G39" s="43"/>
      <c r="H39" s="43"/>
      <c r="I39" s="43"/>
      <c r="J39" s="43"/>
      <c r="K39" s="43"/>
      <c r="L39" s="44"/>
    </row>
    <row r="40" spans="1:13" ht="15" x14ac:dyDescent="0.25">
      <c r="A40" s="45" t="s">
        <v>48</v>
      </c>
      <c r="B40" s="46">
        <f>+B42+B47+B86+B119+B141+B155+B162+B172</f>
        <v>796263599</v>
      </c>
      <c r="C40" s="46">
        <f>+C42+C47+C86+C119+C141+C155+C162+C172</f>
        <v>400411200.40749997</v>
      </c>
      <c r="D40" s="46">
        <f>+D42+D47+D86+D119+D141+D155+D162+D172</f>
        <v>253184885</v>
      </c>
      <c r="E40" s="46">
        <f>+E42+E47+E86+E119+E141+E155+E162+E172</f>
        <v>1040127667</v>
      </c>
      <c r="F40" s="46">
        <f>+F42+F47+F86+F119+F141+F155+F162+F172</f>
        <v>1421069716.71</v>
      </c>
      <c r="G40" s="46">
        <f>+B40+C40+E40+F40+D40</f>
        <v>3911057068.1175003</v>
      </c>
      <c r="H40" s="46">
        <v>0</v>
      </c>
      <c r="I40" s="46">
        <f>+H40+G40</f>
        <v>3911057068.1175003</v>
      </c>
      <c r="J40" s="46">
        <f>+J42+J47+J86+J119+J141+J155+J162+J172</f>
        <v>3644520865.4075003</v>
      </c>
      <c r="K40" s="46">
        <f t="shared" si="2"/>
        <v>-266536202.71000004</v>
      </c>
      <c r="L40" s="47">
        <f t="shared" si="3"/>
        <v>0.93185059740427378</v>
      </c>
    </row>
    <row r="41" spans="1:13" ht="15" x14ac:dyDescent="0.25">
      <c r="A41" s="27"/>
      <c r="B41" s="35"/>
      <c r="C41" s="35"/>
      <c r="D41" s="35"/>
      <c r="E41" s="35"/>
      <c r="F41" s="35"/>
      <c r="G41" s="35"/>
      <c r="H41" s="35"/>
      <c r="I41" s="35"/>
      <c r="J41" s="35"/>
      <c r="K41" s="35"/>
      <c r="L41" s="17"/>
    </row>
    <row r="42" spans="1:13" s="51" customFormat="1" ht="15" x14ac:dyDescent="0.25">
      <c r="A42" s="48" t="s">
        <v>49</v>
      </c>
      <c r="B42" s="49">
        <f>+B43</f>
        <v>32227912</v>
      </c>
      <c r="C42" s="49"/>
      <c r="D42" s="49"/>
      <c r="E42" s="49"/>
      <c r="F42" s="49"/>
      <c r="G42" s="49">
        <f>+G43</f>
        <v>32227912</v>
      </c>
      <c r="H42" s="49"/>
      <c r="I42" s="49">
        <f>+I43</f>
        <v>32227912</v>
      </c>
      <c r="J42" s="49">
        <f>+J43</f>
        <v>30935335</v>
      </c>
      <c r="K42" s="49">
        <f t="shared" si="2"/>
        <v>-1292577</v>
      </c>
      <c r="L42" s="50">
        <f t="shared" si="3"/>
        <v>0.95989262351219029</v>
      </c>
    </row>
    <row r="43" spans="1:13" s="55" customFormat="1" ht="15" x14ac:dyDescent="0.25">
      <c r="A43" s="52" t="s">
        <v>50</v>
      </c>
      <c r="B43" s="53">
        <f>+SUM(B44:B46)</f>
        <v>32227912</v>
      </c>
      <c r="C43" s="53"/>
      <c r="D43" s="53"/>
      <c r="E43" s="53"/>
      <c r="F43" s="53"/>
      <c r="G43" s="53">
        <f>+SUM(G44:G46)</f>
        <v>32227912</v>
      </c>
      <c r="H43" s="53"/>
      <c r="I43" s="53">
        <f>+SUM(I44:I46)</f>
        <v>32227912</v>
      </c>
      <c r="J43" s="53">
        <f>+SUM(J44:J46)</f>
        <v>30935335</v>
      </c>
      <c r="K43" s="53">
        <f t="shared" si="2"/>
        <v>-1292577</v>
      </c>
      <c r="L43" s="54">
        <f t="shared" si="3"/>
        <v>0.95989262351219029</v>
      </c>
    </row>
    <row r="44" spans="1:13" s="55" customFormat="1" ht="15" hidden="1" outlineLevel="1" x14ac:dyDescent="0.25">
      <c r="A44" s="56" t="s">
        <v>51</v>
      </c>
      <c r="B44" s="20">
        <f>9572886+5</f>
        <v>9572891</v>
      </c>
      <c r="C44" s="53"/>
      <c r="D44" s="53"/>
      <c r="E44" s="53"/>
      <c r="F44" s="53"/>
      <c r="G44" s="30">
        <f>+B44+C44+D44+E44+F44</f>
        <v>9572891</v>
      </c>
      <c r="H44" s="53"/>
      <c r="I44" s="57">
        <f>+G44+H44</f>
        <v>9572891</v>
      </c>
      <c r="J44" s="57">
        <v>9572889</v>
      </c>
      <c r="K44" s="57">
        <f t="shared" si="2"/>
        <v>-2</v>
      </c>
      <c r="L44" s="58">
        <f t="shared" si="3"/>
        <v>0.99999979107669767</v>
      </c>
    </row>
    <row r="45" spans="1:13" s="55" customFormat="1" ht="15" hidden="1" outlineLevel="1" x14ac:dyDescent="0.25">
      <c r="A45" s="56" t="s">
        <v>52</v>
      </c>
      <c r="B45" s="20"/>
      <c r="C45" s="53"/>
      <c r="D45" s="53"/>
      <c r="E45" s="53"/>
      <c r="F45" s="53"/>
      <c r="G45" s="30">
        <f>+B45+C45+D45+E45+F45</f>
        <v>0</v>
      </c>
      <c r="H45" s="53"/>
      <c r="I45" s="57">
        <f>+G45+H45</f>
        <v>0</v>
      </c>
      <c r="J45" s="57">
        <v>0</v>
      </c>
      <c r="K45" s="57">
        <f t="shared" si="2"/>
        <v>0</v>
      </c>
      <c r="L45" s="58">
        <f t="shared" si="3"/>
        <v>0</v>
      </c>
    </row>
    <row r="46" spans="1:13" s="55" customFormat="1" ht="15" hidden="1" outlineLevel="1" x14ac:dyDescent="0.25">
      <c r="A46" s="56" t="s">
        <v>53</v>
      </c>
      <c r="B46" s="20">
        <f>22655026-5</f>
        <v>22655021</v>
      </c>
      <c r="C46" s="53"/>
      <c r="D46" s="53"/>
      <c r="E46" s="53"/>
      <c r="F46" s="53"/>
      <c r="G46" s="30">
        <f>+B46+C46+D46+E46+F46</f>
        <v>22655021</v>
      </c>
      <c r="H46" s="53"/>
      <c r="I46" s="57">
        <f>+G46+H46</f>
        <v>22655021</v>
      </c>
      <c r="J46" s="57">
        <v>21362446</v>
      </c>
      <c r="K46" s="57">
        <f t="shared" si="2"/>
        <v>-1292575</v>
      </c>
      <c r="L46" s="58">
        <f t="shared" si="3"/>
        <v>0.9429453188324125</v>
      </c>
    </row>
    <row r="47" spans="1:13" s="51" customFormat="1" ht="15" collapsed="1" x14ac:dyDescent="0.25">
      <c r="A47" s="48" t="s">
        <v>54</v>
      </c>
      <c r="B47" s="49"/>
      <c r="C47" s="49"/>
      <c r="D47" s="49"/>
      <c r="E47" s="49"/>
      <c r="F47" s="49">
        <f>+F48+F55+F80+F61+F66+F69+F72</f>
        <v>1369827093.71</v>
      </c>
      <c r="G47" s="49">
        <f>+G48+G55+G80+G61+G66+G69+G72</f>
        <v>1369827093.71</v>
      </c>
      <c r="H47" s="49"/>
      <c r="I47" s="49">
        <f>+I48+I55+I80+I61+I66+I69+I72</f>
        <v>1369827093.71</v>
      </c>
      <c r="J47" s="49">
        <f>+J48+J55+J80+J61+J66+J69+J72</f>
        <v>1339932840</v>
      </c>
      <c r="K47" s="49">
        <f t="shared" si="2"/>
        <v>-29894253.710000038</v>
      </c>
      <c r="L47" s="50">
        <f t="shared" si="3"/>
        <v>0.97817662254800686</v>
      </c>
    </row>
    <row r="48" spans="1:13" ht="15" x14ac:dyDescent="0.25">
      <c r="A48" s="52" t="s">
        <v>55</v>
      </c>
      <c r="B48" s="59"/>
      <c r="C48" s="30"/>
      <c r="D48" s="30"/>
      <c r="E48" s="30"/>
      <c r="F48" s="16">
        <f>SUM(F49:F54)</f>
        <v>100578754</v>
      </c>
      <c r="G48" s="16">
        <f>SUM(G49:G54)</f>
        <v>100578754</v>
      </c>
      <c r="H48" s="30"/>
      <c r="I48" s="16">
        <f>SUM(I49:I54)</f>
        <v>100578754</v>
      </c>
      <c r="J48" s="16">
        <f>SUM(J49:J54)</f>
        <v>100563736</v>
      </c>
      <c r="K48" s="16">
        <f t="shared" si="2"/>
        <v>-15018</v>
      </c>
      <c r="L48" s="54">
        <f t="shared" si="3"/>
        <v>0.99985068417133105</v>
      </c>
    </row>
    <row r="49" spans="1:12" ht="15" hidden="1" outlineLevel="1" x14ac:dyDescent="0.25">
      <c r="A49" s="56" t="s">
        <v>56</v>
      </c>
      <c r="B49" s="59"/>
      <c r="C49" s="30"/>
      <c r="D49" s="30"/>
      <c r="E49" s="30"/>
      <c r="F49" s="21"/>
      <c r="G49" s="57">
        <f>+B49+C49+D49+E49+F49</f>
        <v>0</v>
      </c>
      <c r="H49" s="30"/>
      <c r="I49" s="57">
        <f t="shared" ref="I49:I54" si="8">+H49+G49</f>
        <v>0</v>
      </c>
      <c r="J49" s="57">
        <v>0</v>
      </c>
      <c r="K49" s="57">
        <f t="shared" si="2"/>
        <v>0</v>
      </c>
      <c r="L49" s="58">
        <f t="shared" si="3"/>
        <v>0</v>
      </c>
    </row>
    <row r="50" spans="1:12" ht="15" hidden="1" outlineLevel="1" x14ac:dyDescent="0.25">
      <c r="A50" s="56" t="s">
        <v>57</v>
      </c>
      <c r="B50" s="59"/>
      <c r="C50" s="30"/>
      <c r="D50" s="30"/>
      <c r="E50" s="30"/>
      <c r="F50" s="21">
        <v>75481834</v>
      </c>
      <c r="G50" s="57">
        <f>+B50+C50+D50+E50+F50</f>
        <v>75481834</v>
      </c>
      <c r="H50" s="30"/>
      <c r="I50" s="57">
        <f t="shared" si="8"/>
        <v>75481834</v>
      </c>
      <c r="J50" s="57">
        <v>75480000</v>
      </c>
      <c r="K50" s="57">
        <f t="shared" si="2"/>
        <v>-1834</v>
      </c>
      <c r="L50" s="58">
        <f t="shared" si="3"/>
        <v>0.99997570276313108</v>
      </c>
    </row>
    <row r="51" spans="1:12" ht="15" hidden="1" outlineLevel="1" x14ac:dyDescent="0.25">
      <c r="A51" s="56" t="s">
        <v>58</v>
      </c>
      <c r="B51" s="59"/>
      <c r="C51" s="30"/>
      <c r="D51" s="30"/>
      <c r="E51" s="30"/>
      <c r="F51" s="21">
        <v>18796920</v>
      </c>
      <c r="G51" s="57">
        <f>+B51+C51+D51+E51+F51</f>
        <v>18796920</v>
      </c>
      <c r="H51" s="30"/>
      <c r="I51" s="57">
        <f t="shared" si="8"/>
        <v>18796920</v>
      </c>
      <c r="J51" s="57">
        <v>18796000</v>
      </c>
      <c r="K51" s="57">
        <f t="shared" si="2"/>
        <v>-920</v>
      </c>
      <c r="L51" s="58">
        <f t="shared" si="3"/>
        <v>0.99995105581127119</v>
      </c>
    </row>
    <row r="52" spans="1:12" ht="15" hidden="1" outlineLevel="1" x14ac:dyDescent="0.25">
      <c r="A52" s="56" t="s">
        <v>59</v>
      </c>
      <c r="B52" s="59"/>
      <c r="C52" s="30"/>
      <c r="D52" s="30"/>
      <c r="E52" s="30"/>
      <c r="F52" s="21">
        <v>6300000</v>
      </c>
      <c r="G52" s="57">
        <f>+B52+C52+D52+E52+F52</f>
        <v>6300000</v>
      </c>
      <c r="H52" s="30"/>
      <c r="I52" s="57">
        <f t="shared" si="8"/>
        <v>6300000</v>
      </c>
      <c r="J52" s="57">
        <v>0</v>
      </c>
      <c r="K52" s="57">
        <f t="shared" si="2"/>
        <v>-6300000</v>
      </c>
      <c r="L52" s="58">
        <f t="shared" si="3"/>
        <v>0</v>
      </c>
    </row>
    <row r="53" spans="1:12" ht="15" hidden="1" outlineLevel="1" x14ac:dyDescent="0.25">
      <c r="A53" s="56" t="s">
        <v>60</v>
      </c>
      <c r="B53" s="59"/>
      <c r="C53" s="30"/>
      <c r="D53" s="30"/>
      <c r="E53" s="30"/>
      <c r="F53" s="21"/>
      <c r="G53" s="57">
        <f>+B53+C53+D53+E53+F53</f>
        <v>0</v>
      </c>
      <c r="H53" s="30"/>
      <c r="I53" s="57">
        <f t="shared" si="8"/>
        <v>0</v>
      </c>
      <c r="J53" s="57">
        <v>6287736</v>
      </c>
      <c r="K53" s="57">
        <f t="shared" si="2"/>
        <v>6287736</v>
      </c>
      <c r="L53" s="58">
        <f t="shared" si="3"/>
        <v>0</v>
      </c>
    </row>
    <row r="54" spans="1:12" ht="15" hidden="1" outlineLevel="1" x14ac:dyDescent="0.25">
      <c r="A54" s="56" t="s">
        <v>61</v>
      </c>
      <c r="B54" s="59"/>
      <c r="C54" s="30"/>
      <c r="D54" s="30"/>
      <c r="E54" s="30"/>
      <c r="F54" s="21"/>
      <c r="G54" s="57">
        <f t="shared" ref="G54:G71" si="9">+B54+C54+D54+E54+F54</f>
        <v>0</v>
      </c>
      <c r="H54" s="30"/>
      <c r="I54" s="57">
        <f t="shared" si="8"/>
        <v>0</v>
      </c>
      <c r="J54" s="57">
        <v>0</v>
      </c>
      <c r="K54" s="57">
        <f t="shared" si="2"/>
        <v>0</v>
      </c>
      <c r="L54" s="58">
        <f t="shared" si="3"/>
        <v>0</v>
      </c>
    </row>
    <row r="55" spans="1:12" ht="30" collapsed="1" x14ac:dyDescent="0.25">
      <c r="A55" s="60" t="s">
        <v>62</v>
      </c>
      <c r="B55" s="59"/>
      <c r="C55" s="30"/>
      <c r="D55" s="30"/>
      <c r="E55" s="30"/>
      <c r="F55" s="16">
        <f>SUM(F56:F60)</f>
        <v>128029631</v>
      </c>
      <c r="G55" s="16">
        <f>SUM(G56:G60)</f>
        <v>128029631</v>
      </c>
      <c r="H55" s="30"/>
      <c r="I55" s="16">
        <f>SUM(I56:I60)</f>
        <v>128029631</v>
      </c>
      <c r="J55" s="16">
        <f>SUM(J56:J60)</f>
        <v>127711947</v>
      </c>
      <c r="K55" s="16">
        <f t="shared" si="2"/>
        <v>-317684</v>
      </c>
      <c r="L55" s="54">
        <f t="shared" si="3"/>
        <v>0.99751866815893575</v>
      </c>
    </row>
    <row r="56" spans="1:12" ht="15" hidden="1" outlineLevel="1" x14ac:dyDescent="0.25">
      <c r="A56" s="61" t="s">
        <v>63</v>
      </c>
      <c r="B56" s="59"/>
      <c r="C56" s="30"/>
      <c r="D56" s="30"/>
      <c r="E56" s="30"/>
      <c r="F56" s="21">
        <v>63593331</v>
      </c>
      <c r="G56" s="57">
        <f t="shared" si="9"/>
        <v>63593331</v>
      </c>
      <c r="H56" s="30"/>
      <c r="I56" s="57">
        <f t="shared" ref="I56:I71" si="10">+H56+G56</f>
        <v>63593331</v>
      </c>
      <c r="J56" s="57">
        <v>63593331</v>
      </c>
      <c r="K56" s="57">
        <f t="shared" si="2"/>
        <v>0</v>
      </c>
      <c r="L56" s="58">
        <f t="shared" si="3"/>
        <v>1</v>
      </c>
    </row>
    <row r="57" spans="1:12" ht="15" hidden="1" outlineLevel="1" x14ac:dyDescent="0.25">
      <c r="A57" s="61" t="s">
        <v>64</v>
      </c>
      <c r="B57" s="59"/>
      <c r="C57" s="30"/>
      <c r="D57" s="30"/>
      <c r="E57" s="30"/>
      <c r="F57" s="21">
        <v>37666665</v>
      </c>
      <c r="G57" s="57">
        <f t="shared" si="9"/>
        <v>37666665</v>
      </c>
      <c r="H57" s="30"/>
      <c r="I57" s="57">
        <f t="shared" si="10"/>
        <v>37666665</v>
      </c>
      <c r="J57" s="57">
        <v>37666665</v>
      </c>
      <c r="K57" s="57">
        <f t="shared" si="2"/>
        <v>0</v>
      </c>
      <c r="L57" s="58">
        <f t="shared" si="3"/>
        <v>1</v>
      </c>
    </row>
    <row r="58" spans="1:12" ht="15" hidden="1" outlineLevel="1" x14ac:dyDescent="0.25">
      <c r="A58" s="61" t="s">
        <v>65</v>
      </c>
      <c r="B58" s="59"/>
      <c r="C58" s="30"/>
      <c r="D58" s="30"/>
      <c r="E58" s="30"/>
      <c r="F58" s="21">
        <v>18633867</v>
      </c>
      <c r="G58" s="57">
        <f t="shared" si="9"/>
        <v>18633867</v>
      </c>
      <c r="H58" s="30"/>
      <c r="I58" s="57">
        <f t="shared" si="10"/>
        <v>18633867</v>
      </c>
      <c r="J58" s="57">
        <v>18581641</v>
      </c>
      <c r="K58" s="57">
        <f t="shared" si="2"/>
        <v>-52226</v>
      </c>
      <c r="L58" s="58">
        <f t="shared" si="3"/>
        <v>0.99719725379600488</v>
      </c>
    </row>
    <row r="59" spans="1:12" ht="15" hidden="1" outlineLevel="1" x14ac:dyDescent="0.25">
      <c r="A59" s="61" t="s">
        <v>66</v>
      </c>
      <c r="B59" s="59"/>
      <c r="C59" s="30"/>
      <c r="D59" s="30"/>
      <c r="E59" s="30"/>
      <c r="F59" s="21"/>
      <c r="G59" s="57">
        <f t="shared" si="9"/>
        <v>0</v>
      </c>
      <c r="H59" s="30"/>
      <c r="I59" s="57">
        <f t="shared" si="10"/>
        <v>0</v>
      </c>
      <c r="J59" s="57">
        <v>0</v>
      </c>
      <c r="K59" s="57">
        <f t="shared" si="2"/>
        <v>0</v>
      </c>
      <c r="L59" s="58">
        <f t="shared" si="3"/>
        <v>0</v>
      </c>
    </row>
    <row r="60" spans="1:12" ht="15" hidden="1" outlineLevel="1" x14ac:dyDescent="0.25">
      <c r="A60" s="61" t="s">
        <v>67</v>
      </c>
      <c r="B60" s="59"/>
      <c r="C60" s="30"/>
      <c r="D60" s="30"/>
      <c r="E60" s="30"/>
      <c r="F60" s="21">
        <v>8135768</v>
      </c>
      <c r="G60" s="57">
        <f t="shared" si="9"/>
        <v>8135768</v>
      </c>
      <c r="H60" s="30"/>
      <c r="I60" s="57">
        <f t="shared" si="10"/>
        <v>8135768</v>
      </c>
      <c r="J60" s="57">
        <v>7870310</v>
      </c>
      <c r="K60" s="57">
        <f t="shared" si="2"/>
        <v>-265458</v>
      </c>
      <c r="L60" s="58">
        <f t="shared" si="3"/>
        <v>0.96737148846918941</v>
      </c>
    </row>
    <row r="61" spans="1:12" ht="15" collapsed="1" x14ac:dyDescent="0.25">
      <c r="A61" s="62" t="s">
        <v>68</v>
      </c>
      <c r="B61" s="59"/>
      <c r="C61" s="30"/>
      <c r="D61" s="30"/>
      <c r="E61" s="30"/>
      <c r="F61" s="16">
        <f>SUM(F62:F65)</f>
        <v>731603973.71000004</v>
      </c>
      <c r="G61" s="16">
        <f>SUM(G62:G65)</f>
        <v>731603973.71000004</v>
      </c>
      <c r="H61" s="30"/>
      <c r="I61" s="16">
        <f>SUM(I62:I65)</f>
        <v>731603973.71000004</v>
      </c>
      <c r="J61" s="16">
        <f>SUM(J62:J65)</f>
        <v>730919497</v>
      </c>
      <c r="K61" s="16">
        <f t="shared" si="2"/>
        <v>-684476.71000003815</v>
      </c>
      <c r="L61" s="54">
        <f t="shared" si="3"/>
        <v>0.99906441635830789</v>
      </c>
    </row>
    <row r="62" spans="1:12" ht="15" hidden="1" outlineLevel="1" x14ac:dyDescent="0.25">
      <c r="A62" s="56" t="s">
        <v>69</v>
      </c>
      <c r="B62" s="59"/>
      <c r="C62" s="30"/>
      <c r="D62" s="30"/>
      <c r="E62" s="30"/>
      <c r="F62" s="21">
        <f>699081230.71+2380520+4246205</f>
        <v>705707955.71000004</v>
      </c>
      <c r="G62" s="57">
        <f>+B62+C62+D62+E62+F62</f>
        <v>705707955.71000004</v>
      </c>
      <c r="H62" s="30"/>
      <c r="I62" s="57">
        <f t="shared" si="10"/>
        <v>705707955.71000004</v>
      </c>
      <c r="J62" s="57">
        <v>705023479</v>
      </c>
      <c r="K62" s="57">
        <f t="shared" si="2"/>
        <v>-684476.71000003815</v>
      </c>
      <c r="L62" s="58">
        <f t="shared" si="3"/>
        <v>0.99903008503097945</v>
      </c>
    </row>
    <row r="63" spans="1:12" ht="15" hidden="1" outlineLevel="1" x14ac:dyDescent="0.25">
      <c r="A63" s="56" t="s">
        <v>70</v>
      </c>
      <c r="B63" s="59"/>
      <c r="C63" s="30"/>
      <c r="D63" s="30"/>
      <c r="E63" s="30"/>
      <c r="F63" s="21"/>
      <c r="G63" s="57">
        <f t="shared" si="9"/>
        <v>0</v>
      </c>
      <c r="H63" s="30"/>
      <c r="I63" s="57">
        <f t="shared" si="10"/>
        <v>0</v>
      </c>
      <c r="J63" s="57">
        <v>0</v>
      </c>
      <c r="K63" s="57">
        <f t="shared" si="2"/>
        <v>0</v>
      </c>
      <c r="L63" s="58">
        <f t="shared" si="3"/>
        <v>0</v>
      </c>
    </row>
    <row r="64" spans="1:12" ht="15" hidden="1" outlineLevel="1" x14ac:dyDescent="0.25">
      <c r="A64" s="56" t="s">
        <v>71</v>
      </c>
      <c r="B64" s="59"/>
      <c r="C64" s="30"/>
      <c r="D64" s="30"/>
      <c r="E64" s="30"/>
      <c r="F64" s="21">
        <f>15260000-2380520</f>
        <v>12879480</v>
      </c>
      <c r="G64" s="57">
        <f t="shared" si="9"/>
        <v>12879480</v>
      </c>
      <c r="H64" s="30"/>
      <c r="I64" s="57">
        <f t="shared" si="10"/>
        <v>12879480</v>
      </c>
      <c r="J64" s="57">
        <v>12879480</v>
      </c>
      <c r="K64" s="57">
        <f t="shared" si="2"/>
        <v>0</v>
      </c>
      <c r="L64" s="58">
        <f t="shared" si="3"/>
        <v>1</v>
      </c>
    </row>
    <row r="65" spans="1:12" ht="15" hidden="1" outlineLevel="1" x14ac:dyDescent="0.25">
      <c r="A65" s="63" t="s">
        <v>72</v>
      </c>
      <c r="B65" s="59"/>
      <c r="C65" s="30"/>
      <c r="D65" s="30"/>
      <c r="E65" s="30"/>
      <c r="F65" s="21">
        <f>17262743-4246205</f>
        <v>13016538</v>
      </c>
      <c r="G65" s="57">
        <f t="shared" si="9"/>
        <v>13016538</v>
      </c>
      <c r="H65" s="30"/>
      <c r="I65" s="57">
        <f t="shared" si="10"/>
        <v>13016538</v>
      </c>
      <c r="J65" s="57">
        <v>13016538</v>
      </c>
      <c r="K65" s="57">
        <f t="shared" si="2"/>
        <v>0</v>
      </c>
      <c r="L65" s="58">
        <f t="shared" si="3"/>
        <v>1</v>
      </c>
    </row>
    <row r="66" spans="1:12" ht="15" collapsed="1" x14ac:dyDescent="0.25">
      <c r="A66" s="64" t="s">
        <v>73</v>
      </c>
      <c r="B66" s="59"/>
      <c r="C66" s="30"/>
      <c r="D66" s="30"/>
      <c r="E66" s="30"/>
      <c r="F66" s="16">
        <f>+SUM(F67:F68)</f>
        <v>32626740</v>
      </c>
      <c r="G66" s="16">
        <f>+SUM(G67:G68)</f>
        <v>32626740</v>
      </c>
      <c r="H66" s="30"/>
      <c r="I66" s="16">
        <f>+SUM(I67:I68)</f>
        <v>32626740</v>
      </c>
      <c r="J66" s="16">
        <f>+SUM(J67:J68)</f>
        <v>32528516</v>
      </c>
      <c r="K66" s="16">
        <f t="shared" si="2"/>
        <v>-98224</v>
      </c>
      <c r="L66" s="54">
        <f t="shared" si="3"/>
        <v>0.99698946324395266</v>
      </c>
    </row>
    <row r="67" spans="1:12" ht="15" hidden="1" outlineLevel="1" x14ac:dyDescent="0.25">
      <c r="A67" s="56" t="s">
        <v>74</v>
      </c>
      <c r="B67" s="59"/>
      <c r="C67" s="30"/>
      <c r="D67" s="30"/>
      <c r="E67" s="30"/>
      <c r="F67" s="21">
        <v>14814048</v>
      </c>
      <c r="G67" s="57">
        <f t="shared" si="9"/>
        <v>14814048</v>
      </c>
      <c r="H67" s="30"/>
      <c r="I67" s="57">
        <f t="shared" si="10"/>
        <v>14814048</v>
      </c>
      <c r="J67" s="57">
        <v>14776678</v>
      </c>
      <c r="K67" s="57">
        <f t="shared" si="2"/>
        <v>-37370</v>
      </c>
      <c r="L67" s="58">
        <f t="shared" si="3"/>
        <v>0.99747739442993566</v>
      </c>
    </row>
    <row r="68" spans="1:12" ht="15" hidden="1" outlineLevel="1" x14ac:dyDescent="0.25">
      <c r="A68" s="56" t="s">
        <v>75</v>
      </c>
      <c r="B68" s="59"/>
      <c r="C68" s="30"/>
      <c r="D68" s="30"/>
      <c r="E68" s="30"/>
      <c r="F68" s="21">
        <v>17812692</v>
      </c>
      <c r="G68" s="57">
        <f t="shared" si="9"/>
        <v>17812692</v>
      </c>
      <c r="H68" s="30"/>
      <c r="I68" s="57">
        <f t="shared" si="10"/>
        <v>17812692</v>
      </c>
      <c r="J68" s="57">
        <v>17751838</v>
      </c>
      <c r="K68" s="57">
        <f t="shared" si="2"/>
        <v>-60854</v>
      </c>
      <c r="L68" s="58">
        <f t="shared" si="3"/>
        <v>0.99658367191213992</v>
      </c>
    </row>
    <row r="69" spans="1:12" ht="15" collapsed="1" x14ac:dyDescent="0.25">
      <c r="A69" s="62" t="s">
        <v>76</v>
      </c>
      <c r="B69" s="59"/>
      <c r="C69" s="30"/>
      <c r="D69" s="30"/>
      <c r="E69" s="30"/>
      <c r="F69" s="16">
        <f>+SUM(F70:F71)</f>
        <v>129959117</v>
      </c>
      <c r="G69" s="16">
        <f>+SUM(G70:G71)</f>
        <v>129959117</v>
      </c>
      <c r="H69" s="30"/>
      <c r="I69" s="16">
        <f>+SUM(I70:I71)</f>
        <v>129959117</v>
      </c>
      <c r="J69" s="16">
        <f>+SUM(J70:J71)</f>
        <v>102493887</v>
      </c>
      <c r="K69" s="16">
        <f t="shared" si="2"/>
        <v>-27465230</v>
      </c>
      <c r="L69" s="54">
        <f t="shared" si="3"/>
        <v>0.78866253761942684</v>
      </c>
    </row>
    <row r="70" spans="1:12" ht="15" hidden="1" outlineLevel="1" x14ac:dyDescent="0.25">
      <c r="A70" s="56" t="s">
        <v>77</v>
      </c>
      <c r="B70" s="59"/>
      <c r="C70" s="30"/>
      <c r="D70" s="30"/>
      <c r="E70" s="30"/>
      <c r="F70" s="57">
        <v>77959117</v>
      </c>
      <c r="G70" s="57">
        <f t="shared" si="9"/>
        <v>77959117</v>
      </c>
      <c r="H70" s="30"/>
      <c r="I70" s="57">
        <f t="shared" si="10"/>
        <v>77959117</v>
      </c>
      <c r="J70" s="57">
        <v>51584976</v>
      </c>
      <c r="K70" s="57">
        <f t="shared" si="2"/>
        <v>-26374141</v>
      </c>
      <c r="L70" s="58">
        <f t="shared" si="3"/>
        <v>0.66169266642668623</v>
      </c>
    </row>
    <row r="71" spans="1:12" ht="15" hidden="1" outlineLevel="1" x14ac:dyDescent="0.25">
      <c r="A71" s="56" t="s">
        <v>78</v>
      </c>
      <c r="B71" s="59"/>
      <c r="C71" s="30"/>
      <c r="D71" s="30"/>
      <c r="E71" s="30"/>
      <c r="F71" s="57">
        <v>52000000</v>
      </c>
      <c r="G71" s="57">
        <f t="shared" si="9"/>
        <v>52000000</v>
      </c>
      <c r="H71" s="30"/>
      <c r="I71" s="57">
        <f t="shared" si="10"/>
        <v>52000000</v>
      </c>
      <c r="J71" s="57">
        <v>50908911</v>
      </c>
      <c r="K71" s="57">
        <f t="shared" si="2"/>
        <v>-1091089</v>
      </c>
      <c r="L71" s="58">
        <f t="shared" si="3"/>
        <v>0.97901751923076918</v>
      </c>
    </row>
    <row r="72" spans="1:12" ht="15" collapsed="1" x14ac:dyDescent="0.25">
      <c r="A72" s="64" t="s">
        <v>79</v>
      </c>
      <c r="B72" s="65"/>
      <c r="C72" s="66"/>
      <c r="D72" s="66"/>
      <c r="E72" s="66"/>
      <c r="F72" s="16">
        <f>SUM(F73:F79)</f>
        <v>194435045</v>
      </c>
      <c r="G72" s="16">
        <f>SUM(G73:G79)</f>
        <v>194435045</v>
      </c>
      <c r="H72" s="66"/>
      <c r="I72" s="16">
        <f>SUM(I73:I79)</f>
        <v>194435045</v>
      </c>
      <c r="J72" s="16">
        <f>SUM(J73:J79)</f>
        <v>194037020</v>
      </c>
      <c r="K72" s="16">
        <f t="shared" si="2"/>
        <v>-398025</v>
      </c>
      <c r="L72" s="54">
        <f t="shared" si="3"/>
        <v>0.99795291532964137</v>
      </c>
    </row>
    <row r="73" spans="1:12" ht="15" hidden="1" outlineLevel="1" x14ac:dyDescent="0.25">
      <c r="A73" s="56" t="s">
        <v>80</v>
      </c>
      <c r="B73" s="59"/>
      <c r="C73" s="30"/>
      <c r="D73" s="30"/>
      <c r="E73" s="30"/>
      <c r="F73" s="21">
        <v>29406449</v>
      </c>
      <c r="G73" s="57">
        <f t="shared" ref="G73:G79" si="11">+B73+C73+D73+E73+F73</f>
        <v>29406449</v>
      </c>
      <c r="H73" s="30"/>
      <c r="I73" s="57">
        <f t="shared" ref="I73:I79" si="12">+H73+G73</f>
        <v>29406449</v>
      </c>
      <c r="J73" s="57">
        <v>29133864</v>
      </c>
      <c r="K73" s="57">
        <f t="shared" si="2"/>
        <v>-272585</v>
      </c>
      <c r="L73" s="54">
        <f t="shared" si="3"/>
        <v>0.99073043467438049</v>
      </c>
    </row>
    <row r="74" spans="1:12" ht="15" hidden="1" outlineLevel="1" x14ac:dyDescent="0.25">
      <c r="A74" s="56" t="s">
        <v>81</v>
      </c>
      <c r="B74" s="59"/>
      <c r="C74" s="30"/>
      <c r="D74" s="30"/>
      <c r="E74" s="30"/>
      <c r="F74" s="21"/>
      <c r="G74" s="57">
        <f t="shared" si="11"/>
        <v>0</v>
      </c>
      <c r="H74" s="30"/>
      <c r="I74" s="57">
        <f t="shared" si="12"/>
        <v>0</v>
      </c>
      <c r="J74" s="57">
        <v>0</v>
      </c>
      <c r="K74" s="57">
        <f t="shared" ref="K74:K137" si="13">+J74-I74</f>
        <v>0</v>
      </c>
      <c r="L74" s="54">
        <f t="shared" ref="L74:L137" si="14">IFERROR(J74/I74,0)</f>
        <v>0</v>
      </c>
    </row>
    <row r="75" spans="1:12" ht="15" hidden="1" outlineLevel="1" x14ac:dyDescent="0.25">
      <c r="A75" s="56" t="s">
        <v>82</v>
      </c>
      <c r="B75" s="59"/>
      <c r="C75" s="30"/>
      <c r="D75" s="30"/>
      <c r="E75" s="30"/>
      <c r="F75" s="21">
        <v>91519074</v>
      </c>
      <c r="G75" s="57">
        <f t="shared" si="11"/>
        <v>91519074</v>
      </c>
      <c r="H75" s="30"/>
      <c r="I75" s="57">
        <f t="shared" si="12"/>
        <v>91519074</v>
      </c>
      <c r="J75" s="57">
        <v>91498038</v>
      </c>
      <c r="K75" s="57">
        <f t="shared" si="13"/>
        <v>-21036</v>
      </c>
      <c r="L75" s="54">
        <f t="shared" si="14"/>
        <v>0.99977014627573701</v>
      </c>
    </row>
    <row r="76" spans="1:12" ht="15" hidden="1" outlineLevel="1" x14ac:dyDescent="0.25">
      <c r="A76" s="56" t="s">
        <v>83</v>
      </c>
      <c r="B76" s="59"/>
      <c r="C76" s="30"/>
      <c r="D76" s="30"/>
      <c r="E76" s="30"/>
      <c r="F76" s="21">
        <v>20041910</v>
      </c>
      <c r="G76" s="57">
        <f t="shared" si="11"/>
        <v>20041910</v>
      </c>
      <c r="H76" s="30"/>
      <c r="I76" s="57">
        <f t="shared" si="12"/>
        <v>20041910</v>
      </c>
      <c r="J76" s="57">
        <v>19961162</v>
      </c>
      <c r="K76" s="57">
        <f t="shared" si="13"/>
        <v>-80748</v>
      </c>
      <c r="L76" s="54">
        <f t="shared" si="14"/>
        <v>0.99597104268006398</v>
      </c>
    </row>
    <row r="77" spans="1:12" ht="15" hidden="1" outlineLevel="1" x14ac:dyDescent="0.25">
      <c r="A77" s="56" t="s">
        <v>84</v>
      </c>
      <c r="B77" s="59"/>
      <c r="C77" s="30"/>
      <c r="D77" s="30"/>
      <c r="E77" s="30"/>
      <c r="F77" s="21">
        <v>18009474</v>
      </c>
      <c r="G77" s="57">
        <f t="shared" si="11"/>
        <v>18009474</v>
      </c>
      <c r="H77" s="30"/>
      <c r="I77" s="57">
        <f t="shared" si="12"/>
        <v>18009474</v>
      </c>
      <c r="J77" s="57">
        <v>18009474</v>
      </c>
      <c r="K77" s="57">
        <f t="shared" si="13"/>
        <v>0</v>
      </c>
      <c r="L77" s="54">
        <f t="shared" si="14"/>
        <v>1</v>
      </c>
    </row>
    <row r="78" spans="1:12" ht="15" hidden="1" outlineLevel="1" x14ac:dyDescent="0.25">
      <c r="A78" s="56" t="s">
        <v>85</v>
      </c>
      <c r="B78" s="59"/>
      <c r="C78" s="30"/>
      <c r="D78" s="30"/>
      <c r="E78" s="30"/>
      <c r="F78" s="21"/>
      <c r="G78" s="57">
        <f t="shared" si="11"/>
        <v>0</v>
      </c>
      <c r="H78" s="30"/>
      <c r="I78" s="57">
        <f t="shared" si="12"/>
        <v>0</v>
      </c>
      <c r="J78" s="57">
        <v>0</v>
      </c>
      <c r="K78" s="57">
        <f t="shared" si="13"/>
        <v>0</v>
      </c>
      <c r="L78" s="54">
        <f t="shared" si="14"/>
        <v>0</v>
      </c>
    </row>
    <row r="79" spans="1:12" ht="29.25" hidden="1" outlineLevel="1" x14ac:dyDescent="0.25">
      <c r="A79" s="67" t="s">
        <v>86</v>
      </c>
      <c r="B79" s="59"/>
      <c r="C79" s="30"/>
      <c r="D79" s="30"/>
      <c r="E79" s="30"/>
      <c r="F79" s="21">
        <v>35458138</v>
      </c>
      <c r="G79" s="57">
        <f t="shared" si="11"/>
        <v>35458138</v>
      </c>
      <c r="H79" s="30"/>
      <c r="I79" s="57">
        <f t="shared" si="12"/>
        <v>35458138</v>
      </c>
      <c r="J79" s="57">
        <v>35434482</v>
      </c>
      <c r="K79" s="57">
        <f t="shared" si="13"/>
        <v>-23656</v>
      </c>
      <c r="L79" s="54">
        <f t="shared" si="14"/>
        <v>0.9993328470885865</v>
      </c>
    </row>
    <row r="80" spans="1:12" ht="17.25" customHeight="1" collapsed="1" x14ac:dyDescent="0.25">
      <c r="A80" s="68" t="s">
        <v>87</v>
      </c>
      <c r="B80" s="59"/>
      <c r="C80" s="30"/>
      <c r="D80" s="30"/>
      <c r="E80" s="30"/>
      <c r="F80" s="16">
        <f>SUM(F81:F84)</f>
        <v>52593833</v>
      </c>
      <c r="G80" s="16">
        <f>SUM(G81:G84)</f>
        <v>52593833</v>
      </c>
      <c r="H80" s="30"/>
      <c r="I80" s="16">
        <f>SUM(I81:I84)</f>
        <v>52593833</v>
      </c>
      <c r="J80" s="16">
        <f>SUM(J81:J84)</f>
        <v>51678237</v>
      </c>
      <c r="K80" s="16">
        <f t="shared" si="13"/>
        <v>-915596</v>
      </c>
      <c r="L80" s="54">
        <f t="shared" si="14"/>
        <v>0.98259119087213131</v>
      </c>
    </row>
    <row r="81" spans="1:12" ht="15" hidden="1" outlineLevel="1" x14ac:dyDescent="0.25">
      <c r="A81" s="56" t="s">
        <v>88</v>
      </c>
      <c r="B81" s="59"/>
      <c r="C81" s="30"/>
      <c r="D81" s="30"/>
      <c r="E81" s="30"/>
      <c r="F81" s="21">
        <v>7900000</v>
      </c>
      <c r="G81" s="57">
        <f>+B81+C81+D81+E81+F81</f>
        <v>7900000</v>
      </c>
      <c r="H81" s="30"/>
      <c r="I81" s="57">
        <f>+H81+G81</f>
        <v>7900000</v>
      </c>
      <c r="J81" s="57">
        <v>7900000</v>
      </c>
      <c r="K81" s="57">
        <f t="shared" si="13"/>
        <v>0</v>
      </c>
      <c r="L81" s="58">
        <f t="shared" si="14"/>
        <v>1</v>
      </c>
    </row>
    <row r="82" spans="1:12" ht="15" hidden="1" outlineLevel="1" x14ac:dyDescent="0.25">
      <c r="A82" s="56" t="s">
        <v>89</v>
      </c>
      <c r="B82" s="59"/>
      <c r="C82" s="30"/>
      <c r="D82" s="30"/>
      <c r="E82" s="30"/>
      <c r="F82" s="21">
        <v>13887405</v>
      </c>
      <c r="G82" s="57">
        <f>+B82+C82+D82+E82+F82</f>
        <v>13887405</v>
      </c>
      <c r="H82" s="30"/>
      <c r="I82" s="57">
        <f>+H82+G82</f>
        <v>13887405</v>
      </c>
      <c r="J82" s="57">
        <v>13093410</v>
      </c>
      <c r="K82" s="57">
        <f t="shared" si="13"/>
        <v>-793995</v>
      </c>
      <c r="L82" s="58">
        <f t="shared" si="14"/>
        <v>0.94282625155671629</v>
      </c>
    </row>
    <row r="83" spans="1:12" ht="15" hidden="1" outlineLevel="1" x14ac:dyDescent="0.25">
      <c r="A83" s="56" t="s">
        <v>90</v>
      </c>
      <c r="B83" s="59"/>
      <c r="C83" s="30"/>
      <c r="D83" s="30"/>
      <c r="E83" s="30"/>
      <c r="F83" s="21">
        <v>5762254</v>
      </c>
      <c r="G83" s="57">
        <f>+B83+C83+D83+E83+F83</f>
        <v>5762254</v>
      </c>
      <c r="H83" s="30"/>
      <c r="I83" s="57">
        <f>+H83+G83</f>
        <v>5762254</v>
      </c>
      <c r="J83" s="57">
        <v>5699892</v>
      </c>
      <c r="K83" s="57">
        <f t="shared" si="13"/>
        <v>-62362</v>
      </c>
      <c r="L83" s="58">
        <f t="shared" si="14"/>
        <v>0.98917749894398965</v>
      </c>
    </row>
    <row r="84" spans="1:12" ht="15" hidden="1" outlineLevel="1" x14ac:dyDescent="0.25">
      <c r="A84" s="56" t="s">
        <v>91</v>
      </c>
      <c r="B84" s="59"/>
      <c r="C84" s="30"/>
      <c r="D84" s="30"/>
      <c r="E84" s="30"/>
      <c r="F84" s="21">
        <v>25044174</v>
      </c>
      <c r="G84" s="57">
        <f>+B84+C84+D84+E84+F84</f>
        <v>25044174</v>
      </c>
      <c r="H84" s="30"/>
      <c r="I84" s="57">
        <f>+H84+G84</f>
        <v>25044174</v>
      </c>
      <c r="J84" s="57">
        <v>24984935</v>
      </c>
      <c r="K84" s="57">
        <f t="shared" si="13"/>
        <v>-59239</v>
      </c>
      <c r="L84" s="58">
        <f t="shared" si="14"/>
        <v>0.99763461953267052</v>
      </c>
    </row>
    <row r="85" spans="1:12" ht="15" hidden="1" outlineLevel="1" x14ac:dyDescent="0.25">
      <c r="A85" s="56"/>
      <c r="B85" s="59"/>
      <c r="C85" s="30"/>
      <c r="D85" s="30"/>
      <c r="E85" s="30"/>
      <c r="F85" s="57"/>
      <c r="G85" s="57"/>
      <c r="H85" s="30"/>
      <c r="I85" s="57"/>
      <c r="J85" s="57"/>
      <c r="K85" s="57"/>
      <c r="L85" s="58"/>
    </row>
    <row r="86" spans="1:12" s="51" customFormat="1" ht="30" collapsed="1" x14ac:dyDescent="0.25">
      <c r="A86" s="48" t="s">
        <v>92</v>
      </c>
      <c r="B86" s="49"/>
      <c r="C86" s="49">
        <f>+C114</f>
        <v>213552020.40749997</v>
      </c>
      <c r="D86" s="49"/>
      <c r="E86" s="49">
        <f>+E87</f>
        <v>1040127667</v>
      </c>
      <c r="F86" s="49"/>
      <c r="G86" s="49">
        <f>SUM(B86:F86)</f>
        <v>1253679687.4075</v>
      </c>
      <c r="H86" s="49"/>
      <c r="I86" s="49">
        <f>+H86+G86</f>
        <v>1253679687.4075</v>
      </c>
      <c r="J86" s="49">
        <f>+J87+J114</f>
        <v>1097375190.4075</v>
      </c>
      <c r="K86" s="49">
        <f t="shared" si="13"/>
        <v>-156304497</v>
      </c>
      <c r="L86" s="50">
        <f t="shared" si="14"/>
        <v>0.8753234190758693</v>
      </c>
    </row>
    <row r="87" spans="1:12" ht="15" x14ac:dyDescent="0.25">
      <c r="A87" s="69" t="s">
        <v>93</v>
      </c>
      <c r="B87" s="30"/>
      <c r="C87" s="53"/>
      <c r="D87" s="53"/>
      <c r="E87" s="66">
        <f>+E88+E93+E100+E107+E110</f>
        <v>1040127667</v>
      </c>
      <c r="F87" s="53"/>
      <c r="G87" s="66">
        <f t="shared" ref="G87:G99" si="15">+B87+C87+D87+E87+F87</f>
        <v>1040127667</v>
      </c>
      <c r="H87" s="53"/>
      <c r="I87" s="66">
        <f>+H87+G87</f>
        <v>1040127667</v>
      </c>
      <c r="J87" s="66">
        <f>+J88+J93+J100+J107+J110</f>
        <v>883823173</v>
      </c>
      <c r="K87" s="66">
        <f t="shared" si="13"/>
        <v>-156304494</v>
      </c>
      <c r="L87" s="54">
        <f t="shared" si="14"/>
        <v>0.84972566449383757</v>
      </c>
    </row>
    <row r="88" spans="1:12" ht="15" x14ac:dyDescent="0.25">
      <c r="A88" s="70" t="s">
        <v>94</v>
      </c>
      <c r="B88" s="53"/>
      <c r="C88" s="30"/>
      <c r="D88" s="30"/>
      <c r="E88" s="66">
        <f>+SUM(E89:E92)</f>
        <v>171162690</v>
      </c>
      <c r="F88" s="30"/>
      <c r="G88" s="66">
        <f>+SUM(G89:G92)</f>
        <v>171162690</v>
      </c>
      <c r="H88" s="30"/>
      <c r="I88" s="66">
        <f>+SUM(I89:I92)</f>
        <v>171162690</v>
      </c>
      <c r="J88" s="66">
        <f>+SUM(J89:J92)</f>
        <v>170609580</v>
      </c>
      <c r="K88" s="66">
        <f t="shared" si="13"/>
        <v>-553110</v>
      </c>
      <c r="L88" s="54">
        <f t="shared" si="14"/>
        <v>0.99676851304451919</v>
      </c>
    </row>
    <row r="89" spans="1:12" ht="15" hidden="1" outlineLevel="1" x14ac:dyDescent="0.25">
      <c r="A89" s="56" t="s">
        <v>95</v>
      </c>
      <c r="B89" s="53"/>
      <c r="C89" s="30"/>
      <c r="D89" s="30"/>
      <c r="E89" s="21">
        <f>105584881+18600000</f>
        <v>124184881</v>
      </c>
      <c r="F89" s="30"/>
      <c r="G89" s="57">
        <f t="shared" si="15"/>
        <v>124184881</v>
      </c>
      <c r="H89" s="30"/>
      <c r="I89" s="57">
        <f>+H89+G89</f>
        <v>124184881</v>
      </c>
      <c r="J89" s="57">
        <v>124173347</v>
      </c>
      <c r="K89" s="57">
        <f t="shared" si="13"/>
        <v>-11534</v>
      </c>
      <c r="L89" s="58">
        <f t="shared" si="14"/>
        <v>0.99990712234929791</v>
      </c>
    </row>
    <row r="90" spans="1:12" ht="15" hidden="1" outlineLevel="1" x14ac:dyDescent="0.25">
      <c r="A90" s="56" t="s">
        <v>96</v>
      </c>
      <c r="B90" s="53"/>
      <c r="C90" s="30"/>
      <c r="D90" s="30"/>
      <c r="E90" s="21">
        <v>180403</v>
      </c>
      <c r="F90" s="30"/>
      <c r="G90" s="57">
        <f t="shared" si="15"/>
        <v>180403</v>
      </c>
      <c r="H90" s="30"/>
      <c r="I90" s="57">
        <f>+H90+G90</f>
        <v>180403</v>
      </c>
      <c r="J90" s="57">
        <v>0</v>
      </c>
      <c r="K90" s="57">
        <f t="shared" si="13"/>
        <v>-180403</v>
      </c>
      <c r="L90" s="58">
        <f t="shared" si="14"/>
        <v>0</v>
      </c>
    </row>
    <row r="91" spans="1:12" ht="15" hidden="1" outlineLevel="1" x14ac:dyDescent="0.25">
      <c r="A91" s="56" t="s">
        <v>97</v>
      </c>
      <c r="B91" s="53"/>
      <c r="C91" s="30"/>
      <c r="D91" s="30"/>
      <c r="E91" s="21">
        <f>11199974+1000000</f>
        <v>12199974</v>
      </c>
      <c r="F91" s="30"/>
      <c r="G91" s="57">
        <f t="shared" si="15"/>
        <v>12199974</v>
      </c>
      <c r="H91" s="30"/>
      <c r="I91" s="57">
        <f>+H91+G91</f>
        <v>12199974</v>
      </c>
      <c r="J91" s="57">
        <v>11932636</v>
      </c>
      <c r="K91" s="57">
        <f t="shared" si="13"/>
        <v>-267338</v>
      </c>
      <c r="L91" s="58">
        <f t="shared" si="14"/>
        <v>0.97808700248049707</v>
      </c>
    </row>
    <row r="92" spans="1:12" ht="15" hidden="1" outlineLevel="1" x14ac:dyDescent="0.25">
      <c r="A92" s="56" t="s">
        <v>98</v>
      </c>
      <c r="B92" s="53"/>
      <c r="C92" s="30"/>
      <c r="D92" s="30"/>
      <c r="E92" s="21">
        <f>54197432-18600000-1000000</f>
        <v>34597432</v>
      </c>
      <c r="F92" s="30"/>
      <c r="G92" s="57">
        <f t="shared" si="15"/>
        <v>34597432</v>
      </c>
      <c r="H92" s="30"/>
      <c r="I92" s="57">
        <f>+H92+G92</f>
        <v>34597432</v>
      </c>
      <c r="J92" s="57">
        <v>34503597</v>
      </c>
      <c r="K92" s="57">
        <f t="shared" si="13"/>
        <v>-93835</v>
      </c>
      <c r="L92" s="58">
        <f t="shared" si="14"/>
        <v>0.99728780448213616</v>
      </c>
    </row>
    <row r="93" spans="1:12" ht="15" collapsed="1" x14ac:dyDescent="0.25">
      <c r="A93" s="70" t="s">
        <v>99</v>
      </c>
      <c r="B93" s="53"/>
      <c r="C93" s="30"/>
      <c r="D93" s="30"/>
      <c r="E93" s="66">
        <f>+E94+E98</f>
        <v>85738564</v>
      </c>
      <c r="F93" s="30"/>
      <c r="G93" s="66">
        <f>+G94+G98</f>
        <v>85738564</v>
      </c>
      <c r="H93" s="30"/>
      <c r="I93" s="66">
        <f>+I94+I98</f>
        <v>85738564</v>
      </c>
      <c r="J93" s="66">
        <f>+J94+J98</f>
        <v>79677424</v>
      </c>
      <c r="K93" s="66">
        <f t="shared" si="13"/>
        <v>-6061140</v>
      </c>
      <c r="L93" s="54">
        <f t="shared" si="14"/>
        <v>0.9293067236348862</v>
      </c>
    </row>
    <row r="94" spans="1:12" ht="15" hidden="1" outlineLevel="1" x14ac:dyDescent="0.25">
      <c r="A94" s="71" t="s">
        <v>100</v>
      </c>
      <c r="B94" s="53"/>
      <c r="C94" s="30"/>
      <c r="D94" s="30"/>
      <c r="E94" s="66">
        <f>+SUM(E95:E97)</f>
        <v>37833498</v>
      </c>
      <c r="F94" s="30"/>
      <c r="G94" s="66">
        <f>+SUM(G95:G97)</f>
        <v>37833498</v>
      </c>
      <c r="H94" s="30"/>
      <c r="I94" s="66">
        <f>+SUM(I95:I97)</f>
        <v>37833498</v>
      </c>
      <c r="J94" s="66">
        <f>+SUM(J95:J97)</f>
        <v>36293604</v>
      </c>
      <c r="K94" s="66">
        <f t="shared" si="13"/>
        <v>-1539894</v>
      </c>
      <c r="L94" s="54">
        <f t="shared" si="14"/>
        <v>0.95929813309887446</v>
      </c>
    </row>
    <row r="95" spans="1:12" ht="15" hidden="1" outlineLevel="2" x14ac:dyDescent="0.25">
      <c r="A95" s="56" t="s">
        <v>101</v>
      </c>
      <c r="B95" s="53"/>
      <c r="C95" s="20"/>
      <c r="D95" s="20"/>
      <c r="E95" s="21">
        <v>4984292</v>
      </c>
      <c r="F95" s="30"/>
      <c r="G95" s="57">
        <f t="shared" si="15"/>
        <v>4984292</v>
      </c>
      <c r="H95" s="57"/>
      <c r="I95" s="57">
        <f>+H95+G95</f>
        <v>4984292</v>
      </c>
      <c r="J95" s="57">
        <v>4650200</v>
      </c>
      <c r="K95" s="57">
        <f t="shared" si="13"/>
        <v>-334092</v>
      </c>
      <c r="L95" s="58">
        <f t="shared" si="14"/>
        <v>0.93297102176196745</v>
      </c>
    </row>
    <row r="96" spans="1:12" ht="15" hidden="1" outlineLevel="2" x14ac:dyDescent="0.25">
      <c r="A96" s="56" t="s">
        <v>102</v>
      </c>
      <c r="B96" s="53"/>
      <c r="C96" s="20"/>
      <c r="D96" s="20"/>
      <c r="E96" s="21">
        <v>18288475</v>
      </c>
      <c r="F96" s="30"/>
      <c r="G96" s="57">
        <f t="shared" si="15"/>
        <v>18288475</v>
      </c>
      <c r="H96" s="30"/>
      <c r="I96" s="57">
        <f>+H96+G96</f>
        <v>18288475</v>
      </c>
      <c r="J96" s="57">
        <v>17600974</v>
      </c>
      <c r="K96" s="57">
        <f t="shared" si="13"/>
        <v>-687501</v>
      </c>
      <c r="L96" s="58">
        <f t="shared" si="14"/>
        <v>0.9624079645787853</v>
      </c>
    </row>
    <row r="97" spans="1:12" ht="15" hidden="1" outlineLevel="2" x14ac:dyDescent="0.25">
      <c r="A97" s="56" t="s">
        <v>103</v>
      </c>
      <c r="B97" s="53"/>
      <c r="C97" s="20"/>
      <c r="D97" s="20"/>
      <c r="E97" s="21">
        <f>25560731-11000000</f>
        <v>14560731</v>
      </c>
      <c r="F97" s="30"/>
      <c r="G97" s="57">
        <f t="shared" si="15"/>
        <v>14560731</v>
      </c>
      <c r="H97" s="30"/>
      <c r="I97" s="57">
        <f>+H97+G97</f>
        <v>14560731</v>
      </c>
      <c r="J97" s="57">
        <v>14042430</v>
      </c>
      <c r="K97" s="57">
        <f t="shared" si="13"/>
        <v>-518301</v>
      </c>
      <c r="L97" s="58">
        <f t="shared" si="14"/>
        <v>0.96440419097090657</v>
      </c>
    </row>
    <row r="98" spans="1:12" s="55" customFormat="1" ht="15" hidden="1" outlineLevel="1" x14ac:dyDescent="0.25">
      <c r="A98" s="71" t="s">
        <v>104</v>
      </c>
      <c r="B98" s="53"/>
      <c r="C98" s="35"/>
      <c r="D98" s="35"/>
      <c r="E98" s="16">
        <f>+E99</f>
        <v>47905066</v>
      </c>
      <c r="F98" s="53"/>
      <c r="G98" s="16">
        <f>+G99</f>
        <v>47905066</v>
      </c>
      <c r="H98" s="53"/>
      <c r="I98" s="16">
        <f>+I99</f>
        <v>47905066</v>
      </c>
      <c r="J98" s="16">
        <f>+J99</f>
        <v>43383820</v>
      </c>
      <c r="K98" s="16">
        <f t="shared" si="13"/>
        <v>-4521246</v>
      </c>
      <c r="L98" s="54">
        <f t="shared" si="14"/>
        <v>0.90562071243154119</v>
      </c>
    </row>
    <row r="99" spans="1:12" ht="15" hidden="1" outlineLevel="2" x14ac:dyDescent="0.25">
      <c r="A99" s="56" t="s">
        <v>105</v>
      </c>
      <c r="B99" s="53"/>
      <c r="C99" s="20"/>
      <c r="D99" s="20"/>
      <c r="E99" s="21">
        <f>36905066+11000000</f>
        <v>47905066</v>
      </c>
      <c r="F99" s="30"/>
      <c r="G99" s="57">
        <f t="shared" si="15"/>
        <v>47905066</v>
      </c>
      <c r="H99" s="30"/>
      <c r="I99" s="57">
        <f>+H99+G99</f>
        <v>47905066</v>
      </c>
      <c r="J99" s="57">
        <v>43383820</v>
      </c>
      <c r="K99" s="57">
        <f t="shared" si="13"/>
        <v>-4521246</v>
      </c>
      <c r="L99" s="58">
        <f t="shared" si="14"/>
        <v>0.90562071243154119</v>
      </c>
    </row>
    <row r="100" spans="1:12" ht="15" collapsed="1" x14ac:dyDescent="0.25">
      <c r="A100" s="70" t="s">
        <v>106</v>
      </c>
      <c r="B100" s="53"/>
      <c r="C100" s="20"/>
      <c r="D100" s="20"/>
      <c r="E100" s="16">
        <f>+SUM(E101:E106)</f>
        <v>133874042</v>
      </c>
      <c r="F100" s="30"/>
      <c r="G100" s="16">
        <f>+SUM(G101:G106)</f>
        <v>133874042</v>
      </c>
      <c r="H100" s="30"/>
      <c r="I100" s="16">
        <f>+SUM(I101:I106)</f>
        <v>133874042</v>
      </c>
      <c r="J100" s="16">
        <f>+SUM(J101:J106)</f>
        <v>124760694</v>
      </c>
      <c r="K100" s="16">
        <f t="shared" si="13"/>
        <v>-9113348</v>
      </c>
      <c r="L100" s="54">
        <f t="shared" si="14"/>
        <v>0.93192595170914461</v>
      </c>
    </row>
    <row r="101" spans="1:12" ht="15" hidden="1" outlineLevel="1" x14ac:dyDescent="0.25">
      <c r="A101" s="72" t="s">
        <v>107</v>
      </c>
      <c r="B101" s="53"/>
      <c r="C101" s="20"/>
      <c r="D101" s="20"/>
      <c r="E101" s="20">
        <v>11411700</v>
      </c>
      <c r="F101" s="30"/>
      <c r="G101" s="57">
        <f t="shared" ref="G101:G106" si="16">+B101+C101+D101+E101+F101</f>
        <v>11411700</v>
      </c>
      <c r="H101" s="30"/>
      <c r="I101" s="57">
        <f t="shared" ref="I101:I106" si="17">+G101</f>
        <v>11411700</v>
      </c>
      <c r="J101" s="57">
        <v>11411700</v>
      </c>
      <c r="K101" s="57">
        <f t="shared" si="13"/>
        <v>0</v>
      </c>
      <c r="L101" s="58">
        <f t="shared" si="14"/>
        <v>1</v>
      </c>
    </row>
    <row r="102" spans="1:12" ht="15" hidden="1" outlineLevel="1" x14ac:dyDescent="0.25">
      <c r="A102" s="72" t="s">
        <v>108</v>
      </c>
      <c r="B102" s="53"/>
      <c r="C102" s="20"/>
      <c r="D102" s="20"/>
      <c r="E102" s="20">
        <v>49527003</v>
      </c>
      <c r="F102" s="30"/>
      <c r="G102" s="57">
        <f t="shared" si="16"/>
        <v>49527003</v>
      </c>
      <c r="H102" s="30"/>
      <c r="I102" s="57">
        <f t="shared" si="17"/>
        <v>49527003</v>
      </c>
      <c r="J102" s="57">
        <v>49527003</v>
      </c>
      <c r="K102" s="57">
        <f t="shared" si="13"/>
        <v>0</v>
      </c>
      <c r="L102" s="58">
        <f t="shared" si="14"/>
        <v>1</v>
      </c>
    </row>
    <row r="103" spans="1:12" ht="15" hidden="1" outlineLevel="1" x14ac:dyDescent="0.25">
      <c r="A103" s="72" t="s">
        <v>109</v>
      </c>
      <c r="B103" s="53"/>
      <c r="C103" s="20"/>
      <c r="D103" s="20"/>
      <c r="E103" s="20">
        <v>27896192</v>
      </c>
      <c r="F103" s="30"/>
      <c r="G103" s="57">
        <f t="shared" si="16"/>
        <v>27896192</v>
      </c>
      <c r="H103" s="57"/>
      <c r="I103" s="57">
        <f t="shared" si="17"/>
        <v>27896192</v>
      </c>
      <c r="J103" s="57">
        <v>23200206</v>
      </c>
      <c r="K103" s="57">
        <f t="shared" si="13"/>
        <v>-4695986</v>
      </c>
      <c r="L103" s="58">
        <f t="shared" si="14"/>
        <v>0.83166211359600617</v>
      </c>
    </row>
    <row r="104" spans="1:12" ht="15" hidden="1" outlineLevel="1" x14ac:dyDescent="0.25">
      <c r="A104" s="72" t="s">
        <v>110</v>
      </c>
      <c r="B104" s="53"/>
      <c r="C104" s="20"/>
      <c r="D104" s="20"/>
      <c r="E104" s="21">
        <v>1866269</v>
      </c>
      <c r="F104" s="30"/>
      <c r="G104" s="57">
        <f t="shared" si="16"/>
        <v>1866269</v>
      </c>
      <c r="H104" s="57"/>
      <c r="I104" s="57">
        <f t="shared" si="17"/>
        <v>1866269</v>
      </c>
      <c r="J104" s="57">
        <v>1327676</v>
      </c>
      <c r="K104" s="57">
        <f t="shared" si="13"/>
        <v>-538593</v>
      </c>
      <c r="L104" s="58">
        <f t="shared" si="14"/>
        <v>0.71140655500359273</v>
      </c>
    </row>
    <row r="105" spans="1:12" ht="15" hidden="1" outlineLevel="1" x14ac:dyDescent="0.25">
      <c r="A105" s="72" t="s">
        <v>111</v>
      </c>
      <c r="B105" s="53"/>
      <c r="C105" s="20"/>
      <c r="D105" s="20"/>
      <c r="E105" s="21">
        <v>15789067</v>
      </c>
      <c r="F105" s="30"/>
      <c r="G105" s="57">
        <f t="shared" si="16"/>
        <v>15789067</v>
      </c>
      <c r="H105" s="57"/>
      <c r="I105" s="57">
        <f t="shared" si="17"/>
        <v>15789067</v>
      </c>
      <c r="J105" s="57">
        <v>15069178</v>
      </c>
      <c r="K105" s="57">
        <f t="shared" si="13"/>
        <v>-719889</v>
      </c>
      <c r="L105" s="58">
        <f t="shared" si="14"/>
        <v>0.9544058556468219</v>
      </c>
    </row>
    <row r="106" spans="1:12" ht="15" hidden="1" outlineLevel="1" x14ac:dyDescent="0.25">
      <c r="A106" s="72" t="s">
        <v>112</v>
      </c>
      <c r="B106" s="53"/>
      <c r="C106" s="20"/>
      <c r="D106" s="20"/>
      <c r="E106" s="21">
        <v>27383811</v>
      </c>
      <c r="F106" s="30"/>
      <c r="G106" s="57">
        <f t="shared" si="16"/>
        <v>27383811</v>
      </c>
      <c r="H106" s="57"/>
      <c r="I106" s="57">
        <f t="shared" si="17"/>
        <v>27383811</v>
      </c>
      <c r="J106" s="57">
        <v>24224931</v>
      </c>
      <c r="K106" s="57">
        <f t="shared" si="13"/>
        <v>-3158880</v>
      </c>
      <c r="L106" s="58">
        <f t="shared" si="14"/>
        <v>0.88464425203635833</v>
      </c>
    </row>
    <row r="107" spans="1:12" ht="15" collapsed="1" x14ac:dyDescent="0.25">
      <c r="A107" s="70" t="s">
        <v>113</v>
      </c>
      <c r="B107" s="30"/>
      <c r="C107" s="20"/>
      <c r="D107" s="20"/>
      <c r="E107" s="16">
        <f>+SUM(E108:E109)</f>
        <v>178911239</v>
      </c>
      <c r="F107" s="30"/>
      <c r="G107" s="16">
        <f>+SUM(G108:G109)</f>
        <v>178911239</v>
      </c>
      <c r="H107" s="53"/>
      <c r="I107" s="16">
        <f>+SUM(I108:I109)</f>
        <v>178911239</v>
      </c>
      <c r="J107" s="16">
        <f>+SUM(J108:J109)</f>
        <v>155885824</v>
      </c>
      <c r="K107" s="16">
        <f t="shared" si="13"/>
        <v>-23025415</v>
      </c>
      <c r="L107" s="54">
        <f t="shared" si="14"/>
        <v>0.87130257926389965</v>
      </c>
    </row>
    <row r="108" spans="1:12" ht="15" hidden="1" outlineLevel="1" x14ac:dyDescent="0.25">
      <c r="A108" s="72" t="s">
        <v>114</v>
      </c>
      <c r="B108" s="30"/>
      <c r="C108" s="20"/>
      <c r="D108" s="20"/>
      <c r="E108" s="21">
        <v>56283801</v>
      </c>
      <c r="F108" s="30"/>
      <c r="G108" s="57">
        <f>+B108+C108+D108+E108+F108</f>
        <v>56283801</v>
      </c>
      <c r="H108" s="53"/>
      <c r="I108" s="57">
        <f>+H108+G108</f>
        <v>56283801</v>
      </c>
      <c r="J108" s="57">
        <v>51530491</v>
      </c>
      <c r="K108" s="57">
        <f t="shared" si="13"/>
        <v>-4753310</v>
      </c>
      <c r="L108" s="58">
        <f t="shared" si="14"/>
        <v>0.9155474592058912</v>
      </c>
    </row>
    <row r="109" spans="1:12" ht="15" hidden="1" outlineLevel="1" x14ac:dyDescent="0.25">
      <c r="A109" s="72" t="s">
        <v>115</v>
      </c>
      <c r="B109" s="30"/>
      <c r="C109" s="20"/>
      <c r="D109" s="20"/>
      <c r="E109" s="21">
        <v>122627438</v>
      </c>
      <c r="F109" s="30"/>
      <c r="G109" s="57">
        <f>+B109+C109+D109+E109+F109</f>
        <v>122627438</v>
      </c>
      <c r="H109" s="53"/>
      <c r="I109" s="57">
        <f>+H109+G109</f>
        <v>122627438</v>
      </c>
      <c r="J109" s="57">
        <v>104355333</v>
      </c>
      <c r="K109" s="57">
        <f t="shared" si="13"/>
        <v>-18272105</v>
      </c>
      <c r="L109" s="58">
        <f t="shared" si="14"/>
        <v>0.85099497063618013</v>
      </c>
    </row>
    <row r="110" spans="1:12" ht="15" collapsed="1" x14ac:dyDescent="0.25">
      <c r="A110" s="70" t="s">
        <v>116</v>
      </c>
      <c r="B110" s="30"/>
      <c r="C110" s="20"/>
      <c r="D110" s="20"/>
      <c r="E110" s="16">
        <f>+SUM(E111:E113)</f>
        <v>470441132</v>
      </c>
      <c r="F110" s="30"/>
      <c r="G110" s="16">
        <f>+SUM(G111:G113)</f>
        <v>470441132</v>
      </c>
      <c r="H110" s="66"/>
      <c r="I110" s="16">
        <f>+SUM(I111:I113)</f>
        <v>470441132</v>
      </c>
      <c r="J110" s="16">
        <f>+SUM(J111:J113)</f>
        <v>352889651</v>
      </c>
      <c r="K110" s="16">
        <f t="shared" si="13"/>
        <v>-117551481</v>
      </c>
      <c r="L110" s="54">
        <f t="shared" si="14"/>
        <v>0.75012499332222504</v>
      </c>
    </row>
    <row r="111" spans="1:12" ht="15" hidden="1" outlineLevel="1" x14ac:dyDescent="0.25">
      <c r="A111" s="72" t="s">
        <v>117</v>
      </c>
      <c r="B111" s="30"/>
      <c r="C111" s="20"/>
      <c r="D111" s="20"/>
      <c r="E111" s="21">
        <v>430081796</v>
      </c>
      <c r="F111" s="30"/>
      <c r="G111" s="57">
        <f t="shared" ref="G111:G118" si="18">+B111+C111+D111+E111+F111</f>
        <v>430081796</v>
      </c>
      <c r="H111" s="53"/>
      <c r="I111" s="57">
        <f>+G111+H111</f>
        <v>430081796</v>
      </c>
      <c r="J111" s="57">
        <v>319986265</v>
      </c>
      <c r="K111" s="57">
        <f t="shared" si="13"/>
        <v>-110095531</v>
      </c>
      <c r="L111" s="58">
        <f t="shared" si="14"/>
        <v>0.7440125761565598</v>
      </c>
    </row>
    <row r="112" spans="1:12" ht="14.25" hidden="1" outlineLevel="1" x14ac:dyDescent="0.2">
      <c r="A112" s="72" t="s">
        <v>118</v>
      </c>
      <c r="B112" s="30"/>
      <c r="C112" s="20"/>
      <c r="D112" s="20"/>
      <c r="E112" s="21">
        <v>27971717</v>
      </c>
      <c r="F112" s="30"/>
      <c r="G112" s="57">
        <f t="shared" si="18"/>
        <v>27971717</v>
      </c>
      <c r="H112" s="30"/>
      <c r="I112" s="57">
        <f>+G112+H112</f>
        <v>27971717</v>
      </c>
      <c r="J112" s="57">
        <v>22200000</v>
      </c>
      <c r="K112" s="57">
        <f t="shared" si="13"/>
        <v>-5771717</v>
      </c>
      <c r="L112" s="58">
        <f t="shared" si="14"/>
        <v>0.79365882330355342</v>
      </c>
    </row>
    <row r="113" spans="1:12" ht="14.25" hidden="1" outlineLevel="1" x14ac:dyDescent="0.2">
      <c r="A113" s="72" t="s">
        <v>119</v>
      </c>
      <c r="B113" s="30"/>
      <c r="C113" s="20"/>
      <c r="D113" s="20"/>
      <c r="E113" s="21">
        <v>12387619</v>
      </c>
      <c r="F113" s="30"/>
      <c r="G113" s="57">
        <f t="shared" si="18"/>
        <v>12387619</v>
      </c>
      <c r="H113" s="30"/>
      <c r="I113" s="57">
        <f>+G113+H113</f>
        <v>12387619</v>
      </c>
      <c r="J113" s="57">
        <v>10703386</v>
      </c>
      <c r="K113" s="57">
        <f t="shared" si="13"/>
        <v>-1684233</v>
      </c>
      <c r="L113" s="58">
        <f t="shared" si="14"/>
        <v>0.86403900539724376</v>
      </c>
    </row>
    <row r="114" spans="1:12" s="55" customFormat="1" ht="15" collapsed="1" x14ac:dyDescent="0.25">
      <c r="A114" s="12" t="s">
        <v>120</v>
      </c>
      <c r="B114" s="30"/>
      <c r="C114" s="16">
        <f>+SUM(C115:C118)</f>
        <v>213552020.40749997</v>
      </c>
      <c r="D114" s="16"/>
      <c r="E114" s="21"/>
      <c r="F114" s="30"/>
      <c r="G114" s="16">
        <f>+SUM(G115:G118)</f>
        <v>213552020.40749997</v>
      </c>
      <c r="H114" s="30"/>
      <c r="I114" s="16">
        <f>+SUM(I115:I118)</f>
        <v>213552020.40749997</v>
      </c>
      <c r="J114" s="16">
        <f>+SUM(J115:J118)</f>
        <v>213552017.40749997</v>
      </c>
      <c r="K114" s="16">
        <f t="shared" si="13"/>
        <v>-3</v>
      </c>
      <c r="L114" s="54">
        <f t="shared" si="14"/>
        <v>0.99999998595190065</v>
      </c>
    </row>
    <row r="115" spans="1:12" s="55" customFormat="1" ht="15" x14ac:dyDescent="0.25">
      <c r="A115" s="73" t="s">
        <v>121</v>
      </c>
      <c r="B115" s="30"/>
      <c r="C115" s="16">
        <v>5000000</v>
      </c>
      <c r="D115" s="20"/>
      <c r="E115" s="20"/>
      <c r="F115" s="30"/>
      <c r="G115" s="66">
        <f t="shared" si="18"/>
        <v>5000000</v>
      </c>
      <c r="H115" s="66"/>
      <c r="I115" s="66">
        <f>+H115+G115</f>
        <v>5000000</v>
      </c>
      <c r="J115" s="66">
        <v>5000000</v>
      </c>
      <c r="K115" s="66">
        <f t="shared" si="13"/>
        <v>0</v>
      </c>
      <c r="L115" s="54">
        <f t="shared" si="14"/>
        <v>1</v>
      </c>
    </row>
    <row r="116" spans="1:12" s="55" customFormat="1" ht="15" x14ac:dyDescent="0.25">
      <c r="A116" s="73" t="s">
        <v>122</v>
      </c>
      <c r="B116" s="30"/>
      <c r="C116" s="16">
        <v>127568232.40749997</v>
      </c>
      <c r="D116" s="20"/>
      <c r="E116" s="20"/>
      <c r="F116" s="30"/>
      <c r="G116" s="66">
        <f t="shared" si="18"/>
        <v>127568232.40749997</v>
      </c>
      <c r="H116" s="66"/>
      <c r="I116" s="66">
        <f>+H116+G116</f>
        <v>127568232.40749997</v>
      </c>
      <c r="J116" s="66">
        <v>127568232.40749997</v>
      </c>
      <c r="K116" s="66">
        <f t="shared" si="13"/>
        <v>0</v>
      </c>
      <c r="L116" s="54">
        <f t="shared" si="14"/>
        <v>1</v>
      </c>
    </row>
    <row r="117" spans="1:12" s="55" customFormat="1" ht="15" x14ac:dyDescent="0.25">
      <c r="A117" s="74" t="s">
        <v>123</v>
      </c>
      <c r="B117" s="20"/>
      <c r="C117" s="16">
        <v>56394749</v>
      </c>
      <c r="D117" s="20"/>
      <c r="E117" s="20"/>
      <c r="F117" s="20"/>
      <c r="G117" s="16">
        <f t="shared" si="18"/>
        <v>56394749</v>
      </c>
      <c r="H117" s="16"/>
      <c r="I117" s="66">
        <f>+H117+G117</f>
        <v>56394749</v>
      </c>
      <c r="J117" s="66">
        <v>56394746</v>
      </c>
      <c r="K117" s="66">
        <f t="shared" si="13"/>
        <v>-3</v>
      </c>
      <c r="L117" s="54">
        <f t="shared" si="14"/>
        <v>0.99999994680355786</v>
      </c>
    </row>
    <row r="118" spans="1:12" s="55" customFormat="1" ht="15" x14ac:dyDescent="0.25">
      <c r="A118" s="74" t="s">
        <v>124</v>
      </c>
      <c r="B118" s="30"/>
      <c r="C118" s="16">
        <v>24589039</v>
      </c>
      <c r="D118" s="20"/>
      <c r="E118" s="20"/>
      <c r="F118" s="30"/>
      <c r="G118" s="66">
        <f t="shared" si="18"/>
        <v>24589039</v>
      </c>
      <c r="H118" s="66"/>
      <c r="I118" s="66">
        <f>+H118+G118</f>
        <v>24589039</v>
      </c>
      <c r="J118" s="66">
        <v>24589039</v>
      </c>
      <c r="K118" s="66">
        <f t="shared" si="13"/>
        <v>0</v>
      </c>
      <c r="L118" s="54">
        <f t="shared" si="14"/>
        <v>1</v>
      </c>
    </row>
    <row r="119" spans="1:12" s="51" customFormat="1" ht="30" x14ac:dyDescent="0.25">
      <c r="A119" s="48" t="s">
        <v>125</v>
      </c>
      <c r="B119" s="49">
        <f>+B120</f>
        <v>475073839</v>
      </c>
      <c r="C119" s="49"/>
      <c r="D119" s="49"/>
      <c r="E119" s="49"/>
      <c r="F119" s="49"/>
      <c r="G119" s="49">
        <f>+G120</f>
        <v>475073839</v>
      </c>
      <c r="H119" s="49"/>
      <c r="I119" s="49">
        <f>+I120</f>
        <v>475073839</v>
      </c>
      <c r="J119" s="49">
        <f>+J120</f>
        <v>473031049</v>
      </c>
      <c r="K119" s="49">
        <f t="shared" si="13"/>
        <v>-2042790</v>
      </c>
      <c r="L119" s="50">
        <f t="shared" si="14"/>
        <v>0.99570005790194649</v>
      </c>
    </row>
    <row r="120" spans="1:12" s="55" customFormat="1" ht="15" x14ac:dyDescent="0.25">
      <c r="A120" s="52" t="s">
        <v>126</v>
      </c>
      <c r="B120" s="35">
        <f>+B121+B124+B129</f>
        <v>475073839</v>
      </c>
      <c r="C120" s="53"/>
      <c r="D120" s="53"/>
      <c r="E120" s="53"/>
      <c r="F120" s="53"/>
      <c r="G120" s="53">
        <f>+B120+C120+D120+E120+F120</f>
        <v>475073839</v>
      </c>
      <c r="H120" s="53"/>
      <c r="I120" s="53">
        <f>+G120+H120</f>
        <v>475073839</v>
      </c>
      <c r="J120" s="53">
        <f>+J121+J124+J129</f>
        <v>473031049</v>
      </c>
      <c r="K120" s="53">
        <f t="shared" si="13"/>
        <v>-2042790</v>
      </c>
      <c r="L120" s="54">
        <f t="shared" si="14"/>
        <v>0.99570005790194649</v>
      </c>
    </row>
    <row r="121" spans="1:12" s="55" customFormat="1" ht="15" hidden="1" x14ac:dyDescent="0.25">
      <c r="A121" s="75" t="s">
        <v>127</v>
      </c>
      <c r="B121" s="16">
        <f>SUM(B122:B123)</f>
        <v>0</v>
      </c>
      <c r="C121" s="53"/>
      <c r="D121" s="53"/>
      <c r="E121" s="53"/>
      <c r="F121" s="53"/>
      <c r="G121" s="66">
        <f>+B121+C121+D121+E121+F121</f>
        <v>0</v>
      </c>
      <c r="H121" s="53"/>
      <c r="I121" s="66">
        <f>+G121+H121</f>
        <v>0</v>
      </c>
      <c r="J121" s="66"/>
      <c r="K121" s="66">
        <f t="shared" si="13"/>
        <v>0</v>
      </c>
      <c r="L121" s="54">
        <f t="shared" si="14"/>
        <v>0</v>
      </c>
    </row>
    <row r="122" spans="1:12" s="55" customFormat="1" ht="15" hidden="1" outlineLevel="1" x14ac:dyDescent="0.25">
      <c r="A122" s="76" t="s">
        <v>128</v>
      </c>
      <c r="B122" s="21"/>
      <c r="C122" s="53"/>
      <c r="D122" s="53"/>
      <c r="E122" s="53"/>
      <c r="F122" s="53"/>
      <c r="G122" s="57">
        <f>+B122+C122+D122+E122+F122</f>
        <v>0</v>
      </c>
      <c r="H122" s="53"/>
      <c r="I122" s="57">
        <f>+G122+H122</f>
        <v>0</v>
      </c>
      <c r="J122" s="57"/>
      <c r="K122" s="57">
        <f t="shared" si="13"/>
        <v>0</v>
      </c>
      <c r="L122" s="58">
        <f t="shared" si="14"/>
        <v>0</v>
      </c>
    </row>
    <row r="123" spans="1:12" s="55" customFormat="1" ht="15" hidden="1" outlineLevel="1" x14ac:dyDescent="0.25">
      <c r="A123" s="76" t="s">
        <v>129</v>
      </c>
      <c r="B123" s="21"/>
      <c r="C123" s="53"/>
      <c r="D123" s="53"/>
      <c r="E123" s="53"/>
      <c r="F123" s="53"/>
      <c r="G123" s="57">
        <f t="shared" ref="G123:G139" si="19">+B123+C123+D123+E123+F123</f>
        <v>0</v>
      </c>
      <c r="H123" s="53"/>
      <c r="I123" s="57">
        <f>+G123+H123</f>
        <v>0</v>
      </c>
      <c r="J123" s="57"/>
      <c r="K123" s="57">
        <f t="shared" si="13"/>
        <v>0</v>
      </c>
      <c r="L123" s="58">
        <f t="shared" si="14"/>
        <v>0</v>
      </c>
    </row>
    <row r="124" spans="1:12" s="55" customFormat="1" ht="15" collapsed="1" x14ac:dyDescent="0.25">
      <c r="A124" s="52" t="s">
        <v>130</v>
      </c>
      <c r="B124" s="35">
        <f>SUM(B125:B128)</f>
        <v>219042654</v>
      </c>
      <c r="C124" s="53"/>
      <c r="D124" s="53"/>
      <c r="E124" s="53"/>
      <c r="F124" s="53"/>
      <c r="G124" s="66">
        <f t="shared" si="19"/>
        <v>219042654</v>
      </c>
      <c r="H124" s="53"/>
      <c r="I124" s="66">
        <f t="shared" ref="I124:I139" si="20">+G124+H124</f>
        <v>219042654</v>
      </c>
      <c r="J124" s="66">
        <f>SUM(J125:J128)</f>
        <v>217792989</v>
      </c>
      <c r="K124" s="66">
        <f t="shared" si="13"/>
        <v>-1249665</v>
      </c>
      <c r="L124" s="54">
        <f t="shared" si="14"/>
        <v>0.99429487829343044</v>
      </c>
    </row>
    <row r="125" spans="1:12" s="55" customFormat="1" ht="15" hidden="1" outlineLevel="1" x14ac:dyDescent="0.25">
      <c r="A125" s="72" t="s">
        <v>131</v>
      </c>
      <c r="B125" s="21">
        <f>13412400-2000000-3500000</f>
        <v>7912400</v>
      </c>
      <c r="C125" s="53"/>
      <c r="D125" s="53"/>
      <c r="E125" s="53"/>
      <c r="F125" s="53"/>
      <c r="G125" s="57">
        <f t="shared" si="19"/>
        <v>7912400</v>
      </c>
      <c r="H125" s="53"/>
      <c r="I125" s="57">
        <f t="shared" si="20"/>
        <v>7912400</v>
      </c>
      <c r="J125" s="57">
        <v>7819286</v>
      </c>
      <c r="K125" s="57">
        <f t="shared" si="13"/>
        <v>-93114</v>
      </c>
      <c r="L125" s="58">
        <f t="shared" si="14"/>
        <v>0.98823188918659322</v>
      </c>
    </row>
    <row r="126" spans="1:12" s="55" customFormat="1" ht="15" hidden="1" outlineLevel="1" x14ac:dyDescent="0.25">
      <c r="A126" s="72" t="s">
        <v>132</v>
      </c>
      <c r="B126" s="21">
        <f>41277056+2000000</f>
        <v>43277056</v>
      </c>
      <c r="C126" s="53"/>
      <c r="D126" s="53"/>
      <c r="E126" s="53"/>
      <c r="F126" s="53"/>
      <c r="G126" s="57">
        <f t="shared" si="19"/>
        <v>43277056</v>
      </c>
      <c r="H126" s="53"/>
      <c r="I126" s="57">
        <f t="shared" si="20"/>
        <v>43277056</v>
      </c>
      <c r="J126" s="57">
        <v>43273685</v>
      </c>
      <c r="K126" s="57">
        <f t="shared" si="13"/>
        <v>-3371</v>
      </c>
      <c r="L126" s="58">
        <f t="shared" si="14"/>
        <v>0.99992210653146096</v>
      </c>
    </row>
    <row r="127" spans="1:12" s="55" customFormat="1" ht="15" hidden="1" outlineLevel="1" x14ac:dyDescent="0.25">
      <c r="A127" s="72" t="s">
        <v>133</v>
      </c>
      <c r="B127" s="21">
        <f>2484783+9000000+3500000</f>
        <v>14984783</v>
      </c>
      <c r="C127" s="53"/>
      <c r="D127" s="53"/>
      <c r="E127" s="53"/>
      <c r="F127" s="53"/>
      <c r="G127" s="57">
        <f t="shared" si="19"/>
        <v>14984783</v>
      </c>
      <c r="H127" s="53"/>
      <c r="I127" s="57">
        <f t="shared" si="20"/>
        <v>14984783</v>
      </c>
      <c r="J127" s="57">
        <v>14609191</v>
      </c>
      <c r="K127" s="57">
        <f t="shared" si="13"/>
        <v>-375592</v>
      </c>
      <c r="L127" s="58">
        <f t="shared" si="14"/>
        <v>0.97493510583369813</v>
      </c>
    </row>
    <row r="128" spans="1:12" s="55" customFormat="1" ht="14.25" hidden="1" outlineLevel="1" x14ac:dyDescent="0.2">
      <c r="A128" s="77" t="s">
        <v>134</v>
      </c>
      <c r="B128" s="21">
        <f>161868415-9000000</f>
        <v>152868415</v>
      </c>
      <c r="C128" s="21"/>
      <c r="D128" s="21"/>
      <c r="E128" s="21"/>
      <c r="F128" s="21"/>
      <c r="G128" s="57">
        <f>+B128+C128+D128+E128+F128</f>
        <v>152868415</v>
      </c>
      <c r="H128" s="21"/>
      <c r="I128" s="57">
        <f>+G128+H128</f>
        <v>152868415</v>
      </c>
      <c r="J128" s="57">
        <v>152090827</v>
      </c>
      <c r="K128" s="57">
        <f t="shared" si="13"/>
        <v>-777588</v>
      </c>
      <c r="L128" s="58">
        <f t="shared" si="14"/>
        <v>0.99491335080565857</v>
      </c>
    </row>
    <row r="129" spans="1:12" s="55" customFormat="1" ht="15" collapsed="1" x14ac:dyDescent="0.25">
      <c r="A129" s="52" t="s">
        <v>135</v>
      </c>
      <c r="B129" s="35">
        <f>+B130+B135+B140</f>
        <v>256031185</v>
      </c>
      <c r="C129" s="53"/>
      <c r="D129" s="53"/>
      <c r="E129" s="53"/>
      <c r="F129" s="53"/>
      <c r="G129" s="53">
        <f t="shared" si="19"/>
        <v>256031185</v>
      </c>
      <c r="H129" s="53"/>
      <c r="I129" s="53">
        <f t="shared" si="20"/>
        <v>256031185</v>
      </c>
      <c r="J129" s="53">
        <f>+J130+J135+J140</f>
        <v>255238060</v>
      </c>
      <c r="K129" s="53">
        <f t="shared" si="13"/>
        <v>-793125</v>
      </c>
      <c r="L129" s="54">
        <f t="shared" si="14"/>
        <v>0.99690223282761437</v>
      </c>
    </row>
    <row r="130" spans="1:12" s="55" customFormat="1" ht="15" hidden="1" outlineLevel="1" x14ac:dyDescent="0.25">
      <c r="A130" s="52" t="s">
        <v>136</v>
      </c>
      <c r="B130" s="16">
        <f>SUM(B131:B134)</f>
        <v>182395782</v>
      </c>
      <c r="C130" s="53"/>
      <c r="D130" s="53"/>
      <c r="E130" s="53"/>
      <c r="F130" s="53"/>
      <c r="G130" s="66">
        <f t="shared" si="19"/>
        <v>182395782</v>
      </c>
      <c r="H130" s="53"/>
      <c r="I130" s="66">
        <f t="shared" si="20"/>
        <v>182395782</v>
      </c>
      <c r="J130" s="66">
        <f>SUM(J131:J134)</f>
        <v>182395779</v>
      </c>
      <c r="K130" s="66">
        <f t="shared" si="13"/>
        <v>-3</v>
      </c>
      <c r="L130" s="54">
        <f t="shared" si="14"/>
        <v>0.99999998355225117</v>
      </c>
    </row>
    <row r="131" spans="1:12" s="55" customFormat="1" ht="15" hidden="1" outlineLevel="4" x14ac:dyDescent="0.25">
      <c r="A131" s="72" t="s">
        <v>137</v>
      </c>
      <c r="B131" s="21">
        <v>35000000</v>
      </c>
      <c r="C131" s="53"/>
      <c r="D131" s="53"/>
      <c r="E131" s="53"/>
      <c r="F131" s="53"/>
      <c r="G131" s="57">
        <f t="shared" si="19"/>
        <v>35000000</v>
      </c>
      <c r="H131" s="53"/>
      <c r="I131" s="57">
        <f t="shared" si="20"/>
        <v>35000000</v>
      </c>
      <c r="J131" s="57">
        <v>35000000</v>
      </c>
      <c r="K131" s="57">
        <f t="shared" si="13"/>
        <v>0</v>
      </c>
      <c r="L131" s="58">
        <f t="shared" si="14"/>
        <v>1</v>
      </c>
    </row>
    <row r="132" spans="1:12" s="55" customFormat="1" ht="15" hidden="1" outlineLevel="4" x14ac:dyDescent="0.25">
      <c r="A132" s="72" t="s">
        <v>138</v>
      </c>
      <c r="B132" s="21"/>
      <c r="C132" s="53"/>
      <c r="D132" s="53"/>
      <c r="E132" s="53"/>
      <c r="F132" s="53"/>
      <c r="G132" s="57">
        <f t="shared" si="19"/>
        <v>0</v>
      </c>
      <c r="H132" s="53"/>
      <c r="I132" s="57">
        <f t="shared" si="20"/>
        <v>0</v>
      </c>
      <c r="J132" s="57">
        <v>0</v>
      </c>
      <c r="K132" s="57">
        <f t="shared" si="13"/>
        <v>0</v>
      </c>
      <c r="L132" s="58">
        <f t="shared" si="14"/>
        <v>0</v>
      </c>
    </row>
    <row r="133" spans="1:12" s="55" customFormat="1" ht="15" hidden="1" outlineLevel="4" x14ac:dyDescent="0.25">
      <c r="A133" s="72" t="s">
        <v>139</v>
      </c>
      <c r="B133" s="21"/>
      <c r="C133" s="53"/>
      <c r="D133" s="53"/>
      <c r="E133" s="53"/>
      <c r="F133" s="53"/>
      <c r="G133" s="57">
        <f t="shared" si="19"/>
        <v>0</v>
      </c>
      <c r="H133" s="53"/>
      <c r="I133" s="57">
        <f t="shared" si="20"/>
        <v>0</v>
      </c>
      <c r="J133" s="57">
        <v>0</v>
      </c>
      <c r="K133" s="57">
        <f t="shared" si="13"/>
        <v>0</v>
      </c>
      <c r="L133" s="58">
        <f t="shared" si="14"/>
        <v>0</v>
      </c>
    </row>
    <row r="134" spans="1:12" s="55" customFormat="1" ht="15" hidden="1" outlineLevel="4" x14ac:dyDescent="0.25">
      <c r="A134" s="72" t="s">
        <v>140</v>
      </c>
      <c r="B134" s="21">
        <v>147395782</v>
      </c>
      <c r="C134" s="53"/>
      <c r="D134" s="53"/>
      <c r="E134" s="53"/>
      <c r="F134" s="53"/>
      <c r="G134" s="57">
        <f t="shared" si="19"/>
        <v>147395782</v>
      </c>
      <c r="H134" s="53"/>
      <c r="I134" s="57">
        <f t="shared" si="20"/>
        <v>147395782</v>
      </c>
      <c r="J134" s="57">
        <v>147395779</v>
      </c>
      <c r="K134" s="57">
        <f t="shared" si="13"/>
        <v>-3</v>
      </c>
      <c r="L134" s="58">
        <f t="shared" si="14"/>
        <v>0.99999997964663601</v>
      </c>
    </row>
    <row r="135" spans="1:12" s="55" customFormat="1" ht="15" hidden="1" outlineLevel="1" x14ac:dyDescent="0.25">
      <c r="A135" s="52" t="s">
        <v>141</v>
      </c>
      <c r="B135" s="16">
        <f>SUM(B136:B139)</f>
        <v>65002279</v>
      </c>
      <c r="C135" s="53"/>
      <c r="D135" s="53"/>
      <c r="E135" s="53"/>
      <c r="F135" s="53"/>
      <c r="G135" s="66">
        <f>+B135+C135+D135+E135+F135</f>
        <v>65002279</v>
      </c>
      <c r="H135" s="53"/>
      <c r="I135" s="66">
        <f>+G135+H135</f>
        <v>65002279</v>
      </c>
      <c r="J135" s="66">
        <f>SUM(J136:J139)</f>
        <v>65002279</v>
      </c>
      <c r="K135" s="66">
        <f t="shared" si="13"/>
        <v>0</v>
      </c>
      <c r="L135" s="54">
        <f t="shared" si="14"/>
        <v>1</v>
      </c>
    </row>
    <row r="136" spans="1:12" s="55" customFormat="1" ht="15" hidden="1" outlineLevel="2" x14ac:dyDescent="0.25">
      <c r="A136" s="72" t="s">
        <v>137</v>
      </c>
      <c r="B136" s="21">
        <v>23830380</v>
      </c>
      <c r="C136" s="53"/>
      <c r="D136" s="53"/>
      <c r="E136" s="53"/>
      <c r="F136" s="53"/>
      <c r="G136" s="57">
        <f t="shared" si="19"/>
        <v>23830380</v>
      </c>
      <c r="H136" s="53"/>
      <c r="I136" s="57">
        <f>+G136+H136</f>
        <v>23830380</v>
      </c>
      <c r="J136" s="57">
        <v>23830380</v>
      </c>
      <c r="K136" s="57">
        <f t="shared" si="13"/>
        <v>0</v>
      </c>
      <c r="L136" s="58">
        <f t="shared" si="14"/>
        <v>1</v>
      </c>
    </row>
    <row r="137" spans="1:12" s="55" customFormat="1" ht="15" hidden="1" outlineLevel="2" x14ac:dyDescent="0.25">
      <c r="A137" s="72" t="s">
        <v>138</v>
      </c>
      <c r="B137" s="21"/>
      <c r="C137" s="53"/>
      <c r="D137" s="53"/>
      <c r="E137" s="53"/>
      <c r="F137" s="53"/>
      <c r="G137" s="57">
        <f t="shared" si="19"/>
        <v>0</v>
      </c>
      <c r="H137" s="53"/>
      <c r="I137" s="57">
        <f t="shared" si="20"/>
        <v>0</v>
      </c>
      <c r="J137" s="57">
        <v>0</v>
      </c>
      <c r="K137" s="57">
        <f t="shared" si="13"/>
        <v>0</v>
      </c>
      <c r="L137" s="58">
        <f t="shared" si="14"/>
        <v>0</v>
      </c>
    </row>
    <row r="138" spans="1:12" s="55" customFormat="1" ht="15" hidden="1" outlineLevel="2" x14ac:dyDescent="0.25">
      <c r="A138" s="72" t="s">
        <v>139</v>
      </c>
      <c r="B138" s="21"/>
      <c r="C138" s="53"/>
      <c r="D138" s="53"/>
      <c r="E138" s="53"/>
      <c r="F138" s="53"/>
      <c r="G138" s="57">
        <f t="shared" si="19"/>
        <v>0</v>
      </c>
      <c r="H138" s="53"/>
      <c r="I138" s="57">
        <f t="shared" si="20"/>
        <v>0</v>
      </c>
      <c r="J138" s="57">
        <v>0</v>
      </c>
      <c r="K138" s="57">
        <f t="shared" ref="K138:K201" si="21">+J138-I138</f>
        <v>0</v>
      </c>
      <c r="L138" s="58">
        <f t="shared" ref="L138:L201" si="22">IFERROR(J138/I138,0)</f>
        <v>0</v>
      </c>
    </row>
    <row r="139" spans="1:12" s="55" customFormat="1" ht="15" hidden="1" outlineLevel="2" x14ac:dyDescent="0.25">
      <c r="A139" s="72" t="s">
        <v>140</v>
      </c>
      <c r="B139" s="21">
        <v>41171899</v>
      </c>
      <c r="C139" s="53"/>
      <c r="D139" s="53"/>
      <c r="E139" s="53"/>
      <c r="F139" s="53"/>
      <c r="G139" s="57">
        <f t="shared" si="19"/>
        <v>41171899</v>
      </c>
      <c r="H139" s="53"/>
      <c r="I139" s="57">
        <f t="shared" si="20"/>
        <v>41171899</v>
      </c>
      <c r="J139" s="57">
        <v>41171899</v>
      </c>
      <c r="K139" s="57">
        <f t="shared" si="21"/>
        <v>0</v>
      </c>
      <c r="L139" s="58">
        <f t="shared" si="22"/>
        <v>1</v>
      </c>
    </row>
    <row r="140" spans="1:12" s="55" customFormat="1" ht="15" hidden="1" outlineLevel="1" x14ac:dyDescent="0.25">
      <c r="A140" s="52" t="s">
        <v>142</v>
      </c>
      <c r="B140" s="16">
        <v>8633124</v>
      </c>
      <c r="C140" s="35"/>
      <c r="D140" s="35"/>
      <c r="E140" s="35"/>
      <c r="F140" s="35"/>
      <c r="G140" s="66">
        <f>+B140+C140+D140+E140+F140</f>
        <v>8633124</v>
      </c>
      <c r="H140" s="35"/>
      <c r="I140" s="66">
        <f>+G140+H140</f>
        <v>8633124</v>
      </c>
      <c r="J140" s="66">
        <v>7840002</v>
      </c>
      <c r="K140" s="66">
        <f t="shared" si="21"/>
        <v>-793122</v>
      </c>
      <c r="L140" s="58">
        <f t="shared" si="22"/>
        <v>0.90813035929983166</v>
      </c>
    </row>
    <row r="141" spans="1:12" s="51" customFormat="1" ht="30" collapsed="1" x14ac:dyDescent="0.25">
      <c r="A141" s="48" t="s">
        <v>143</v>
      </c>
      <c r="B141" s="49"/>
      <c r="C141" s="49">
        <f>+C142</f>
        <v>186859180</v>
      </c>
      <c r="D141" s="49"/>
      <c r="E141" s="49"/>
      <c r="F141" s="49">
        <f>+F145+F151</f>
        <v>51242623</v>
      </c>
      <c r="G141" s="49">
        <f>SUM(B141:F141)</f>
        <v>238101803</v>
      </c>
      <c r="H141" s="49"/>
      <c r="I141" s="49">
        <f>+H141+G141</f>
        <v>238101803</v>
      </c>
      <c r="J141" s="49">
        <f>+J142+J145+J151</f>
        <v>231295402</v>
      </c>
      <c r="K141" s="49">
        <f t="shared" si="21"/>
        <v>-6806401</v>
      </c>
      <c r="L141" s="50">
        <f t="shared" si="22"/>
        <v>0.97141390399299077</v>
      </c>
    </row>
    <row r="142" spans="1:12" s="55" customFormat="1" ht="15" x14ac:dyDescent="0.25">
      <c r="A142" s="78" t="s">
        <v>144</v>
      </c>
      <c r="B142" s="57"/>
      <c r="C142" s="66">
        <f>+C143+C144</f>
        <v>186859180</v>
      </c>
      <c r="D142" s="66"/>
      <c r="E142" s="66"/>
      <c r="F142" s="66"/>
      <c r="G142" s="66">
        <f t="shared" ref="G142:G154" si="23">+B142+C142+E142+F142+D142</f>
        <v>186859180</v>
      </c>
      <c r="H142" s="66"/>
      <c r="I142" s="66">
        <f>+H142+G142</f>
        <v>186859180</v>
      </c>
      <c r="J142" s="66">
        <f>+J143+J144</f>
        <v>186789677</v>
      </c>
      <c r="K142" s="66">
        <f t="shared" si="21"/>
        <v>-69503</v>
      </c>
      <c r="L142" s="54">
        <f t="shared" si="22"/>
        <v>0.99962804610402334</v>
      </c>
    </row>
    <row r="143" spans="1:12" s="55" customFormat="1" ht="15" x14ac:dyDescent="0.25">
      <c r="A143" s="78" t="s">
        <v>145</v>
      </c>
      <c r="B143" s="66"/>
      <c r="C143" s="66">
        <v>145000000</v>
      </c>
      <c r="D143" s="66"/>
      <c r="E143" s="66"/>
      <c r="F143" s="66"/>
      <c r="G143" s="66">
        <f t="shared" si="23"/>
        <v>145000000</v>
      </c>
      <c r="H143" s="66"/>
      <c r="I143" s="66">
        <f>+H143+G143</f>
        <v>145000000</v>
      </c>
      <c r="J143" s="66">
        <v>144930497</v>
      </c>
      <c r="K143" s="66">
        <f t="shared" si="21"/>
        <v>-69503</v>
      </c>
      <c r="L143" s="54">
        <f t="shared" si="22"/>
        <v>0.99952066896551728</v>
      </c>
    </row>
    <row r="144" spans="1:12" s="55" customFormat="1" ht="15" x14ac:dyDescent="0.25">
      <c r="A144" s="78" t="s">
        <v>146</v>
      </c>
      <c r="B144" s="66"/>
      <c r="C144" s="66">
        <v>41859180</v>
      </c>
      <c r="D144" s="66"/>
      <c r="E144" s="66"/>
      <c r="F144" s="66"/>
      <c r="G144" s="66">
        <f t="shared" si="23"/>
        <v>41859180</v>
      </c>
      <c r="H144" s="66"/>
      <c r="I144" s="66">
        <f>+H144+G144</f>
        <v>41859180</v>
      </c>
      <c r="J144" s="66">
        <v>41859180</v>
      </c>
      <c r="K144" s="66">
        <f t="shared" si="21"/>
        <v>0</v>
      </c>
      <c r="L144" s="54">
        <f t="shared" si="22"/>
        <v>1</v>
      </c>
    </row>
    <row r="145" spans="1:12" s="80" customFormat="1" ht="15" x14ac:dyDescent="0.25">
      <c r="A145" s="78" t="s">
        <v>147</v>
      </c>
      <c r="B145" s="79"/>
      <c r="C145" s="30"/>
      <c r="D145" s="30"/>
      <c r="E145" s="30"/>
      <c r="F145" s="16">
        <f>SUM(F146:F150)</f>
        <v>38075009</v>
      </c>
      <c r="G145" s="66">
        <f t="shared" si="23"/>
        <v>38075009</v>
      </c>
      <c r="H145" s="66"/>
      <c r="I145" s="66">
        <f>+H145+G145</f>
        <v>38075009</v>
      </c>
      <c r="J145" s="66">
        <f>SUM(J146:J150)</f>
        <v>36986845</v>
      </c>
      <c r="K145" s="66">
        <f t="shared" si="21"/>
        <v>-1088164</v>
      </c>
      <c r="L145" s="54">
        <f t="shared" si="22"/>
        <v>0.97142051890256942</v>
      </c>
    </row>
    <row r="146" spans="1:12" s="80" customFormat="1" ht="14.25" hidden="1" outlineLevel="1" x14ac:dyDescent="0.2">
      <c r="A146" s="61" t="s">
        <v>148</v>
      </c>
      <c r="B146" s="79"/>
      <c r="C146" s="30"/>
      <c r="D146" s="30"/>
      <c r="E146" s="30"/>
      <c r="F146" s="21">
        <f>10456423+16661432+9142176</f>
        <v>36260031</v>
      </c>
      <c r="G146" s="57">
        <f t="shared" si="23"/>
        <v>36260031</v>
      </c>
      <c r="H146" s="30"/>
      <c r="I146" s="57">
        <f t="shared" ref="I146:I154" si="24">+H146+G146</f>
        <v>36260031</v>
      </c>
      <c r="J146" s="57">
        <v>36125189</v>
      </c>
      <c r="K146" s="57">
        <f t="shared" si="21"/>
        <v>-134842</v>
      </c>
      <c r="L146" s="58">
        <f t="shared" si="22"/>
        <v>0.99628124973197074</v>
      </c>
    </row>
    <row r="147" spans="1:12" s="80" customFormat="1" ht="14.25" hidden="1" outlineLevel="1" x14ac:dyDescent="0.2">
      <c r="A147" s="61" t="s">
        <v>149</v>
      </c>
      <c r="B147" s="79"/>
      <c r="C147" s="30"/>
      <c r="D147" s="30"/>
      <c r="E147" s="30"/>
      <c r="F147" s="21"/>
      <c r="G147" s="57">
        <f t="shared" si="23"/>
        <v>0</v>
      </c>
      <c r="H147" s="30"/>
      <c r="I147" s="57">
        <f t="shared" si="24"/>
        <v>0</v>
      </c>
      <c r="J147" s="57">
        <v>0</v>
      </c>
      <c r="K147" s="57">
        <f t="shared" si="21"/>
        <v>0</v>
      </c>
      <c r="L147" s="58">
        <f t="shared" si="22"/>
        <v>0</v>
      </c>
    </row>
    <row r="148" spans="1:12" s="80" customFormat="1" ht="14.25" hidden="1" outlineLevel="1" x14ac:dyDescent="0.2">
      <c r="A148" s="61" t="s">
        <v>150</v>
      </c>
      <c r="B148" s="79"/>
      <c r="C148" s="30"/>
      <c r="D148" s="30"/>
      <c r="E148" s="30"/>
      <c r="F148" s="21">
        <f>16661432-16661432</f>
        <v>0</v>
      </c>
      <c r="G148" s="57">
        <f t="shared" si="23"/>
        <v>0</v>
      </c>
      <c r="H148" s="30"/>
      <c r="I148" s="57">
        <f t="shared" si="24"/>
        <v>0</v>
      </c>
      <c r="J148" s="57">
        <v>0</v>
      </c>
      <c r="K148" s="57">
        <f t="shared" si="21"/>
        <v>0</v>
      </c>
      <c r="L148" s="58">
        <f t="shared" si="22"/>
        <v>0</v>
      </c>
    </row>
    <row r="149" spans="1:12" s="80" customFormat="1" ht="14.25" hidden="1" outlineLevel="1" x14ac:dyDescent="0.2">
      <c r="A149" s="61" t="s">
        <v>151</v>
      </c>
      <c r="B149" s="79"/>
      <c r="C149" s="30"/>
      <c r="D149" s="30"/>
      <c r="E149" s="30"/>
      <c r="F149" s="21">
        <f>10957154-9142176</f>
        <v>1814978</v>
      </c>
      <c r="G149" s="57">
        <f t="shared" si="23"/>
        <v>1814978</v>
      </c>
      <c r="H149" s="30"/>
      <c r="I149" s="57">
        <f t="shared" si="24"/>
        <v>1814978</v>
      </c>
      <c r="J149" s="57">
        <v>861656</v>
      </c>
      <c r="K149" s="57">
        <f t="shared" si="21"/>
        <v>-953322</v>
      </c>
      <c r="L149" s="58">
        <f t="shared" si="22"/>
        <v>0.4747473523095046</v>
      </c>
    </row>
    <row r="150" spans="1:12" s="80" customFormat="1" ht="14.25" hidden="1" outlineLevel="1" x14ac:dyDescent="0.2">
      <c r="A150" s="61" t="s">
        <v>66</v>
      </c>
      <c r="B150" s="79"/>
      <c r="C150" s="30"/>
      <c r="D150" s="30"/>
      <c r="E150" s="30"/>
      <c r="F150" s="21"/>
      <c r="G150" s="57">
        <f t="shared" si="23"/>
        <v>0</v>
      </c>
      <c r="H150" s="30"/>
      <c r="I150" s="57">
        <f t="shared" si="24"/>
        <v>0</v>
      </c>
      <c r="J150" s="57">
        <v>0</v>
      </c>
      <c r="K150" s="57">
        <f t="shared" si="21"/>
        <v>0</v>
      </c>
      <c r="L150" s="58">
        <f t="shared" si="22"/>
        <v>0</v>
      </c>
    </row>
    <row r="151" spans="1:12" s="80" customFormat="1" ht="15" collapsed="1" x14ac:dyDescent="0.25">
      <c r="A151" s="64" t="s">
        <v>152</v>
      </c>
      <c r="B151" s="79"/>
      <c r="C151" s="30"/>
      <c r="D151" s="30"/>
      <c r="E151" s="30"/>
      <c r="F151" s="16">
        <f>SUM(F152:F154)</f>
        <v>13167614</v>
      </c>
      <c r="G151" s="66">
        <f t="shared" si="23"/>
        <v>13167614</v>
      </c>
      <c r="H151" s="30"/>
      <c r="I151" s="66">
        <f>+H151+G151</f>
        <v>13167614</v>
      </c>
      <c r="J151" s="66">
        <f>SUM(J152:J154)</f>
        <v>7518880</v>
      </c>
      <c r="K151" s="66">
        <f t="shared" si="21"/>
        <v>-5648734</v>
      </c>
      <c r="L151" s="54">
        <f t="shared" si="22"/>
        <v>0.57101309318453597</v>
      </c>
    </row>
    <row r="152" spans="1:12" s="80" customFormat="1" ht="14.25" hidden="1" outlineLevel="1" x14ac:dyDescent="0.2">
      <c r="A152" s="61" t="s">
        <v>153</v>
      </c>
      <c r="B152" s="79"/>
      <c r="C152" s="30"/>
      <c r="D152" s="30"/>
      <c r="E152" s="30"/>
      <c r="F152" s="21"/>
      <c r="G152" s="57">
        <f t="shared" si="23"/>
        <v>0</v>
      </c>
      <c r="H152" s="30"/>
      <c r="I152" s="57">
        <f t="shared" si="24"/>
        <v>0</v>
      </c>
      <c r="J152" s="57"/>
      <c r="K152" s="57">
        <f t="shared" si="21"/>
        <v>0</v>
      </c>
      <c r="L152" s="58">
        <f t="shared" si="22"/>
        <v>0</v>
      </c>
    </row>
    <row r="153" spans="1:12" s="80" customFormat="1" ht="14.25" hidden="1" outlineLevel="1" x14ac:dyDescent="0.2">
      <c r="A153" s="61" t="s">
        <v>154</v>
      </c>
      <c r="B153" s="79"/>
      <c r="C153" s="30"/>
      <c r="D153" s="30"/>
      <c r="E153" s="30"/>
      <c r="F153" s="21">
        <v>9990000</v>
      </c>
      <c r="G153" s="57">
        <f t="shared" si="23"/>
        <v>9990000</v>
      </c>
      <c r="H153" s="30"/>
      <c r="I153" s="57">
        <f t="shared" si="24"/>
        <v>9990000</v>
      </c>
      <c r="J153" s="57">
        <v>7110000</v>
      </c>
      <c r="K153" s="57">
        <f t="shared" si="21"/>
        <v>-2880000</v>
      </c>
      <c r="L153" s="58">
        <f t="shared" si="22"/>
        <v>0.71171171171171166</v>
      </c>
    </row>
    <row r="154" spans="1:12" s="80" customFormat="1" ht="14.25" hidden="1" outlineLevel="1" x14ac:dyDescent="0.2">
      <c r="A154" s="61" t="s">
        <v>155</v>
      </c>
      <c r="B154" s="79"/>
      <c r="C154" s="30"/>
      <c r="D154" s="30"/>
      <c r="E154" s="30"/>
      <c r="F154" s="21">
        <v>3177614</v>
      </c>
      <c r="G154" s="57">
        <f t="shared" si="23"/>
        <v>3177614</v>
      </c>
      <c r="H154" s="30"/>
      <c r="I154" s="57">
        <f t="shared" si="24"/>
        <v>3177614</v>
      </c>
      <c r="J154" s="57">
        <v>408880</v>
      </c>
      <c r="K154" s="57">
        <f t="shared" si="21"/>
        <v>-2768734</v>
      </c>
      <c r="L154" s="58">
        <f t="shared" si="22"/>
        <v>0.12867516318848041</v>
      </c>
    </row>
    <row r="155" spans="1:12" s="51" customFormat="1" ht="30" collapsed="1" x14ac:dyDescent="0.25">
      <c r="A155" s="48" t="s">
        <v>156</v>
      </c>
      <c r="B155" s="49">
        <f>+B156+B159</f>
        <v>69563273</v>
      </c>
      <c r="C155" s="49"/>
      <c r="D155" s="49"/>
      <c r="E155" s="49"/>
      <c r="F155" s="49"/>
      <c r="G155" s="49">
        <f>SUM(B155:F155)</f>
        <v>69563273</v>
      </c>
      <c r="H155" s="49"/>
      <c r="I155" s="49">
        <f>+H155+G155</f>
        <v>69563273</v>
      </c>
      <c r="J155" s="49">
        <f>+J156+J159</f>
        <v>55855272</v>
      </c>
      <c r="K155" s="49">
        <f t="shared" si="21"/>
        <v>-13708001</v>
      </c>
      <c r="L155" s="50">
        <f t="shared" si="22"/>
        <v>0.80294197773011633</v>
      </c>
    </row>
    <row r="156" spans="1:12" s="55" customFormat="1" ht="15" x14ac:dyDescent="0.25">
      <c r="A156" s="52" t="s">
        <v>157</v>
      </c>
      <c r="B156" s="35">
        <f>+B157+B158</f>
        <v>39563273</v>
      </c>
      <c r="C156" s="30"/>
      <c r="D156" s="30"/>
      <c r="E156" s="30"/>
      <c r="F156" s="53"/>
      <c r="G156" s="66">
        <f t="shared" ref="G156:G161" si="25">+B156+C156+E156+F156+D156</f>
        <v>39563273</v>
      </c>
      <c r="H156" s="66"/>
      <c r="I156" s="16">
        <f t="shared" ref="I156:I161" si="26">+G156+H156</f>
        <v>39563273</v>
      </c>
      <c r="J156" s="16">
        <f>+J157+J158</f>
        <v>39213992</v>
      </c>
      <c r="K156" s="16">
        <f t="shared" si="21"/>
        <v>-349281</v>
      </c>
      <c r="L156" s="54">
        <f t="shared" si="22"/>
        <v>0.99117158481807099</v>
      </c>
    </row>
    <row r="157" spans="1:12" s="55" customFormat="1" ht="14.25" hidden="1" outlineLevel="1" x14ac:dyDescent="0.2">
      <c r="A157" s="61" t="s">
        <v>158</v>
      </c>
      <c r="B157" s="20">
        <f>27888174+1250000</f>
        <v>29138174</v>
      </c>
      <c r="C157" s="30"/>
      <c r="D157" s="30"/>
      <c r="E157" s="30"/>
      <c r="F157" s="30"/>
      <c r="G157" s="30">
        <f t="shared" si="25"/>
        <v>29138174</v>
      </c>
      <c r="H157" s="30"/>
      <c r="I157" s="20">
        <f t="shared" si="26"/>
        <v>29138174</v>
      </c>
      <c r="J157" s="20">
        <v>28807292</v>
      </c>
      <c r="K157" s="20">
        <f t="shared" si="21"/>
        <v>-330882</v>
      </c>
      <c r="L157" s="58">
        <f t="shared" si="22"/>
        <v>0.98864438107892416</v>
      </c>
    </row>
    <row r="158" spans="1:12" s="55" customFormat="1" ht="14.25" hidden="1" outlineLevel="1" x14ac:dyDescent="0.2">
      <c r="A158" s="61" t="s">
        <v>159</v>
      </c>
      <c r="B158" s="20">
        <f>11675099-1250000</f>
        <v>10425099</v>
      </c>
      <c r="C158" s="30"/>
      <c r="D158" s="30"/>
      <c r="E158" s="30"/>
      <c r="F158" s="30"/>
      <c r="G158" s="30">
        <f t="shared" si="25"/>
        <v>10425099</v>
      </c>
      <c r="H158" s="30"/>
      <c r="I158" s="20">
        <f t="shared" si="26"/>
        <v>10425099</v>
      </c>
      <c r="J158" s="20">
        <v>10406700</v>
      </c>
      <c r="K158" s="20">
        <f t="shared" si="21"/>
        <v>-18399</v>
      </c>
      <c r="L158" s="58">
        <f t="shared" si="22"/>
        <v>0.99823512467363618</v>
      </c>
    </row>
    <row r="159" spans="1:12" s="55" customFormat="1" ht="15" collapsed="1" x14ac:dyDescent="0.25">
      <c r="A159" s="52" t="s">
        <v>160</v>
      </c>
      <c r="B159" s="16">
        <f>SUM(B160:B161)</f>
        <v>30000000</v>
      </c>
      <c r="C159" s="30"/>
      <c r="D159" s="30"/>
      <c r="E159" s="30"/>
      <c r="F159" s="30"/>
      <c r="G159" s="66">
        <f t="shared" si="25"/>
        <v>30000000</v>
      </c>
      <c r="H159" s="30"/>
      <c r="I159" s="16">
        <f t="shared" si="26"/>
        <v>30000000</v>
      </c>
      <c r="J159" s="16">
        <f>SUM(J160:J161)</f>
        <v>16641280</v>
      </c>
      <c r="K159" s="16">
        <f t="shared" si="21"/>
        <v>-13358720</v>
      </c>
      <c r="L159" s="54">
        <f t="shared" si="22"/>
        <v>0.55470933333333339</v>
      </c>
    </row>
    <row r="160" spans="1:12" s="55" customFormat="1" ht="15.75" hidden="1" customHeight="1" outlineLevel="1" x14ac:dyDescent="0.2">
      <c r="A160" s="77" t="s">
        <v>161</v>
      </c>
      <c r="B160" s="21"/>
      <c r="C160" s="57"/>
      <c r="D160" s="57"/>
      <c r="E160" s="57"/>
      <c r="F160" s="57"/>
      <c r="G160" s="30">
        <f t="shared" si="25"/>
        <v>0</v>
      </c>
      <c r="H160" s="57"/>
      <c r="I160" s="30">
        <f t="shared" si="26"/>
        <v>0</v>
      </c>
      <c r="J160" s="30">
        <v>0</v>
      </c>
      <c r="K160" s="30">
        <f t="shared" si="21"/>
        <v>0</v>
      </c>
      <c r="L160" s="58">
        <f t="shared" si="22"/>
        <v>0</v>
      </c>
    </row>
    <row r="161" spans="1:12" s="55" customFormat="1" ht="14.25" hidden="1" outlineLevel="1" x14ac:dyDescent="0.2">
      <c r="A161" s="81" t="s">
        <v>162</v>
      </c>
      <c r="B161" s="20">
        <v>30000000</v>
      </c>
      <c r="C161" s="30"/>
      <c r="D161" s="30"/>
      <c r="E161" s="30"/>
      <c r="F161" s="30"/>
      <c r="G161" s="30">
        <f t="shared" si="25"/>
        <v>30000000</v>
      </c>
      <c r="H161" s="30"/>
      <c r="I161" s="30">
        <f t="shared" si="26"/>
        <v>30000000</v>
      </c>
      <c r="J161" s="30">
        <v>16641280</v>
      </c>
      <c r="K161" s="30">
        <f t="shared" si="21"/>
        <v>-13358720</v>
      </c>
      <c r="L161" s="58">
        <f t="shared" si="22"/>
        <v>0.55470933333333339</v>
      </c>
    </row>
    <row r="162" spans="1:12" s="51" customFormat="1" ht="15" collapsed="1" x14ac:dyDescent="0.25">
      <c r="A162" s="48" t="s">
        <v>163</v>
      </c>
      <c r="B162" s="49">
        <f>+B163+B169</f>
        <v>219398575</v>
      </c>
      <c r="C162" s="49"/>
      <c r="D162" s="49"/>
      <c r="E162" s="49"/>
      <c r="F162" s="49"/>
      <c r="G162" s="49">
        <f>SUM(B162:F162)</f>
        <v>219398575</v>
      </c>
      <c r="H162" s="49"/>
      <c r="I162" s="49">
        <f>+H162+G162</f>
        <v>219398575</v>
      </c>
      <c r="J162" s="49">
        <f>+J163+J169</f>
        <v>177672826</v>
      </c>
      <c r="K162" s="49">
        <f t="shared" si="21"/>
        <v>-41725749</v>
      </c>
      <c r="L162" s="50">
        <f t="shared" si="22"/>
        <v>0.80981759339138826</v>
      </c>
    </row>
    <row r="163" spans="1:12" s="55" customFormat="1" ht="15" x14ac:dyDescent="0.25">
      <c r="A163" s="52" t="s">
        <v>164</v>
      </c>
      <c r="B163" s="16">
        <f>+B164+B165+B166+B167+B168</f>
        <v>138872605</v>
      </c>
      <c r="C163" s="66"/>
      <c r="D163" s="66"/>
      <c r="E163" s="66"/>
      <c r="F163" s="66"/>
      <c r="G163" s="66">
        <f>+B163+C163+D163+E163+F163</f>
        <v>138872605</v>
      </c>
      <c r="H163" s="66"/>
      <c r="I163" s="66">
        <f>+G163+H163</f>
        <v>138872605</v>
      </c>
      <c r="J163" s="66">
        <f>+J164+J165+J166+J167+J168</f>
        <v>105721714</v>
      </c>
      <c r="K163" s="66">
        <f t="shared" si="21"/>
        <v>-33150891</v>
      </c>
      <c r="L163" s="54">
        <f t="shared" si="22"/>
        <v>0.76128559696853093</v>
      </c>
    </row>
    <row r="164" spans="1:12" s="55" customFormat="1" ht="15" hidden="1" outlineLevel="1" x14ac:dyDescent="0.25">
      <c r="A164" s="61" t="s">
        <v>165</v>
      </c>
      <c r="B164" s="21">
        <v>37163088</v>
      </c>
      <c r="C164" s="66"/>
      <c r="D164" s="66"/>
      <c r="E164" s="66"/>
      <c r="F164" s="66"/>
      <c r="G164" s="57">
        <f>+B164+C164+D164+E164+F164</f>
        <v>37163088</v>
      </c>
      <c r="H164" s="57"/>
      <c r="I164" s="57">
        <f t="shared" ref="I164:I171" si="27">+G164+H164</f>
        <v>37163088</v>
      </c>
      <c r="J164" s="57">
        <v>34852688</v>
      </c>
      <c r="K164" s="57">
        <f t="shared" si="21"/>
        <v>-2310400</v>
      </c>
      <c r="L164" s="58">
        <f t="shared" si="22"/>
        <v>0.93783078521354313</v>
      </c>
    </row>
    <row r="165" spans="1:12" s="55" customFormat="1" ht="15" hidden="1" outlineLevel="1" x14ac:dyDescent="0.25">
      <c r="A165" s="61" t="s">
        <v>166</v>
      </c>
      <c r="B165" s="21">
        <f>9290755+1000000</f>
        <v>10290755</v>
      </c>
      <c r="C165" s="66"/>
      <c r="D165" s="66"/>
      <c r="E165" s="66"/>
      <c r="F165" s="66"/>
      <c r="G165" s="57">
        <f t="shared" ref="G165:G171" si="28">+B165+C165+D165+E165+F165</f>
        <v>10290755</v>
      </c>
      <c r="H165" s="57"/>
      <c r="I165" s="57">
        <f t="shared" si="27"/>
        <v>10290755</v>
      </c>
      <c r="J165" s="57">
        <v>10275553</v>
      </c>
      <c r="K165" s="57">
        <f t="shared" si="21"/>
        <v>-15202</v>
      </c>
      <c r="L165" s="58">
        <f t="shared" si="22"/>
        <v>0.99852275173201577</v>
      </c>
    </row>
    <row r="166" spans="1:12" s="55" customFormat="1" ht="15" hidden="1" outlineLevel="1" x14ac:dyDescent="0.25">
      <c r="A166" s="61" t="s">
        <v>167</v>
      </c>
      <c r="B166" s="21">
        <f>58756423-1000000-1220000</f>
        <v>56536423</v>
      </c>
      <c r="C166" s="66"/>
      <c r="D166" s="66"/>
      <c r="E166" s="66"/>
      <c r="F166" s="66"/>
      <c r="G166" s="57">
        <f t="shared" si="28"/>
        <v>56536423</v>
      </c>
      <c r="H166" s="57"/>
      <c r="I166" s="57">
        <f t="shared" si="27"/>
        <v>56536423</v>
      </c>
      <c r="J166" s="57">
        <v>32729836</v>
      </c>
      <c r="K166" s="57">
        <f t="shared" si="21"/>
        <v>-23806587</v>
      </c>
      <c r="L166" s="58">
        <f t="shared" si="22"/>
        <v>0.57891593177021472</v>
      </c>
    </row>
    <row r="167" spans="1:12" s="55" customFormat="1" ht="15" hidden="1" outlineLevel="1" x14ac:dyDescent="0.25">
      <c r="A167" s="61" t="s">
        <v>168</v>
      </c>
      <c r="B167" s="21">
        <f>20462339+1220000</f>
        <v>21682339</v>
      </c>
      <c r="C167" s="66"/>
      <c r="D167" s="66"/>
      <c r="E167" s="66"/>
      <c r="F167" s="66"/>
      <c r="G167" s="57">
        <f t="shared" si="28"/>
        <v>21682339</v>
      </c>
      <c r="H167" s="57"/>
      <c r="I167" s="57">
        <f t="shared" si="27"/>
        <v>21682339</v>
      </c>
      <c r="J167" s="57">
        <v>21676646</v>
      </c>
      <c r="K167" s="57">
        <f t="shared" si="21"/>
        <v>-5693</v>
      </c>
      <c r="L167" s="58">
        <f t="shared" si="22"/>
        <v>0.99973743607643073</v>
      </c>
    </row>
    <row r="168" spans="1:12" s="55" customFormat="1" ht="15" hidden="1" outlineLevel="1" x14ac:dyDescent="0.25">
      <c r="A168" s="61" t="s">
        <v>169</v>
      </c>
      <c r="B168" s="21">
        <v>13200000</v>
      </c>
      <c r="C168" s="66"/>
      <c r="D168" s="66"/>
      <c r="E168" s="66"/>
      <c r="F168" s="66"/>
      <c r="G168" s="57">
        <f t="shared" si="28"/>
        <v>13200000</v>
      </c>
      <c r="H168" s="57"/>
      <c r="I168" s="57">
        <f t="shared" si="27"/>
        <v>13200000</v>
      </c>
      <c r="J168" s="57">
        <v>6186991</v>
      </c>
      <c r="K168" s="57">
        <f t="shared" si="21"/>
        <v>-7013009</v>
      </c>
      <c r="L168" s="58">
        <f t="shared" si="22"/>
        <v>0.46871143939393939</v>
      </c>
    </row>
    <row r="169" spans="1:12" s="55" customFormat="1" ht="15" collapsed="1" x14ac:dyDescent="0.25">
      <c r="A169" s="52" t="s">
        <v>170</v>
      </c>
      <c r="B169" s="16">
        <f>+B170+B171</f>
        <v>80525970</v>
      </c>
      <c r="C169" s="66"/>
      <c r="D169" s="66"/>
      <c r="E169" s="66"/>
      <c r="F169" s="66"/>
      <c r="G169" s="66">
        <f t="shared" si="28"/>
        <v>80525970</v>
      </c>
      <c r="H169" s="66"/>
      <c r="I169" s="66">
        <f t="shared" si="27"/>
        <v>80525970</v>
      </c>
      <c r="J169" s="66">
        <f>+J170+J171</f>
        <v>71951112</v>
      </c>
      <c r="K169" s="66">
        <f t="shared" si="21"/>
        <v>-8574858</v>
      </c>
      <c r="L169" s="54">
        <f t="shared" si="22"/>
        <v>0.89351437803232925</v>
      </c>
    </row>
    <row r="170" spans="1:12" s="55" customFormat="1" ht="15" hidden="1" outlineLevel="1" x14ac:dyDescent="0.25">
      <c r="A170" s="61" t="s">
        <v>171</v>
      </c>
      <c r="B170" s="21">
        <v>24949270</v>
      </c>
      <c r="C170" s="66"/>
      <c r="D170" s="66"/>
      <c r="E170" s="66"/>
      <c r="F170" s="66"/>
      <c r="G170" s="57">
        <f t="shared" si="28"/>
        <v>24949270</v>
      </c>
      <c r="H170" s="57"/>
      <c r="I170" s="57">
        <f t="shared" si="27"/>
        <v>24949270</v>
      </c>
      <c r="J170" s="57">
        <v>20504716</v>
      </c>
      <c r="K170" s="57">
        <f t="shared" si="21"/>
        <v>-4444554</v>
      </c>
      <c r="L170" s="58">
        <f t="shared" si="22"/>
        <v>0.82185635090726106</v>
      </c>
    </row>
    <row r="171" spans="1:12" s="55" customFormat="1" ht="15" hidden="1" outlineLevel="1" x14ac:dyDescent="0.25">
      <c r="A171" s="61" t="s">
        <v>172</v>
      </c>
      <c r="B171" s="21">
        <v>55576700</v>
      </c>
      <c r="C171" s="66"/>
      <c r="D171" s="66"/>
      <c r="E171" s="66"/>
      <c r="F171" s="66"/>
      <c r="G171" s="57">
        <f t="shared" si="28"/>
        <v>55576700</v>
      </c>
      <c r="H171" s="57"/>
      <c r="I171" s="57">
        <f t="shared" si="27"/>
        <v>55576700</v>
      </c>
      <c r="J171" s="57">
        <v>51446396</v>
      </c>
      <c r="K171" s="57">
        <f t="shared" si="21"/>
        <v>-4130304</v>
      </c>
      <c r="L171" s="58">
        <f t="shared" si="22"/>
        <v>0.92568281312132605</v>
      </c>
    </row>
    <row r="172" spans="1:12" s="51" customFormat="1" ht="15" collapsed="1" x14ac:dyDescent="0.25">
      <c r="A172" s="48" t="s">
        <v>173</v>
      </c>
      <c r="B172" s="49"/>
      <c r="C172" s="49"/>
      <c r="D172" s="49">
        <f>+D173+D179</f>
        <v>253184885</v>
      </c>
      <c r="E172" s="49"/>
      <c r="F172" s="49"/>
      <c r="G172" s="49">
        <f>SUM(B172:F172)</f>
        <v>253184885</v>
      </c>
      <c r="H172" s="49"/>
      <c r="I172" s="49">
        <f>+G172+H172</f>
        <v>253184885</v>
      </c>
      <c r="J172" s="49">
        <f>+J173+J179</f>
        <v>238422951</v>
      </c>
      <c r="K172" s="49">
        <f t="shared" si="21"/>
        <v>-14761934</v>
      </c>
      <c r="L172" s="50">
        <f t="shared" si="22"/>
        <v>0.94169504234030399</v>
      </c>
    </row>
    <row r="173" spans="1:12" ht="15" x14ac:dyDescent="0.25">
      <c r="A173" s="52" t="s">
        <v>174</v>
      </c>
      <c r="B173" s="82"/>
      <c r="C173" s="82"/>
      <c r="D173" s="82">
        <f>+D174</f>
        <v>35076272</v>
      </c>
      <c r="E173" s="30"/>
      <c r="F173" s="30"/>
      <c r="G173" s="53">
        <f t="shared" ref="G173:G187" si="29">+B173+C173+D173+E173+F173</f>
        <v>35076272</v>
      </c>
      <c r="H173" s="30"/>
      <c r="I173" s="53">
        <f t="shared" ref="I173:I195" si="30">+H173+G173</f>
        <v>35076272</v>
      </c>
      <c r="J173" s="53">
        <f>+J174</f>
        <v>34852381</v>
      </c>
      <c r="K173" s="53">
        <f t="shared" si="21"/>
        <v>-223891</v>
      </c>
      <c r="L173" s="54">
        <f t="shared" si="22"/>
        <v>0.9936170240668678</v>
      </c>
    </row>
    <row r="174" spans="1:12" ht="15" x14ac:dyDescent="0.25">
      <c r="A174" s="52" t="s">
        <v>175</v>
      </c>
      <c r="B174" s="82"/>
      <c r="C174" s="83"/>
      <c r="D174" s="84">
        <f>SUM(D175:D178)</f>
        <v>35076272</v>
      </c>
      <c r="E174" s="30"/>
      <c r="F174" s="57"/>
      <c r="G174" s="66">
        <f t="shared" si="29"/>
        <v>35076272</v>
      </c>
      <c r="H174" s="57"/>
      <c r="I174" s="84">
        <f t="shared" si="30"/>
        <v>35076272</v>
      </c>
      <c r="J174" s="84">
        <f>SUM(J175:J178)</f>
        <v>34852381</v>
      </c>
      <c r="K174" s="84">
        <f t="shared" si="21"/>
        <v>-223891</v>
      </c>
      <c r="L174" s="54">
        <f t="shared" si="22"/>
        <v>0.9936170240668678</v>
      </c>
    </row>
    <row r="175" spans="1:12" ht="15" hidden="1" outlineLevel="1" x14ac:dyDescent="0.25">
      <c r="A175" s="56" t="s">
        <v>176</v>
      </c>
      <c r="B175" s="82"/>
      <c r="C175" s="83"/>
      <c r="D175" s="21">
        <f>27954611-2450000+411646+6000</f>
        <v>25922257</v>
      </c>
      <c r="E175" s="30"/>
      <c r="F175" s="57"/>
      <c r="G175" s="57">
        <f t="shared" si="29"/>
        <v>25922257</v>
      </c>
      <c r="H175" s="57"/>
      <c r="I175" s="83">
        <f t="shared" si="30"/>
        <v>25922257</v>
      </c>
      <c r="J175" s="83">
        <v>25922257</v>
      </c>
      <c r="K175" s="83">
        <f t="shared" si="21"/>
        <v>0</v>
      </c>
      <c r="L175" s="58">
        <f t="shared" si="22"/>
        <v>1</v>
      </c>
    </row>
    <row r="176" spans="1:12" ht="15" hidden="1" outlineLevel="1" x14ac:dyDescent="0.25">
      <c r="A176" s="56" t="s">
        <v>177</v>
      </c>
      <c r="B176" s="82"/>
      <c r="C176" s="83"/>
      <c r="D176" s="85">
        <f>654492-411646-6000-13000</f>
        <v>223846</v>
      </c>
      <c r="E176" s="30"/>
      <c r="F176" s="57"/>
      <c r="G176" s="57">
        <f t="shared" si="29"/>
        <v>223846</v>
      </c>
      <c r="H176" s="57"/>
      <c r="I176" s="83">
        <f t="shared" si="30"/>
        <v>223846</v>
      </c>
      <c r="J176" s="83">
        <v>0</v>
      </c>
      <c r="K176" s="83">
        <f t="shared" si="21"/>
        <v>-223846</v>
      </c>
      <c r="L176" s="58">
        <f t="shared" si="22"/>
        <v>0</v>
      </c>
    </row>
    <row r="177" spans="1:12" ht="15" hidden="1" outlineLevel="1" x14ac:dyDescent="0.25">
      <c r="A177" s="56" t="s">
        <v>178</v>
      </c>
      <c r="B177" s="82"/>
      <c r="C177" s="83"/>
      <c r="D177" s="85"/>
      <c r="E177" s="30"/>
      <c r="F177" s="57"/>
      <c r="G177" s="57">
        <f>+B177+C177+D177+E177+F177</f>
        <v>0</v>
      </c>
      <c r="H177" s="57"/>
      <c r="I177" s="83">
        <f>+H177+G177</f>
        <v>0</v>
      </c>
      <c r="J177" s="83">
        <v>0</v>
      </c>
      <c r="K177" s="83">
        <f t="shared" si="21"/>
        <v>0</v>
      </c>
      <c r="L177" s="58">
        <f t="shared" si="22"/>
        <v>0</v>
      </c>
    </row>
    <row r="178" spans="1:12" ht="15" hidden="1" outlineLevel="1" x14ac:dyDescent="0.25">
      <c r="A178" s="56" t="s">
        <v>179</v>
      </c>
      <c r="B178" s="82"/>
      <c r="C178" s="83"/>
      <c r="D178" s="85">
        <f>6467169+2450000+13000</f>
        <v>8930169</v>
      </c>
      <c r="E178" s="30"/>
      <c r="F178" s="57"/>
      <c r="G178" s="57">
        <f>+B178+C178+D178+E178+F178</f>
        <v>8930169</v>
      </c>
      <c r="H178" s="57"/>
      <c r="I178" s="83">
        <f>+H178+G178</f>
        <v>8930169</v>
      </c>
      <c r="J178" s="83">
        <v>8930124</v>
      </c>
      <c r="K178" s="83">
        <f t="shared" si="21"/>
        <v>-45</v>
      </c>
      <c r="L178" s="58">
        <f t="shared" si="22"/>
        <v>0.99999496090163575</v>
      </c>
    </row>
    <row r="179" spans="1:12" ht="15" collapsed="1" x14ac:dyDescent="0.25">
      <c r="A179" s="52" t="s">
        <v>180</v>
      </c>
      <c r="B179" s="53"/>
      <c r="C179" s="53"/>
      <c r="D179" s="35">
        <f>+D180+D186</f>
        <v>218108613</v>
      </c>
      <c r="E179" s="30"/>
      <c r="F179" s="30"/>
      <c r="G179" s="53">
        <f t="shared" si="29"/>
        <v>218108613</v>
      </c>
      <c r="H179" s="66"/>
      <c r="I179" s="84">
        <f t="shared" si="30"/>
        <v>218108613</v>
      </c>
      <c r="J179" s="84">
        <f>+J180+J186</f>
        <v>203570570</v>
      </c>
      <c r="K179" s="84">
        <f t="shared" si="21"/>
        <v>-14538043</v>
      </c>
      <c r="L179" s="54">
        <f t="shared" si="22"/>
        <v>0.93334493856049605</v>
      </c>
    </row>
    <row r="180" spans="1:12" ht="15" x14ac:dyDescent="0.25">
      <c r="A180" s="86" t="s">
        <v>181</v>
      </c>
      <c r="B180" s="53"/>
      <c r="C180" s="53"/>
      <c r="D180" s="53">
        <f>SUM(D181:D185)</f>
        <v>44881262</v>
      </c>
      <c r="E180" s="30"/>
      <c r="F180" s="30"/>
      <c r="G180" s="53">
        <f>+B180+C180+D180+E180+F180</f>
        <v>44881262</v>
      </c>
      <c r="H180" s="66"/>
      <c r="I180" s="87">
        <f t="shared" si="30"/>
        <v>44881262</v>
      </c>
      <c r="J180" s="87">
        <f>SUM(J181:J185)</f>
        <v>41856240</v>
      </c>
      <c r="K180" s="87">
        <f t="shared" si="21"/>
        <v>-3025022</v>
      </c>
      <c r="L180" s="54">
        <f t="shared" si="22"/>
        <v>0.93259944428478858</v>
      </c>
    </row>
    <row r="181" spans="1:12" ht="15" hidden="1" outlineLevel="1" x14ac:dyDescent="0.25">
      <c r="A181" s="77" t="s">
        <v>182</v>
      </c>
      <c r="B181" s="53"/>
      <c r="C181" s="57"/>
      <c r="D181" s="21"/>
      <c r="E181" s="30"/>
      <c r="F181" s="30"/>
      <c r="G181" s="57">
        <f t="shared" si="29"/>
        <v>0</v>
      </c>
      <c r="H181" s="30"/>
      <c r="I181" s="83">
        <f t="shared" si="30"/>
        <v>0</v>
      </c>
      <c r="J181" s="83">
        <v>0</v>
      </c>
      <c r="K181" s="83">
        <f t="shared" si="21"/>
        <v>0</v>
      </c>
      <c r="L181" s="58">
        <f t="shared" si="22"/>
        <v>0</v>
      </c>
    </row>
    <row r="182" spans="1:12" ht="15" hidden="1" outlineLevel="1" x14ac:dyDescent="0.25">
      <c r="A182" s="77" t="s">
        <v>183</v>
      </c>
      <c r="B182" s="53"/>
      <c r="C182" s="57"/>
      <c r="D182" s="57">
        <v>13214114</v>
      </c>
      <c r="E182" s="30"/>
      <c r="F182" s="30"/>
      <c r="G182" s="57">
        <f t="shared" si="29"/>
        <v>13214114</v>
      </c>
      <c r="H182" s="30"/>
      <c r="I182" s="83">
        <f t="shared" si="30"/>
        <v>13214114</v>
      </c>
      <c r="J182" s="83">
        <v>11483952</v>
      </c>
      <c r="K182" s="83">
        <f t="shared" si="21"/>
        <v>-1730162</v>
      </c>
      <c r="L182" s="58">
        <f t="shared" si="22"/>
        <v>0.86906712020192955</v>
      </c>
    </row>
    <row r="183" spans="1:12" ht="15" hidden="1" outlineLevel="1" x14ac:dyDescent="0.25">
      <c r="A183" s="77" t="s">
        <v>184</v>
      </c>
      <c r="B183" s="53"/>
      <c r="C183" s="57"/>
      <c r="D183" s="57">
        <v>31667148</v>
      </c>
      <c r="E183" s="30"/>
      <c r="F183" s="30"/>
      <c r="G183" s="57">
        <f t="shared" si="29"/>
        <v>31667148</v>
      </c>
      <c r="H183" s="30"/>
      <c r="I183" s="83">
        <f t="shared" si="30"/>
        <v>31667148</v>
      </c>
      <c r="J183" s="83">
        <v>30372288</v>
      </c>
      <c r="K183" s="83">
        <f t="shared" si="21"/>
        <v>-1294860</v>
      </c>
      <c r="L183" s="58">
        <f t="shared" si="22"/>
        <v>0.95911030573387912</v>
      </c>
    </row>
    <row r="184" spans="1:12" ht="15" hidden="1" outlineLevel="1" x14ac:dyDescent="0.25">
      <c r="A184" s="77" t="s">
        <v>185</v>
      </c>
      <c r="B184" s="53"/>
      <c r="C184" s="57"/>
      <c r="D184" s="57"/>
      <c r="E184" s="30"/>
      <c r="F184" s="30"/>
      <c r="G184" s="57">
        <f t="shared" si="29"/>
        <v>0</v>
      </c>
      <c r="H184" s="30"/>
      <c r="I184" s="83">
        <f t="shared" si="30"/>
        <v>0</v>
      </c>
      <c r="J184" s="83">
        <v>0</v>
      </c>
      <c r="K184" s="83">
        <f t="shared" si="21"/>
        <v>0</v>
      </c>
      <c r="L184" s="58">
        <f t="shared" si="22"/>
        <v>0</v>
      </c>
    </row>
    <row r="185" spans="1:12" ht="15" hidden="1" outlineLevel="1" x14ac:dyDescent="0.25">
      <c r="A185" s="77" t="s">
        <v>186</v>
      </c>
      <c r="B185" s="53"/>
      <c r="C185" s="57"/>
      <c r="D185" s="57"/>
      <c r="E185" s="30"/>
      <c r="F185" s="30"/>
      <c r="G185" s="57">
        <f t="shared" si="29"/>
        <v>0</v>
      </c>
      <c r="H185" s="30"/>
      <c r="I185" s="83">
        <f>+H185+G185</f>
        <v>0</v>
      </c>
      <c r="J185" s="83">
        <v>0</v>
      </c>
      <c r="K185" s="83">
        <f t="shared" si="21"/>
        <v>0</v>
      </c>
      <c r="L185" s="58">
        <f t="shared" si="22"/>
        <v>0</v>
      </c>
    </row>
    <row r="186" spans="1:12" ht="15" collapsed="1" x14ac:dyDescent="0.25">
      <c r="A186" s="88" t="s">
        <v>187</v>
      </c>
      <c r="B186" s="53"/>
      <c r="C186" s="53"/>
      <c r="D186" s="53">
        <f>SUM(D187:D195)</f>
        <v>173227351</v>
      </c>
      <c r="E186" s="30"/>
      <c r="F186" s="30"/>
      <c r="G186" s="53">
        <f t="shared" si="29"/>
        <v>173227351</v>
      </c>
      <c r="H186" s="66"/>
      <c r="I186" s="84">
        <f>+H186+G186</f>
        <v>173227351</v>
      </c>
      <c r="J186" s="84">
        <f>SUM(J187:J195)</f>
        <v>161714330</v>
      </c>
      <c r="K186" s="84">
        <f t="shared" si="21"/>
        <v>-11513021</v>
      </c>
      <c r="L186" s="54">
        <f t="shared" si="22"/>
        <v>0.93353808775843949</v>
      </c>
    </row>
    <row r="187" spans="1:12" ht="15" hidden="1" outlineLevel="1" x14ac:dyDescent="0.25">
      <c r="A187" s="56" t="s">
        <v>188</v>
      </c>
      <c r="B187" s="53"/>
      <c r="C187" s="57"/>
      <c r="D187" s="21">
        <v>58859007</v>
      </c>
      <c r="E187" s="30"/>
      <c r="F187" s="30"/>
      <c r="G187" s="57">
        <f t="shared" si="29"/>
        <v>58859007</v>
      </c>
      <c r="H187" s="30"/>
      <c r="I187" s="83">
        <f t="shared" si="30"/>
        <v>58859007</v>
      </c>
      <c r="J187" s="83">
        <v>58515011</v>
      </c>
      <c r="K187" s="83">
        <f t="shared" si="21"/>
        <v>-343996</v>
      </c>
      <c r="L187" s="58">
        <f t="shared" si="22"/>
        <v>0.99415559287298205</v>
      </c>
    </row>
    <row r="188" spans="1:12" ht="15" hidden="1" outlineLevel="1" x14ac:dyDescent="0.25">
      <c r="A188" s="56" t="s">
        <v>189</v>
      </c>
      <c r="B188" s="53"/>
      <c r="C188" s="57"/>
      <c r="D188" s="21"/>
      <c r="E188" s="30"/>
      <c r="F188" s="30"/>
      <c r="G188" s="57">
        <f>+B188+C188+D188+E188+F188</f>
        <v>0</v>
      </c>
      <c r="H188" s="30"/>
      <c r="I188" s="83">
        <f t="shared" si="30"/>
        <v>0</v>
      </c>
      <c r="J188" s="83">
        <v>0</v>
      </c>
      <c r="K188" s="83">
        <f t="shared" si="21"/>
        <v>0</v>
      </c>
      <c r="L188" s="58">
        <f t="shared" si="22"/>
        <v>0</v>
      </c>
    </row>
    <row r="189" spans="1:12" ht="15" hidden="1" outlineLevel="1" x14ac:dyDescent="0.25">
      <c r="A189" s="56" t="s">
        <v>190</v>
      </c>
      <c r="B189" s="53"/>
      <c r="C189" s="57"/>
      <c r="D189" s="21">
        <v>47500000</v>
      </c>
      <c r="E189" s="30"/>
      <c r="F189" s="30"/>
      <c r="G189" s="57">
        <f t="shared" ref="G189:G195" si="31">+B189+C189+D189+E189+F189</f>
        <v>47500000</v>
      </c>
      <c r="H189" s="30"/>
      <c r="I189" s="83">
        <f t="shared" si="30"/>
        <v>47500000</v>
      </c>
      <c r="J189" s="83">
        <v>45878000</v>
      </c>
      <c r="K189" s="83">
        <f t="shared" si="21"/>
        <v>-1622000</v>
      </c>
      <c r="L189" s="58">
        <f t="shared" si="22"/>
        <v>0.96585263157894741</v>
      </c>
    </row>
    <row r="190" spans="1:12" ht="15" hidden="1" outlineLevel="1" x14ac:dyDescent="0.25">
      <c r="A190" s="56" t="s">
        <v>191</v>
      </c>
      <c r="B190" s="53"/>
      <c r="C190" s="57"/>
      <c r="D190" s="21">
        <f>1872572-125000</f>
        <v>1747572</v>
      </c>
      <c r="E190" s="30"/>
      <c r="F190" s="30"/>
      <c r="G190" s="57">
        <f t="shared" si="31"/>
        <v>1747572</v>
      </c>
      <c r="H190" s="30"/>
      <c r="I190" s="83">
        <f t="shared" si="30"/>
        <v>1747572</v>
      </c>
      <c r="J190" s="83">
        <v>1702859</v>
      </c>
      <c r="K190" s="83">
        <f t="shared" si="21"/>
        <v>-44713</v>
      </c>
      <c r="L190" s="58">
        <f t="shared" si="22"/>
        <v>0.97441421583774512</v>
      </c>
    </row>
    <row r="191" spans="1:12" ht="15" hidden="1" outlineLevel="1" x14ac:dyDescent="0.25">
      <c r="A191" s="56" t="s">
        <v>192</v>
      </c>
      <c r="B191" s="53"/>
      <c r="C191" s="57"/>
      <c r="D191" s="21">
        <v>18465300</v>
      </c>
      <c r="E191" s="30"/>
      <c r="F191" s="30"/>
      <c r="G191" s="57">
        <f t="shared" si="31"/>
        <v>18465300</v>
      </c>
      <c r="H191" s="30"/>
      <c r="I191" s="83">
        <f t="shared" si="30"/>
        <v>18465300</v>
      </c>
      <c r="J191" s="83">
        <v>18305690</v>
      </c>
      <c r="K191" s="83">
        <f t="shared" si="21"/>
        <v>-159610</v>
      </c>
      <c r="L191" s="58">
        <f t="shared" si="22"/>
        <v>0.99135621950360953</v>
      </c>
    </row>
    <row r="192" spans="1:12" ht="15" hidden="1" outlineLevel="1" x14ac:dyDescent="0.25">
      <c r="A192" s="56" t="s">
        <v>193</v>
      </c>
      <c r="B192" s="53"/>
      <c r="C192" s="57"/>
      <c r="D192" s="21"/>
      <c r="E192" s="30"/>
      <c r="F192" s="30"/>
      <c r="G192" s="57">
        <f t="shared" si="31"/>
        <v>0</v>
      </c>
      <c r="H192" s="30"/>
      <c r="I192" s="83">
        <f t="shared" si="30"/>
        <v>0</v>
      </c>
      <c r="J192" s="83">
        <v>0</v>
      </c>
      <c r="K192" s="83">
        <f t="shared" si="21"/>
        <v>0</v>
      </c>
      <c r="L192" s="58">
        <f t="shared" si="22"/>
        <v>0</v>
      </c>
    </row>
    <row r="193" spans="1:18" ht="15" hidden="1" outlineLevel="1" x14ac:dyDescent="0.25">
      <c r="A193" s="56" t="s">
        <v>194</v>
      </c>
      <c r="B193" s="53"/>
      <c r="C193" s="57"/>
      <c r="D193" s="21">
        <v>9656292</v>
      </c>
      <c r="E193" s="30"/>
      <c r="F193" s="30"/>
      <c r="G193" s="57">
        <f t="shared" si="31"/>
        <v>9656292</v>
      </c>
      <c r="H193" s="30"/>
      <c r="I193" s="83">
        <f t="shared" si="30"/>
        <v>9656292</v>
      </c>
      <c r="J193" s="83">
        <v>5802835</v>
      </c>
      <c r="K193" s="83">
        <f t="shared" si="21"/>
        <v>-3853457</v>
      </c>
      <c r="L193" s="58">
        <f t="shared" si="22"/>
        <v>0.60093822763437554</v>
      </c>
    </row>
    <row r="194" spans="1:18" ht="15" hidden="1" outlineLevel="1" x14ac:dyDescent="0.25">
      <c r="A194" s="56" t="s">
        <v>195</v>
      </c>
      <c r="B194" s="53"/>
      <c r="C194" s="57"/>
      <c r="D194" s="21">
        <v>18737000</v>
      </c>
      <c r="E194" s="30"/>
      <c r="F194" s="30"/>
      <c r="G194" s="57">
        <f t="shared" si="31"/>
        <v>18737000</v>
      </c>
      <c r="H194" s="30"/>
      <c r="I194" s="83">
        <f t="shared" si="30"/>
        <v>18737000</v>
      </c>
      <c r="J194" s="83">
        <v>13248185</v>
      </c>
      <c r="K194" s="83">
        <f t="shared" si="21"/>
        <v>-5488815</v>
      </c>
      <c r="L194" s="58">
        <f t="shared" si="22"/>
        <v>0.70706009499919942</v>
      </c>
    </row>
    <row r="195" spans="1:18" ht="15" hidden="1" outlineLevel="1" x14ac:dyDescent="0.25">
      <c r="A195" s="56" t="s">
        <v>196</v>
      </c>
      <c r="B195" s="53"/>
      <c r="C195" s="57"/>
      <c r="D195" s="21">
        <f>18137180+125000</f>
        <v>18262180</v>
      </c>
      <c r="E195" s="30"/>
      <c r="F195" s="30"/>
      <c r="G195" s="57">
        <f t="shared" si="31"/>
        <v>18262180</v>
      </c>
      <c r="H195" s="30"/>
      <c r="I195" s="83">
        <f t="shared" si="30"/>
        <v>18262180</v>
      </c>
      <c r="J195" s="83">
        <v>18261750</v>
      </c>
      <c r="K195" s="83">
        <f t="shared" si="21"/>
        <v>-430</v>
      </c>
      <c r="L195" s="58">
        <f t="shared" si="22"/>
        <v>0.99997645407065316</v>
      </c>
    </row>
    <row r="196" spans="1:18" ht="15" collapsed="1" x14ac:dyDescent="0.25">
      <c r="A196" s="56"/>
      <c r="B196" s="53"/>
      <c r="C196" s="57"/>
      <c r="D196" s="21"/>
      <c r="E196" s="30"/>
      <c r="F196" s="30"/>
      <c r="G196" s="57"/>
      <c r="H196" s="30"/>
      <c r="I196" s="83"/>
      <c r="J196" s="83"/>
      <c r="K196" s="83"/>
      <c r="L196" s="58"/>
    </row>
    <row r="197" spans="1:18" ht="15" x14ac:dyDescent="0.25">
      <c r="A197" s="78" t="s">
        <v>197</v>
      </c>
      <c r="B197" s="20"/>
      <c r="C197" s="20"/>
      <c r="D197" s="20"/>
      <c r="E197" s="20"/>
      <c r="F197" s="20"/>
      <c r="G197" s="20"/>
      <c r="H197" s="35">
        <f>+H198+H199</f>
        <v>539533988.13999999</v>
      </c>
      <c r="I197" s="35">
        <f>+H197+G197</f>
        <v>539533988.13999999</v>
      </c>
      <c r="J197" s="35">
        <f>+J198+J199</f>
        <v>647218017</v>
      </c>
      <c r="K197" s="35">
        <f t="shared" si="21"/>
        <v>107684028.86000001</v>
      </c>
      <c r="L197" s="17">
        <f t="shared" si="22"/>
        <v>1.1995871089256713</v>
      </c>
    </row>
    <row r="198" spans="1:18" ht="14.25" hidden="1" outlineLevel="1" x14ac:dyDescent="0.2">
      <c r="A198" s="76" t="s">
        <v>198</v>
      </c>
      <c r="B198" s="20"/>
      <c r="C198" s="20"/>
      <c r="D198" s="20"/>
      <c r="E198" s="20"/>
      <c r="F198" s="20"/>
      <c r="G198" s="20"/>
      <c r="H198" s="21">
        <f>+('[1]Anexo 1 Minagricultura'!B14+'[1]Anexo 1 Minagricultura'!B18)*0.1</f>
        <v>337208741.21250004</v>
      </c>
      <c r="I198" s="21">
        <f>+H198+G198</f>
        <v>337208741.21250004</v>
      </c>
      <c r="J198" s="21">
        <v>404511260</v>
      </c>
      <c r="K198" s="21">
        <f t="shared" si="21"/>
        <v>67302518.787499964</v>
      </c>
      <c r="L198" s="22">
        <f t="shared" si="22"/>
        <v>1.1995871119636476</v>
      </c>
    </row>
    <row r="199" spans="1:18" ht="14.25" hidden="1" outlineLevel="1" x14ac:dyDescent="0.2">
      <c r="A199" s="76" t="s">
        <v>199</v>
      </c>
      <c r="B199" s="20"/>
      <c r="C199" s="20"/>
      <c r="D199" s="20"/>
      <c r="E199" s="20"/>
      <c r="F199" s="20"/>
      <c r="G199" s="20"/>
      <c r="H199" s="21">
        <f>+('[1]Anexo 1 Minagricultura'!B15+'[1]Anexo 1 Minagricultura'!B19)*0.1</f>
        <v>202325246.92749998</v>
      </c>
      <c r="I199" s="21">
        <f>+H199+G199</f>
        <v>202325246.92749998</v>
      </c>
      <c r="J199" s="21">
        <v>242706756.99999997</v>
      </c>
      <c r="K199" s="21">
        <f t="shared" si="21"/>
        <v>40381510.07249999</v>
      </c>
      <c r="L199" s="22">
        <f t="shared" si="22"/>
        <v>1.1995871038623769</v>
      </c>
    </row>
    <row r="200" spans="1:18" ht="15" collapsed="1" x14ac:dyDescent="0.25">
      <c r="A200" s="27"/>
      <c r="B200" s="20"/>
      <c r="C200" s="20"/>
      <c r="D200" s="20"/>
      <c r="E200" s="20"/>
      <c r="F200" s="20"/>
      <c r="G200" s="20"/>
      <c r="H200" s="20"/>
      <c r="I200" s="20"/>
      <c r="J200" s="20"/>
      <c r="K200" s="20"/>
      <c r="L200" s="17"/>
    </row>
    <row r="201" spans="1:18" ht="15" x14ac:dyDescent="0.25">
      <c r="A201" s="75" t="s">
        <v>200</v>
      </c>
      <c r="B201" s="16"/>
      <c r="C201" s="16"/>
      <c r="D201" s="16"/>
      <c r="E201" s="16">
        <v>1131000000</v>
      </c>
      <c r="F201" s="16"/>
      <c r="G201" s="66">
        <f>+B201+C201+D201+E201+F201</f>
        <v>1131000000</v>
      </c>
      <c r="H201" s="16"/>
      <c r="I201" s="87">
        <f>+H201+G201</f>
        <v>1131000000</v>
      </c>
      <c r="J201" s="87">
        <v>1016326767</v>
      </c>
      <c r="K201" s="87">
        <f t="shared" si="21"/>
        <v>-114673233</v>
      </c>
      <c r="L201" s="54">
        <f t="shared" si="22"/>
        <v>0.8986089893899204</v>
      </c>
    </row>
    <row r="202" spans="1:18" ht="15" x14ac:dyDescent="0.25">
      <c r="A202" s="27"/>
      <c r="B202" s="20"/>
      <c r="C202" s="20"/>
      <c r="D202" s="20"/>
      <c r="E202" s="20"/>
      <c r="F202" s="20"/>
      <c r="G202" s="20"/>
      <c r="H202" s="20"/>
      <c r="I202" s="20"/>
      <c r="J202" s="20"/>
      <c r="K202" s="20"/>
      <c r="L202" s="17"/>
    </row>
    <row r="203" spans="1:18" ht="15" x14ac:dyDescent="0.25">
      <c r="A203" s="78" t="s">
        <v>201</v>
      </c>
      <c r="B203" s="20"/>
      <c r="C203" s="20"/>
      <c r="D203" s="20"/>
      <c r="E203" s="20"/>
      <c r="F203" s="20"/>
      <c r="G203" s="35">
        <f>+B203+C203+E203+F203</f>
        <v>0</v>
      </c>
      <c r="H203" s="35">
        <f>+H204+H205</f>
        <v>0</v>
      </c>
      <c r="I203" s="35">
        <f>+H203+G203</f>
        <v>0</v>
      </c>
      <c r="J203" s="35">
        <f>+J204+J205</f>
        <v>0</v>
      </c>
      <c r="K203" s="35">
        <f>+J203-I203</f>
        <v>0</v>
      </c>
      <c r="L203" s="17">
        <f>IFERROR(J203/I203,0)</f>
        <v>0</v>
      </c>
    </row>
    <row r="204" spans="1:18" s="80" customFormat="1" ht="14.25" hidden="1" outlineLevel="1" x14ac:dyDescent="0.2">
      <c r="A204" s="31" t="s">
        <v>202</v>
      </c>
      <c r="B204" s="20"/>
      <c r="C204" s="20"/>
      <c r="D204" s="20"/>
      <c r="E204" s="20"/>
      <c r="F204" s="20"/>
      <c r="G204" s="20">
        <f>+B204+C204+E204+F204</f>
        <v>0</v>
      </c>
      <c r="H204" s="30">
        <v>0</v>
      </c>
      <c r="I204" s="20">
        <f>+H204+G204</f>
        <v>0</v>
      </c>
      <c r="J204" s="20"/>
      <c r="K204" s="20">
        <f>+J204-I204</f>
        <v>0</v>
      </c>
      <c r="L204" s="22">
        <f>IFERROR(J204/I204,0)</f>
        <v>0</v>
      </c>
    </row>
    <row r="205" spans="1:18" s="80" customFormat="1" ht="14.25" hidden="1" outlineLevel="1" x14ac:dyDescent="0.2">
      <c r="A205" s="31" t="s">
        <v>203</v>
      </c>
      <c r="B205" s="20"/>
      <c r="C205" s="20"/>
      <c r="D205" s="20"/>
      <c r="E205" s="20"/>
      <c r="F205" s="20"/>
      <c r="G205" s="20">
        <f>+B205+C205+E205+F205</f>
        <v>0</v>
      </c>
      <c r="H205" s="20">
        <v>0</v>
      </c>
      <c r="I205" s="20">
        <f>+H205+G205</f>
        <v>0</v>
      </c>
      <c r="J205" s="20"/>
      <c r="K205" s="20">
        <f>+J205-I205</f>
        <v>0</v>
      </c>
      <c r="L205" s="22">
        <f>IFERROR(J205/I205,0)</f>
        <v>0</v>
      </c>
    </row>
    <row r="206" spans="1:18" ht="15" collapsed="1" x14ac:dyDescent="0.25">
      <c r="A206" s="27"/>
      <c r="B206" s="20"/>
      <c r="C206" s="20"/>
      <c r="D206" s="20"/>
      <c r="E206" s="20"/>
      <c r="F206" s="20"/>
      <c r="G206" s="20"/>
      <c r="H206" s="20"/>
      <c r="I206" s="20"/>
      <c r="J206" s="20"/>
      <c r="K206" s="20"/>
      <c r="L206" s="17"/>
    </row>
    <row r="207" spans="1:18" ht="15" x14ac:dyDescent="0.25">
      <c r="A207" s="27" t="s">
        <v>204</v>
      </c>
      <c r="B207" s="35">
        <f>+B40+B38</f>
        <v>1290289405.2289798</v>
      </c>
      <c r="C207" s="35">
        <f>+C38+C40</f>
        <v>537835272.73269999</v>
      </c>
      <c r="D207" s="35">
        <f>+D40+D38</f>
        <v>330794865.00520003</v>
      </c>
      <c r="E207" s="35">
        <f>+E38+E40+E201</f>
        <v>2742916240.5152001</v>
      </c>
      <c r="F207" s="35">
        <f>+F40+F38</f>
        <v>1542730739.371176</v>
      </c>
      <c r="G207" s="35">
        <f>+B207+C207+E207+F207+D207</f>
        <v>6444566522.8532562</v>
      </c>
      <c r="H207" s="35">
        <f>+H203+H197+H40+H38</f>
        <v>870845380.45365</v>
      </c>
      <c r="I207" s="35">
        <f>+H207+G207</f>
        <v>7315411903.3069057</v>
      </c>
      <c r="J207" s="35">
        <f>+J203+J201+J197+J40+J38</f>
        <v>6776726394.4075003</v>
      </c>
      <c r="K207" s="35">
        <f>+J207-I207</f>
        <v>-538685508.89940548</v>
      </c>
      <c r="L207" s="17">
        <f>IFERROR(J207/I207,0)</f>
        <v>0.92636292856511682</v>
      </c>
    </row>
    <row r="208" spans="1:18" ht="15.75" thickBot="1" x14ac:dyDescent="0.3">
      <c r="A208" s="89"/>
      <c r="B208" s="90"/>
      <c r="C208" s="91"/>
      <c r="D208" s="91"/>
      <c r="E208" s="92"/>
      <c r="F208" s="91"/>
      <c r="G208" s="91"/>
      <c r="H208" s="91"/>
      <c r="I208" s="91"/>
      <c r="J208" s="91"/>
      <c r="K208" s="91"/>
      <c r="L208" s="93"/>
      <c r="M208" s="24"/>
      <c r="N208" s="24"/>
      <c r="O208" s="24"/>
      <c r="P208" s="24"/>
      <c r="Q208" s="24"/>
      <c r="R208" s="24"/>
    </row>
    <row r="209" spans="1:12" ht="13.5" thickTop="1" x14ac:dyDescent="0.2">
      <c r="A209" s="94"/>
      <c r="B209" s="95"/>
      <c r="C209" s="95"/>
      <c r="D209" s="95"/>
      <c r="E209" s="95"/>
      <c r="F209" s="96"/>
      <c r="G209" s="97"/>
      <c r="H209" s="95"/>
      <c r="I209" s="95"/>
      <c r="J209" s="95"/>
      <c r="K209" s="95"/>
      <c r="L209" s="98"/>
    </row>
    <row r="210" spans="1:12" x14ac:dyDescent="0.2">
      <c r="A210" s="94"/>
      <c r="B210" s="95"/>
      <c r="C210" s="95"/>
      <c r="D210" s="95"/>
      <c r="E210" s="95"/>
      <c r="F210" s="99"/>
      <c r="G210" s="95"/>
      <c r="H210" s="95"/>
      <c r="I210" s="100"/>
      <c r="J210" s="100"/>
      <c r="K210" s="100"/>
      <c r="L210" s="101"/>
    </row>
    <row r="211" spans="1:12" ht="15.75" x14ac:dyDescent="0.25">
      <c r="A211" s="94"/>
      <c r="B211" s="97"/>
      <c r="C211" s="97"/>
      <c r="D211" s="97"/>
      <c r="E211" s="97"/>
      <c r="F211" s="102"/>
      <c r="G211" s="103"/>
      <c r="H211" s="102"/>
      <c r="I211" s="104"/>
      <c r="J211" s="104"/>
      <c r="K211" s="104"/>
      <c r="L211" s="97"/>
    </row>
    <row r="212" spans="1:12" x14ac:dyDescent="0.2">
      <c r="A212" s="97"/>
      <c r="B212" s="97"/>
      <c r="C212" s="97"/>
      <c r="D212" s="97"/>
      <c r="E212" s="97"/>
      <c r="F212" s="97"/>
      <c r="G212" s="97"/>
      <c r="H212" s="97"/>
      <c r="I212" s="100"/>
      <c r="J212" s="100"/>
      <c r="K212" s="100"/>
      <c r="L212" s="97"/>
    </row>
    <row r="213" spans="1:12" x14ac:dyDescent="0.2">
      <c r="A213" s="97"/>
      <c r="B213" s="97"/>
      <c r="C213" s="97"/>
      <c r="D213" s="97"/>
      <c r="E213" s="97"/>
      <c r="F213" s="97"/>
      <c r="G213" s="95"/>
      <c r="H213" s="95"/>
      <c r="I213" s="97"/>
      <c r="J213" s="97"/>
      <c r="K213" s="97"/>
      <c r="L213" s="97"/>
    </row>
    <row r="214" spans="1:12" x14ac:dyDescent="0.2">
      <c r="A214" s="97"/>
      <c r="B214" s="97"/>
      <c r="C214" s="97"/>
      <c r="D214" s="97"/>
      <c r="E214" s="97"/>
      <c r="F214" s="97"/>
      <c r="G214" s="97"/>
      <c r="H214" s="97"/>
      <c r="I214" s="97"/>
      <c r="J214" s="97"/>
      <c r="K214" s="97"/>
      <c r="L214" s="97"/>
    </row>
    <row r="215" spans="1:12" x14ac:dyDescent="0.2">
      <c r="A215" s="97"/>
      <c r="B215" s="97"/>
      <c r="C215" s="97"/>
      <c r="D215" s="97"/>
      <c r="E215" s="97"/>
      <c r="F215" s="97"/>
      <c r="G215" s="97"/>
      <c r="H215" s="97"/>
      <c r="I215" s="97"/>
      <c r="J215" s="97"/>
      <c r="K215" s="97"/>
      <c r="L215" s="97"/>
    </row>
    <row r="216" spans="1:12" x14ac:dyDescent="0.2">
      <c r="A216" s="97"/>
      <c r="B216" s="97"/>
      <c r="C216" s="97"/>
      <c r="D216" s="97"/>
      <c r="E216" s="97"/>
      <c r="F216" s="97"/>
      <c r="G216" s="97"/>
      <c r="H216" s="105"/>
      <c r="I216" s="97"/>
      <c r="J216" s="97"/>
      <c r="K216" s="97"/>
      <c r="L216" s="97"/>
    </row>
    <row r="217" spans="1:12" x14ac:dyDescent="0.2">
      <c r="A217" s="97"/>
      <c r="B217" s="97"/>
      <c r="C217" s="97"/>
      <c r="D217" s="97"/>
      <c r="E217" s="97"/>
      <c r="F217" s="97"/>
      <c r="G217" s="97"/>
      <c r="H217" s="97"/>
      <c r="I217" s="97"/>
      <c r="J217" s="97"/>
      <c r="K217" s="97"/>
      <c r="L217" s="97"/>
    </row>
    <row r="218" spans="1:12" x14ac:dyDescent="0.2">
      <c r="A218" s="97"/>
      <c r="B218" s="97"/>
      <c r="C218" s="97"/>
      <c r="D218" s="97"/>
      <c r="E218" s="97"/>
      <c r="F218" s="97"/>
      <c r="G218" s="97"/>
      <c r="H218" s="97"/>
      <c r="I218" s="97"/>
      <c r="J218" s="97"/>
      <c r="K218" s="97"/>
      <c r="L218" s="97"/>
    </row>
    <row r="219" spans="1:12" x14ac:dyDescent="0.2">
      <c r="A219" s="97"/>
      <c r="B219" s="97"/>
      <c r="C219" s="97"/>
      <c r="D219" s="97"/>
      <c r="E219" s="97"/>
      <c r="F219" s="97"/>
      <c r="G219" s="97"/>
      <c r="H219" s="97"/>
      <c r="I219" s="97"/>
      <c r="J219" s="97"/>
      <c r="K219" s="97"/>
      <c r="L219" s="97"/>
    </row>
    <row r="220" spans="1:12" x14ac:dyDescent="0.2">
      <c r="A220" s="97"/>
      <c r="B220" s="97"/>
      <c r="C220" s="97"/>
      <c r="D220" s="97"/>
      <c r="E220" s="97"/>
      <c r="F220" s="97"/>
      <c r="G220" s="97"/>
      <c r="H220" s="97"/>
      <c r="I220" s="97"/>
      <c r="J220" s="97"/>
      <c r="K220" s="97"/>
      <c r="L220" s="97"/>
    </row>
    <row r="221" spans="1:12" x14ac:dyDescent="0.2">
      <c r="A221" s="97"/>
      <c r="B221" s="97"/>
      <c r="C221" s="97"/>
      <c r="D221" s="97"/>
      <c r="E221" s="97"/>
      <c r="F221" s="97"/>
      <c r="G221" s="97"/>
      <c r="H221" s="97"/>
      <c r="I221" s="97"/>
      <c r="J221" s="97"/>
      <c r="K221" s="97"/>
      <c r="L221" s="97"/>
    </row>
    <row r="222" spans="1:12" x14ac:dyDescent="0.2">
      <c r="A222" s="97"/>
      <c r="B222" s="97"/>
      <c r="C222" s="97"/>
      <c r="D222" s="97"/>
      <c r="E222" s="97"/>
      <c r="F222" s="97"/>
      <c r="G222" s="97"/>
      <c r="H222" s="97"/>
      <c r="I222" s="97"/>
      <c r="J222" s="97"/>
      <c r="K222" s="97"/>
      <c r="L222" s="97"/>
    </row>
    <row r="223" spans="1:12" x14ac:dyDescent="0.2">
      <c r="A223" s="97"/>
      <c r="B223" s="97"/>
      <c r="C223" s="97"/>
      <c r="D223" s="97"/>
      <c r="E223" s="97"/>
      <c r="F223" s="97"/>
      <c r="G223" s="97"/>
      <c r="H223" s="97"/>
      <c r="I223" s="97"/>
      <c r="J223" s="97"/>
      <c r="K223" s="97"/>
      <c r="L223" s="97"/>
    </row>
    <row r="224" spans="1:12" x14ac:dyDescent="0.2">
      <c r="A224" s="97"/>
      <c r="B224" s="97"/>
      <c r="C224" s="97"/>
      <c r="D224" s="97"/>
      <c r="E224" s="97"/>
      <c r="F224" s="97"/>
      <c r="G224" s="97"/>
      <c r="H224" s="97"/>
      <c r="I224" s="97"/>
      <c r="J224" s="97"/>
      <c r="K224" s="97"/>
      <c r="L224" s="97"/>
    </row>
    <row r="225" spans="1:12" x14ac:dyDescent="0.2">
      <c r="A225" s="97"/>
      <c r="B225" s="97"/>
      <c r="C225" s="97"/>
      <c r="D225" s="97"/>
      <c r="E225" s="97"/>
      <c r="F225" s="97"/>
      <c r="G225" s="97"/>
      <c r="H225" s="97"/>
      <c r="I225" s="97"/>
      <c r="J225" s="97"/>
      <c r="K225" s="97"/>
      <c r="L225" s="97"/>
    </row>
    <row r="226" spans="1:12" x14ac:dyDescent="0.2">
      <c r="A226" s="97"/>
      <c r="B226" s="97"/>
      <c r="C226" s="97"/>
      <c r="D226" s="97"/>
      <c r="E226" s="97"/>
      <c r="F226" s="97"/>
      <c r="G226" s="97"/>
      <c r="H226" s="97"/>
      <c r="I226" s="97"/>
      <c r="J226" s="97"/>
      <c r="K226" s="97"/>
      <c r="L226" s="97"/>
    </row>
    <row r="227" spans="1:12" x14ac:dyDescent="0.2">
      <c r="A227" s="97"/>
      <c r="B227" s="97"/>
      <c r="C227" s="97"/>
      <c r="D227" s="97"/>
      <c r="E227" s="97"/>
      <c r="F227" s="97"/>
      <c r="G227" s="97"/>
      <c r="H227" s="97"/>
      <c r="I227" s="97"/>
      <c r="J227" s="97"/>
      <c r="K227" s="97"/>
      <c r="L227" s="97"/>
    </row>
    <row r="228" spans="1:12" x14ac:dyDescent="0.2">
      <c r="A228" s="97"/>
      <c r="B228" s="97"/>
      <c r="C228" s="97"/>
      <c r="D228" s="97"/>
      <c r="E228" s="97"/>
      <c r="F228" s="97"/>
      <c r="G228" s="97"/>
      <c r="H228" s="97"/>
      <c r="I228" s="97"/>
      <c r="J228" s="97"/>
      <c r="K228" s="97"/>
      <c r="L228" s="97"/>
    </row>
    <row r="229" spans="1:12" x14ac:dyDescent="0.2">
      <c r="A229" s="97"/>
      <c r="B229" s="97"/>
      <c r="C229" s="97"/>
      <c r="D229" s="97"/>
      <c r="E229" s="97"/>
      <c r="F229" s="97"/>
      <c r="G229" s="97"/>
      <c r="H229" s="97"/>
      <c r="I229" s="97"/>
      <c r="J229" s="97"/>
      <c r="K229" s="97"/>
      <c r="L229" s="97"/>
    </row>
    <row r="230" spans="1:12" x14ac:dyDescent="0.2">
      <c r="A230" s="97"/>
      <c r="B230" s="97"/>
      <c r="C230" s="97"/>
      <c r="D230" s="97"/>
      <c r="E230" s="97"/>
      <c r="F230" s="97"/>
      <c r="G230" s="97"/>
      <c r="H230" s="97"/>
      <c r="I230" s="97"/>
      <c r="J230" s="97"/>
      <c r="K230" s="97"/>
      <c r="L230" s="97"/>
    </row>
    <row r="231" spans="1:12" x14ac:dyDescent="0.2">
      <c r="A231" s="97"/>
      <c r="B231" s="97"/>
      <c r="C231" s="97"/>
      <c r="D231" s="97"/>
      <c r="E231" s="97"/>
      <c r="F231" s="97"/>
      <c r="G231" s="97"/>
      <c r="H231" s="97"/>
      <c r="I231" s="97"/>
      <c r="J231" s="97"/>
      <c r="K231" s="97"/>
      <c r="L231" s="97"/>
    </row>
    <row r="232" spans="1:12" x14ac:dyDescent="0.2">
      <c r="A232" s="97"/>
      <c r="B232" s="97"/>
      <c r="C232" s="97"/>
      <c r="D232" s="97"/>
      <c r="E232" s="97"/>
      <c r="F232" s="97"/>
      <c r="G232" s="97"/>
      <c r="H232" s="97"/>
      <c r="I232" s="97"/>
      <c r="J232" s="97"/>
      <c r="K232" s="97"/>
      <c r="L232" s="97"/>
    </row>
    <row r="233" spans="1:12" x14ac:dyDescent="0.2">
      <c r="A233" s="97"/>
      <c r="B233" s="97"/>
      <c r="C233" s="97"/>
      <c r="D233" s="97"/>
      <c r="E233" s="97"/>
      <c r="F233" s="97"/>
      <c r="G233" s="97"/>
      <c r="H233" s="97"/>
      <c r="I233" s="97"/>
      <c r="J233" s="97"/>
      <c r="K233" s="97"/>
      <c r="L233" s="97"/>
    </row>
    <row r="234" spans="1:12" x14ac:dyDescent="0.2">
      <c r="A234" s="97"/>
      <c r="B234" s="97"/>
      <c r="C234" s="97"/>
      <c r="D234" s="97"/>
      <c r="E234" s="97"/>
      <c r="F234" s="97"/>
      <c r="G234" s="97"/>
      <c r="H234" s="97"/>
      <c r="I234" s="97"/>
      <c r="J234" s="97"/>
      <c r="K234" s="97"/>
      <c r="L234" s="97"/>
    </row>
    <row r="235" spans="1:12" x14ac:dyDescent="0.2">
      <c r="A235" s="97"/>
      <c r="B235" s="97"/>
      <c r="C235" s="97"/>
      <c r="D235" s="97"/>
      <c r="E235" s="97"/>
      <c r="F235" s="97"/>
      <c r="G235" s="97"/>
      <c r="H235" s="97"/>
      <c r="I235" s="97"/>
      <c r="J235" s="97"/>
      <c r="K235" s="97"/>
      <c r="L235" s="97"/>
    </row>
    <row r="236" spans="1:12" x14ac:dyDescent="0.2">
      <c r="A236" s="97"/>
      <c r="B236" s="97"/>
      <c r="C236" s="97"/>
      <c r="D236" s="97"/>
      <c r="E236" s="97"/>
      <c r="F236" s="97"/>
      <c r="G236" s="97"/>
      <c r="H236" s="97"/>
      <c r="I236" s="97"/>
      <c r="J236" s="97"/>
      <c r="K236" s="97"/>
      <c r="L236" s="97"/>
    </row>
    <row r="237" spans="1:12" x14ac:dyDescent="0.2">
      <c r="A237" s="97"/>
      <c r="B237" s="97"/>
      <c r="C237" s="97"/>
      <c r="D237" s="97"/>
      <c r="E237" s="97"/>
      <c r="F237" s="97"/>
      <c r="G237" s="97"/>
      <c r="H237" s="97"/>
      <c r="I237" s="97"/>
      <c r="J237" s="97"/>
      <c r="K237" s="97"/>
      <c r="L237" s="97"/>
    </row>
    <row r="238" spans="1:12" x14ac:dyDescent="0.2">
      <c r="A238" s="97"/>
      <c r="B238" s="97"/>
      <c r="C238" s="97"/>
      <c r="D238" s="97"/>
      <c r="E238" s="97"/>
      <c r="F238" s="97"/>
      <c r="G238" s="97"/>
      <c r="H238" s="97"/>
      <c r="I238" s="97"/>
      <c r="J238" s="97"/>
      <c r="K238" s="97"/>
      <c r="L238" s="97"/>
    </row>
    <row r="239" spans="1:12" x14ac:dyDescent="0.2">
      <c r="A239" s="97"/>
      <c r="B239" s="97"/>
      <c r="C239" s="97"/>
      <c r="D239" s="97"/>
      <c r="E239" s="97"/>
      <c r="F239" s="97"/>
      <c r="G239" s="97"/>
      <c r="H239" s="97"/>
      <c r="I239" s="97"/>
      <c r="J239" s="97"/>
      <c r="K239" s="97"/>
      <c r="L239" s="97"/>
    </row>
    <row r="240" spans="1:12" x14ac:dyDescent="0.2">
      <c r="A240" s="97"/>
      <c r="B240" s="97"/>
      <c r="C240" s="97"/>
      <c r="D240" s="97"/>
      <c r="E240" s="97"/>
      <c r="F240" s="97"/>
      <c r="G240" s="97"/>
      <c r="H240" s="97"/>
      <c r="I240" s="97"/>
      <c r="J240" s="97"/>
      <c r="K240" s="97"/>
      <c r="L240" s="97"/>
    </row>
    <row r="241" spans="1:12" x14ac:dyDescent="0.2">
      <c r="A241" s="97"/>
      <c r="B241" s="97"/>
      <c r="C241" s="97"/>
      <c r="D241" s="97"/>
      <c r="E241" s="97"/>
      <c r="F241" s="97"/>
      <c r="G241" s="97"/>
      <c r="H241" s="97"/>
      <c r="I241" s="97"/>
      <c r="J241" s="97"/>
      <c r="K241" s="97"/>
      <c r="L241" s="97"/>
    </row>
    <row r="242" spans="1:12" x14ac:dyDescent="0.2">
      <c r="A242" s="97"/>
      <c r="B242" s="97"/>
      <c r="C242" s="97"/>
      <c r="D242" s="97"/>
      <c r="E242" s="97"/>
      <c r="F242" s="97"/>
      <c r="G242" s="97"/>
      <c r="H242" s="97"/>
      <c r="I242" s="97"/>
      <c r="J242" s="97"/>
      <c r="K242" s="97"/>
      <c r="L242" s="97"/>
    </row>
    <row r="243" spans="1:12" x14ac:dyDescent="0.2">
      <c r="A243" s="97"/>
      <c r="B243" s="97"/>
      <c r="C243" s="97"/>
      <c r="D243" s="97"/>
      <c r="E243" s="97"/>
      <c r="F243" s="97"/>
      <c r="G243" s="97"/>
      <c r="H243" s="97"/>
      <c r="I243" s="97"/>
      <c r="J243" s="97"/>
      <c r="K243" s="97"/>
      <c r="L243" s="97"/>
    </row>
    <row r="244" spans="1:12" x14ac:dyDescent="0.2">
      <c r="A244" s="97"/>
      <c r="B244" s="97"/>
      <c r="C244" s="97"/>
      <c r="D244" s="97"/>
      <c r="E244" s="97"/>
      <c r="F244" s="97"/>
      <c r="G244" s="97"/>
      <c r="H244" s="97"/>
      <c r="I244" s="97"/>
      <c r="J244" s="97"/>
      <c r="K244" s="97"/>
      <c r="L244" s="97"/>
    </row>
    <row r="245" spans="1:12" x14ac:dyDescent="0.2">
      <c r="A245" s="97"/>
      <c r="B245" s="97"/>
      <c r="C245" s="97"/>
      <c r="D245" s="97"/>
      <c r="E245" s="97"/>
      <c r="F245" s="97"/>
      <c r="G245" s="97"/>
      <c r="H245" s="97"/>
      <c r="I245" s="97"/>
      <c r="J245" s="97"/>
      <c r="K245" s="97"/>
      <c r="L245" s="97"/>
    </row>
    <row r="246" spans="1:12" x14ac:dyDescent="0.2">
      <c r="A246" s="97"/>
      <c r="B246" s="97"/>
      <c r="C246" s="97"/>
      <c r="D246" s="97"/>
      <c r="E246" s="97"/>
      <c r="F246" s="97"/>
      <c r="G246" s="97"/>
      <c r="H246" s="97"/>
      <c r="I246" s="97"/>
      <c r="J246" s="97"/>
      <c r="K246" s="97"/>
      <c r="L246" s="97"/>
    </row>
    <row r="247" spans="1:12" x14ac:dyDescent="0.2">
      <c r="A247" s="97"/>
      <c r="B247" s="97"/>
      <c r="C247" s="97"/>
      <c r="D247" s="97"/>
      <c r="E247" s="97"/>
      <c r="F247" s="97"/>
      <c r="G247" s="97"/>
      <c r="H247" s="97"/>
      <c r="I247" s="97"/>
      <c r="J247" s="97"/>
      <c r="K247" s="97"/>
      <c r="L247" s="97"/>
    </row>
    <row r="248" spans="1:12" x14ac:dyDescent="0.2">
      <c r="A248" s="97"/>
      <c r="B248" s="97"/>
      <c r="C248" s="97"/>
      <c r="D248" s="97"/>
      <c r="E248" s="97"/>
      <c r="F248" s="97"/>
      <c r="G248" s="97"/>
      <c r="H248" s="97"/>
      <c r="I248" s="97"/>
      <c r="J248" s="97"/>
      <c r="K248" s="97"/>
      <c r="L248" s="97"/>
    </row>
    <row r="249" spans="1:12" x14ac:dyDescent="0.2">
      <c r="A249" s="97"/>
      <c r="B249" s="97"/>
      <c r="C249" s="97"/>
      <c r="D249" s="97"/>
      <c r="E249" s="97"/>
      <c r="F249" s="97"/>
      <c r="G249" s="97"/>
      <c r="H249" s="97"/>
      <c r="I249" s="97"/>
      <c r="J249" s="97"/>
      <c r="K249" s="97"/>
      <c r="L249" s="97"/>
    </row>
    <row r="250" spans="1:12" x14ac:dyDescent="0.2">
      <c r="A250" s="97"/>
      <c r="B250" s="97"/>
      <c r="C250" s="97"/>
      <c r="D250" s="97"/>
      <c r="E250" s="97"/>
      <c r="F250" s="97"/>
      <c r="G250" s="97"/>
      <c r="H250" s="97"/>
      <c r="I250" s="97"/>
      <c r="J250" s="97"/>
      <c r="K250" s="97"/>
      <c r="L250" s="97"/>
    </row>
    <row r="251" spans="1:12" x14ac:dyDescent="0.2">
      <c r="A251" s="97"/>
      <c r="B251" s="97"/>
      <c r="C251" s="97"/>
      <c r="D251" s="97"/>
      <c r="E251" s="97"/>
      <c r="F251" s="97"/>
      <c r="G251" s="97"/>
      <c r="H251" s="97"/>
      <c r="I251" s="97"/>
      <c r="J251" s="97"/>
      <c r="K251" s="97"/>
      <c r="L251" s="97"/>
    </row>
    <row r="252" spans="1:12" x14ac:dyDescent="0.2">
      <c r="A252" s="97"/>
      <c r="B252" s="97"/>
      <c r="C252" s="97"/>
      <c r="D252" s="97"/>
      <c r="E252" s="97"/>
      <c r="F252" s="97"/>
      <c r="G252" s="97"/>
      <c r="H252" s="97"/>
      <c r="I252" s="97"/>
      <c r="J252" s="97"/>
      <c r="K252" s="97"/>
      <c r="L252" s="97"/>
    </row>
    <row r="253" spans="1:12" x14ac:dyDescent="0.2">
      <c r="A253" s="97"/>
      <c r="B253" s="97"/>
      <c r="C253" s="97"/>
      <c r="D253" s="97"/>
      <c r="E253" s="97"/>
      <c r="F253" s="97"/>
      <c r="G253" s="97"/>
      <c r="H253" s="97"/>
      <c r="I253" s="97"/>
      <c r="J253" s="97"/>
      <c r="K253" s="97"/>
      <c r="L253" s="97"/>
    </row>
    <row r="254" spans="1:12" x14ac:dyDescent="0.2">
      <c r="A254" s="97"/>
      <c r="B254" s="97"/>
      <c r="C254" s="97"/>
      <c r="D254" s="97"/>
      <c r="E254" s="97"/>
      <c r="F254" s="97"/>
      <c r="G254" s="97"/>
      <c r="H254" s="97"/>
      <c r="I254" s="97"/>
      <c r="J254" s="97"/>
      <c r="K254" s="97"/>
      <c r="L254" s="97"/>
    </row>
    <row r="255" spans="1:12" x14ac:dyDescent="0.2">
      <c r="A255" s="97"/>
      <c r="B255" s="97"/>
      <c r="C255" s="97"/>
      <c r="D255" s="97"/>
      <c r="E255" s="97"/>
      <c r="F255" s="97"/>
      <c r="G255" s="97"/>
      <c r="H255" s="97"/>
      <c r="I255" s="97"/>
      <c r="J255" s="97"/>
      <c r="K255" s="97"/>
      <c r="L255" s="97"/>
    </row>
    <row r="256" spans="1:12" x14ac:dyDescent="0.2">
      <c r="A256" s="97"/>
      <c r="B256" s="97"/>
      <c r="C256" s="97"/>
      <c r="D256" s="97"/>
      <c r="E256" s="97"/>
      <c r="F256" s="97"/>
      <c r="G256" s="97"/>
      <c r="H256" s="97"/>
      <c r="I256" s="97"/>
      <c r="J256" s="97"/>
      <c r="K256" s="97"/>
      <c r="L256" s="97"/>
    </row>
    <row r="257" spans="1:12" x14ac:dyDescent="0.2">
      <c r="A257" s="97"/>
      <c r="B257" s="97"/>
      <c r="C257" s="97"/>
      <c r="D257" s="97"/>
      <c r="E257" s="97"/>
      <c r="F257" s="97"/>
      <c r="G257" s="97"/>
      <c r="H257" s="97"/>
      <c r="I257" s="97"/>
      <c r="J257" s="97"/>
      <c r="K257" s="97"/>
      <c r="L257" s="97"/>
    </row>
    <row r="258" spans="1:12" x14ac:dyDescent="0.2">
      <c r="A258" s="97"/>
      <c r="B258" s="97"/>
      <c r="C258" s="97"/>
      <c r="D258" s="97"/>
      <c r="E258" s="97"/>
      <c r="F258" s="97"/>
      <c r="G258" s="97"/>
      <c r="H258" s="97"/>
      <c r="I258" s="97"/>
      <c r="J258" s="97"/>
      <c r="K258" s="97"/>
      <c r="L258" s="97"/>
    </row>
    <row r="259" spans="1:12" x14ac:dyDescent="0.2">
      <c r="A259" s="97"/>
      <c r="B259" s="97"/>
      <c r="C259" s="97"/>
      <c r="D259" s="97"/>
      <c r="E259" s="97"/>
      <c r="F259" s="97"/>
      <c r="G259" s="97"/>
      <c r="H259" s="97"/>
      <c r="I259" s="97"/>
      <c r="J259" s="97"/>
      <c r="K259" s="97"/>
      <c r="L259" s="97"/>
    </row>
    <row r="260" spans="1:12" x14ac:dyDescent="0.2">
      <c r="A260" s="97"/>
      <c r="B260" s="97"/>
      <c r="C260" s="97"/>
      <c r="D260" s="97"/>
      <c r="E260" s="97"/>
      <c r="F260" s="97"/>
      <c r="G260" s="97"/>
      <c r="H260" s="97"/>
      <c r="I260" s="97"/>
      <c r="J260" s="97"/>
      <c r="K260" s="97"/>
      <c r="L260" s="97"/>
    </row>
    <row r="261" spans="1:12" x14ac:dyDescent="0.2">
      <c r="A261" s="97"/>
      <c r="B261" s="97"/>
      <c r="C261" s="97"/>
      <c r="D261" s="97"/>
      <c r="E261" s="97"/>
      <c r="F261" s="97"/>
      <c r="G261" s="97"/>
      <c r="H261" s="97"/>
      <c r="I261" s="97"/>
      <c r="J261" s="97"/>
      <c r="K261" s="97"/>
      <c r="L261" s="97"/>
    </row>
    <row r="262" spans="1:12" x14ac:dyDescent="0.2">
      <c r="A262" s="97"/>
      <c r="B262" s="97"/>
      <c r="C262" s="97"/>
      <c r="D262" s="97"/>
      <c r="E262" s="97"/>
      <c r="F262" s="97"/>
      <c r="G262" s="97"/>
      <c r="H262" s="97"/>
      <c r="I262" s="97"/>
      <c r="J262" s="97"/>
      <c r="K262" s="97"/>
      <c r="L262" s="97"/>
    </row>
    <row r="263" spans="1:12" x14ac:dyDescent="0.2">
      <c r="A263" s="97"/>
      <c r="B263" s="97"/>
      <c r="C263" s="97"/>
      <c r="D263" s="97"/>
      <c r="E263" s="97"/>
      <c r="F263" s="97"/>
      <c r="G263" s="97"/>
      <c r="H263" s="97"/>
      <c r="I263" s="97"/>
      <c r="J263" s="97"/>
      <c r="K263" s="97"/>
      <c r="L263" s="97"/>
    </row>
    <row r="264" spans="1:12" x14ac:dyDescent="0.2">
      <c r="A264" s="97"/>
      <c r="B264" s="97"/>
      <c r="C264" s="97"/>
      <c r="D264" s="97"/>
      <c r="E264" s="97"/>
      <c r="F264" s="97"/>
      <c r="G264" s="97"/>
      <c r="H264" s="97"/>
      <c r="I264" s="97"/>
      <c r="J264" s="97"/>
      <c r="K264" s="97"/>
      <c r="L264" s="97"/>
    </row>
    <row r="265" spans="1:12" x14ac:dyDescent="0.2">
      <c r="A265" s="97"/>
      <c r="B265" s="97"/>
      <c r="C265" s="97"/>
      <c r="D265" s="97"/>
      <c r="E265" s="97"/>
      <c r="F265" s="97"/>
      <c r="G265" s="97"/>
      <c r="H265" s="97"/>
      <c r="I265" s="97"/>
      <c r="J265" s="97"/>
      <c r="K265" s="97"/>
      <c r="L265" s="97"/>
    </row>
    <row r="266" spans="1:12" x14ac:dyDescent="0.2">
      <c r="A266" s="97"/>
      <c r="B266" s="97"/>
      <c r="C266" s="97"/>
      <c r="D266" s="97"/>
      <c r="E266" s="97"/>
      <c r="F266" s="97"/>
      <c r="G266" s="97"/>
      <c r="H266" s="97"/>
      <c r="I266" s="97"/>
      <c r="J266" s="97"/>
      <c r="K266" s="97"/>
      <c r="L266" s="97"/>
    </row>
    <row r="267" spans="1:12" x14ac:dyDescent="0.2">
      <c r="A267" s="97"/>
      <c r="B267" s="97"/>
      <c r="C267" s="97"/>
      <c r="D267" s="97"/>
      <c r="E267" s="97"/>
      <c r="F267" s="97"/>
      <c r="G267" s="97"/>
      <c r="H267" s="97"/>
      <c r="I267" s="97"/>
      <c r="J267" s="97"/>
      <c r="K267" s="97"/>
      <c r="L267" s="97"/>
    </row>
    <row r="268" spans="1:12" x14ac:dyDescent="0.2">
      <c r="A268" s="97"/>
      <c r="B268" s="97"/>
      <c r="C268" s="97"/>
      <c r="D268" s="97"/>
      <c r="E268" s="97"/>
      <c r="F268" s="97"/>
      <c r="G268" s="97"/>
      <c r="H268" s="97"/>
      <c r="I268" s="97"/>
      <c r="J268" s="97"/>
      <c r="K268" s="97"/>
      <c r="L268" s="97"/>
    </row>
    <row r="269" spans="1:12" x14ac:dyDescent="0.2">
      <c r="A269" s="97"/>
      <c r="B269" s="97"/>
      <c r="C269" s="97"/>
      <c r="D269" s="97"/>
      <c r="E269" s="97"/>
      <c r="F269" s="97"/>
      <c r="G269" s="97"/>
      <c r="H269" s="97"/>
      <c r="I269" s="97"/>
      <c r="J269" s="97"/>
      <c r="K269" s="97"/>
      <c r="L269" s="97"/>
    </row>
    <row r="270" spans="1:12" x14ac:dyDescent="0.2">
      <c r="A270" s="97"/>
      <c r="B270" s="97"/>
      <c r="C270" s="97"/>
      <c r="D270" s="97"/>
      <c r="E270" s="97"/>
      <c r="F270" s="97"/>
      <c r="G270" s="97"/>
      <c r="H270" s="97"/>
      <c r="I270" s="97"/>
      <c r="J270" s="97"/>
      <c r="K270" s="97"/>
      <c r="L270" s="97"/>
    </row>
    <row r="271" spans="1:12" x14ac:dyDescent="0.2">
      <c r="A271" s="97"/>
      <c r="B271" s="97"/>
      <c r="C271" s="97"/>
      <c r="D271" s="97"/>
      <c r="E271" s="97"/>
      <c r="F271" s="97"/>
      <c r="G271" s="97"/>
      <c r="H271" s="97"/>
      <c r="I271" s="97"/>
      <c r="J271" s="97"/>
      <c r="K271" s="97"/>
      <c r="L271" s="97"/>
    </row>
    <row r="272" spans="1:12" x14ac:dyDescent="0.2">
      <c r="A272" s="97"/>
      <c r="B272" s="97"/>
      <c r="C272" s="97"/>
      <c r="D272" s="97"/>
      <c r="E272" s="97"/>
      <c r="F272" s="97"/>
      <c r="G272" s="97"/>
      <c r="H272" s="97"/>
      <c r="I272" s="97"/>
      <c r="J272" s="97"/>
      <c r="K272" s="97"/>
      <c r="L272" s="97"/>
    </row>
    <row r="273" spans="1:12" x14ac:dyDescent="0.2">
      <c r="A273" s="97"/>
      <c r="B273" s="97"/>
      <c r="C273" s="97"/>
      <c r="D273" s="97"/>
      <c r="E273" s="97"/>
      <c r="F273" s="97"/>
      <c r="G273" s="97"/>
      <c r="H273" s="97"/>
      <c r="I273" s="97"/>
      <c r="J273" s="97"/>
      <c r="K273" s="97"/>
      <c r="L273" s="97"/>
    </row>
    <row r="274" spans="1:12" x14ac:dyDescent="0.2">
      <c r="A274" s="97"/>
      <c r="B274" s="97"/>
      <c r="C274" s="97"/>
      <c r="D274" s="97"/>
      <c r="E274" s="97"/>
      <c r="F274" s="97"/>
      <c r="G274" s="97"/>
      <c r="H274" s="97"/>
      <c r="I274" s="97"/>
      <c r="J274" s="97"/>
      <c r="K274" s="97"/>
      <c r="L274" s="97"/>
    </row>
    <row r="275" spans="1:12" x14ac:dyDescent="0.2">
      <c r="A275" s="97"/>
      <c r="B275" s="97"/>
      <c r="C275" s="97"/>
      <c r="D275" s="97"/>
      <c r="E275" s="97"/>
      <c r="F275" s="97"/>
      <c r="G275" s="97"/>
      <c r="H275" s="97"/>
      <c r="I275" s="97"/>
      <c r="J275" s="97"/>
      <c r="K275" s="97"/>
      <c r="L275" s="97"/>
    </row>
    <row r="276" spans="1:12" x14ac:dyDescent="0.2">
      <c r="A276" s="97"/>
      <c r="B276" s="97"/>
      <c r="C276" s="97"/>
      <c r="D276" s="97"/>
      <c r="E276" s="97"/>
      <c r="F276" s="97"/>
      <c r="G276" s="97"/>
      <c r="H276" s="97"/>
      <c r="I276" s="97"/>
      <c r="J276" s="97"/>
      <c r="K276" s="97"/>
      <c r="L276" s="97"/>
    </row>
    <row r="277" spans="1:12" x14ac:dyDescent="0.2">
      <c r="A277" s="97"/>
      <c r="B277" s="97"/>
      <c r="C277" s="97"/>
      <c r="D277" s="97"/>
      <c r="E277" s="97"/>
      <c r="F277" s="97"/>
      <c r="G277" s="97"/>
      <c r="H277" s="97"/>
      <c r="I277" s="97"/>
      <c r="J277" s="97"/>
      <c r="K277" s="97"/>
      <c r="L277" s="97"/>
    </row>
    <row r="278" spans="1:12" x14ac:dyDescent="0.2">
      <c r="A278" s="97"/>
      <c r="B278" s="97"/>
      <c r="C278" s="97"/>
      <c r="D278" s="97"/>
      <c r="E278" s="97"/>
      <c r="F278" s="97"/>
      <c r="G278" s="97"/>
      <c r="H278" s="97"/>
      <c r="I278" s="97"/>
      <c r="J278" s="97"/>
      <c r="K278" s="97"/>
      <c r="L278" s="97"/>
    </row>
    <row r="279" spans="1:12" x14ac:dyDescent="0.2">
      <c r="A279" s="97"/>
      <c r="B279" s="97"/>
      <c r="C279" s="97"/>
      <c r="D279" s="97"/>
      <c r="E279" s="97"/>
      <c r="F279" s="97"/>
      <c r="G279" s="97"/>
      <c r="H279" s="97"/>
      <c r="I279" s="97"/>
      <c r="J279" s="97"/>
      <c r="K279" s="97"/>
      <c r="L279" s="97"/>
    </row>
    <row r="280" spans="1:12" x14ac:dyDescent="0.2">
      <c r="A280" s="97"/>
      <c r="B280" s="97"/>
      <c r="C280" s="97"/>
      <c r="D280" s="97"/>
      <c r="E280" s="97"/>
      <c r="F280" s="97"/>
      <c r="G280" s="97"/>
      <c r="H280" s="97"/>
      <c r="I280" s="97"/>
      <c r="J280" s="97"/>
      <c r="K280" s="97"/>
      <c r="L280" s="97"/>
    </row>
    <row r="281" spans="1:12" x14ac:dyDescent="0.2">
      <c r="A281" s="97"/>
      <c r="B281" s="97"/>
      <c r="C281" s="97"/>
      <c r="D281" s="97"/>
      <c r="E281" s="97"/>
      <c r="F281" s="97"/>
      <c r="G281" s="97"/>
      <c r="H281" s="97"/>
      <c r="I281" s="97"/>
      <c r="J281" s="97"/>
      <c r="K281" s="97"/>
      <c r="L281" s="97"/>
    </row>
    <row r="282" spans="1:12" x14ac:dyDescent="0.2">
      <c r="A282" s="97"/>
      <c r="B282" s="97"/>
      <c r="C282" s="97"/>
      <c r="D282" s="97"/>
      <c r="E282" s="97"/>
      <c r="F282" s="97"/>
      <c r="G282" s="97"/>
      <c r="H282" s="97"/>
      <c r="I282" s="97"/>
      <c r="J282" s="97"/>
      <c r="K282" s="97"/>
      <c r="L282" s="97"/>
    </row>
  </sheetData>
  <mergeCells count="5">
    <mergeCell ref="A1:L1"/>
    <mergeCell ref="A2:L2"/>
    <mergeCell ref="A3:L3"/>
    <mergeCell ref="A4:L4"/>
    <mergeCell ref="A5:L5"/>
  </mergeCells>
  <printOptions horizontalCentered="1"/>
  <pageMargins left="0" right="0" top="0.31496062992125984" bottom="0.27559055118110237" header="0" footer="0"/>
  <pageSetup scale="44" orientation="portrait" r:id="rId1"/>
  <headerFooter alignWithMargins="0"/>
  <rowBreaks count="1" manualBreakCount="1">
    <brk id="209" max="8"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Anexo 2 </vt:lpstr>
      <vt:lpstr>'Anexo 2 '!Área_de_impresión</vt:lpstr>
      <vt:lpstr>'Anexo 2 '!Títulos_a_imprimir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Oscar Rubio</dc:creator>
  <cp:lastModifiedBy>Oscar Rubio</cp:lastModifiedBy>
  <dcterms:created xsi:type="dcterms:W3CDTF">2019-10-16T19:15:54Z</dcterms:created>
  <dcterms:modified xsi:type="dcterms:W3CDTF">2019-10-16T19:16:30Z</dcterms:modified>
</cp:coreProperties>
</file>