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Ingreso\"/>
    </mc:Choice>
  </mc:AlternateContent>
  <bookViews>
    <workbookView xWindow="0" yWindow="0" windowWidth="24000" windowHeight="9435"/>
  </bookViews>
  <sheets>
    <sheet name="Anexo 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 1'!$A$1:$Z$37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 localSheetId="0">'Anexo  1'!#REF!</definedName>
    <definedName name="CABEZAS_PROYEC">'[5]Anexo 1 Minagricultura'!#REF!</definedName>
    <definedName name="CUOTAPPC2005" localSheetId="0">'Anexo  1'!$B$13</definedName>
    <definedName name="CUOTAPPC2005">'[5]Anexo 1 Minagricultura'!#REF!</definedName>
    <definedName name="CUOTAPPC2013">'[6]Anexo 1 Minagricultura'!#REF!</definedName>
    <definedName name="CUOTAPPC203">'[6]Anexo 1 Minagricultura'!#REF!</definedName>
    <definedName name="DIAG_PPC">'[3]Inversión total en programas'!$B$86</definedName>
    <definedName name="DISTRIBUIDOR">#REF!</definedName>
    <definedName name="eeeee">#REF!</definedName>
    <definedName name="EPPC" localSheetId="0">'Anexo  1'!#REF!</definedName>
    <definedName name="EPPC">'[5]Anexo 1 Minagricultura'!#REF!</definedName>
    <definedName name="FDGFDG" localSheetId="0">#REF!</definedName>
    <definedName name="FDGFDG">#REF!</definedName>
    <definedName name="FECHA_DE_RECIBIDO">[7]BASE!$E$3:$E$177</definedName>
    <definedName name="FOMENTO" localSheetId="0">'Anexo  1'!#REF!</definedName>
    <definedName name="FOMENTO">'[5]Anexo 1 Minagricultura'!#REF!</definedName>
    <definedName name="FOMENTOS">'[8]Anexo 1 Minagricultura'!$C$51</definedName>
    <definedName name="fondo">#REF!</definedName>
    <definedName name="GTOSEPPC">'[3]Inversión total en programas'!$C$35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'[9]Inversión total en programas'!$B$86</definedName>
    <definedName name="RESERV_FUTU">#REF!</definedName>
    <definedName name="saldo">#REF!</definedName>
    <definedName name="saldos">#REF!</definedName>
    <definedName name="SUPERA2004" localSheetId="0">'Anexo  1'!#REF!</definedName>
    <definedName name="SUPERA2004">'[5]Anexo 1 Minagricultura'!#REF!</definedName>
    <definedName name="SUPERA2005" localSheetId="0">'Anexo  1'!#REF!</definedName>
    <definedName name="SUPERA2005">'[5]Anexo 1 Minagricultura'!#REF!</definedName>
    <definedName name="SUPERA2010">'[9]Anexo 1 Minagricultura'!$C$21</definedName>
    <definedName name="SUPERA2012">'[6]Anexo 1 Minagricultura'!#REF!</definedName>
    <definedName name="SUPERAVIT">#REF!</definedName>
    <definedName name="SUPERAVIT2005_FNP">#REF!</definedName>
    <definedName name="SUPERAVITPPC_2005">#REF!</definedName>
    <definedName name="_xlnm.Print_Titles">#REF!</definedName>
    <definedName name="VTAS2005" localSheetId="0">'Anexo  1'!$B$30</definedName>
    <definedName name="VTAS2005">'[5]Anexo 1 Minagricultura'!#REF!</definedName>
    <definedName name="xx">[10]Ingresos!$C$19</definedName>
    <definedName name="Z_4099E833_BB74_4680_85C9_A6CF399D1CE2_.wvu.Cols" localSheetId="0" hidden="1">'[4]Nómina 2004'!$C$1:$E$65536,'[4]Nómina 2004'!$H$1:$I$65536,'[4]Nómina 2004'!$L$1:$P$65536,'[4]Nómina 2004'!$AF$1:$AH$65536</definedName>
    <definedName name="Z_4099E833_BB74_4680_85C9_A6CF399D1CE2_.wvu.Cols" hidden="1">'[5]Nómina 2004'!$C$1:$E$65536,'[5]Nómina 2004'!$H$1:$I$65536,'[5]Nómina 2004'!$L$1:$P$65536,'[5]Nómina 2004'!$AF$1:$AH$65536</definedName>
    <definedName name="Z_4099E833_BB74_4680_85C9_A6CF399D1CE2_.wvu.FilterData" hidden="1">#REF!</definedName>
    <definedName name="Z_4099E833_BB74_4680_85C9_A6CF399D1CE2_.wvu.PrintArea" localSheetId="0" hidden="1">'Anexo  1'!$A$1:$B$37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localSheetId="0" hidden="1">'[4]Inversión total en programas'!$A$50:$IV$50,'[4]Inversión total en programas'!$A$60:$IV$63</definedName>
    <definedName name="Z_4099E833_BB74_4680_85C9_A6CF399D1CE2_.wvu.Rows" hidden="1">'[5]Inversión total en programas'!$A$50:$IV$50,'[5]Inversión total en programas'!$A$60:$IV$63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AA35" i="1"/>
  <c r="Y35" i="1"/>
  <c r="Z35" i="1" s="1"/>
  <c r="O35" i="1"/>
  <c r="L35" i="1"/>
  <c r="I35" i="1"/>
  <c r="S35" i="1" s="1"/>
  <c r="F35" i="1"/>
  <c r="W34" i="1"/>
  <c r="T34" i="1"/>
  <c r="Y34" i="1" s="1"/>
  <c r="R34" i="1"/>
  <c r="O34" i="1"/>
  <c r="L34" i="1"/>
  <c r="I34" i="1"/>
  <c r="S34" i="1" s="1"/>
  <c r="E34" i="1"/>
  <c r="D34" i="1"/>
  <c r="D29" i="1" s="1"/>
  <c r="D23" i="1" s="1"/>
  <c r="D37" i="1" s="1"/>
  <c r="C34" i="1"/>
  <c r="Y33" i="1"/>
  <c r="AA33" i="1" s="1"/>
  <c r="W33" i="1"/>
  <c r="T33" i="1"/>
  <c r="R33" i="1"/>
  <c r="O33" i="1"/>
  <c r="L33" i="1"/>
  <c r="I33" i="1"/>
  <c r="S33" i="1" s="1"/>
  <c r="F33" i="1"/>
  <c r="W32" i="1"/>
  <c r="Y32" i="1" s="1"/>
  <c r="T32" i="1"/>
  <c r="R32" i="1"/>
  <c r="R29" i="1" s="1"/>
  <c r="O32" i="1"/>
  <c r="S32" i="1" s="1"/>
  <c r="L32" i="1"/>
  <c r="I32" i="1"/>
  <c r="F32" i="1"/>
  <c r="W31" i="1"/>
  <c r="W29" i="1" s="1"/>
  <c r="T31" i="1"/>
  <c r="Y31" i="1" s="1"/>
  <c r="R31" i="1"/>
  <c r="N31" i="1"/>
  <c r="O31" i="1" s="1"/>
  <c r="O29" i="1" s="1"/>
  <c r="L31" i="1"/>
  <c r="I31" i="1"/>
  <c r="F31" i="1"/>
  <c r="T30" i="1"/>
  <c r="T29" i="1" s="1"/>
  <c r="R30" i="1"/>
  <c r="O30" i="1"/>
  <c r="K30" i="1"/>
  <c r="K29" i="1" s="1"/>
  <c r="K23" i="1" s="1"/>
  <c r="K37" i="1" s="1"/>
  <c r="I30" i="1"/>
  <c r="F30" i="1"/>
  <c r="V29" i="1"/>
  <c r="U29" i="1"/>
  <c r="Q29" i="1"/>
  <c r="P29" i="1"/>
  <c r="M29" i="1"/>
  <c r="J29" i="1"/>
  <c r="I29" i="1"/>
  <c r="H29" i="1"/>
  <c r="G29" i="1"/>
  <c r="E29" i="1"/>
  <c r="C29" i="1"/>
  <c r="B29" i="1"/>
  <c r="Z28" i="1"/>
  <c r="W27" i="1"/>
  <c r="Y27" i="1" s="1"/>
  <c r="T27" i="1"/>
  <c r="R27" i="1"/>
  <c r="O27" i="1"/>
  <c r="L27" i="1"/>
  <c r="I27" i="1"/>
  <c r="S27" i="1" s="1"/>
  <c r="F27" i="1"/>
  <c r="W26" i="1"/>
  <c r="W25" i="1" s="1"/>
  <c r="T26" i="1"/>
  <c r="T25" i="1" s="1"/>
  <c r="T23" i="1" s="1"/>
  <c r="T37" i="1" s="1"/>
  <c r="R26" i="1"/>
  <c r="O26" i="1"/>
  <c r="O25" i="1" s="1"/>
  <c r="O23" i="1" s="1"/>
  <c r="L26" i="1"/>
  <c r="L25" i="1" s="1"/>
  <c r="I26" i="1"/>
  <c r="S26" i="1" s="1"/>
  <c r="S25" i="1" s="1"/>
  <c r="F26" i="1"/>
  <c r="V25" i="1"/>
  <c r="V23" i="1" s="1"/>
  <c r="U25" i="1"/>
  <c r="U23" i="1" s="1"/>
  <c r="R25" i="1"/>
  <c r="Q25" i="1"/>
  <c r="Q23" i="1" s="1"/>
  <c r="Q37" i="1" s="1"/>
  <c r="P25" i="1"/>
  <c r="N25" i="1"/>
  <c r="M25" i="1"/>
  <c r="M23" i="1" s="1"/>
  <c r="K25" i="1"/>
  <c r="J25" i="1"/>
  <c r="J23" i="1" s="1"/>
  <c r="J37" i="1" s="1"/>
  <c r="L37" i="1" s="1"/>
  <c r="I25" i="1"/>
  <c r="I23" i="1" s="1"/>
  <c r="H25" i="1"/>
  <c r="G25" i="1"/>
  <c r="F25" i="1"/>
  <c r="E25" i="1"/>
  <c r="E23" i="1" s="1"/>
  <c r="D25" i="1"/>
  <c r="C25" i="1"/>
  <c r="B25" i="1"/>
  <c r="B23" i="1" s="1"/>
  <c r="B37" i="1" s="1"/>
  <c r="Z24" i="1"/>
  <c r="P23" i="1"/>
  <c r="H23" i="1"/>
  <c r="G23" i="1"/>
  <c r="G37" i="1" s="1"/>
  <c r="I37" i="1" s="1"/>
  <c r="C23" i="1"/>
  <c r="C37" i="1" s="1"/>
  <c r="Y21" i="1"/>
  <c r="Y19" i="1" s="1"/>
  <c r="AA19" i="1" s="1"/>
  <c r="R21" i="1"/>
  <c r="O21" i="1"/>
  <c r="L21" i="1"/>
  <c r="L19" i="1" s="1"/>
  <c r="G21" i="1"/>
  <c r="I21" i="1" s="1"/>
  <c r="S21" i="1" s="1"/>
  <c r="F21" i="1"/>
  <c r="AA20" i="1"/>
  <c r="Y20" i="1"/>
  <c r="R20" i="1"/>
  <c r="O20" i="1"/>
  <c r="O19" i="1" s="1"/>
  <c r="L20" i="1"/>
  <c r="I20" i="1"/>
  <c r="F20" i="1"/>
  <c r="W19" i="1"/>
  <c r="V19" i="1"/>
  <c r="U19" i="1"/>
  <c r="T19" i="1"/>
  <c r="R19" i="1"/>
  <c r="Q19" i="1"/>
  <c r="P19" i="1"/>
  <c r="N19" i="1"/>
  <c r="M19" i="1"/>
  <c r="K19" i="1"/>
  <c r="J19" i="1"/>
  <c r="H19" i="1"/>
  <c r="G19" i="1"/>
  <c r="F19" i="1"/>
  <c r="E19" i="1"/>
  <c r="D19" i="1"/>
  <c r="C19" i="1"/>
  <c r="B19" i="1"/>
  <c r="Y17" i="1"/>
  <c r="AA17" i="1" s="1"/>
  <c r="R17" i="1"/>
  <c r="O17" i="1"/>
  <c r="L17" i="1"/>
  <c r="I17" i="1"/>
  <c r="S17" i="1" s="1"/>
  <c r="F17" i="1"/>
  <c r="Y16" i="1"/>
  <c r="Z16" i="1" s="1"/>
  <c r="R16" i="1"/>
  <c r="O16" i="1"/>
  <c r="L16" i="1"/>
  <c r="L15" i="1" s="1"/>
  <c r="I16" i="1"/>
  <c r="S16" i="1" s="1"/>
  <c r="F16" i="1"/>
  <c r="X15" i="1"/>
  <c r="X9" i="1" s="1"/>
  <c r="X37" i="1" s="1"/>
  <c r="W15" i="1"/>
  <c r="W9" i="1" s="1"/>
  <c r="V15" i="1"/>
  <c r="V9" i="1" s="1"/>
  <c r="U15" i="1"/>
  <c r="U9" i="1" s="1"/>
  <c r="T15" i="1"/>
  <c r="R15" i="1"/>
  <c r="Q15" i="1"/>
  <c r="P15" i="1"/>
  <c r="P9" i="1" s="1"/>
  <c r="P37" i="1" s="1"/>
  <c r="O15" i="1"/>
  <c r="O9" i="1" s="1"/>
  <c r="N15" i="1"/>
  <c r="N9" i="1" s="1"/>
  <c r="M15" i="1"/>
  <c r="M9" i="1" s="1"/>
  <c r="K15" i="1"/>
  <c r="J15" i="1"/>
  <c r="H15" i="1"/>
  <c r="H9" i="1" s="1"/>
  <c r="H37" i="1" s="1"/>
  <c r="G15" i="1"/>
  <c r="G9" i="1" s="1"/>
  <c r="F15" i="1"/>
  <c r="F9" i="1" s="1"/>
  <c r="E15" i="1"/>
  <c r="E9" i="1" s="1"/>
  <c r="D15" i="1"/>
  <c r="C15" i="1"/>
  <c r="B15" i="1"/>
  <c r="Y13" i="1"/>
  <c r="AA13" i="1" s="1"/>
  <c r="S13" i="1"/>
  <c r="R13" i="1"/>
  <c r="O13" i="1"/>
  <c r="L13" i="1"/>
  <c r="I13" i="1"/>
  <c r="I11" i="1" s="1"/>
  <c r="F13" i="1"/>
  <c r="Y12" i="1"/>
  <c r="Y11" i="1" s="1"/>
  <c r="R12" i="1"/>
  <c r="O12" i="1"/>
  <c r="L12" i="1"/>
  <c r="S12" i="1" s="1"/>
  <c r="S11" i="1" s="1"/>
  <c r="I12" i="1"/>
  <c r="F12" i="1"/>
  <c r="X11" i="1"/>
  <c r="W11" i="1"/>
  <c r="V11" i="1"/>
  <c r="U11" i="1"/>
  <c r="T11" i="1"/>
  <c r="R11" i="1"/>
  <c r="Q11" i="1"/>
  <c r="P11" i="1"/>
  <c r="O11" i="1"/>
  <c r="N11" i="1"/>
  <c r="M11" i="1"/>
  <c r="K11" i="1"/>
  <c r="J11" i="1"/>
  <c r="H11" i="1"/>
  <c r="G11" i="1"/>
  <c r="F11" i="1"/>
  <c r="B11" i="1"/>
  <c r="Z10" i="1"/>
  <c r="T9" i="1"/>
  <c r="R9" i="1"/>
  <c r="Q9" i="1"/>
  <c r="K9" i="1"/>
  <c r="J9" i="1"/>
  <c r="D9" i="1"/>
  <c r="C9" i="1"/>
  <c r="B9" i="1"/>
  <c r="R37" i="1" l="1"/>
  <c r="V37" i="1"/>
  <c r="F29" i="1"/>
  <c r="S15" i="1"/>
  <c r="S9" i="1" s="1"/>
  <c r="M37" i="1"/>
  <c r="E37" i="1"/>
  <c r="S31" i="1"/>
  <c r="AA11" i="1"/>
  <c r="Z11" i="1"/>
  <c r="F23" i="1"/>
  <c r="F37" i="1" s="1"/>
  <c r="L38" i="1" s="1"/>
  <c r="I9" i="1"/>
  <c r="R23" i="1"/>
  <c r="AA27" i="1"/>
  <c r="Z27" i="1"/>
  <c r="I19" i="1"/>
  <c r="U37" i="1"/>
  <c r="W23" i="1"/>
  <c r="W37" i="1" s="1"/>
  <c r="AA31" i="1"/>
  <c r="Z31" i="1"/>
  <c r="AA32" i="1"/>
  <c r="Z32" i="1"/>
  <c r="Z12" i="1"/>
  <c r="Z21" i="1"/>
  <c r="Z19" i="1" s="1"/>
  <c r="N29" i="1"/>
  <c r="N23" i="1" s="1"/>
  <c r="N37" i="1" s="1"/>
  <c r="L30" i="1"/>
  <c r="Z33" i="1"/>
  <c r="L11" i="1"/>
  <c r="L9" i="1" s="1"/>
  <c r="AA12" i="1"/>
  <c r="Z13" i="1"/>
  <c r="AA21" i="1"/>
  <c r="I15" i="1"/>
  <c r="Y15" i="1"/>
  <c r="AA16" i="1"/>
  <c r="Z17" i="1"/>
  <c r="S20" i="1"/>
  <c r="S19" i="1" s="1"/>
  <c r="Y26" i="1"/>
  <c r="Y30" i="1"/>
  <c r="F34" i="1"/>
  <c r="Z34" i="1" s="1"/>
  <c r="AA15" i="1" l="1"/>
  <c r="Z15" i="1"/>
  <c r="Y9" i="1"/>
  <c r="I38" i="1"/>
  <c r="Z30" i="1"/>
  <c r="Y29" i="1"/>
  <c r="AA30" i="1"/>
  <c r="AA34" i="1"/>
  <c r="Z26" i="1"/>
  <c r="AA26" i="1"/>
  <c r="Y25" i="1"/>
  <c r="O37" i="1"/>
  <c r="L29" i="1"/>
  <c r="L23" i="1" s="1"/>
  <c r="S30" i="1"/>
  <c r="S29" i="1" s="1"/>
  <c r="S23" i="1" s="1"/>
  <c r="R38" i="1" l="1"/>
  <c r="O38" i="1"/>
  <c r="S37" i="1"/>
  <c r="Z9" i="1"/>
  <c r="AA9" i="1"/>
  <c r="AA25" i="1"/>
  <c r="Z25" i="1"/>
  <c r="Y23" i="1"/>
  <c r="Z29" i="1"/>
  <c r="AA29" i="1"/>
  <c r="AA23" i="1" l="1"/>
  <c r="Z23" i="1"/>
  <c r="Y37" i="1"/>
  <c r="AA37" i="1" l="1"/>
  <c r="Z37" i="1"/>
</calcChain>
</file>

<file path=xl/comments1.xml><?xml version="1.0" encoding="utf-8"?>
<comments xmlns="http://schemas.openxmlformats.org/spreadsheetml/2006/main">
  <authors>
    <author>Oscar Rubio</author>
  </authors>
  <commentList>
    <comment ref="AA11" authorId="0" shapeId="0">
      <text>
        <r>
          <rPr>
            <sz val="9"/>
            <color indexed="81"/>
            <rFont val="Tahoma"/>
            <family val="2"/>
          </rPr>
          <t>En el periodo Octubre diciembre ingreso mayor valor en el recaudo de cuota al contemplado inicialmente</t>
        </r>
      </text>
    </comment>
    <comment ref="AA15" authorId="0" shapeId="0">
      <text>
        <r>
          <rPr>
            <sz val="9"/>
            <color indexed="81"/>
            <rFont val="Tahoma"/>
            <family val="2"/>
          </rPr>
          <t>Se recupero cartera de  vigencia años anteriores</t>
        </r>
      </text>
    </comment>
    <comment ref="AA26" authorId="0" shapeId="0">
      <text>
        <r>
          <rPr>
            <sz val="9"/>
            <color indexed="81"/>
            <rFont val="Tahoma"/>
            <family val="2"/>
          </rPr>
          <t>Debido al saldo en las fiducias no obtuvimos los rendimientos esperados en la vigencia</t>
        </r>
      </text>
    </comment>
    <comment ref="AA27" authorId="0" shapeId="0">
      <text>
        <r>
          <rPr>
            <sz val="9"/>
            <color indexed="81"/>
            <rFont val="Tahoma"/>
            <family val="2"/>
          </rPr>
          <t>Debido a que tenemos los recursos del Fondo de emergencia en fiducia se obtuvo mayores rendimientos financieros</t>
        </r>
      </text>
    </comment>
    <comment ref="AA30" authorId="0" shapeId="0">
      <text>
        <r>
          <rPr>
            <sz val="9"/>
            <color indexed="81"/>
            <rFont val="Tahoma"/>
            <family val="2"/>
          </rPr>
          <t>Se obtuvo mayor recurso por la venta de chapetas y biologico al determinado inicialmente</t>
        </r>
      </text>
    </comment>
    <comment ref="AA31" authorId="0" shapeId="0">
      <text>
        <r>
          <rPr>
            <sz val="9"/>
            <color indexed="81"/>
            <rFont val="Tahoma"/>
            <family val="2"/>
          </rPr>
          <t>Se recupero cartera de recaudadores correspondiente a la vigencia actual</t>
        </r>
      </text>
    </comment>
    <comment ref="AA32" authorId="0" shapeId="0">
      <text>
        <r>
          <rPr>
            <sz val="9"/>
            <color indexed="81"/>
            <rFont val="Tahoma"/>
            <family val="2"/>
          </rPr>
          <t>Saldo a favor biologico zoetis,incapacidades</t>
        </r>
      </text>
    </comment>
    <comment ref="AA33" authorId="0" shapeId="0">
      <text>
        <r>
          <rPr>
            <sz val="9"/>
            <color indexed="81"/>
            <rFont val="Tahoma"/>
            <family val="2"/>
          </rPr>
          <t>Se recupero cartera de recaudadores correspondiente a la vigencia años anteriores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$57.298.000 convenio Gobernación Cundinamarca,CRQ y FNP(Técnica),$91.273.150 Convenio Antioquia y Valle (Económica),$2.400.000.000 Fortalecimiento centyros formación SENA(I, TyT),(-103.109.678)Devolución IAT MADR</t>
        </r>
      </text>
    </comment>
    <comment ref="AA34" authorId="0" shapeId="0">
      <text>
        <r>
          <rPr>
            <sz val="9"/>
            <color indexed="81"/>
            <rFont val="Tahoma"/>
            <family val="2"/>
          </rPr>
          <t>No se recibieron recursos por capacitación de operarios de granja debido a PEDv, y no se logro realizar las tomas de diagnostico presupuestadas, y los convenios de Corpoguavio y Cortolima se realizaron por menor valor al contemplado inicialmente</t>
        </r>
      </text>
    </comment>
  </commentList>
</comments>
</file>

<file path=xl/sharedStrings.xml><?xml version="1.0" encoding="utf-8"?>
<sst xmlns="http://schemas.openxmlformats.org/spreadsheetml/2006/main" count="76" uniqueCount="45">
  <si>
    <t>MINISTERIO DE AGRICULTURA Y DESARROLLO RURAL</t>
  </si>
  <si>
    <t>DIRECCION DE PLANEACIÓN Y SEGUIMIENTO PRESUPUESTAL</t>
  </si>
  <si>
    <t>EJECUCIÓN PRESUPUESTO DE INGRESOS ENERO A DICIEMBRE DE 2014</t>
  </si>
  <si>
    <t>CUENTAS</t>
  </si>
  <si>
    <t>PRESUPUESTO INICIAL AÑO 2014</t>
  </si>
  <si>
    <t>ACUERDO 6/14</t>
  </si>
  <si>
    <t>ACUERDO 9/14</t>
  </si>
  <si>
    <t>ACUERDO 12/14</t>
  </si>
  <si>
    <t>PRESUPUESTO MODIFICADO AÑO 2014</t>
  </si>
  <si>
    <t>SOLICITADO</t>
  </si>
  <si>
    <t>ACUERDO 5/14</t>
  </si>
  <si>
    <t>SOLICITADO DEFINITIVO</t>
  </si>
  <si>
    <t>ACUERDO 10/14</t>
  </si>
  <si>
    <t>ACUERDO 1/15</t>
  </si>
  <si>
    <t>TOTAL SOLICITADO ANUAL 2014</t>
  </si>
  <si>
    <t>EJECUCIÓN</t>
  </si>
  <si>
    <t>ACUERDO 2/15</t>
  </si>
  <si>
    <t>TOTAL EJECUTADO ANUAL 2014</t>
  </si>
  <si>
    <t>ACUERDO 4/15</t>
  </si>
  <si>
    <t>% EJECUCIÓN INGRESOS ENE-DIC 2014</t>
  </si>
  <si>
    <t>ENERO-MARZO</t>
  </si>
  <si>
    <t>ABRIL-JUNIO</t>
  </si>
  <si>
    <t>JULIO-SEPTIEMBRE</t>
  </si>
  <si>
    <t>OCTUBRE-DICIEMBRE</t>
  </si>
  <si>
    <t>JUL.-SEPT.</t>
  </si>
  <si>
    <t>OCT.-DIC.</t>
  </si>
  <si>
    <t>AÑO 2014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</si>
  <si>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</si>
  <si>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</si>
  <si>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</si>
  <si>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</si>
  <si>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</si>
  <si>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</si>
  <si>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</si>
  <si>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</si>
  <si>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</si>
  <si>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</si>
  <si>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</si>
  <si>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</si>
  <si>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</si>
  <si>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</si>
  <si>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</si>
  <si>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</si>
  <si>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PPC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</si>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</sst>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\ _$_-;\-* #,##0\ _$_-;_-* &quot;-&quot;\ _$_-;_-@_-"/>
    <numFmt numFmtId="165" formatCode="_ * #,##0.00_ ;_ * \-#,##0.00_ ;_ * &quot;-&quot;??_ ;_ @_ "/>
    <numFmt numFmtId="166" formatCode="_-* #,##0.00_-;\-* #,##0.00_-;_-* &quot;-&quot;??_-;_-@_-"/>
    <numFmt numFmtId="167" formatCode="_-* #,##0_-;\-* #,##0_-;_-* &quot;-&quot;??_-;_-@_-"/>
    <numFmt numFmtId="168" formatCode="_(* #,##0_);_(* \(#,##0\);_(* &quot;-&quot;??_);_(@_)"/>
  </numFmts>
  <fonts count="9" x14ac:knownFonts="1"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1" fontId="2" fillId="0" borderId="0" xfId="0" applyNumberFormat="1" applyFont="1" applyFill="1"/>
    <xf numFmtId="0" fontId="2" fillId="0" borderId="0" xfId="0" applyFo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2" fillId="0" borderId="0" xfId="0" applyNumberFormat="1" applyFont="1" applyFill="1"/>
    <xf numFmtId="164" fontId="2" fillId="0" borderId="0" xfId="0" applyNumberFormat="1" applyFont="1" applyFill="1"/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41" fontId="3" fillId="3" borderId="1" xfId="3" applyNumberFormat="1" applyFont="1" applyFill="1" applyBorder="1" applyAlignment="1">
      <alignment horizontal="center"/>
    </xf>
    <xf numFmtId="41" fontId="3" fillId="3" borderId="2" xfId="3" applyNumberFormat="1" applyFont="1" applyFill="1" applyBorder="1" applyAlignment="1">
      <alignment horizontal="center"/>
    </xf>
    <xf numFmtId="41" fontId="3" fillId="0" borderId="8" xfId="4" applyNumberFormat="1" applyFont="1" applyFill="1" applyBorder="1"/>
    <xf numFmtId="41" fontId="3" fillId="0" borderId="4" xfId="1" applyNumberFormat="1" applyFont="1" applyFill="1" applyBorder="1"/>
    <xf numFmtId="167" fontId="3" fillId="0" borderId="4" xfId="1" applyNumberFormat="1" applyFont="1" applyFill="1" applyBorder="1"/>
    <xf numFmtId="41" fontId="3" fillId="0" borderId="3" xfId="1" applyNumberFormat="1" applyFont="1" applyFill="1" applyBorder="1"/>
    <xf numFmtId="167" fontId="3" fillId="0" borderId="9" xfId="4" applyNumberFormat="1" applyFont="1" applyFill="1" applyBorder="1"/>
    <xf numFmtId="41" fontId="3" fillId="0" borderId="4" xfId="3" applyNumberFormat="1" applyFont="1" applyFill="1" applyBorder="1" applyAlignment="1">
      <alignment horizontal="center"/>
    </xf>
    <xf numFmtId="41" fontId="3" fillId="0" borderId="4" xfId="3" applyNumberFormat="1" applyFont="1" applyFill="1" applyBorder="1" applyAlignment="1">
      <alignment horizontal="right"/>
    </xf>
    <xf numFmtId="10" fontId="3" fillId="0" borderId="8" xfId="2" applyNumberFormat="1" applyFont="1" applyFill="1" applyBorder="1" applyAlignment="1">
      <alignment horizontal="right"/>
    </xf>
    <xf numFmtId="0" fontId="1" fillId="0" borderId="10" xfId="0" applyFont="1" applyFill="1" applyBorder="1"/>
    <xf numFmtId="41" fontId="1" fillId="3" borderId="9" xfId="4" applyNumberFormat="1" applyFont="1" applyFill="1" applyBorder="1"/>
    <xf numFmtId="41" fontId="1" fillId="3" borderId="8" xfId="4" applyNumberFormat="1" applyFont="1" applyFill="1" applyBorder="1"/>
    <xf numFmtId="41" fontId="1" fillId="0" borderId="8" xfId="4" applyNumberFormat="1" applyFont="1" applyFill="1" applyBorder="1"/>
    <xf numFmtId="41" fontId="3" fillId="0" borderId="8" xfId="1" applyNumberFormat="1" applyFont="1" applyFill="1" applyBorder="1"/>
    <xf numFmtId="167" fontId="3" fillId="0" borderId="11" xfId="1" applyNumberFormat="1" applyFont="1" applyFill="1" applyBorder="1"/>
    <xf numFmtId="41" fontId="3" fillId="0" borderId="9" xfId="1" applyNumberFormat="1" applyFont="1" applyFill="1" applyBorder="1"/>
    <xf numFmtId="41" fontId="1" fillId="0" borderId="8" xfId="1" applyNumberFormat="1" applyFont="1" applyFill="1" applyBorder="1"/>
    <xf numFmtId="41" fontId="1" fillId="0" borderId="9" xfId="4" applyNumberFormat="1" applyFont="1" applyFill="1" applyBorder="1"/>
    <xf numFmtId="9" fontId="1" fillId="0" borderId="8" xfId="2" applyFont="1" applyFill="1" applyBorder="1"/>
    <xf numFmtId="0" fontId="3" fillId="0" borderId="12" xfId="0" applyFont="1" applyFill="1" applyBorder="1"/>
    <xf numFmtId="168" fontId="3" fillId="3" borderId="13" xfId="3" applyNumberFormat="1" applyFont="1" applyFill="1" applyBorder="1" applyAlignment="1">
      <alignment wrapText="1"/>
    </xf>
    <xf numFmtId="41" fontId="3" fillId="3" borderId="13" xfId="3" applyNumberFormat="1" applyFont="1" applyFill="1" applyBorder="1"/>
    <xf numFmtId="41" fontId="3" fillId="0" borderId="14" xfId="3" applyNumberFormat="1" applyFont="1" applyFill="1" applyBorder="1"/>
    <xf numFmtId="167" fontId="3" fillId="0" borderId="8" xfId="4" applyNumberFormat="1" applyFont="1" applyFill="1" applyBorder="1"/>
    <xf numFmtId="166" fontId="2" fillId="0" borderId="0" xfId="1" applyFont="1" applyFill="1"/>
    <xf numFmtId="167" fontId="1" fillId="0" borderId="11" xfId="1" applyNumberFormat="1" applyFont="1" applyFill="1" applyBorder="1"/>
    <xf numFmtId="41" fontId="1" fillId="0" borderId="9" xfId="1" applyNumberFormat="1" applyFont="1" applyFill="1" applyBorder="1"/>
    <xf numFmtId="41" fontId="1" fillId="0" borderId="8" xfId="5" applyNumberFormat="1" applyFont="1" applyFill="1" applyBorder="1"/>
    <xf numFmtId="167" fontId="1" fillId="0" borderId="9" xfId="1" applyNumberFormat="1" applyFont="1" applyFill="1" applyBorder="1"/>
    <xf numFmtId="41" fontId="1" fillId="0" borderId="4" xfId="1" applyNumberFormat="1" applyFont="1" applyFill="1" applyBorder="1"/>
    <xf numFmtId="41" fontId="1" fillId="0" borderId="8" xfId="2" applyNumberFormat="1" applyFont="1" applyFill="1" applyBorder="1"/>
    <xf numFmtId="41" fontId="1" fillId="0" borderId="8" xfId="6" applyNumberFormat="1" applyFont="1" applyFill="1" applyBorder="1"/>
    <xf numFmtId="10" fontId="1" fillId="0" borderId="8" xfId="2" applyNumberFormat="1" applyFont="1" applyFill="1" applyBorder="1" applyAlignment="1">
      <alignment horizontal="right"/>
    </xf>
    <xf numFmtId="0" fontId="3" fillId="0" borderId="10" xfId="0" applyFont="1" applyFill="1" applyBorder="1"/>
    <xf numFmtId="41" fontId="3" fillId="3" borderId="9" xfId="4" applyNumberFormat="1" applyFont="1" applyFill="1" applyBorder="1"/>
    <xf numFmtId="41" fontId="3" fillId="3" borderId="8" xfId="4" applyNumberFormat="1" applyFont="1" applyFill="1" applyBorder="1"/>
    <xf numFmtId="167" fontId="3" fillId="0" borderId="8" xfId="1" applyNumberFormat="1" applyFont="1" applyFill="1" applyBorder="1"/>
    <xf numFmtId="166" fontId="1" fillId="0" borderId="8" xfId="1" applyNumberFormat="1" applyFont="1" applyFill="1" applyBorder="1"/>
    <xf numFmtId="41" fontId="1" fillId="3" borderId="9" xfId="2" applyNumberFormat="1" applyFont="1" applyFill="1" applyBorder="1"/>
    <xf numFmtId="41" fontId="1" fillId="3" borderId="8" xfId="2" applyNumberFormat="1" applyFont="1" applyFill="1" applyBorder="1"/>
    <xf numFmtId="41" fontId="5" fillId="0" borderId="8" xfId="4" applyNumberFormat="1" applyFont="1" applyFill="1" applyBorder="1"/>
    <xf numFmtId="167" fontId="3" fillId="3" borderId="9" xfId="4" applyNumberFormat="1" applyFont="1" applyFill="1" applyBorder="1"/>
    <xf numFmtId="41" fontId="3" fillId="0" borderId="9" xfId="4" applyNumberFormat="1" applyFont="1" applyFill="1" applyBorder="1"/>
    <xf numFmtId="10" fontId="3" fillId="0" borderId="4" xfId="2" applyNumberFormat="1" applyFont="1" applyFill="1" applyBorder="1" applyAlignment="1">
      <alignment horizontal="right"/>
    </xf>
    <xf numFmtId="0" fontId="1" fillId="0" borderId="15" xfId="0" applyFont="1" applyFill="1" applyBorder="1"/>
    <xf numFmtId="41" fontId="1" fillId="3" borderId="16" xfId="4" applyNumberFormat="1" applyFont="1" applyFill="1" applyBorder="1"/>
    <xf numFmtId="41" fontId="1" fillId="3" borderId="17" xfId="4" applyNumberFormat="1" applyFont="1" applyFill="1" applyBorder="1"/>
    <xf numFmtId="41" fontId="1" fillId="0" borderId="17" xfId="1" applyNumberFormat="1" applyFont="1" applyFill="1" applyBorder="1"/>
    <xf numFmtId="167" fontId="1" fillId="0" borderId="18" xfId="1" applyNumberFormat="1" applyFont="1" applyFill="1" applyBorder="1"/>
    <xf numFmtId="41" fontId="1" fillId="0" borderId="16" xfId="1" applyNumberFormat="1" applyFont="1" applyFill="1" applyBorder="1"/>
    <xf numFmtId="41" fontId="1" fillId="0" borderId="17" xfId="4" applyNumberFormat="1" applyFont="1" applyFill="1" applyBorder="1"/>
    <xf numFmtId="41" fontId="1" fillId="0" borderId="16" xfId="4" applyNumberFormat="1" applyFont="1" applyFill="1" applyBorder="1"/>
    <xf numFmtId="167" fontId="1" fillId="0" borderId="16" xfId="1" applyNumberFormat="1" applyFont="1" applyFill="1" applyBorder="1"/>
    <xf numFmtId="41" fontId="1" fillId="3" borderId="17" xfId="1" applyNumberFormat="1" applyFont="1" applyFill="1" applyBorder="1"/>
    <xf numFmtId="41" fontId="1" fillId="0" borderId="18" xfId="1" applyNumberFormat="1" applyFont="1" applyFill="1" applyBorder="1"/>
    <xf numFmtId="41" fontId="1" fillId="0" borderId="17" xfId="6" applyNumberFormat="1" applyFont="1" applyFill="1" applyBorder="1"/>
    <xf numFmtId="41" fontId="1" fillId="0" borderId="19" xfId="4" applyNumberFormat="1" applyFont="1" applyFill="1" applyBorder="1"/>
    <xf numFmtId="9" fontId="1" fillId="0" borderId="17" xfId="2" applyFont="1" applyFill="1" applyBorder="1"/>
    <xf numFmtId="0" fontId="3" fillId="0" borderId="20" xfId="0" applyFont="1" applyFill="1" applyBorder="1"/>
    <xf numFmtId="41" fontId="3" fillId="0" borderId="21" xfId="0" applyNumberFormat="1" applyFont="1" applyFill="1" applyBorder="1"/>
    <xf numFmtId="41" fontId="3" fillId="0" borderId="22" xfId="0" applyNumberFormat="1" applyFont="1" applyFill="1" applyBorder="1"/>
    <xf numFmtId="167" fontId="3" fillId="0" borderId="21" xfId="4" applyNumberFormat="1" applyFont="1" applyFill="1" applyBorder="1"/>
    <xf numFmtId="41" fontId="3" fillId="0" borderId="21" xfId="0" applyNumberFormat="1" applyFont="1" applyFill="1" applyBorder="1" applyAlignment="1">
      <alignment horizontal="center"/>
    </xf>
    <xf numFmtId="10" fontId="3" fillId="0" borderId="22" xfId="2" applyNumberFormat="1" applyFont="1" applyFill="1" applyBorder="1" applyAlignment="1">
      <alignment horizontal="right"/>
    </xf>
    <xf numFmtId="10" fontId="2" fillId="0" borderId="0" xfId="2" applyNumberFormat="1" applyFont="1" applyFill="1"/>
    <xf numFmtId="0" fontId="6" fillId="0" borderId="0" xfId="0" applyFont="1"/>
    <xf numFmtId="3" fontId="1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</cellXfs>
  <cellStyles count="7">
    <cellStyle name="Millares" xfId="1" builtinId="3"/>
    <cellStyle name="Millares_Formato Presupuesto Minagricultura" xfId="4"/>
    <cellStyle name="Millares_INGRESOS 2005" xfId="3"/>
    <cellStyle name="Millares_PRESUPUESTO INGRESOS 2011" xfId="5"/>
    <cellStyle name="Normal" xfId="0" builtinId="0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CIERRE%20DE%20PERIODOS\MARZO\eppc\INFORME%20CUENTA%204%20PPC%20%20MARZO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A&#241;o%202010/MANEJO%20PTO%202010/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 1"/>
      <sheetName val="Anexo 2"/>
      <sheetName val="Anexo Areas"/>
      <sheetName val="Otros ingresos"/>
      <sheetName val="ANEXO INGRESOS"/>
      <sheetName val="SUPERAVIT 2014"/>
      <sheetName val="BIOLÓGICO"/>
      <sheetName val="Hoja1"/>
      <sheetName val="CONCILIACIÓN INGRESOS"/>
    </sheetNames>
    <sheetDataSet>
      <sheetData sheetId="0"/>
      <sheetData sheetId="1"/>
      <sheetData sheetId="2"/>
      <sheetData sheetId="3"/>
      <sheetData sheetId="4">
        <row r="14">
          <cell r="C14">
            <v>5827535</v>
          </cell>
          <cell r="E14">
            <v>26209644</v>
          </cell>
          <cell r="F14">
            <v>46301181</v>
          </cell>
        </row>
        <row r="27">
          <cell r="C27">
            <v>23974618</v>
          </cell>
          <cell r="F27">
            <v>10153039</v>
          </cell>
        </row>
        <row r="35">
          <cell r="C35">
            <v>57630827</v>
          </cell>
          <cell r="F35">
            <v>50184231</v>
          </cell>
        </row>
        <row r="46">
          <cell r="C46">
            <v>40346756</v>
          </cell>
          <cell r="F46">
            <v>110755710</v>
          </cell>
        </row>
        <row r="50">
          <cell r="C50">
            <v>53416394</v>
          </cell>
          <cell r="F50">
            <v>52361824</v>
          </cell>
        </row>
        <row r="60">
          <cell r="C60">
            <v>656979</v>
          </cell>
          <cell r="F60">
            <v>16075730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9">
          <cell r="F29">
            <v>332154772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>
        <row r="46">
          <cell r="C46">
            <v>3001930</v>
          </cell>
        </row>
      </sheetData>
      <sheetData sheetId="1"/>
      <sheetData sheetId="2">
        <row r="54">
          <cell r="J54">
            <v>2042400.4285714286</v>
          </cell>
        </row>
      </sheetData>
      <sheetData sheetId="3"/>
      <sheetData sheetId="4"/>
      <sheetData sheetId="5"/>
      <sheetData sheetId="6"/>
      <sheetData sheetId="7">
        <row r="125">
          <cell r="B125">
            <v>35000000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7"/>
  <sheetViews>
    <sheetView tabSelected="1" zoomScaleNormal="100" zoomScaleSheetLayoutView="85" workbookViewId="0">
      <pane xSplit="1" ySplit="8" topLeftCell="B9" activePane="bottomRight" state="frozen"/>
      <selection activeCell="A24" sqref="A24"/>
      <selection pane="topRight" activeCell="A24" sqref="A24"/>
      <selection pane="bottomLeft" activeCell="A24" sqref="A24"/>
      <selection pane="bottomRight" activeCell="Z6" sqref="Z6:Z8"/>
    </sheetView>
  </sheetViews>
  <sheetFormatPr baseColWidth="10" defaultColWidth="19.28515625" defaultRowHeight="15" outlineLevelCol="2" x14ac:dyDescent="0.3"/>
  <cols>
    <col min="1" max="1" width="43.85546875" style="4" bestFit="1" customWidth="1"/>
    <col min="2" max="2" width="20.28515625" style="4" customWidth="1"/>
    <col min="3" max="3" width="19.28515625" style="4" hidden="1" customWidth="1" outlineLevel="1"/>
    <col min="4" max="4" width="16.42578125" style="4" hidden="1" customWidth="1" outlineLevel="1"/>
    <col min="5" max="5" width="19.28515625" style="4" hidden="1" customWidth="1" outlineLevel="1"/>
    <col min="6" max="6" width="19.28515625" style="2" customWidth="1" collapsed="1"/>
    <col min="7" max="8" width="19.28515625" style="2" hidden="1" customWidth="1" outlineLevel="2"/>
    <col min="9" max="9" width="25" style="2" hidden="1" customWidth="1" outlineLevel="1" collapsed="1"/>
    <col min="10" max="10" width="21.140625" style="2" hidden="1" customWidth="1" outlineLevel="2" collapsed="1"/>
    <col min="11" max="11" width="19.28515625" style="2" hidden="1" customWidth="1" outlineLevel="2"/>
    <col min="12" max="12" width="28" style="2" hidden="1" customWidth="1" outlineLevel="1" collapsed="1"/>
    <col min="13" max="13" width="20.85546875" style="2" hidden="1" customWidth="1" outlineLevel="2"/>
    <col min="14" max="14" width="19.28515625" style="2" hidden="1" customWidth="1" outlineLevel="2"/>
    <col min="15" max="15" width="26.85546875" style="2" hidden="1" customWidth="1" outlineLevel="1" collapsed="1"/>
    <col min="16" max="16" width="24.42578125" style="2" hidden="1" customWidth="1" outlineLevel="2"/>
    <col min="17" max="17" width="19.28515625" style="2" hidden="1" customWidth="1" outlineLevel="2"/>
    <col min="18" max="18" width="26" style="2" hidden="1" customWidth="1" outlineLevel="1" collapsed="1"/>
    <col min="19" max="19" width="19.28515625" style="2" hidden="1" customWidth="1" collapsed="1"/>
    <col min="20" max="20" width="21.42578125" style="2" hidden="1" customWidth="1" outlineLevel="1"/>
    <col min="21" max="21" width="19.28515625" style="2" hidden="1" customWidth="1" outlineLevel="1"/>
    <col min="22" max="22" width="20.85546875" style="2" hidden="1" customWidth="1" outlineLevel="1"/>
    <col min="23" max="23" width="19.28515625" style="2" hidden="1" customWidth="1" outlineLevel="1"/>
    <col min="24" max="24" width="19.28515625" style="2" hidden="1" customWidth="1" collapsed="1"/>
    <col min="25" max="41" width="19.28515625" style="2" customWidth="1"/>
    <col min="42" max="16384" width="19.28515625" style="4"/>
  </cols>
  <sheetData>
    <row r="1" spans="1:42" ht="24" customHeight="1" x14ac:dyDescent="0.3">
      <c r="A1" s="1"/>
      <c r="B1" s="2"/>
      <c r="C1" s="2"/>
      <c r="D1" s="2"/>
      <c r="E1" s="2"/>
      <c r="F1" s="1"/>
      <c r="U1" s="3"/>
    </row>
    <row r="2" spans="1:42" ht="15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2" ht="15.75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2" ht="15.75" customHeight="1" x14ac:dyDescent="0.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42" ht="16.5" thickBot="1" x14ac:dyDescent="0.35">
      <c r="A5" s="6"/>
      <c r="B5" s="6"/>
      <c r="C5" s="6"/>
      <c r="D5" s="6"/>
      <c r="E5" s="6"/>
      <c r="F5" s="6"/>
      <c r="L5" s="7"/>
      <c r="S5" s="8"/>
      <c r="T5" s="8"/>
      <c r="U5" s="8"/>
    </row>
    <row r="6" spans="1:42" s="16" customFormat="1" ht="17.100000000000001" customHeight="1" x14ac:dyDescent="0.2">
      <c r="A6" s="9" t="s">
        <v>3</v>
      </c>
      <c r="B6" s="10" t="s">
        <v>4</v>
      </c>
      <c r="C6" s="9" t="s">
        <v>5</v>
      </c>
      <c r="D6" s="9" t="s">
        <v>6</v>
      </c>
      <c r="E6" s="11" t="s">
        <v>7</v>
      </c>
      <c r="F6" s="10" t="s">
        <v>8</v>
      </c>
      <c r="G6" s="12" t="s">
        <v>9</v>
      </c>
      <c r="H6" s="13" t="s">
        <v>10</v>
      </c>
      <c r="I6" s="12" t="s">
        <v>11</v>
      </c>
      <c r="J6" s="12" t="s">
        <v>9</v>
      </c>
      <c r="K6" s="13" t="s">
        <v>12</v>
      </c>
      <c r="L6" s="12" t="s">
        <v>11</v>
      </c>
      <c r="M6" s="12" t="s">
        <v>9</v>
      </c>
      <c r="N6" s="13" t="s">
        <v>7</v>
      </c>
      <c r="O6" s="12" t="s">
        <v>11</v>
      </c>
      <c r="P6" s="12" t="s">
        <v>9</v>
      </c>
      <c r="Q6" s="13" t="s">
        <v>13</v>
      </c>
      <c r="R6" s="12" t="s">
        <v>11</v>
      </c>
      <c r="S6" s="10" t="s">
        <v>14</v>
      </c>
      <c r="T6" s="12" t="s">
        <v>15</v>
      </c>
      <c r="U6" s="12" t="s">
        <v>15</v>
      </c>
      <c r="V6" s="12" t="s">
        <v>15</v>
      </c>
      <c r="W6" s="12" t="s">
        <v>15</v>
      </c>
      <c r="X6" s="10" t="s">
        <v>16</v>
      </c>
      <c r="Y6" s="10" t="s">
        <v>17</v>
      </c>
      <c r="Z6" s="10" t="s">
        <v>18</v>
      </c>
      <c r="AA6" s="14" t="s">
        <v>19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s="16" customFormat="1" ht="17.100000000000001" customHeight="1" x14ac:dyDescent="0.2">
      <c r="A7" s="17"/>
      <c r="B7" s="18"/>
      <c r="C7" s="17"/>
      <c r="D7" s="17"/>
      <c r="E7" s="19"/>
      <c r="F7" s="18"/>
      <c r="G7" s="20" t="s">
        <v>20</v>
      </c>
      <c r="H7" s="21"/>
      <c r="I7" s="20" t="s">
        <v>20</v>
      </c>
      <c r="J7" s="20" t="s">
        <v>21</v>
      </c>
      <c r="K7" s="21"/>
      <c r="L7" s="20" t="s">
        <v>21</v>
      </c>
      <c r="M7" s="20" t="s">
        <v>22</v>
      </c>
      <c r="N7" s="21"/>
      <c r="O7" s="20" t="s">
        <v>22</v>
      </c>
      <c r="P7" s="20" t="s">
        <v>23</v>
      </c>
      <c r="Q7" s="21"/>
      <c r="R7" s="20" t="s">
        <v>23</v>
      </c>
      <c r="S7" s="18"/>
      <c r="T7" s="20" t="s">
        <v>20</v>
      </c>
      <c r="U7" s="20" t="s">
        <v>21</v>
      </c>
      <c r="V7" s="20" t="s">
        <v>24</v>
      </c>
      <c r="W7" s="20" t="s">
        <v>25</v>
      </c>
      <c r="X7" s="18"/>
      <c r="Y7" s="18"/>
      <c r="Z7" s="18"/>
      <c r="AA7" s="22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2" s="16" customFormat="1" ht="38.25" customHeight="1" thickBot="1" x14ac:dyDescent="0.25">
      <c r="A8" s="23"/>
      <c r="B8" s="24"/>
      <c r="C8" s="23"/>
      <c r="D8" s="23"/>
      <c r="E8" s="25"/>
      <c r="F8" s="24"/>
      <c r="G8" s="26" t="s">
        <v>26</v>
      </c>
      <c r="H8" s="27"/>
      <c r="I8" s="26" t="s">
        <v>26</v>
      </c>
      <c r="J8" s="26" t="s">
        <v>26</v>
      </c>
      <c r="K8" s="27"/>
      <c r="L8" s="26" t="s">
        <v>26</v>
      </c>
      <c r="M8" s="26" t="s">
        <v>26</v>
      </c>
      <c r="N8" s="27"/>
      <c r="O8" s="26" t="s">
        <v>26</v>
      </c>
      <c r="P8" s="26" t="s">
        <v>26</v>
      </c>
      <c r="Q8" s="27"/>
      <c r="R8" s="26" t="s">
        <v>26</v>
      </c>
      <c r="S8" s="24"/>
      <c r="T8" s="26" t="s">
        <v>26</v>
      </c>
      <c r="U8" s="26" t="s">
        <v>26</v>
      </c>
      <c r="V8" s="26" t="s">
        <v>26</v>
      </c>
      <c r="W8" s="26" t="s">
        <v>26</v>
      </c>
      <c r="X8" s="24"/>
      <c r="Y8" s="24"/>
      <c r="Z8" s="24"/>
      <c r="AA8" s="28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ht="15.75" x14ac:dyDescent="0.3">
      <c r="A9" s="29" t="s">
        <v>27</v>
      </c>
      <c r="B9" s="30">
        <f>+B11+B15+B19</f>
        <v>29022703517.625355</v>
      </c>
      <c r="C9" s="30">
        <f t="shared" ref="C9:V9" si="0">+C11+C15+C19</f>
        <v>871228207</v>
      </c>
      <c r="D9" s="30">
        <f t="shared" si="0"/>
        <v>0</v>
      </c>
      <c r="E9" s="31">
        <f t="shared" si="0"/>
        <v>0</v>
      </c>
      <c r="F9" s="32">
        <f>+F11+F15+F19</f>
        <v>29893931724.625355</v>
      </c>
      <c r="G9" s="33">
        <f t="shared" si="0"/>
        <v>6083367429.5</v>
      </c>
      <c r="H9" s="34">
        <f t="shared" si="0"/>
        <v>-1479009679.5</v>
      </c>
      <c r="I9" s="35">
        <f t="shared" si="0"/>
        <v>4604357750</v>
      </c>
      <c r="J9" s="33">
        <f t="shared" si="0"/>
        <v>6230247240.5</v>
      </c>
      <c r="K9" s="36">
        <f t="shared" si="0"/>
        <v>-540068685</v>
      </c>
      <c r="L9" s="33">
        <f>+L11+L15+L19</f>
        <v>5690178555.5</v>
      </c>
      <c r="M9" s="33">
        <f t="shared" si="0"/>
        <v>7080039945</v>
      </c>
      <c r="N9" s="36">
        <f t="shared" si="0"/>
        <v>-888618763.5</v>
      </c>
      <c r="O9" s="33">
        <f>+O11+O15+O19</f>
        <v>6191421181.5</v>
      </c>
      <c r="P9" s="33">
        <f t="shared" si="0"/>
        <v>6539863559.3999996</v>
      </c>
      <c r="Q9" s="33">
        <f t="shared" si="0"/>
        <v>8508202240.5</v>
      </c>
      <c r="R9" s="33">
        <f t="shared" si="0"/>
        <v>15048065799.9</v>
      </c>
      <c r="S9" s="33">
        <f>+S11+S15+S19</f>
        <v>31534023286.900002</v>
      </c>
      <c r="T9" s="33">
        <f>+T11+T15+T19</f>
        <v>4604357750</v>
      </c>
      <c r="U9" s="37">
        <f t="shared" si="0"/>
        <v>5690178556</v>
      </c>
      <c r="V9" s="37">
        <f t="shared" si="0"/>
        <v>6191421181.5</v>
      </c>
      <c r="W9" s="37">
        <f>+W11+W15+W19</f>
        <v>15048065799.54985</v>
      </c>
      <c r="X9" s="37">
        <f>+X11+X15+X19</f>
        <v>0</v>
      </c>
      <c r="Y9" s="38">
        <f>+Y11+Y15+Y19</f>
        <v>31534023287.04985</v>
      </c>
      <c r="Z9" s="38">
        <f>+Y9-F9</f>
        <v>1640091562.4244957</v>
      </c>
      <c r="AA9" s="39">
        <f>+Y9/F9</f>
        <v>1.0548636953323025</v>
      </c>
      <c r="AP9" s="2"/>
    </row>
    <row r="10" spans="1:42" ht="13.5" customHeight="1" x14ac:dyDescent="0.3">
      <c r="A10" s="40"/>
      <c r="B10" s="41"/>
      <c r="C10" s="42"/>
      <c r="D10" s="41"/>
      <c r="E10" s="42"/>
      <c r="F10" s="43"/>
      <c r="G10" s="44"/>
      <c r="H10" s="45"/>
      <c r="I10" s="46"/>
      <c r="J10" s="44"/>
      <c r="K10" s="36"/>
      <c r="L10" s="44"/>
      <c r="M10" s="44"/>
      <c r="N10" s="44"/>
      <c r="O10" s="44"/>
      <c r="P10" s="44"/>
      <c r="Q10" s="44"/>
      <c r="R10" s="44"/>
      <c r="S10" s="47"/>
      <c r="T10" s="47"/>
      <c r="U10" s="43"/>
      <c r="V10" s="43"/>
      <c r="W10" s="43"/>
      <c r="X10" s="43"/>
      <c r="Y10" s="43"/>
      <c r="Z10" s="48">
        <f t="shared" ref="Z10:Z37" si="1">+Y10-F10</f>
        <v>0</v>
      </c>
      <c r="AA10" s="49"/>
      <c r="AP10" s="2"/>
    </row>
    <row r="11" spans="1:42" ht="15.75" x14ac:dyDescent="0.3">
      <c r="A11" s="50" t="s">
        <v>28</v>
      </c>
      <c r="B11" s="51">
        <f>+B12+B13</f>
        <v>19725321798.400002</v>
      </c>
      <c r="C11" s="52">
        <v>0</v>
      </c>
      <c r="D11" s="52">
        <v>0</v>
      </c>
      <c r="E11" s="53"/>
      <c r="F11" s="32">
        <f>+F12+F13</f>
        <v>19725321798.400002</v>
      </c>
      <c r="G11" s="32">
        <f>+SUM(G12:G13)</f>
        <v>4351165067</v>
      </c>
      <c r="H11" s="54">
        <f>+SUM(H12:H13)</f>
        <v>-277852652</v>
      </c>
      <c r="I11" s="32">
        <f>+SUM(I12:I13)</f>
        <v>4073312415</v>
      </c>
      <c r="J11" s="32">
        <f t="shared" ref="J11:W11" si="2">+SUM(J12:J13)</f>
        <v>4892010935</v>
      </c>
      <c r="K11" s="36">
        <f t="shared" si="2"/>
        <v>-240198382</v>
      </c>
      <c r="L11" s="32">
        <f>+SUM(L12:L13)</f>
        <v>4651812553</v>
      </c>
      <c r="M11" s="32">
        <f t="shared" si="2"/>
        <v>4953193516</v>
      </c>
      <c r="N11" s="32">
        <f t="shared" si="2"/>
        <v>651663433</v>
      </c>
      <c r="O11" s="32">
        <f>+SUM(O12:O13)</f>
        <v>5604856949</v>
      </c>
      <c r="P11" s="32">
        <f>+P12+P13</f>
        <v>5395339881.3999996</v>
      </c>
      <c r="Q11" s="32">
        <f t="shared" si="2"/>
        <v>1101232055</v>
      </c>
      <c r="R11" s="32">
        <f>+SUM(R12:R13)</f>
        <v>6496571936.3999996</v>
      </c>
      <c r="S11" s="32">
        <f>+SUM(S12:S13)</f>
        <v>20826553853.400002</v>
      </c>
      <c r="T11" s="32">
        <f t="shared" si="2"/>
        <v>4073312415</v>
      </c>
      <c r="U11" s="32">
        <f t="shared" si="2"/>
        <v>4651812553</v>
      </c>
      <c r="V11" s="32">
        <f t="shared" si="2"/>
        <v>5604856949</v>
      </c>
      <c r="W11" s="32">
        <f t="shared" si="2"/>
        <v>6472180170</v>
      </c>
      <c r="X11" s="32">
        <f>+SUM(X12:X13)</f>
        <v>24391766</v>
      </c>
      <c r="Y11" s="32">
        <f>+SUM(Y12:Y13)</f>
        <v>20826553853</v>
      </c>
      <c r="Z11" s="36">
        <f t="shared" si="1"/>
        <v>1101232054.5999985</v>
      </c>
      <c r="AA11" s="39">
        <f>+Y11/F11</f>
        <v>1.0558283441890071</v>
      </c>
      <c r="AB11" s="3"/>
      <c r="AC11" s="55"/>
      <c r="AP11" s="2"/>
    </row>
    <row r="12" spans="1:42" ht="15.75" x14ac:dyDescent="0.3">
      <c r="A12" s="40" t="s">
        <v>29</v>
      </c>
      <c r="B12" s="41">
        <v>12328326124</v>
      </c>
      <c r="C12" s="42"/>
      <c r="D12" s="41"/>
      <c r="E12" s="43"/>
      <c r="F12" s="43">
        <f>+SUM(B12:E12)</f>
        <v>12328326124</v>
      </c>
      <c r="G12" s="47">
        <v>2719478166.875</v>
      </c>
      <c r="H12" s="56">
        <v>-173657907.875</v>
      </c>
      <c r="I12" s="57">
        <f>+G12+H12</f>
        <v>2545820259</v>
      </c>
      <c r="J12" s="58">
        <v>3057506834.375</v>
      </c>
      <c r="K12" s="59">
        <v>-150123971</v>
      </c>
      <c r="L12" s="58">
        <f>+J12+K12</f>
        <v>2907382863.375</v>
      </c>
      <c r="M12" s="60">
        <v>3095745947.5</v>
      </c>
      <c r="N12" s="60">
        <v>407289642</v>
      </c>
      <c r="O12" s="47">
        <f>+M12+N12</f>
        <v>3503035589.5</v>
      </c>
      <c r="P12" s="47">
        <v>3372087412.125</v>
      </c>
      <c r="Q12" s="47">
        <v>688270042</v>
      </c>
      <c r="R12" s="47">
        <f>+P12+Q12</f>
        <v>4060357454.125</v>
      </c>
      <c r="S12" s="47">
        <f>+I12+L12+O12+R12</f>
        <v>13016596166</v>
      </c>
      <c r="T12" s="47">
        <v>2545820259</v>
      </c>
      <c r="U12" s="61">
        <v>2907382863.375</v>
      </c>
      <c r="V12" s="62">
        <v>3503035589.5</v>
      </c>
      <c r="W12" s="47">
        <v>4045112600</v>
      </c>
      <c r="X12" s="47">
        <v>15244854</v>
      </c>
      <c r="Y12" s="47">
        <f>+T12+U12+V12+W12+X12</f>
        <v>13016596165.875</v>
      </c>
      <c r="Z12" s="59">
        <f t="shared" si="1"/>
        <v>688270041.875</v>
      </c>
      <c r="AA12" s="63">
        <f>+Y12/F12</f>
        <v>1.0558283448176407</v>
      </c>
      <c r="AP12" s="2"/>
    </row>
    <row r="13" spans="1:42" ht="15.75" x14ac:dyDescent="0.3">
      <c r="A13" s="40" t="s">
        <v>30</v>
      </c>
      <c r="B13" s="41">
        <v>7396995674.3999996</v>
      </c>
      <c r="C13" s="42"/>
      <c r="D13" s="41"/>
      <c r="E13" s="43"/>
      <c r="F13" s="43">
        <f>+SUM(B13:E13)</f>
        <v>7396995674.3999996</v>
      </c>
      <c r="G13" s="47">
        <v>1631686900.125</v>
      </c>
      <c r="H13" s="56">
        <v>-104194744.125</v>
      </c>
      <c r="I13" s="57">
        <f>+G13+H13</f>
        <v>1527492156</v>
      </c>
      <c r="J13" s="58">
        <v>1834504100.625</v>
      </c>
      <c r="K13" s="59">
        <v>-90074411</v>
      </c>
      <c r="L13" s="58">
        <f>+J13+K13</f>
        <v>1744429689.625</v>
      </c>
      <c r="M13" s="60">
        <v>1857447568.5</v>
      </c>
      <c r="N13" s="60">
        <v>244373791</v>
      </c>
      <c r="O13" s="47">
        <f>+M13+N13</f>
        <v>2101821359.5</v>
      </c>
      <c r="P13" s="47">
        <v>2023252469.2749996</v>
      </c>
      <c r="Q13" s="47">
        <v>412962013</v>
      </c>
      <c r="R13" s="47">
        <f>+P13+Q13</f>
        <v>2436214482.2749996</v>
      </c>
      <c r="S13" s="47">
        <f>+I13+L13+O13+R13</f>
        <v>7809957687.3999996</v>
      </c>
      <c r="T13" s="47">
        <v>1527492156</v>
      </c>
      <c r="U13" s="61">
        <v>1744429689.625</v>
      </c>
      <c r="V13" s="62">
        <v>2101821359.5</v>
      </c>
      <c r="W13" s="47">
        <v>2427067570</v>
      </c>
      <c r="X13" s="47">
        <v>9146912</v>
      </c>
      <c r="Y13" s="47">
        <f>+T13+U13+V13+W13+X13</f>
        <v>7809957687.125</v>
      </c>
      <c r="Z13" s="59">
        <f t="shared" si="1"/>
        <v>412962012.72500038</v>
      </c>
      <c r="AA13" s="63">
        <f>+Y13/F13</f>
        <v>1.0558283431412845</v>
      </c>
      <c r="AP13" s="2"/>
    </row>
    <row r="14" spans="1:42" ht="15.75" x14ac:dyDescent="0.3">
      <c r="A14" s="40"/>
      <c r="B14" s="41"/>
      <c r="C14" s="42"/>
      <c r="D14" s="41"/>
      <c r="E14" s="42"/>
      <c r="F14" s="43"/>
      <c r="G14" s="47"/>
      <c r="H14" s="56"/>
      <c r="I14" s="5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3"/>
      <c r="V14" s="62"/>
      <c r="W14" s="61"/>
      <c r="X14" s="61"/>
      <c r="Y14" s="43"/>
      <c r="Z14" s="48"/>
      <c r="AA14" s="49"/>
      <c r="AP14" s="2"/>
    </row>
    <row r="15" spans="1:42" ht="15.75" x14ac:dyDescent="0.3">
      <c r="A15" s="64" t="s">
        <v>31</v>
      </c>
      <c r="B15" s="65">
        <f>+B16+B17</f>
        <v>132649368</v>
      </c>
      <c r="C15" s="65">
        <f>+C16+C17</f>
        <v>0</v>
      </c>
      <c r="D15" s="65">
        <f>+D16+D17</f>
        <v>0</v>
      </c>
      <c r="E15" s="66">
        <f>+E16+E17</f>
        <v>0</v>
      </c>
      <c r="F15" s="44">
        <f>+SUM(F16:F17)</f>
        <v>132649368</v>
      </c>
      <c r="G15" s="44">
        <f>+SUM(G16:G17)</f>
        <v>132649368</v>
      </c>
      <c r="H15" s="67">
        <f t="shared" ref="H15:U15" si="3">+SUM(H16:H17)</f>
        <v>398395967</v>
      </c>
      <c r="I15" s="44">
        <f t="shared" si="3"/>
        <v>531045335</v>
      </c>
      <c r="J15" s="44">
        <f t="shared" si="3"/>
        <v>0</v>
      </c>
      <c r="K15" s="32">
        <f t="shared" si="3"/>
        <v>164855307</v>
      </c>
      <c r="L15" s="44">
        <f>+SUM(L16:L17)</f>
        <v>164855307</v>
      </c>
      <c r="M15" s="44">
        <f t="shared" si="3"/>
        <v>0</v>
      </c>
      <c r="N15" s="44">
        <f t="shared" si="3"/>
        <v>0</v>
      </c>
      <c r="O15" s="44">
        <f>+SUM(O16:O17)</f>
        <v>0</v>
      </c>
      <c r="P15" s="44">
        <f>+SUM(P16:P17)</f>
        <v>0</v>
      </c>
      <c r="Q15" s="44">
        <f t="shared" si="3"/>
        <v>-24391766</v>
      </c>
      <c r="R15" s="44">
        <f t="shared" si="3"/>
        <v>-24391766</v>
      </c>
      <c r="S15" s="44">
        <f>+SUM(S16:S17)</f>
        <v>671508876</v>
      </c>
      <c r="T15" s="44">
        <f t="shared" si="3"/>
        <v>531045335</v>
      </c>
      <c r="U15" s="44">
        <f t="shared" si="3"/>
        <v>164855307</v>
      </c>
      <c r="V15" s="44">
        <f>+SUM(V16:V17)</f>
        <v>0</v>
      </c>
      <c r="W15" s="36">
        <f>+SUM(W16:W17)</f>
        <v>0</v>
      </c>
      <c r="X15" s="44">
        <f>+SUM(X16:X17)</f>
        <v>-24391766</v>
      </c>
      <c r="Y15" s="44">
        <f>+SUM(Y16:Y17)</f>
        <v>671508876</v>
      </c>
      <c r="Z15" s="36">
        <f t="shared" si="1"/>
        <v>538859508</v>
      </c>
      <c r="AA15" s="39">
        <f>+Y15/F15</f>
        <v>5.0622847747001707</v>
      </c>
      <c r="AP15" s="2"/>
    </row>
    <row r="16" spans="1:42" ht="15.75" x14ac:dyDescent="0.3">
      <c r="A16" s="40" t="s">
        <v>29</v>
      </c>
      <c r="B16" s="41">
        <v>82905855</v>
      </c>
      <c r="C16" s="42"/>
      <c r="D16" s="41"/>
      <c r="E16" s="42"/>
      <c r="F16" s="43">
        <f>+SUM(B16:E16)</f>
        <v>82905855</v>
      </c>
      <c r="G16" s="47">
        <v>82905855</v>
      </c>
      <c r="H16" s="56">
        <v>248997479</v>
      </c>
      <c r="I16" s="57">
        <f>+G16+H16</f>
        <v>331903334</v>
      </c>
      <c r="J16" s="47">
        <v>0</v>
      </c>
      <c r="K16" s="58">
        <v>103034567</v>
      </c>
      <c r="L16" s="58">
        <f>+J16+K16</f>
        <v>103034567</v>
      </c>
      <c r="M16" s="47">
        <v>0</v>
      </c>
      <c r="N16" s="47">
        <v>0</v>
      </c>
      <c r="O16" s="47">
        <f>+M16+N16</f>
        <v>0</v>
      </c>
      <c r="P16" s="47">
        <v>0</v>
      </c>
      <c r="Q16" s="47">
        <v>-15244854</v>
      </c>
      <c r="R16" s="47">
        <f>+P16+Q16</f>
        <v>-15244854</v>
      </c>
      <c r="S16" s="47">
        <f>+I16+L16+O16+R16</f>
        <v>419693047</v>
      </c>
      <c r="T16" s="47">
        <v>331903334</v>
      </c>
      <c r="U16" s="43">
        <v>103034567</v>
      </c>
      <c r="V16" s="62"/>
      <c r="W16" s="59"/>
      <c r="X16" s="61">
        <v>-15244854</v>
      </c>
      <c r="Y16" s="47">
        <f>+T16+U16+V16+W16+X16</f>
        <v>419693047</v>
      </c>
      <c r="Z16" s="59">
        <f t="shared" si="1"/>
        <v>336787192</v>
      </c>
      <c r="AA16" s="63">
        <f>+Y16/F16</f>
        <v>5.0622847686692332</v>
      </c>
      <c r="AP16" s="2"/>
    </row>
    <row r="17" spans="1:42" ht="15.75" x14ac:dyDescent="0.3">
      <c r="A17" s="40" t="s">
        <v>30</v>
      </c>
      <c r="B17" s="41">
        <v>49743513</v>
      </c>
      <c r="C17" s="42"/>
      <c r="D17" s="41">
        <v>0</v>
      </c>
      <c r="E17" s="42"/>
      <c r="F17" s="43">
        <f>+SUM(B17:E17)</f>
        <v>49743513</v>
      </c>
      <c r="G17" s="47">
        <v>49743513</v>
      </c>
      <c r="H17" s="56">
        <v>149398488</v>
      </c>
      <c r="I17" s="57">
        <f>+G17+H17</f>
        <v>199142001</v>
      </c>
      <c r="J17" s="47">
        <v>0</v>
      </c>
      <c r="K17" s="58">
        <v>61820740</v>
      </c>
      <c r="L17" s="58">
        <f>+J17+K17</f>
        <v>61820740</v>
      </c>
      <c r="M17" s="47">
        <v>0</v>
      </c>
      <c r="N17" s="47">
        <v>0</v>
      </c>
      <c r="O17" s="47">
        <f>+M17+N17</f>
        <v>0</v>
      </c>
      <c r="P17" s="47">
        <v>0</v>
      </c>
      <c r="Q17" s="47">
        <v>-9146912</v>
      </c>
      <c r="R17" s="47">
        <f>+P17+Q17</f>
        <v>-9146912</v>
      </c>
      <c r="S17" s="47">
        <f>+I17+L17+O17+R17</f>
        <v>251815829</v>
      </c>
      <c r="T17" s="47">
        <v>199142001</v>
      </c>
      <c r="U17" s="43">
        <v>61820740</v>
      </c>
      <c r="V17" s="62"/>
      <c r="W17" s="59"/>
      <c r="X17" s="61">
        <v>-9146912</v>
      </c>
      <c r="Y17" s="47">
        <f>+T17+U17+V17+W17+X17</f>
        <v>251815829</v>
      </c>
      <c r="Z17" s="59">
        <f t="shared" si="1"/>
        <v>202072316</v>
      </c>
      <c r="AA17" s="63">
        <f>+Y17/F17</f>
        <v>5.062284784751732</v>
      </c>
      <c r="AP17" s="2"/>
    </row>
    <row r="18" spans="1:42" ht="15.75" x14ac:dyDescent="0.3">
      <c r="A18" s="40"/>
      <c r="B18" s="41"/>
      <c r="C18" s="42"/>
      <c r="D18" s="41"/>
      <c r="E18" s="42"/>
      <c r="F18" s="43"/>
      <c r="G18" s="47"/>
      <c r="H18" s="56"/>
      <c r="I18" s="57"/>
      <c r="J18" s="47"/>
      <c r="K18" s="68"/>
      <c r="L18" s="47"/>
      <c r="M18" s="47"/>
      <c r="N18" s="47"/>
      <c r="O18" s="47"/>
      <c r="P18" s="47"/>
      <c r="Q18" s="47"/>
      <c r="R18" s="47"/>
      <c r="S18" s="47"/>
      <c r="T18" s="47"/>
      <c r="U18" s="61"/>
      <c r="V18" s="43"/>
      <c r="W18" s="43"/>
      <c r="X18" s="43"/>
      <c r="Y18" s="43"/>
      <c r="Z18" s="48"/>
      <c r="AA18" s="49"/>
      <c r="AP18" s="2"/>
    </row>
    <row r="19" spans="1:42" ht="15.75" x14ac:dyDescent="0.3">
      <c r="A19" s="64" t="s">
        <v>32</v>
      </c>
      <c r="B19" s="65">
        <f>+B20+B21</f>
        <v>9164732351.2253532</v>
      </c>
      <c r="C19" s="65">
        <f>+C20+C21</f>
        <v>871228207</v>
      </c>
      <c r="D19" s="65">
        <f>+D20+D21</f>
        <v>0</v>
      </c>
      <c r="E19" s="66">
        <f>+E20+E21</f>
        <v>0</v>
      </c>
      <c r="F19" s="44">
        <f>+F20+F21</f>
        <v>10035960558.225353</v>
      </c>
      <c r="G19" s="44">
        <f t="shared" ref="G19:W19" si="4">+G20+G21</f>
        <v>1599552994.5</v>
      </c>
      <c r="H19" s="67">
        <f t="shared" si="4"/>
        <v>-1599552994.5</v>
      </c>
      <c r="I19" s="44">
        <f>+I20+I21</f>
        <v>0</v>
      </c>
      <c r="J19" s="44">
        <f t="shared" si="4"/>
        <v>1338236305.5</v>
      </c>
      <c r="K19" s="36">
        <f t="shared" si="4"/>
        <v>-464725610</v>
      </c>
      <c r="L19" s="44">
        <f>+L20+L21</f>
        <v>873510695.5</v>
      </c>
      <c r="M19" s="44">
        <f t="shared" si="4"/>
        <v>2126846429</v>
      </c>
      <c r="N19" s="36">
        <f t="shared" si="4"/>
        <v>-1540282196.5</v>
      </c>
      <c r="O19" s="44">
        <f>+O20+O21</f>
        <v>586564232.5</v>
      </c>
      <c r="P19" s="44">
        <f t="shared" si="4"/>
        <v>1144523678</v>
      </c>
      <c r="Q19" s="44">
        <f t="shared" si="4"/>
        <v>7431361951.5</v>
      </c>
      <c r="R19" s="44">
        <f t="shared" si="4"/>
        <v>8575885629.5</v>
      </c>
      <c r="S19" s="44">
        <f t="shared" si="4"/>
        <v>10035960557.5</v>
      </c>
      <c r="T19" s="44">
        <f t="shared" si="4"/>
        <v>0</v>
      </c>
      <c r="U19" s="44">
        <f>+U20+U21</f>
        <v>873510696</v>
      </c>
      <c r="V19" s="44">
        <f>+V20+V21</f>
        <v>586564232.5</v>
      </c>
      <c r="W19" s="44">
        <f t="shared" si="4"/>
        <v>8575885629.5498514</v>
      </c>
      <c r="X19" s="44"/>
      <c r="Y19" s="44">
        <f>+Y20+Y21</f>
        <v>10035960558.04985</v>
      </c>
      <c r="Z19" s="46">
        <f>+Z20+Z21</f>
        <v>0</v>
      </c>
      <c r="AA19" s="39">
        <f>+Y19/F19</f>
        <v>0.99999999998251266</v>
      </c>
      <c r="AP19" s="2"/>
    </row>
    <row r="20" spans="1:42" ht="15.75" x14ac:dyDescent="0.3">
      <c r="A20" s="40" t="s">
        <v>29</v>
      </c>
      <c r="B20" s="69">
        <v>2085276214.1755028</v>
      </c>
      <c r="C20" s="70">
        <v>107065204</v>
      </c>
      <c r="D20" s="69"/>
      <c r="E20" s="70"/>
      <c r="F20" s="43">
        <f>+SUM(B20:E20)</f>
        <v>2192341418.1755028</v>
      </c>
      <c r="G20" s="47">
        <v>538665144.5</v>
      </c>
      <c r="H20" s="56">
        <v>-538665144.5</v>
      </c>
      <c r="I20" s="57">
        <f>+G20+H20</f>
        <v>0</v>
      </c>
      <c r="J20" s="58">
        <v>1338236305.5</v>
      </c>
      <c r="K20" s="59">
        <v>-464725610</v>
      </c>
      <c r="L20" s="58">
        <f>+J20+K20</f>
        <v>873510695.5</v>
      </c>
      <c r="M20" s="60">
        <v>1142427572.5</v>
      </c>
      <c r="N20" s="59">
        <v>-728179891.5</v>
      </c>
      <c r="O20" s="47">
        <f>+M20+N20</f>
        <v>414247681</v>
      </c>
      <c r="P20" s="47">
        <v>601573203</v>
      </c>
      <c r="Q20" s="47">
        <v>303009838</v>
      </c>
      <c r="R20" s="47">
        <f>+P20+Q20</f>
        <v>904583041</v>
      </c>
      <c r="S20" s="47">
        <f>+I20+L20+O20+R20</f>
        <v>2192341417.5</v>
      </c>
      <c r="T20" s="47"/>
      <c r="U20" s="61">
        <v>873510696</v>
      </c>
      <c r="V20" s="62">
        <v>414247681</v>
      </c>
      <c r="W20" s="61">
        <v>904583041</v>
      </c>
      <c r="X20" s="61"/>
      <c r="Y20" s="47">
        <f>+T20+U20+V20+W20</f>
        <v>2192341418</v>
      </c>
      <c r="Z20" s="57">
        <v>0</v>
      </c>
      <c r="AA20" s="63">
        <f>+Y20/F20</f>
        <v>0.99999999991994737</v>
      </c>
      <c r="AP20" s="2"/>
    </row>
    <row r="21" spans="1:42" ht="15.75" x14ac:dyDescent="0.3">
      <c r="A21" s="40" t="s">
        <v>30</v>
      </c>
      <c r="B21" s="41">
        <v>7079456137.0498514</v>
      </c>
      <c r="C21" s="70">
        <v>764163003</v>
      </c>
      <c r="D21" s="41"/>
      <c r="E21" s="42"/>
      <c r="F21" s="43">
        <f>+SUM(B21:E21)</f>
        <v>7843619140.0498514</v>
      </c>
      <c r="G21" s="47">
        <f>560887850+500000000</f>
        <v>1060887850</v>
      </c>
      <c r="H21" s="56">
        <v>-1060887850</v>
      </c>
      <c r="I21" s="57">
        <f>+G21+H21</f>
        <v>0</v>
      </c>
      <c r="J21" s="58"/>
      <c r="K21" s="59"/>
      <c r="L21" s="58">
        <f>+J21+K21</f>
        <v>0</v>
      </c>
      <c r="M21" s="47">
        <v>984418856.5</v>
      </c>
      <c r="N21" s="59">
        <v>-812102305</v>
      </c>
      <c r="O21" s="47">
        <f>+M21+N21</f>
        <v>172316551.5</v>
      </c>
      <c r="P21" s="47">
        <v>542950475</v>
      </c>
      <c r="Q21" s="47">
        <v>7128352113.5</v>
      </c>
      <c r="R21" s="47">
        <f>+P21+Q21</f>
        <v>7671302588.5</v>
      </c>
      <c r="S21" s="47">
        <f>+I21+L21+O21+R21</f>
        <v>7843619140</v>
      </c>
      <c r="T21" s="47"/>
      <c r="U21" s="43"/>
      <c r="V21" s="62">
        <v>172316551.5</v>
      </c>
      <c r="W21" s="61">
        <v>7671302588.5498514</v>
      </c>
      <c r="X21" s="61"/>
      <c r="Y21" s="47">
        <f>+T21+U21+V21+W21</f>
        <v>7843619140.0498514</v>
      </c>
      <c r="Z21" s="57">
        <f t="shared" si="1"/>
        <v>0</v>
      </c>
      <c r="AA21" s="63">
        <f>+Y21/F21</f>
        <v>1</v>
      </c>
      <c r="AP21" s="2"/>
    </row>
    <row r="22" spans="1:42" ht="15.75" x14ac:dyDescent="0.3">
      <c r="A22" s="40"/>
      <c r="B22" s="41"/>
      <c r="C22" s="42"/>
      <c r="D22" s="41"/>
      <c r="E22" s="42"/>
      <c r="F22" s="43"/>
      <c r="G22" s="47"/>
      <c r="H22" s="56"/>
      <c r="I22" s="57"/>
      <c r="J22" s="47"/>
      <c r="K22" s="68"/>
      <c r="L22" s="47"/>
      <c r="M22" s="47"/>
      <c r="N22" s="47"/>
      <c r="O22" s="47"/>
      <c r="P22" s="47"/>
      <c r="Q22" s="47"/>
      <c r="R22" s="47"/>
      <c r="S22" s="47"/>
      <c r="T22" s="47"/>
      <c r="U22" s="43"/>
      <c r="V22" s="43"/>
      <c r="W22" s="43"/>
      <c r="X22" s="43"/>
      <c r="Y22" s="71"/>
      <c r="Z22" s="48"/>
      <c r="AA22" s="49"/>
      <c r="AP22" s="2"/>
    </row>
    <row r="23" spans="1:42" ht="15.75" x14ac:dyDescent="0.3">
      <c r="A23" s="64" t="s">
        <v>33</v>
      </c>
      <c r="B23" s="65">
        <f>+B25+B29</f>
        <v>2686341951.5108924</v>
      </c>
      <c r="C23" s="65">
        <f t="shared" ref="C23:W23" si="5">+C25+C29</f>
        <v>2495461472</v>
      </c>
      <c r="D23" s="36">
        <f t="shared" si="5"/>
        <v>-85000000</v>
      </c>
      <c r="E23" s="54">
        <f t="shared" si="5"/>
        <v>-2535000000</v>
      </c>
      <c r="F23" s="65">
        <f t="shared" si="5"/>
        <v>2561803423.5108924</v>
      </c>
      <c r="G23" s="65">
        <f t="shared" si="5"/>
        <v>681659258.3648659</v>
      </c>
      <c r="H23" s="72">
        <f t="shared" si="5"/>
        <v>-167651377.36486584</v>
      </c>
      <c r="I23" s="65">
        <f t="shared" si="5"/>
        <v>514007881</v>
      </c>
      <c r="J23" s="65">
        <f t="shared" si="5"/>
        <v>1457219192.5148659</v>
      </c>
      <c r="K23" s="36">
        <f t="shared" si="5"/>
        <v>-748998200.39999998</v>
      </c>
      <c r="L23" s="65">
        <f>+L25+L29</f>
        <v>708220992.1148659</v>
      </c>
      <c r="M23" s="65">
        <f t="shared" si="5"/>
        <v>1718835609.1148658</v>
      </c>
      <c r="N23" s="36">
        <f t="shared" si="5"/>
        <v>-1064413199</v>
      </c>
      <c r="O23" s="73">
        <f>+O25+O29</f>
        <v>654422410.1148659</v>
      </c>
      <c r="P23" s="73">
        <f t="shared" si="5"/>
        <v>775548344.02459764</v>
      </c>
      <c r="Q23" s="73">
        <f t="shared" si="5"/>
        <v>-98227447</v>
      </c>
      <c r="R23" s="73">
        <f t="shared" si="5"/>
        <v>677320897.02459764</v>
      </c>
      <c r="S23" s="73">
        <f t="shared" si="5"/>
        <v>2553972180.2543297</v>
      </c>
      <c r="T23" s="73">
        <f t="shared" si="5"/>
        <v>514007881</v>
      </c>
      <c r="U23" s="73">
        <f t="shared" si="5"/>
        <v>708220992.1148659</v>
      </c>
      <c r="V23" s="73">
        <f t="shared" si="5"/>
        <v>654422410.1148659</v>
      </c>
      <c r="W23" s="73">
        <f t="shared" si="5"/>
        <v>677320897</v>
      </c>
      <c r="X23" s="73"/>
      <c r="Y23" s="73">
        <f>+Y25+Y29</f>
        <v>2553972180.2297316</v>
      </c>
      <c r="Z23" s="65">
        <f t="shared" si="1"/>
        <v>-7831243.2811608315</v>
      </c>
      <c r="AA23" s="39">
        <f>+Y23/F23</f>
        <v>0.99694307408238669</v>
      </c>
      <c r="AP23" s="2"/>
    </row>
    <row r="24" spans="1:42" ht="15.75" x14ac:dyDescent="0.3">
      <c r="A24" s="40"/>
      <c r="B24" s="41"/>
      <c r="C24" s="42"/>
      <c r="D24" s="41"/>
      <c r="E24" s="42"/>
      <c r="F24" s="43"/>
      <c r="G24" s="44"/>
      <c r="H24" s="45"/>
      <c r="I24" s="46"/>
      <c r="J24" s="44"/>
      <c r="K24" s="36"/>
      <c r="L24" s="44"/>
      <c r="M24" s="44"/>
      <c r="N24" s="44"/>
      <c r="O24" s="44"/>
      <c r="P24" s="44"/>
      <c r="Q24" s="44"/>
      <c r="R24" s="44"/>
      <c r="S24" s="47"/>
      <c r="T24" s="47"/>
      <c r="U24" s="43"/>
      <c r="V24" s="43"/>
      <c r="W24" s="43"/>
      <c r="X24" s="43"/>
      <c r="Y24" s="43"/>
      <c r="Z24" s="48">
        <f t="shared" si="1"/>
        <v>0</v>
      </c>
      <c r="AA24" s="49"/>
      <c r="AP24" s="2"/>
    </row>
    <row r="25" spans="1:42" ht="15.75" x14ac:dyDescent="0.3">
      <c r="A25" s="64" t="s">
        <v>34</v>
      </c>
      <c r="B25" s="65">
        <f>SUM(B26:B27)</f>
        <v>283981020.45946342</v>
      </c>
      <c r="C25" s="65">
        <f t="shared" ref="C25:W25" si="6">SUM(C26:C27)</f>
        <v>0</v>
      </c>
      <c r="D25" s="65">
        <f t="shared" si="6"/>
        <v>0</v>
      </c>
      <c r="E25" s="66">
        <f t="shared" si="6"/>
        <v>0</v>
      </c>
      <c r="F25" s="65">
        <f t="shared" si="6"/>
        <v>283981020.45946342</v>
      </c>
      <c r="G25" s="65">
        <f t="shared" si="6"/>
        <v>70995255.114865854</v>
      </c>
      <c r="H25" s="72">
        <f t="shared" si="6"/>
        <v>6395756.8851341456</v>
      </c>
      <c r="I25" s="65">
        <f t="shared" si="6"/>
        <v>77391012</v>
      </c>
      <c r="J25" s="65">
        <f t="shared" si="6"/>
        <v>70995255.114865854</v>
      </c>
      <c r="K25" s="36">
        <f t="shared" si="6"/>
        <v>-394561</v>
      </c>
      <c r="L25" s="65">
        <f t="shared" si="6"/>
        <v>70600694.114865854</v>
      </c>
      <c r="M25" s="65">
        <f t="shared" si="6"/>
        <v>70995255.114865854</v>
      </c>
      <c r="N25" s="36">
        <f t="shared" si="6"/>
        <v>-8293638</v>
      </c>
      <c r="O25" s="73">
        <f>SUM(O26:O27)</f>
        <v>62701617.114865854</v>
      </c>
      <c r="P25" s="73">
        <f t="shared" si="6"/>
        <v>135989314.34459758</v>
      </c>
      <c r="Q25" s="73">
        <f t="shared" si="6"/>
        <v>-73474451.5</v>
      </c>
      <c r="R25" s="73">
        <f t="shared" si="6"/>
        <v>62514862.844597563</v>
      </c>
      <c r="S25" s="73">
        <f t="shared" si="6"/>
        <v>273208186.07432926</v>
      </c>
      <c r="T25" s="73">
        <f t="shared" si="6"/>
        <v>77391012</v>
      </c>
      <c r="U25" s="73">
        <f t="shared" si="6"/>
        <v>70600694.114865854</v>
      </c>
      <c r="V25" s="73">
        <f t="shared" si="6"/>
        <v>62701617.114865854</v>
      </c>
      <c r="W25" s="73">
        <f t="shared" si="6"/>
        <v>62514863</v>
      </c>
      <c r="X25" s="73"/>
      <c r="Y25" s="73">
        <f>SUM(Y26:Y27)</f>
        <v>273208186.22973168</v>
      </c>
      <c r="Z25" s="65">
        <f t="shared" si="1"/>
        <v>-10772834.229731739</v>
      </c>
      <c r="AA25" s="39">
        <f>+Y25/F25</f>
        <v>0.96206494993115399</v>
      </c>
      <c r="AP25" s="2"/>
    </row>
    <row r="26" spans="1:42" ht="15.75" x14ac:dyDescent="0.3">
      <c r="A26" s="40" t="s">
        <v>35</v>
      </c>
      <c r="B26" s="41">
        <v>117384048.41981643</v>
      </c>
      <c r="C26" s="42"/>
      <c r="D26" s="41"/>
      <c r="E26" s="42"/>
      <c r="F26" s="43">
        <f>+SUM(B26:E26)</f>
        <v>117384048.41981643</v>
      </c>
      <c r="G26" s="47">
        <v>29346012.104954109</v>
      </c>
      <c r="H26" s="56">
        <v>-5371394.1049541086</v>
      </c>
      <c r="I26" s="57">
        <f>+G26+H26</f>
        <v>23974618</v>
      </c>
      <c r="J26" s="58">
        <v>29346012.104954109</v>
      </c>
      <c r="K26" s="59">
        <v>-11680786</v>
      </c>
      <c r="L26" s="58">
        <f>+J26+K26</f>
        <v>17665226.104954109</v>
      </c>
      <c r="M26" s="60">
        <v>29346012.104954109</v>
      </c>
      <c r="N26" s="59">
        <v>-15564704</v>
      </c>
      <c r="O26" s="47">
        <f>+M26+N26</f>
        <v>13781308.104954109</v>
      </c>
      <c r="P26" s="47">
        <v>75744204.314862326</v>
      </c>
      <c r="Q26" s="47">
        <v>-65591165</v>
      </c>
      <c r="R26" s="47">
        <f>+P26+Q26</f>
        <v>10153039.314862326</v>
      </c>
      <c r="S26" s="47">
        <f>+I26+L26+O26+R26</f>
        <v>65574191.524770543</v>
      </c>
      <c r="T26" s="47">
        <f>+'[1]ANEXO INGRESOS'!C27</f>
        <v>23974618</v>
      </c>
      <c r="U26" s="43">
        <v>17665226.104954109</v>
      </c>
      <c r="V26" s="62">
        <v>13781308.104954109</v>
      </c>
      <c r="W26" s="61">
        <f>+'[1]ANEXO INGRESOS'!F27</f>
        <v>10153039</v>
      </c>
      <c r="X26" s="61"/>
      <c r="Y26" s="47">
        <f>+T26+U26+V26+W26</f>
        <v>65574191.209908217</v>
      </c>
      <c r="Z26" s="57">
        <f t="shared" si="1"/>
        <v>-51809857.209908217</v>
      </c>
      <c r="AA26" s="63">
        <f>+Y26/F26</f>
        <v>0.55862949091163028</v>
      </c>
      <c r="AP26" s="2"/>
    </row>
    <row r="27" spans="1:42" ht="15.75" x14ac:dyDescent="0.3">
      <c r="A27" s="40" t="s">
        <v>36</v>
      </c>
      <c r="B27" s="41">
        <v>166596972.03964698</v>
      </c>
      <c r="C27" s="42"/>
      <c r="D27" s="41">
        <v>0</v>
      </c>
      <c r="E27" s="42"/>
      <c r="F27" s="43">
        <f>+SUM(B27:E27)</f>
        <v>166596972.03964698</v>
      </c>
      <c r="G27" s="47">
        <v>41649243.009911746</v>
      </c>
      <c r="H27" s="56">
        <v>11767150.990088254</v>
      </c>
      <c r="I27" s="57">
        <f>+G27+H27</f>
        <v>53416394</v>
      </c>
      <c r="J27" s="58">
        <v>41649243.009911746</v>
      </c>
      <c r="K27" s="59">
        <v>11286225</v>
      </c>
      <c r="L27" s="58">
        <f>+J27+K27</f>
        <v>52935468.009911746</v>
      </c>
      <c r="M27" s="60">
        <v>41649243.009911746</v>
      </c>
      <c r="N27" s="59">
        <v>7271066</v>
      </c>
      <c r="O27" s="47">
        <f>+M27+N27</f>
        <v>48920309.009911746</v>
      </c>
      <c r="P27" s="47">
        <v>60245110.029735237</v>
      </c>
      <c r="Q27" s="47">
        <v>-7883286.5</v>
      </c>
      <c r="R27" s="47">
        <f>+P27+Q27</f>
        <v>52361823.529735237</v>
      </c>
      <c r="S27" s="47">
        <f>+I27+L27+O27+R27</f>
        <v>207633994.54955873</v>
      </c>
      <c r="T27" s="47">
        <f>+'[1]ANEXO INGRESOS'!C50</f>
        <v>53416394</v>
      </c>
      <c r="U27" s="43">
        <v>52935468.009911746</v>
      </c>
      <c r="V27" s="62">
        <v>48920309.009911746</v>
      </c>
      <c r="W27" s="61">
        <f>+'[1]ANEXO INGRESOS'!F50</f>
        <v>52361824</v>
      </c>
      <c r="X27" s="61"/>
      <c r="Y27" s="47">
        <f>+T27+U27+V27+W27</f>
        <v>207633995.01982349</v>
      </c>
      <c r="Z27" s="57">
        <f t="shared" si="1"/>
        <v>41037022.980176508</v>
      </c>
      <c r="AA27" s="63">
        <f>+Y27/F27</f>
        <v>1.2463251431149089</v>
      </c>
      <c r="AP27" s="2"/>
    </row>
    <row r="28" spans="1:42" ht="15.75" x14ac:dyDescent="0.3">
      <c r="A28" s="40"/>
      <c r="B28" s="41"/>
      <c r="C28" s="42"/>
      <c r="D28" s="41"/>
      <c r="E28" s="42"/>
      <c r="F28" s="43"/>
      <c r="G28" s="47"/>
      <c r="H28" s="56"/>
      <c r="I28" s="57"/>
      <c r="J28" s="47"/>
      <c r="K28" s="68"/>
      <c r="L28" s="47"/>
      <c r="M28" s="47"/>
      <c r="N28" s="47"/>
      <c r="O28" s="47"/>
      <c r="P28" s="47"/>
      <c r="Q28" s="47"/>
      <c r="R28" s="47"/>
      <c r="S28" s="47"/>
      <c r="T28" s="47"/>
      <c r="U28" s="43"/>
      <c r="V28" s="43"/>
      <c r="W28" s="43"/>
      <c r="X28" s="43"/>
      <c r="Y28" s="47"/>
      <c r="Z28" s="48">
        <f t="shared" si="1"/>
        <v>0</v>
      </c>
      <c r="AA28" s="49"/>
      <c r="AP28" s="2"/>
    </row>
    <row r="29" spans="1:42" ht="15.75" x14ac:dyDescent="0.3">
      <c r="A29" s="64" t="s">
        <v>37</v>
      </c>
      <c r="B29" s="65">
        <f>+VTAS2005+B31+B32+B33+B34+B35</f>
        <v>2402360931.0514288</v>
      </c>
      <c r="C29" s="65">
        <f>SUM(C30:C35)</f>
        <v>2495461472</v>
      </c>
      <c r="D29" s="36">
        <f>SUM(D30:D35)</f>
        <v>-85000000</v>
      </c>
      <c r="E29" s="54">
        <f>SUM(E30:E35)</f>
        <v>-2535000000</v>
      </c>
      <c r="F29" s="73">
        <f>SUM(F30:F35)</f>
        <v>2277822403.0514288</v>
      </c>
      <c r="G29" s="73">
        <f t="shared" ref="G29:W29" si="7">SUM(G30:G35)</f>
        <v>610664003.25</v>
      </c>
      <c r="H29" s="36">
        <f t="shared" si="7"/>
        <v>-174047134.25</v>
      </c>
      <c r="I29" s="73">
        <f t="shared" si="7"/>
        <v>436616869</v>
      </c>
      <c r="J29" s="73">
        <f t="shared" si="7"/>
        <v>1386223937.4000001</v>
      </c>
      <c r="K29" s="36">
        <f t="shared" si="7"/>
        <v>-748603639.39999998</v>
      </c>
      <c r="L29" s="73">
        <f>SUM(L30:L35)</f>
        <v>637620298</v>
      </c>
      <c r="M29" s="73">
        <f t="shared" si="7"/>
        <v>1647840354</v>
      </c>
      <c r="N29" s="36">
        <f t="shared" si="7"/>
        <v>-1056119561</v>
      </c>
      <c r="O29" s="73">
        <f>SUM(O30:O35)</f>
        <v>591720793</v>
      </c>
      <c r="P29" s="73">
        <f t="shared" si="7"/>
        <v>639559029.68000007</v>
      </c>
      <c r="Q29" s="73">
        <f t="shared" si="7"/>
        <v>-24752995.5</v>
      </c>
      <c r="R29" s="73">
        <f t="shared" si="7"/>
        <v>614806034.18000007</v>
      </c>
      <c r="S29" s="73">
        <f t="shared" si="7"/>
        <v>2280763994.1800003</v>
      </c>
      <c r="T29" s="73">
        <f t="shared" si="7"/>
        <v>436616869</v>
      </c>
      <c r="U29" s="73">
        <f t="shared" si="7"/>
        <v>637620298</v>
      </c>
      <c r="V29" s="73">
        <f t="shared" si="7"/>
        <v>591720793</v>
      </c>
      <c r="W29" s="73">
        <f t="shared" si="7"/>
        <v>614806034</v>
      </c>
      <c r="X29" s="73"/>
      <c r="Y29" s="73">
        <f>SUM(Y30:Y35)</f>
        <v>2280763994</v>
      </c>
      <c r="Z29" s="73">
        <f t="shared" si="1"/>
        <v>2941590.9485712051</v>
      </c>
      <c r="AA29" s="74">
        <f>IFERROR(Y29/O29,0)</f>
        <v>3.8544597739021822</v>
      </c>
      <c r="AP29" s="2"/>
    </row>
    <row r="30" spans="1:42" ht="15.75" x14ac:dyDescent="0.3">
      <c r="A30" s="40" t="s">
        <v>38</v>
      </c>
      <c r="B30" s="41">
        <v>1432685040</v>
      </c>
      <c r="C30" s="42"/>
      <c r="D30" s="41"/>
      <c r="E30" s="42"/>
      <c r="F30" s="43">
        <f>+SUM(B30:E30)</f>
        <v>1432685040</v>
      </c>
      <c r="G30" s="47">
        <v>365208467</v>
      </c>
      <c r="H30" s="56">
        <v>-33053695</v>
      </c>
      <c r="I30" s="57">
        <f t="shared" ref="I30:I35" si="8">+G30+H30</f>
        <v>332154772</v>
      </c>
      <c r="J30" s="47">
        <v>366242643</v>
      </c>
      <c r="K30" s="59">
        <f>81892547-847777</f>
        <v>81044770</v>
      </c>
      <c r="L30" s="58">
        <f t="shared" ref="L30:L35" si="9">+J30+K30</f>
        <v>447287413</v>
      </c>
      <c r="M30" s="47">
        <v>338015300</v>
      </c>
      <c r="N30" s="47">
        <v>49840658</v>
      </c>
      <c r="O30" s="47">
        <f t="shared" ref="O30:O35" si="10">+M30+N30</f>
        <v>387855958</v>
      </c>
      <c r="P30" s="47">
        <v>315227555</v>
      </c>
      <c r="Q30" s="47">
        <v>76261626.5</v>
      </c>
      <c r="R30" s="47">
        <f>+P30+Q30</f>
        <v>391489181.5</v>
      </c>
      <c r="S30" s="47">
        <f t="shared" ref="S30:S35" si="11">+I30+L30+O30+R30</f>
        <v>1558787324.5</v>
      </c>
      <c r="T30" s="47">
        <f>+[2]Hoja1!$F$29</f>
        <v>332154772</v>
      </c>
      <c r="U30" s="43">
        <v>447287413</v>
      </c>
      <c r="V30" s="62">
        <v>387855958</v>
      </c>
      <c r="W30" s="61">
        <v>391489182</v>
      </c>
      <c r="X30" s="47"/>
      <c r="Y30" s="47">
        <f t="shared" ref="Y30:Y35" si="12">+T30+U30+V30+W30</f>
        <v>1558787325</v>
      </c>
      <c r="Z30" s="59">
        <f t="shared" si="1"/>
        <v>126102285</v>
      </c>
      <c r="AA30" s="63">
        <f>+Y30/F30</f>
        <v>1.0880181487760912</v>
      </c>
      <c r="AP30" s="2"/>
    </row>
    <row r="31" spans="1:42" ht="15.75" x14ac:dyDescent="0.3">
      <c r="A31" s="75" t="s">
        <v>39</v>
      </c>
      <c r="B31" s="76">
        <v>14266640.571428571</v>
      </c>
      <c r="C31" s="77"/>
      <c r="D31" s="76"/>
      <c r="E31" s="77"/>
      <c r="F31" s="43">
        <f>+SUM(B31:E31)</f>
        <v>14266640.571428571</v>
      </c>
      <c r="G31" s="78">
        <v>12449686</v>
      </c>
      <c r="H31" s="79">
        <v>-6622151</v>
      </c>
      <c r="I31" s="80">
        <f t="shared" si="8"/>
        <v>5827535</v>
      </c>
      <c r="J31" s="78">
        <v>1816955</v>
      </c>
      <c r="K31" s="59">
        <v>24803250</v>
      </c>
      <c r="L31" s="58">
        <f t="shared" si="9"/>
        <v>26620205</v>
      </c>
      <c r="M31" s="78">
        <v>0</v>
      </c>
      <c r="N31" s="78">
        <f>+'[1]ANEXO INGRESOS'!E14</f>
        <v>26209644</v>
      </c>
      <c r="O31" s="47">
        <f t="shared" si="10"/>
        <v>26209644</v>
      </c>
      <c r="P31" s="47">
        <v>19552461</v>
      </c>
      <c r="Q31" s="47">
        <v>26748720</v>
      </c>
      <c r="R31" s="47">
        <f>+P31+Q31</f>
        <v>46301181</v>
      </c>
      <c r="S31" s="78">
        <f t="shared" si="11"/>
        <v>104958565</v>
      </c>
      <c r="T31" s="78">
        <f>+'[1]ANEXO INGRESOS'!C14</f>
        <v>5827535</v>
      </c>
      <c r="U31" s="81">
        <v>26620205</v>
      </c>
      <c r="V31" s="62">
        <v>26209644</v>
      </c>
      <c r="W31" s="61">
        <f>+'[1]ANEXO INGRESOS'!F14</f>
        <v>46301181</v>
      </c>
      <c r="X31" s="61"/>
      <c r="Y31" s="47">
        <f t="shared" si="12"/>
        <v>104958565</v>
      </c>
      <c r="Z31" s="59">
        <f t="shared" si="1"/>
        <v>90691924.428571433</v>
      </c>
      <c r="AA31" s="63">
        <f>+Y31/F31</f>
        <v>7.3569222182689442</v>
      </c>
      <c r="AP31" s="2"/>
    </row>
    <row r="32" spans="1:42" ht="15.75" x14ac:dyDescent="0.3">
      <c r="A32" s="75" t="s">
        <v>40</v>
      </c>
      <c r="B32" s="76">
        <v>5304017.4800000004</v>
      </c>
      <c r="C32" s="77"/>
      <c r="D32" s="76"/>
      <c r="E32" s="77"/>
      <c r="F32" s="43">
        <f>+SUM(B32:E32)</f>
        <v>5304017.4800000004</v>
      </c>
      <c r="G32" s="78">
        <v>2304017</v>
      </c>
      <c r="H32" s="79">
        <v>-1647038</v>
      </c>
      <c r="I32" s="80">
        <f t="shared" si="8"/>
        <v>656979</v>
      </c>
      <c r="J32" s="78">
        <v>3000000</v>
      </c>
      <c r="K32" s="59">
        <v>-2422100</v>
      </c>
      <c r="L32" s="58">
        <f t="shared" si="9"/>
        <v>577900</v>
      </c>
      <c r="M32" s="78">
        <v>0</v>
      </c>
      <c r="N32" s="78">
        <v>503260</v>
      </c>
      <c r="O32" s="47">
        <f t="shared" si="10"/>
        <v>503260</v>
      </c>
      <c r="P32" s="47">
        <v>3565878.4800000004</v>
      </c>
      <c r="Q32" s="47">
        <v>12509852</v>
      </c>
      <c r="R32" s="47">
        <f>+P32+Q32</f>
        <v>16075730.48</v>
      </c>
      <c r="S32" s="78">
        <f t="shared" si="11"/>
        <v>17813869.48</v>
      </c>
      <c r="T32" s="78">
        <f>+'[1]ANEXO INGRESOS'!C60</f>
        <v>656979</v>
      </c>
      <c r="U32" s="81">
        <v>577900</v>
      </c>
      <c r="V32" s="62">
        <v>503260</v>
      </c>
      <c r="W32" s="61">
        <f>+'[1]ANEXO INGRESOS'!F60</f>
        <v>16075730</v>
      </c>
      <c r="X32" s="61"/>
      <c r="Y32" s="47">
        <f t="shared" si="12"/>
        <v>17813869</v>
      </c>
      <c r="Z32" s="57">
        <f t="shared" si="1"/>
        <v>12509851.52</v>
      </c>
      <c r="AA32" s="63">
        <f>+Y32/F32</f>
        <v>3.358561518164529</v>
      </c>
      <c r="AP32" s="2"/>
    </row>
    <row r="33" spans="1:42" ht="15.75" x14ac:dyDescent="0.3">
      <c r="A33" s="75" t="s">
        <v>41</v>
      </c>
      <c r="B33" s="76">
        <v>109017973</v>
      </c>
      <c r="C33" s="77"/>
      <c r="D33" s="76"/>
      <c r="E33" s="77">
        <v>0</v>
      </c>
      <c r="F33" s="43">
        <f>+SUM(B33:E33)</f>
        <v>109017973</v>
      </c>
      <c r="G33" s="78">
        <v>20204704</v>
      </c>
      <c r="H33" s="79">
        <v>37426123</v>
      </c>
      <c r="I33" s="80">
        <f t="shared" si="8"/>
        <v>57630827</v>
      </c>
      <c r="J33" s="78">
        <v>32754704</v>
      </c>
      <c r="K33" s="59">
        <v>3380076</v>
      </c>
      <c r="L33" s="58">
        <f t="shared" si="9"/>
        <v>36134780</v>
      </c>
      <c r="M33" s="82">
        <v>41204704</v>
      </c>
      <c r="N33" s="59">
        <v>11578796</v>
      </c>
      <c r="O33" s="47">
        <f t="shared" si="10"/>
        <v>52783500</v>
      </c>
      <c r="P33" s="47">
        <v>43817353.200000003</v>
      </c>
      <c r="Q33" s="47">
        <v>6366878</v>
      </c>
      <c r="R33" s="47">
        <f>+P33+Q33</f>
        <v>50184231.200000003</v>
      </c>
      <c r="S33" s="78">
        <f t="shared" si="11"/>
        <v>196733338.19999999</v>
      </c>
      <c r="T33" s="78">
        <f>+'[1]ANEXO INGRESOS'!C35</f>
        <v>57630827</v>
      </c>
      <c r="U33" s="81">
        <v>36134780</v>
      </c>
      <c r="V33" s="62">
        <v>52783500</v>
      </c>
      <c r="W33" s="61">
        <f>+'[1]ANEXO INGRESOS'!F35</f>
        <v>50184231</v>
      </c>
      <c r="X33" s="61"/>
      <c r="Y33" s="47">
        <f t="shared" si="12"/>
        <v>196733338</v>
      </c>
      <c r="Z33" s="59">
        <f t="shared" si="1"/>
        <v>87715365</v>
      </c>
      <c r="AA33" s="63">
        <f>+Y33/F33</f>
        <v>1.8045954495961871</v>
      </c>
      <c r="AP33" s="2"/>
    </row>
    <row r="34" spans="1:42" ht="15.75" x14ac:dyDescent="0.3">
      <c r="A34" s="75" t="s">
        <v>42</v>
      </c>
      <c r="B34" s="76">
        <v>841087260</v>
      </c>
      <c r="C34" s="77">
        <f>57298000+91273150+2450000000-103109678</f>
        <v>2495461472</v>
      </c>
      <c r="D34" s="83">
        <f>10000000-85000000-10000000</f>
        <v>-85000000</v>
      </c>
      <c r="E34" s="77">
        <f>-85000000-2450000000</f>
        <v>-2535000000</v>
      </c>
      <c r="F34" s="43">
        <f>+SUM(B34:E34)</f>
        <v>716548732</v>
      </c>
      <c r="G34" s="78">
        <v>210497129.25</v>
      </c>
      <c r="H34" s="79">
        <v>-170150373.25</v>
      </c>
      <c r="I34" s="80">
        <f t="shared" si="8"/>
        <v>40346756</v>
      </c>
      <c r="J34" s="84">
        <v>982409635.39999998</v>
      </c>
      <c r="K34" s="59">
        <v>-855409635.39999998</v>
      </c>
      <c r="L34" s="58">
        <f t="shared" si="9"/>
        <v>127000000</v>
      </c>
      <c r="M34" s="78">
        <v>1268620350</v>
      </c>
      <c r="N34" s="59">
        <v>-1144251919</v>
      </c>
      <c r="O34" s="47">
        <f t="shared" si="10"/>
        <v>124368431</v>
      </c>
      <c r="P34" s="47">
        <v>257395782</v>
      </c>
      <c r="Q34" s="47">
        <v>-146640072</v>
      </c>
      <c r="R34" s="47">
        <f>+P34+Q34</f>
        <v>110755710</v>
      </c>
      <c r="S34" s="78">
        <f t="shared" si="11"/>
        <v>402470897</v>
      </c>
      <c r="T34" s="78">
        <f>+'[1]ANEXO INGRESOS'!C46</f>
        <v>40346756</v>
      </c>
      <c r="U34" s="81">
        <v>127000000</v>
      </c>
      <c r="V34" s="62">
        <v>124368431</v>
      </c>
      <c r="W34" s="61">
        <f>+'[1]ANEXO INGRESOS'!F46</f>
        <v>110755710</v>
      </c>
      <c r="X34" s="61"/>
      <c r="Y34" s="47">
        <f t="shared" si="12"/>
        <v>402470897</v>
      </c>
      <c r="Z34" s="57">
        <f t="shared" si="1"/>
        <v>-314077835</v>
      </c>
      <c r="AA34" s="63">
        <f>+Y34/F34</f>
        <v>0.56167972815560019</v>
      </c>
      <c r="AP34" s="2"/>
    </row>
    <row r="35" spans="1:42" ht="15.75" x14ac:dyDescent="0.3">
      <c r="A35" s="75" t="s">
        <v>43</v>
      </c>
      <c r="B35" s="76">
        <v>0</v>
      </c>
      <c r="C35" s="77"/>
      <c r="D35" s="76"/>
      <c r="E35" s="77"/>
      <c r="F35" s="43">
        <f>+SUM(B35:D35)</f>
        <v>0</v>
      </c>
      <c r="G35" s="78"/>
      <c r="H35" s="85">
        <v>0</v>
      </c>
      <c r="I35" s="80">
        <f t="shared" si="8"/>
        <v>0</v>
      </c>
      <c r="J35" s="84"/>
      <c r="K35" s="84"/>
      <c r="L35" s="58">
        <f t="shared" si="9"/>
        <v>0</v>
      </c>
      <c r="M35" s="78"/>
      <c r="N35" s="78"/>
      <c r="O35" s="47">
        <f t="shared" si="10"/>
        <v>0</v>
      </c>
      <c r="P35" s="47"/>
      <c r="Q35" s="47"/>
      <c r="R35" s="47"/>
      <c r="S35" s="78">
        <f t="shared" si="11"/>
        <v>0</v>
      </c>
      <c r="T35" s="78"/>
      <c r="U35" s="81">
        <v>0</v>
      </c>
      <c r="V35" s="86"/>
      <c r="W35" s="61"/>
      <c r="X35" s="61"/>
      <c r="Y35" s="47">
        <f t="shared" si="12"/>
        <v>0</v>
      </c>
      <c r="Z35" s="57">
        <f t="shared" si="1"/>
        <v>0</v>
      </c>
      <c r="AA35" s="63">
        <f>IFERROR(Y35/F35,0)</f>
        <v>0</v>
      </c>
      <c r="AP35" s="2"/>
    </row>
    <row r="36" spans="1:42" ht="16.5" thickBot="1" x14ac:dyDescent="0.35">
      <c r="A36" s="75"/>
      <c r="B36" s="76"/>
      <c r="C36" s="77"/>
      <c r="D36" s="76"/>
      <c r="E36" s="77"/>
      <c r="F36" s="81"/>
      <c r="G36" s="78"/>
      <c r="H36" s="85"/>
      <c r="I36" s="80"/>
      <c r="J36" s="84"/>
      <c r="K36" s="84"/>
      <c r="L36" s="84"/>
      <c r="M36" s="78"/>
      <c r="N36" s="78"/>
      <c r="O36" s="78"/>
      <c r="P36" s="78"/>
      <c r="Q36" s="78"/>
      <c r="R36" s="78"/>
      <c r="S36" s="78"/>
      <c r="T36" s="78"/>
      <c r="U36" s="81"/>
      <c r="V36" s="81"/>
      <c r="W36" s="81"/>
      <c r="X36" s="81"/>
      <c r="Y36" s="81"/>
      <c r="Z36" s="87">
        <f t="shared" si="1"/>
        <v>0</v>
      </c>
      <c r="AA36" s="88"/>
      <c r="AP36" s="2"/>
    </row>
    <row r="37" spans="1:42" ht="16.5" thickBot="1" x14ac:dyDescent="0.35">
      <c r="A37" s="89" t="s">
        <v>44</v>
      </c>
      <c r="B37" s="90">
        <f t="shared" ref="B37:H37" si="13">+B23+B9</f>
        <v>31709045469.136246</v>
      </c>
      <c r="C37" s="90">
        <f t="shared" si="13"/>
        <v>3366689679</v>
      </c>
      <c r="D37" s="90">
        <f t="shared" si="13"/>
        <v>-85000000</v>
      </c>
      <c r="E37" s="91">
        <f t="shared" si="13"/>
        <v>-2535000000</v>
      </c>
      <c r="F37" s="90">
        <f t="shared" si="13"/>
        <v>32455735148.136246</v>
      </c>
      <c r="G37" s="90">
        <f t="shared" si="13"/>
        <v>6765026687.8648663</v>
      </c>
      <c r="H37" s="92">
        <f t="shared" si="13"/>
        <v>-1646661056.8648658</v>
      </c>
      <c r="I37" s="90">
        <f>+G37+H37</f>
        <v>5118365631</v>
      </c>
      <c r="J37" s="90">
        <f>+J23+J9</f>
        <v>7687466433.0148659</v>
      </c>
      <c r="K37" s="92">
        <f>+K23+K9</f>
        <v>-1289066885.4000001</v>
      </c>
      <c r="L37" s="90">
        <f>+J37+K37</f>
        <v>6398399547.6148663</v>
      </c>
      <c r="M37" s="90">
        <f>+M23+M9</f>
        <v>8798875554.1148663</v>
      </c>
      <c r="N37" s="92">
        <f>+N23+N9</f>
        <v>-1953031962.5</v>
      </c>
      <c r="O37" s="90">
        <f>+M37+N37</f>
        <v>6845843591.6148663</v>
      </c>
      <c r="P37" s="90">
        <f>+P23+P9</f>
        <v>7315411903.4245968</v>
      </c>
      <c r="Q37" s="93">
        <f>+Q23+Q9</f>
        <v>8409974793.5</v>
      </c>
      <c r="R37" s="93">
        <f>+P37+Q37</f>
        <v>15725386696.924597</v>
      </c>
      <c r="S37" s="90">
        <f>+I37+L37+O37+R37</f>
        <v>34087995467.154327</v>
      </c>
      <c r="T37" s="90">
        <f t="shared" ref="T37:Y37" si="14">+T23+T9</f>
        <v>5118365631</v>
      </c>
      <c r="U37" s="90">
        <f t="shared" si="14"/>
        <v>6398399548.1148663</v>
      </c>
      <c r="V37" s="90">
        <f t="shared" si="14"/>
        <v>6845843591.6148663</v>
      </c>
      <c r="W37" s="90">
        <f t="shared" si="14"/>
        <v>15725386696.54985</v>
      </c>
      <c r="X37" s="90">
        <f t="shared" si="14"/>
        <v>0</v>
      </c>
      <c r="Y37" s="90">
        <f t="shared" si="14"/>
        <v>34087995467.279583</v>
      </c>
      <c r="Z37" s="92">
        <f t="shared" si="1"/>
        <v>1632260319.1433372</v>
      </c>
      <c r="AA37" s="94">
        <f>+Y37/F37</f>
        <v>1.0502918917625279</v>
      </c>
      <c r="AP37" s="2"/>
    </row>
    <row r="38" spans="1:42" x14ac:dyDescent="0.3">
      <c r="A38"/>
      <c r="I38" s="95">
        <f>+I37/F37</f>
        <v>0.1577029639796626</v>
      </c>
      <c r="L38" s="95">
        <f>+(I37+L37)/F37</f>
        <v>0.35484530318137658</v>
      </c>
      <c r="O38" s="95">
        <f>+(I37+L37+O37)/F37</f>
        <v>0.56577392828780826</v>
      </c>
      <c r="R38" s="95">
        <f>+((I37+L37+O37+R37)/F37)</f>
        <v>1.0502918917586685</v>
      </c>
      <c r="T38" s="8"/>
      <c r="U38" s="8"/>
    </row>
    <row r="39" spans="1:42" ht="15.75" x14ac:dyDescent="0.3">
      <c r="A39"/>
      <c r="F39" s="96"/>
      <c r="X39" s="97"/>
    </row>
    <row r="40" spans="1:42" ht="15.75" x14ac:dyDescent="0.3">
      <c r="A40"/>
      <c r="F40" s="96"/>
      <c r="X40" s="97"/>
    </row>
    <row r="41" spans="1:42" ht="15.75" x14ac:dyDescent="0.3">
      <c r="A41"/>
      <c r="X41" s="98"/>
    </row>
    <row r="42" spans="1:42" ht="15.75" x14ac:dyDescent="0.3">
      <c r="A42"/>
      <c r="X42" s="99"/>
    </row>
    <row r="43" spans="1:42" ht="15.75" x14ac:dyDescent="0.3">
      <c r="A43"/>
      <c r="F43" s="96"/>
      <c r="X43" s="100"/>
    </row>
    <row r="44" spans="1:42" ht="15.75" x14ac:dyDescent="0.3">
      <c r="A44"/>
      <c r="F44" s="96"/>
      <c r="X44" s="97"/>
    </row>
    <row r="45" spans="1:42" ht="15.75" x14ac:dyDescent="0.3">
      <c r="A45"/>
      <c r="X45" s="98"/>
    </row>
    <row r="46" spans="1:42" x14ac:dyDescent="0.3">
      <c r="A46"/>
    </row>
    <row r="47" spans="1:42" x14ac:dyDescent="0.3">
      <c r="A47"/>
    </row>
    <row r="48" spans="1:42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</sheetData>
  <mergeCells count="18">
    <mergeCell ref="Z6:Z8"/>
    <mergeCell ref="AA6:AA8"/>
    <mergeCell ref="K6:K8"/>
    <mergeCell ref="N6:N8"/>
    <mergeCell ref="Q6:Q8"/>
    <mergeCell ref="S6:S8"/>
    <mergeCell ref="X6:X8"/>
    <mergeCell ref="Y6:Y8"/>
    <mergeCell ref="A2:Z2"/>
    <mergeCell ref="A3:Z3"/>
    <mergeCell ref="A4:Z4"/>
    <mergeCell ref="A6:A8"/>
    <mergeCell ref="B6:B8"/>
    <mergeCell ref="C6:C8"/>
    <mergeCell ref="D6:D8"/>
    <mergeCell ref="E6:E8"/>
    <mergeCell ref="F6:F8"/>
    <mergeCell ref="H6:H8"/>
  </mergeCells>
  <pageMargins left="0.59055118110236227" right="0" top="0.19685039370078741" bottom="0.19685039370078741" header="0" footer="0"/>
  <pageSetup scale="8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 1</vt:lpstr>
      <vt:lpstr>'Anexo  1'!Área_de_impresión</vt:lpstr>
      <vt:lpstr>'Anexo  1'!CUOTAPPC2005</vt:lpstr>
      <vt:lpstr>'Anexo  1'!VTAS2005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2019-10-16T19:11:25Z</dcterms:created>
  <dcterms:modified xsi:type="dcterms:W3CDTF">2019-10-16T19:12:18Z</dcterms:modified>
</cp:coreProperties>
</file>