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ño 2020\información y soportes ley de transparencia 2020\6.PLANEACIÓN\6.3 Programas y proyectos en ejecución\2019\Gasto\"/>
    </mc:Choice>
  </mc:AlternateContent>
  <xr:revisionPtr revIDLastSave="0" documentId="8_{C67C3E0A-436F-4D0C-AB3C-04DA7D29B232}" xr6:coauthVersionLast="45" xr6:coauthVersionMax="45" xr10:uidLastSave="{00000000-0000-0000-0000-000000000000}"/>
  <bookViews>
    <workbookView xWindow="-120" yWindow="-120" windowWidth="20730" windowHeight="11160" xr2:uid="{699320BD-48FB-4E8C-AF23-03BE8AE9DFFF}"/>
  </bookViews>
  <sheets>
    <sheet name="Anexo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#REF!</definedName>
    <definedName name="_xlnm._FilterDatabase" hidden="1">#REF!</definedName>
    <definedName name="ANEXO" localSheetId="0" hidden="1">'[7]Inversión total en programas'!$50:$50,'[7]Inversión total en programas'!$60:$63</definedName>
    <definedName name="ANEXO" hidden="1">'[8]Inversión total en programas'!$50:$50,'[8]Inversión total en programas'!$60:$63</definedName>
    <definedName name="_xlnm.Print_Area" localSheetId="0">'Anexo 2'!$A$1:$Y$194</definedName>
    <definedName name="_xlnm.Print_Area">#REF!</definedName>
    <definedName name="AREAS" localSheetId="0">#REF!</definedName>
    <definedName name="AREAS">#REF!</definedName>
    <definedName name="ASISCALLCENTER" localSheetId="0">#REF!</definedName>
    <definedName name="ASISCALLCENTER">#REF!</definedName>
    <definedName name="ASISCONTABPPC" localSheetId="0">#REF!</definedName>
    <definedName name="ASISCONTABPPC">#REF!</definedName>
    <definedName name="ASISDESPACHOS" localSheetId="0">#REF!</definedName>
    <definedName name="ASISDESPACHOS">#REF!</definedName>
    <definedName name="ASISICA" localSheetId="0">#REF!</definedName>
    <definedName name="ASISICA">#REF!</definedName>
    <definedName name="AUXBODEGA" localSheetId="0">#REF!</definedName>
    <definedName name="AUXBODEGA">#REF!</definedName>
    <definedName name="cabezas" localSheetId="0">'[9]Anexo 1 Minagricultura'!#REF!</definedName>
    <definedName name="cabezas">'[10]Anexo 1 Minagricultura'!#REF!</definedName>
    <definedName name="CABEZAS_PROYEC" localSheetId="0">'[11]Anexo 1 Minagricultura'!$C$46</definedName>
    <definedName name="CABEZAS_PROYEC">'[12]Anexo 1 Minagricultura'!#REF!</definedName>
    <definedName name="CONTRATOS" localSheetId="0">#REF!</definedName>
    <definedName name="CONTRATOS">#REF!</definedName>
    <definedName name="CUOTAPPC2005" localSheetId="0">'[11]Anexo 1 Minagricultura'!#REF!</definedName>
    <definedName name="CUOTAPPC2005">'[12]Anexo 1 Minagricultura'!#REF!</definedName>
    <definedName name="CUOTAPPC2013" localSheetId="0">'[11]Anexo 1 Minagricultura'!#REF!</definedName>
    <definedName name="CUOTAPPC2013">'[13]Anexo 1 Minagricultura'!#REF!</definedName>
    <definedName name="CUOTAPPC203" localSheetId="0">'[11]Anexo 1 Minagricultura'!#REF!</definedName>
    <definedName name="CUOTAPPC203">'[13]Anexo 1 Minagricultura'!#REF!</definedName>
    <definedName name="DIAG_PPC" localSheetId="0">#REF!</definedName>
    <definedName name="DIAG_PPC">'[8]Inversión total en programas'!$B$86</definedName>
    <definedName name="DIRECCION">[14]consecutivo!$M$9:$M$13</definedName>
    <definedName name="DISTRIBUIDOR" localSheetId="0">#REF!</definedName>
    <definedName name="DISTRIBUIDOR">#REF!</definedName>
    <definedName name="Dólar" localSheetId="0">#REF!</definedName>
    <definedName name="Dólar">#REF!</definedName>
    <definedName name="eeeee" localSheetId="0">'[11]Ejecución ingresos 2014'!#REF!</definedName>
    <definedName name="eeeee">#REF!</definedName>
    <definedName name="EPPC" localSheetId="0">'[11]Anexo 1 Minagricultura'!$C$54</definedName>
    <definedName name="EPPC">'[12]Anexo 1 Minagricultura'!#REF!</definedName>
    <definedName name="Euro" localSheetId="0">#REF!</definedName>
    <definedName name="Euro">#REF!</definedName>
    <definedName name="FDGFDG" localSheetId="0">#REF!</definedName>
    <definedName name="FDGFDG">#REF!</definedName>
    <definedName name="FECHA_DE_RECIBIDO">[15]BASE!$E$3:$E$177</definedName>
    <definedName name="FOMENTO" localSheetId="0">'[11]Anexo 1 Minagricultura'!$C$53</definedName>
    <definedName name="FOMENTO">'[12]Anexo 1 Minagricultura'!#REF!</definedName>
    <definedName name="FOMENTOS" localSheetId="0">'[16]Anexo 1 Minagricultura'!$C$51</definedName>
    <definedName name="FOMENTOS">'[17]Anexo 1 Minagricultura'!$C$51</definedName>
    <definedName name="fondo" localSheetId="0">#REF!</definedName>
    <definedName name="fondo">#REF!</definedName>
    <definedName name="GTOSEPPC" localSheetId="0">#REF!</definedName>
    <definedName name="GTOSEPPC">'[8]Inversión total en programas'!$C$35</definedName>
    <definedName name="HONORAUDI_JURIDIC" localSheetId="0">#REF!</definedName>
    <definedName name="HONORAUDI_JURIDIC">#REF!</definedName>
    <definedName name="HONTOTAL" localSheetId="0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 localSheetId="0">#REF!</definedName>
    <definedName name="JORTIZ">#REF!</definedName>
    <definedName name="LABORATORIOS" localSheetId="0">#REF!</definedName>
    <definedName name="LABORATORIOS">#REF!</definedName>
    <definedName name="NOMBDISTRI" localSheetId="0">#REF!</definedName>
    <definedName name="NOMBDISTRI">#REF!</definedName>
    <definedName name="ojo" localSheetId="0">#REF!</definedName>
    <definedName name="ojo">#REF!</definedName>
    <definedName name="Pasajes" localSheetId="0">#REF!</definedName>
    <definedName name="Pasajes">#REF!</definedName>
    <definedName name="ppc">'[18]Inversión total en programas'!$B$86</definedName>
    <definedName name="RESERV_FUTU" localSheetId="0">#REF!</definedName>
    <definedName name="RESERV_FUTU">#REF!</definedName>
    <definedName name="saldo" localSheetId="0">'[11]Ejecución ingresos 2014'!#REF!</definedName>
    <definedName name="saldo">#REF!</definedName>
    <definedName name="saldos" localSheetId="0">'[11]Ejecución ingresos 2014'!#REF!</definedName>
    <definedName name="saldos">#REF!</definedName>
    <definedName name="SUPERA2004" localSheetId="0">'[11]Anexo 1 Minagricultura'!#REF!</definedName>
    <definedName name="SUPERA2004">'[12]Anexo 1 Minagricultura'!#REF!</definedName>
    <definedName name="SUPERA2005" localSheetId="0">'[11]Anexo 1 Minagricultura'!#REF!</definedName>
    <definedName name="SUPERA2005">'[12]Anexo 1 Minagricultura'!#REF!</definedName>
    <definedName name="SUPERA2010">'[18]Anexo 1 Minagricultura'!$C$21</definedName>
    <definedName name="SUPERA2012" localSheetId="0">'[11]Anexo 1 Minagricultura'!#REF!</definedName>
    <definedName name="SUPERA2012">'[13]Anexo 1 Minagricultura'!#REF!</definedName>
    <definedName name="SUPERAVIT" localSheetId="0">#REF!</definedName>
    <definedName name="SUPERAVIT">#REF!</definedName>
    <definedName name="SUPERAVIT2005_FNP" localSheetId="0">#REF!</definedName>
    <definedName name="SUPERAVIT2005_FNP">#REF!</definedName>
    <definedName name="SUPERAVITPPC_2005" localSheetId="0">#REF!</definedName>
    <definedName name="SUPERAVITPPC_2005">#REF!</definedName>
    <definedName name="TIPOS" localSheetId="0">#REF!</definedName>
    <definedName name="TIPOS">#REF!</definedName>
    <definedName name="_xlnm.Print_Titles" localSheetId="0">'Anexo 2'!$1:$6</definedName>
    <definedName name="VTAS2005" localSheetId="0">'[12]Anexo 1 Minagricultura'!#REF!</definedName>
    <definedName name="VTAS2005">'[12]Anexo 1 Minagricultura'!#REF!</definedName>
    <definedName name="xx" localSheetId="0">[19]Ingresos!$C$19</definedName>
    <definedName name="xx">[20]Ingresos!$C$19</definedName>
    <definedName name="Z_4099E833_BB74_4680_85C9_A6CF399D1CE2_.wvu.Cols" localSheetId="0" hidden="1">#REF!,#REF!,#REF!,#REF!</definedName>
    <definedName name="Z_4099E833_BB74_4680_85C9_A6CF399D1CE2_.wvu.Cols" hidden="1">'[12]Nómina 2004'!$C:$E,'[12]Nómina 2004'!$H:$I,'[12]Nómina 2004'!$L:$P,'[12]Nómina 2004'!$AF:$AH</definedName>
    <definedName name="Z_4099E833_BB74_4680_85C9_A6CF399D1CE2_.wvu.FilterData" localSheetId="0" hidden="1">#REF!</definedName>
    <definedName name="Z_4099E833_BB74_4680_85C9_A6CF399D1CE2_.wvu.FilterData" hidden="1">#REF!</definedName>
    <definedName name="Z_4099E833_BB74_4680_85C9_A6CF399D1CE2_.wvu.PrintArea" localSheetId="0" hidden="1">#REF!</definedName>
    <definedName name="Z_4099E833_BB74_4680_85C9_A6CF399D1CE2_.wvu.PrintArea" hidden="1">#REF!</definedName>
    <definedName name="Z_4099E833_BB74_4680_85C9_A6CF399D1CE2_.wvu.PrintTitles" localSheetId="0" hidden="1">#REF!</definedName>
    <definedName name="Z_4099E833_BB74_4680_85C9_A6CF399D1CE2_.wvu.PrintTitles" hidden="1">#REF!</definedName>
    <definedName name="Z_4099E833_BB74_4680_85C9_A6CF399D1CE2_.wvu.Rows" localSheetId="0" hidden="1">#REF!,#REF!</definedName>
    <definedName name="Z_4099E833_BB74_4680_85C9_A6CF399D1CE2_.wvu.Rows" hidden="1">'[12]Inversión total en programas'!$50:$50,'[12]Inversión total en programas'!$60:$63</definedName>
    <definedName name="ZFRONTERA" localSheetId="0">'[21]Ingresos 2014'!#REF!</definedName>
    <definedName name="ZFRONTERA">'[22]Ingresos 2014'!#REF!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I8" i="1"/>
  <c r="K8" i="1"/>
  <c r="L8" i="1"/>
  <c r="M8" i="1"/>
  <c r="Q8" i="1"/>
  <c r="H9" i="1"/>
  <c r="H8" i="1" s="1"/>
  <c r="J9" i="1"/>
  <c r="O9" i="1"/>
  <c r="P9" i="1"/>
  <c r="P8" i="1" s="1"/>
  <c r="Q9" i="1"/>
  <c r="R9" i="1"/>
  <c r="S9" i="1"/>
  <c r="T9" i="1"/>
  <c r="V9" i="1"/>
  <c r="V8" i="1" s="1"/>
  <c r="H10" i="1"/>
  <c r="J10" i="1"/>
  <c r="O10" i="1"/>
  <c r="P10" i="1"/>
  <c r="P19" i="1" s="1"/>
  <c r="Q10" i="1"/>
  <c r="R10" i="1"/>
  <c r="R8" i="1" s="1"/>
  <c r="S10" i="1"/>
  <c r="T10" i="1"/>
  <c r="U10" i="1"/>
  <c r="W10" i="1" s="1"/>
  <c r="V10" i="1"/>
  <c r="H11" i="1"/>
  <c r="J11" i="1" s="1"/>
  <c r="N11" i="1" s="1"/>
  <c r="O11" i="1"/>
  <c r="U11" i="1" s="1"/>
  <c r="P11" i="1"/>
  <c r="Q11" i="1"/>
  <c r="R11" i="1"/>
  <c r="S11" i="1"/>
  <c r="T11" i="1"/>
  <c r="V11" i="1"/>
  <c r="W11" i="1"/>
  <c r="H12" i="1"/>
  <c r="J12" i="1" s="1"/>
  <c r="N12" i="1" s="1"/>
  <c r="K12" i="1"/>
  <c r="O12" i="1"/>
  <c r="P12" i="1"/>
  <c r="U12" i="1" s="1"/>
  <c r="W12" i="1" s="1"/>
  <c r="Q12" i="1"/>
  <c r="V12" i="1"/>
  <c r="H13" i="1"/>
  <c r="J13" i="1"/>
  <c r="N13" i="1" s="1"/>
  <c r="O13" i="1"/>
  <c r="P13" i="1"/>
  <c r="Q13" i="1"/>
  <c r="R13" i="1"/>
  <c r="S13" i="1"/>
  <c r="T13" i="1"/>
  <c r="U13" i="1"/>
  <c r="W13" i="1" s="1"/>
  <c r="V13" i="1"/>
  <c r="H14" i="1"/>
  <c r="J14" i="1" s="1"/>
  <c r="N14" i="1" s="1"/>
  <c r="O14" i="1"/>
  <c r="U14" i="1" s="1"/>
  <c r="P14" i="1"/>
  <c r="Q14" i="1"/>
  <c r="R14" i="1"/>
  <c r="S14" i="1"/>
  <c r="T14" i="1"/>
  <c r="V14" i="1"/>
  <c r="W14" i="1"/>
  <c r="H15" i="1"/>
  <c r="J15" i="1" s="1"/>
  <c r="N15" i="1" s="1"/>
  <c r="O15" i="1"/>
  <c r="U15" i="1" s="1"/>
  <c r="W15" i="1" s="1"/>
  <c r="X15" i="1" s="1"/>
  <c r="P15" i="1"/>
  <c r="Q15" i="1"/>
  <c r="Q19" i="1" s="1"/>
  <c r="Q48" i="1" s="1"/>
  <c r="R15" i="1"/>
  <c r="S15" i="1"/>
  <c r="T15" i="1"/>
  <c r="T8" i="1" s="1"/>
  <c r="V15" i="1"/>
  <c r="H16" i="1"/>
  <c r="J16" i="1"/>
  <c r="N16" i="1"/>
  <c r="O16" i="1"/>
  <c r="P16" i="1"/>
  <c r="Q16" i="1"/>
  <c r="R16" i="1"/>
  <c r="S16" i="1"/>
  <c r="U16" i="1" s="1"/>
  <c r="W16" i="1" s="1"/>
  <c r="T16" i="1"/>
  <c r="V16" i="1"/>
  <c r="H17" i="1"/>
  <c r="J17" i="1"/>
  <c r="N17" i="1" s="1"/>
  <c r="O17" i="1"/>
  <c r="P17" i="1"/>
  <c r="Q17" i="1"/>
  <c r="R17" i="1"/>
  <c r="S17" i="1"/>
  <c r="T17" i="1"/>
  <c r="U17" i="1"/>
  <c r="W17" i="1" s="1"/>
  <c r="V17" i="1"/>
  <c r="H18" i="1"/>
  <c r="J18" i="1" s="1"/>
  <c r="N18" i="1" s="1"/>
  <c r="O18" i="1"/>
  <c r="U18" i="1" s="1"/>
  <c r="W18" i="1" s="1"/>
  <c r="P18" i="1"/>
  <c r="Q18" i="1"/>
  <c r="R18" i="1"/>
  <c r="S18" i="1"/>
  <c r="T18" i="1"/>
  <c r="V18" i="1"/>
  <c r="B19" i="1"/>
  <c r="H19" i="1" s="1"/>
  <c r="C19" i="1"/>
  <c r="D19" i="1"/>
  <c r="E19" i="1"/>
  <c r="F19" i="1"/>
  <c r="G19" i="1"/>
  <c r="I19" i="1"/>
  <c r="K19" i="1"/>
  <c r="L19" i="1"/>
  <c r="M19" i="1"/>
  <c r="R19" i="1"/>
  <c r="H21" i="1"/>
  <c r="H36" i="1" s="1"/>
  <c r="O21" i="1"/>
  <c r="S21" i="1"/>
  <c r="T21" i="1"/>
  <c r="V21" i="1"/>
  <c r="H22" i="1"/>
  <c r="J22" i="1"/>
  <c r="N22" i="1"/>
  <c r="O22" i="1"/>
  <c r="U22" i="1" s="1"/>
  <c r="W22" i="1" s="1"/>
  <c r="X22" i="1" s="1"/>
  <c r="P22" i="1"/>
  <c r="T22" i="1"/>
  <c r="V22" i="1"/>
  <c r="Y22" i="1"/>
  <c r="H23" i="1"/>
  <c r="J23" i="1"/>
  <c r="N23" i="1"/>
  <c r="T23" i="1"/>
  <c r="U23" i="1"/>
  <c r="W23" i="1" s="1"/>
  <c r="Y23" i="1" s="1"/>
  <c r="V23" i="1"/>
  <c r="X23" i="1"/>
  <c r="H24" i="1"/>
  <c r="J24" i="1"/>
  <c r="N24" i="1" s="1"/>
  <c r="O24" i="1"/>
  <c r="P24" i="1"/>
  <c r="Q24" i="1"/>
  <c r="R24" i="1"/>
  <c r="S24" i="1"/>
  <c r="T24" i="1"/>
  <c r="V24" i="1"/>
  <c r="H25" i="1"/>
  <c r="J25" i="1" s="1"/>
  <c r="N25" i="1" s="1"/>
  <c r="O25" i="1"/>
  <c r="P25" i="1"/>
  <c r="Q25" i="1"/>
  <c r="S25" i="1"/>
  <c r="T25" i="1"/>
  <c r="U25" i="1"/>
  <c r="W25" i="1" s="1"/>
  <c r="V25" i="1"/>
  <c r="H26" i="1"/>
  <c r="J26" i="1" s="1"/>
  <c r="N26" i="1" s="1"/>
  <c r="U26" i="1"/>
  <c r="W26" i="1" s="1"/>
  <c r="V26" i="1"/>
  <c r="H27" i="1"/>
  <c r="J27" i="1" s="1"/>
  <c r="N27" i="1" s="1"/>
  <c r="O27" i="1"/>
  <c r="U27" i="1" s="1"/>
  <c r="W27" i="1" s="1"/>
  <c r="P27" i="1"/>
  <c r="Q27" i="1"/>
  <c r="R27" i="1"/>
  <c r="S27" i="1"/>
  <c r="T27" i="1"/>
  <c r="V27" i="1"/>
  <c r="H28" i="1"/>
  <c r="J28" i="1" s="1"/>
  <c r="N28" i="1" s="1"/>
  <c r="P28" i="1"/>
  <c r="Q28" i="1"/>
  <c r="T28" i="1"/>
  <c r="U28" i="1" s="1"/>
  <c r="W28" i="1" s="1"/>
  <c r="V28" i="1"/>
  <c r="H29" i="1"/>
  <c r="J29" i="1"/>
  <c r="N29" i="1"/>
  <c r="T29" i="1"/>
  <c r="U29" i="1"/>
  <c r="W29" i="1" s="1"/>
  <c r="V29" i="1"/>
  <c r="H30" i="1"/>
  <c r="J30" i="1"/>
  <c r="N30" i="1" s="1"/>
  <c r="O30" i="1"/>
  <c r="U30" i="1" s="1"/>
  <c r="P30" i="1"/>
  <c r="Q30" i="1"/>
  <c r="S30" i="1"/>
  <c r="T30" i="1"/>
  <c r="V30" i="1"/>
  <c r="H31" i="1"/>
  <c r="J31" i="1"/>
  <c r="N31" i="1" s="1"/>
  <c r="U31" i="1"/>
  <c r="V31" i="1"/>
  <c r="W31" i="1" s="1"/>
  <c r="H32" i="1"/>
  <c r="J32" i="1"/>
  <c r="N32" i="1" s="1"/>
  <c r="O32" i="1"/>
  <c r="P32" i="1"/>
  <c r="U32" i="1" s="1"/>
  <c r="W32" i="1" s="1"/>
  <c r="Y32" i="1" s="1"/>
  <c r="Q32" i="1"/>
  <c r="R32" i="1"/>
  <c r="S32" i="1"/>
  <c r="S36" i="1" s="1"/>
  <c r="T32" i="1"/>
  <c r="V32" i="1"/>
  <c r="H33" i="1"/>
  <c r="J33" i="1"/>
  <c r="N33" i="1" s="1"/>
  <c r="T33" i="1"/>
  <c r="U33" i="1" s="1"/>
  <c r="W33" i="1" s="1"/>
  <c r="V33" i="1"/>
  <c r="H34" i="1"/>
  <c r="J34" i="1" s="1"/>
  <c r="N34" i="1" s="1"/>
  <c r="U34" i="1"/>
  <c r="V34" i="1"/>
  <c r="W34" i="1"/>
  <c r="H35" i="1"/>
  <c r="J35" i="1" s="1"/>
  <c r="N35" i="1" s="1"/>
  <c r="U35" i="1"/>
  <c r="V35" i="1"/>
  <c r="W35" i="1"/>
  <c r="B36" i="1"/>
  <c r="B48" i="1" s="1"/>
  <c r="C36" i="1"/>
  <c r="D36" i="1"/>
  <c r="E36" i="1"/>
  <c r="F36" i="1"/>
  <c r="G36" i="1"/>
  <c r="G48" i="1" s="1"/>
  <c r="I36" i="1"/>
  <c r="I48" i="1" s="1"/>
  <c r="K36" i="1"/>
  <c r="L36" i="1"/>
  <c r="M36" i="1"/>
  <c r="O36" i="1"/>
  <c r="Q36" i="1"/>
  <c r="I38" i="1"/>
  <c r="K38" i="1"/>
  <c r="L38" i="1"/>
  <c r="M38" i="1"/>
  <c r="N38" i="1"/>
  <c r="U38" i="1"/>
  <c r="J39" i="1"/>
  <c r="J38" i="1" s="1"/>
  <c r="N39" i="1"/>
  <c r="U39" i="1"/>
  <c r="W39" i="1" s="1"/>
  <c r="V39" i="1"/>
  <c r="J40" i="1"/>
  <c r="N40" i="1" s="1"/>
  <c r="U40" i="1"/>
  <c r="V40" i="1"/>
  <c r="V38" i="1" s="1"/>
  <c r="W38" i="1" s="1"/>
  <c r="J41" i="1"/>
  <c r="N41" i="1"/>
  <c r="U41" i="1"/>
  <c r="V41" i="1"/>
  <c r="W41" i="1"/>
  <c r="I42" i="1"/>
  <c r="K42" i="1"/>
  <c r="L42" i="1"/>
  <c r="M42" i="1"/>
  <c r="U42" i="1"/>
  <c r="J43" i="1"/>
  <c r="N43" i="1"/>
  <c r="U43" i="1"/>
  <c r="W43" i="1" s="1"/>
  <c r="V43" i="1"/>
  <c r="J44" i="1"/>
  <c r="J42" i="1" s="1"/>
  <c r="N42" i="1" s="1"/>
  <c r="U44" i="1"/>
  <c r="W44" i="1" s="1"/>
  <c r="V44" i="1"/>
  <c r="V42" i="1" s="1"/>
  <c r="J45" i="1"/>
  <c r="N45" i="1"/>
  <c r="U45" i="1"/>
  <c r="V45" i="1"/>
  <c r="W45" i="1"/>
  <c r="I46" i="1"/>
  <c r="K46" i="1"/>
  <c r="L46" i="1"/>
  <c r="M46" i="1"/>
  <c r="M48" i="1" s="1"/>
  <c r="U46" i="1"/>
  <c r="C48" i="1"/>
  <c r="D48" i="1"/>
  <c r="E48" i="1"/>
  <c r="F48" i="1"/>
  <c r="K48" i="1"/>
  <c r="L48" i="1"/>
  <c r="B53" i="1"/>
  <c r="B52" i="1" s="1"/>
  <c r="B50" i="1" s="1"/>
  <c r="H53" i="1"/>
  <c r="J53" i="1"/>
  <c r="K53" i="1"/>
  <c r="K52" i="1" s="1"/>
  <c r="L53" i="1"/>
  <c r="M53" i="1"/>
  <c r="M52" i="1" s="1"/>
  <c r="U53" i="1"/>
  <c r="W53" i="1" s="1"/>
  <c r="H54" i="1"/>
  <c r="J54" i="1"/>
  <c r="N54" i="1" s="1"/>
  <c r="O54" i="1"/>
  <c r="O53" i="1" s="1"/>
  <c r="U54" i="1"/>
  <c r="W54" i="1" s="1"/>
  <c r="B55" i="1"/>
  <c r="K55" i="1"/>
  <c r="L55" i="1"/>
  <c r="L52" i="1" s="1"/>
  <c r="M55" i="1"/>
  <c r="H56" i="1"/>
  <c r="O56" i="1"/>
  <c r="O55" i="1" s="1"/>
  <c r="U55" i="1" s="1"/>
  <c r="W55" i="1" s="1"/>
  <c r="H57" i="1"/>
  <c r="J57" i="1" s="1"/>
  <c r="N57" i="1" s="1"/>
  <c r="O57" i="1"/>
  <c r="U57" i="1" s="1"/>
  <c r="W57" i="1" s="1"/>
  <c r="H58" i="1"/>
  <c r="J58" i="1" s="1"/>
  <c r="N58" i="1" s="1"/>
  <c r="O58" i="1"/>
  <c r="U58" i="1" s="1"/>
  <c r="W58" i="1" s="1"/>
  <c r="B59" i="1"/>
  <c r="K59" i="1"/>
  <c r="L59" i="1"/>
  <c r="M59" i="1"/>
  <c r="H60" i="1"/>
  <c r="H59" i="1" s="1"/>
  <c r="O60" i="1"/>
  <c r="O59" i="1" s="1"/>
  <c r="U59" i="1" s="1"/>
  <c r="W59" i="1" s="1"/>
  <c r="U60" i="1"/>
  <c r="W60" i="1" s="1"/>
  <c r="H61" i="1"/>
  <c r="J61" i="1" s="1"/>
  <c r="N61" i="1" s="1"/>
  <c r="O61" i="1"/>
  <c r="U61" i="1"/>
  <c r="W61" i="1" s="1"/>
  <c r="H62" i="1"/>
  <c r="J62" i="1" s="1"/>
  <c r="N62" i="1" s="1"/>
  <c r="O62" i="1"/>
  <c r="U62" i="1"/>
  <c r="W62" i="1" s="1"/>
  <c r="F65" i="1"/>
  <c r="F64" i="1" s="1"/>
  <c r="F50" i="1" s="1"/>
  <c r="K65" i="1"/>
  <c r="K64" i="1" s="1"/>
  <c r="L65" i="1"/>
  <c r="M65" i="1"/>
  <c r="U65" i="1"/>
  <c r="W65" i="1" s="1"/>
  <c r="H66" i="1"/>
  <c r="H65" i="1" s="1"/>
  <c r="S66" i="1"/>
  <c r="S65" i="1" s="1"/>
  <c r="U66" i="1"/>
  <c r="W66" i="1" s="1"/>
  <c r="H67" i="1"/>
  <c r="J67" i="1" s="1"/>
  <c r="N67" i="1" s="1"/>
  <c r="S67" i="1"/>
  <c r="U67" i="1"/>
  <c r="W67" i="1" s="1"/>
  <c r="H68" i="1"/>
  <c r="J68" i="1" s="1"/>
  <c r="N68" i="1" s="1"/>
  <c r="S68" i="1"/>
  <c r="U68" i="1"/>
  <c r="W68" i="1" s="1"/>
  <c r="H69" i="1"/>
  <c r="J69" i="1" s="1"/>
  <c r="N69" i="1" s="1"/>
  <c r="S69" i="1"/>
  <c r="U69" i="1"/>
  <c r="W69" i="1" s="1"/>
  <c r="H70" i="1"/>
  <c r="J70" i="1" s="1"/>
  <c r="N70" i="1" s="1"/>
  <c r="S70" i="1"/>
  <c r="U70" i="1"/>
  <c r="W70" i="1" s="1"/>
  <c r="H71" i="1"/>
  <c r="J71" i="1" s="1"/>
  <c r="N71" i="1" s="1"/>
  <c r="S71" i="1"/>
  <c r="U71" i="1"/>
  <c r="W71" i="1" s="1"/>
  <c r="F72" i="1"/>
  <c r="K72" i="1"/>
  <c r="L72" i="1"/>
  <c r="L64" i="1" s="1"/>
  <c r="M72" i="1"/>
  <c r="M64" i="1" s="1"/>
  <c r="H73" i="1"/>
  <c r="S73" i="1"/>
  <c r="S72" i="1" s="1"/>
  <c r="U72" i="1" s="1"/>
  <c r="W72" i="1" s="1"/>
  <c r="H74" i="1"/>
  <c r="J74" i="1" s="1"/>
  <c r="N74" i="1" s="1"/>
  <c r="S74" i="1"/>
  <c r="U74" i="1" s="1"/>
  <c r="W74" i="1" s="1"/>
  <c r="H75" i="1"/>
  <c r="J75" i="1" s="1"/>
  <c r="N75" i="1" s="1"/>
  <c r="S75" i="1"/>
  <c r="U75" i="1" s="1"/>
  <c r="W75" i="1" s="1"/>
  <c r="H76" i="1"/>
  <c r="J76" i="1" s="1"/>
  <c r="N76" i="1" s="1"/>
  <c r="S76" i="1"/>
  <c r="U76" i="1" s="1"/>
  <c r="W76" i="1" s="1"/>
  <c r="H77" i="1"/>
  <c r="J77" i="1" s="1"/>
  <c r="N77" i="1" s="1"/>
  <c r="S77" i="1"/>
  <c r="U77" i="1" s="1"/>
  <c r="W77" i="1" s="1"/>
  <c r="H78" i="1"/>
  <c r="J78" i="1" s="1"/>
  <c r="N78" i="1" s="1"/>
  <c r="S78" i="1"/>
  <c r="U78" i="1" s="1"/>
  <c r="W78" i="1" s="1"/>
  <c r="H79" i="1"/>
  <c r="J79" i="1" s="1"/>
  <c r="N79" i="1" s="1"/>
  <c r="S79" i="1"/>
  <c r="U79" i="1" s="1"/>
  <c r="W79" i="1" s="1"/>
  <c r="H80" i="1"/>
  <c r="J80" i="1" s="1"/>
  <c r="N80" i="1" s="1"/>
  <c r="S80" i="1"/>
  <c r="U80" i="1" s="1"/>
  <c r="W80" i="1" s="1"/>
  <c r="H81" i="1"/>
  <c r="J81" i="1" s="1"/>
  <c r="N81" i="1" s="1"/>
  <c r="S81" i="1"/>
  <c r="U81" i="1" s="1"/>
  <c r="W81" i="1" s="1"/>
  <c r="H82" i="1"/>
  <c r="J82" i="1" s="1"/>
  <c r="N82" i="1" s="1"/>
  <c r="S82" i="1"/>
  <c r="U82" i="1" s="1"/>
  <c r="W82" i="1" s="1"/>
  <c r="H83" i="1"/>
  <c r="J83" i="1" s="1"/>
  <c r="N83" i="1" s="1"/>
  <c r="S83" i="1"/>
  <c r="U83" i="1" s="1"/>
  <c r="W83" i="1" s="1"/>
  <c r="N84" i="1"/>
  <c r="S84" i="1"/>
  <c r="U84" i="1"/>
  <c r="W84" i="1"/>
  <c r="X84" i="1" s="1"/>
  <c r="F85" i="1"/>
  <c r="J85" i="1"/>
  <c r="N85" i="1" s="1"/>
  <c r="K85" i="1"/>
  <c r="L85" i="1"/>
  <c r="M85" i="1"/>
  <c r="H86" i="1"/>
  <c r="H85" i="1" s="1"/>
  <c r="J86" i="1"/>
  <c r="N86" i="1" s="1"/>
  <c r="S86" i="1"/>
  <c r="S85" i="1" s="1"/>
  <c r="U85" i="1" s="1"/>
  <c r="W85" i="1" s="1"/>
  <c r="H87" i="1"/>
  <c r="J87" i="1"/>
  <c r="N87" i="1" s="1"/>
  <c r="S87" i="1"/>
  <c r="U87" i="1" s="1"/>
  <c r="W87" i="1" s="1"/>
  <c r="Y87" i="1" s="1"/>
  <c r="H88" i="1"/>
  <c r="J88" i="1"/>
  <c r="N88" i="1" s="1"/>
  <c r="X88" i="1" s="1"/>
  <c r="S88" i="1"/>
  <c r="U88" i="1" s="1"/>
  <c r="W88" i="1" s="1"/>
  <c r="H89" i="1"/>
  <c r="J89" i="1"/>
  <c r="N89" i="1" s="1"/>
  <c r="S89" i="1"/>
  <c r="U89" i="1" s="1"/>
  <c r="W89" i="1" s="1"/>
  <c r="Y89" i="1" s="1"/>
  <c r="H90" i="1"/>
  <c r="J90" i="1"/>
  <c r="N90" i="1" s="1"/>
  <c r="X90" i="1" s="1"/>
  <c r="S90" i="1"/>
  <c r="U90" i="1" s="1"/>
  <c r="W90" i="1" s="1"/>
  <c r="H91" i="1"/>
  <c r="J91" i="1"/>
  <c r="N91" i="1" s="1"/>
  <c r="S91" i="1"/>
  <c r="U91" i="1" s="1"/>
  <c r="W91" i="1" s="1"/>
  <c r="Y91" i="1" s="1"/>
  <c r="H92" i="1"/>
  <c r="J92" i="1"/>
  <c r="N92" i="1" s="1"/>
  <c r="X92" i="1" s="1"/>
  <c r="S92" i="1"/>
  <c r="U92" i="1" s="1"/>
  <c r="W92" i="1" s="1"/>
  <c r="H93" i="1"/>
  <c r="J93" i="1"/>
  <c r="N93" i="1" s="1"/>
  <c r="S93" i="1"/>
  <c r="U93" i="1" s="1"/>
  <c r="W93" i="1" s="1"/>
  <c r="Y93" i="1" s="1"/>
  <c r="F94" i="1"/>
  <c r="H94" i="1"/>
  <c r="J94" i="1" s="1"/>
  <c r="N94" i="1" s="1"/>
  <c r="K94" i="1"/>
  <c r="L94" i="1"/>
  <c r="M94" i="1"/>
  <c r="W94" i="1"/>
  <c r="H95" i="1"/>
  <c r="J95" i="1"/>
  <c r="N95" i="1"/>
  <c r="S95" i="1"/>
  <c r="S94" i="1" s="1"/>
  <c r="U94" i="1" s="1"/>
  <c r="U95" i="1"/>
  <c r="W95" i="1"/>
  <c r="H96" i="1"/>
  <c r="J96" i="1"/>
  <c r="N96" i="1"/>
  <c r="S96" i="1"/>
  <c r="U96" i="1"/>
  <c r="W96" i="1"/>
  <c r="H97" i="1"/>
  <c r="J97" i="1"/>
  <c r="N97" i="1"/>
  <c r="S97" i="1"/>
  <c r="U97" i="1"/>
  <c r="W97" i="1"/>
  <c r="H98" i="1"/>
  <c r="J98" i="1"/>
  <c r="N98" i="1"/>
  <c r="S98" i="1"/>
  <c r="U98" i="1"/>
  <c r="W98" i="1"/>
  <c r="X98" i="1" s="1"/>
  <c r="H99" i="1"/>
  <c r="J99" i="1"/>
  <c r="N99" i="1"/>
  <c r="S99" i="1"/>
  <c r="U99" i="1"/>
  <c r="W99" i="1" s="1"/>
  <c r="H100" i="1"/>
  <c r="J100" i="1"/>
  <c r="N100" i="1"/>
  <c r="S100" i="1"/>
  <c r="U100" i="1"/>
  <c r="W100" i="1" s="1"/>
  <c r="H101" i="1"/>
  <c r="J101" i="1"/>
  <c r="N101" i="1"/>
  <c r="S101" i="1"/>
  <c r="U101" i="1"/>
  <c r="W101" i="1"/>
  <c r="Y101" i="1" s="1"/>
  <c r="G104" i="1"/>
  <c r="G103" i="1" s="1"/>
  <c r="G50" i="1" s="1"/>
  <c r="H104" i="1"/>
  <c r="K104" i="1"/>
  <c r="L104" i="1"/>
  <c r="M104" i="1"/>
  <c r="M103" i="1" s="1"/>
  <c r="U104" i="1"/>
  <c r="W104" i="1"/>
  <c r="H105" i="1"/>
  <c r="J105" i="1"/>
  <c r="J104" i="1" s="1"/>
  <c r="T105" i="1"/>
  <c r="T104" i="1" s="1"/>
  <c r="U105" i="1"/>
  <c r="W105" i="1" s="1"/>
  <c r="H106" i="1"/>
  <c r="J106" i="1"/>
  <c r="N106" i="1"/>
  <c r="T106" i="1"/>
  <c r="U106" i="1"/>
  <c r="W106" i="1"/>
  <c r="Y106" i="1" s="1"/>
  <c r="H107" i="1"/>
  <c r="J107" i="1"/>
  <c r="N107" i="1" s="1"/>
  <c r="X107" i="1" s="1"/>
  <c r="T107" i="1"/>
  <c r="U107" i="1"/>
  <c r="W107" i="1"/>
  <c r="H108" i="1"/>
  <c r="J108" i="1"/>
  <c r="N108" i="1" s="1"/>
  <c r="T108" i="1"/>
  <c r="U108" i="1"/>
  <c r="W108" i="1" s="1"/>
  <c r="H109" i="1"/>
  <c r="J109" i="1"/>
  <c r="N109" i="1"/>
  <c r="T109" i="1"/>
  <c r="U109" i="1"/>
  <c r="W109" i="1"/>
  <c r="X109" i="1" s="1"/>
  <c r="H110" i="1"/>
  <c r="J110" i="1"/>
  <c r="N110" i="1" s="1"/>
  <c r="T110" i="1"/>
  <c r="U110" i="1"/>
  <c r="W110" i="1" s="1"/>
  <c r="G111" i="1"/>
  <c r="K111" i="1"/>
  <c r="L111" i="1"/>
  <c r="L103" i="1" s="1"/>
  <c r="M111" i="1"/>
  <c r="H112" i="1"/>
  <c r="J112" i="1"/>
  <c r="J111" i="1" s="1"/>
  <c r="N111" i="1" s="1"/>
  <c r="T112" i="1"/>
  <c r="T111" i="1" s="1"/>
  <c r="U111" i="1" s="1"/>
  <c r="W111" i="1" s="1"/>
  <c r="U112" i="1"/>
  <c r="W112" i="1"/>
  <c r="H113" i="1"/>
  <c r="J113" i="1" s="1"/>
  <c r="N113" i="1" s="1"/>
  <c r="T113" i="1"/>
  <c r="U113" i="1"/>
  <c r="W113" i="1"/>
  <c r="G114" i="1"/>
  <c r="H114" i="1"/>
  <c r="K114" i="1"/>
  <c r="L114" i="1"/>
  <c r="M114" i="1"/>
  <c r="A115" i="1"/>
  <c r="H115" i="1"/>
  <c r="J115" i="1"/>
  <c r="N115" i="1" s="1"/>
  <c r="T115" i="1"/>
  <c r="T114" i="1" s="1"/>
  <c r="U114" i="1" s="1"/>
  <c r="W114" i="1" s="1"/>
  <c r="U115" i="1"/>
  <c r="W115" i="1"/>
  <c r="Y115" i="1" s="1"/>
  <c r="H116" i="1"/>
  <c r="J116" i="1" s="1"/>
  <c r="N116" i="1" s="1"/>
  <c r="T116" i="1"/>
  <c r="U116" i="1" s="1"/>
  <c r="W116" i="1" s="1"/>
  <c r="G117" i="1"/>
  <c r="H117" i="1"/>
  <c r="K117" i="1"/>
  <c r="L117" i="1"/>
  <c r="M117" i="1"/>
  <c r="T117" i="1"/>
  <c r="U117" i="1"/>
  <c r="W117" i="1" s="1"/>
  <c r="H118" i="1"/>
  <c r="J118" i="1" s="1"/>
  <c r="T118" i="1"/>
  <c r="U118" i="1"/>
  <c r="W118" i="1"/>
  <c r="H119" i="1"/>
  <c r="J119" i="1"/>
  <c r="N119" i="1" s="1"/>
  <c r="T119" i="1"/>
  <c r="U119" i="1" s="1"/>
  <c r="W119" i="1" s="1"/>
  <c r="C122" i="1"/>
  <c r="H122" i="1" s="1"/>
  <c r="K122" i="1"/>
  <c r="L122" i="1"/>
  <c r="M122" i="1"/>
  <c r="H123" i="1"/>
  <c r="J123" i="1"/>
  <c r="N123" i="1" s="1"/>
  <c r="P123" i="1"/>
  <c r="U123" i="1"/>
  <c r="W123" i="1" s="1"/>
  <c r="H124" i="1"/>
  <c r="J124" i="1"/>
  <c r="N124" i="1"/>
  <c r="P124" i="1"/>
  <c r="U124" i="1"/>
  <c r="W124" i="1" s="1"/>
  <c r="H125" i="1"/>
  <c r="J125" i="1"/>
  <c r="N125" i="1"/>
  <c r="P125" i="1"/>
  <c r="U125" i="1"/>
  <c r="W125" i="1" s="1"/>
  <c r="A126" i="1"/>
  <c r="H126" i="1"/>
  <c r="J126" i="1"/>
  <c r="N126" i="1" s="1"/>
  <c r="P126" i="1"/>
  <c r="P122" i="1" s="1"/>
  <c r="A127" i="1"/>
  <c r="H127" i="1"/>
  <c r="J127" i="1" s="1"/>
  <c r="N127" i="1" s="1"/>
  <c r="P127" i="1"/>
  <c r="U127" i="1"/>
  <c r="W127" i="1" s="1"/>
  <c r="C128" i="1"/>
  <c r="H128" i="1" s="1"/>
  <c r="K128" i="1"/>
  <c r="L128" i="1"/>
  <c r="M128" i="1"/>
  <c r="H129" i="1"/>
  <c r="J129" i="1" s="1"/>
  <c r="P129" i="1"/>
  <c r="P128" i="1" s="1"/>
  <c r="U128" i="1" s="1"/>
  <c r="W128" i="1" s="1"/>
  <c r="U129" i="1"/>
  <c r="W129" i="1" s="1"/>
  <c r="H130" i="1"/>
  <c r="J130" i="1" s="1"/>
  <c r="N130" i="1" s="1"/>
  <c r="P130" i="1"/>
  <c r="U130" i="1"/>
  <c r="W130" i="1" s="1"/>
  <c r="C131" i="1"/>
  <c r="H131" i="1" s="1"/>
  <c r="K131" i="1"/>
  <c r="L131" i="1"/>
  <c r="M131" i="1"/>
  <c r="H132" i="1"/>
  <c r="J132" i="1" s="1"/>
  <c r="P132" i="1"/>
  <c r="P131" i="1" s="1"/>
  <c r="U131" i="1" s="1"/>
  <c r="W131" i="1" s="1"/>
  <c r="U132" i="1"/>
  <c r="W132" i="1" s="1"/>
  <c r="H133" i="1"/>
  <c r="J133" i="1" s="1"/>
  <c r="N133" i="1" s="1"/>
  <c r="P133" i="1"/>
  <c r="U133" i="1"/>
  <c r="W133" i="1" s="1"/>
  <c r="H135" i="1"/>
  <c r="J135" i="1" s="1"/>
  <c r="P135" i="1"/>
  <c r="P134" i="1" s="1"/>
  <c r="U134" i="1" s="1"/>
  <c r="W134" i="1" s="1"/>
  <c r="U135" i="1"/>
  <c r="W135" i="1" s="1"/>
  <c r="H136" i="1"/>
  <c r="J136" i="1" s="1"/>
  <c r="N136" i="1" s="1"/>
  <c r="P136" i="1"/>
  <c r="U136" i="1"/>
  <c r="W136" i="1" s="1"/>
  <c r="C138" i="1"/>
  <c r="C137" i="1" s="1"/>
  <c r="K138" i="1"/>
  <c r="L138" i="1"/>
  <c r="M138" i="1"/>
  <c r="M137" i="1" s="1"/>
  <c r="M134" i="1" s="1"/>
  <c r="P138" i="1"/>
  <c r="P137" i="1" s="1"/>
  <c r="U137" i="1" s="1"/>
  <c r="W137" i="1" s="1"/>
  <c r="U138" i="1"/>
  <c r="W138" i="1" s="1"/>
  <c r="H139" i="1"/>
  <c r="J139" i="1" s="1"/>
  <c r="P139" i="1"/>
  <c r="U139" i="1"/>
  <c r="W139" i="1" s="1"/>
  <c r="C140" i="1"/>
  <c r="H140" i="1" s="1"/>
  <c r="J140" i="1" s="1"/>
  <c r="N140" i="1" s="1"/>
  <c r="K140" i="1"/>
  <c r="K137" i="1" s="1"/>
  <c r="K134" i="1" s="1"/>
  <c r="K121" i="1" s="1"/>
  <c r="L140" i="1"/>
  <c r="L137" i="1" s="1"/>
  <c r="L134" i="1" s="1"/>
  <c r="M140" i="1"/>
  <c r="P140" i="1"/>
  <c r="U140" i="1"/>
  <c r="W140" i="1" s="1"/>
  <c r="H141" i="1"/>
  <c r="J141" i="1" s="1"/>
  <c r="N141" i="1" s="1"/>
  <c r="P141" i="1"/>
  <c r="U141" i="1"/>
  <c r="W141" i="1" s="1"/>
  <c r="H142" i="1"/>
  <c r="J142" i="1" s="1"/>
  <c r="N142" i="1" s="1"/>
  <c r="P142" i="1"/>
  <c r="U142" i="1"/>
  <c r="W142" i="1" s="1"/>
  <c r="D145" i="1"/>
  <c r="K145" i="1"/>
  <c r="L145" i="1"/>
  <c r="M145" i="1"/>
  <c r="H146" i="1"/>
  <c r="Q146" i="1"/>
  <c r="Q145" i="1" s="1"/>
  <c r="U146" i="1"/>
  <c r="W146" i="1" s="1"/>
  <c r="H147" i="1"/>
  <c r="J147" i="1" s="1"/>
  <c r="N147" i="1" s="1"/>
  <c r="Q147" i="1"/>
  <c r="U147" i="1"/>
  <c r="W147" i="1" s="1"/>
  <c r="H148" i="1"/>
  <c r="J148" i="1" s="1"/>
  <c r="N148" i="1" s="1"/>
  <c r="Q148" i="1"/>
  <c r="U148" i="1"/>
  <c r="W148" i="1" s="1"/>
  <c r="D149" i="1"/>
  <c r="D150" i="1"/>
  <c r="L150" i="1"/>
  <c r="M150" i="1"/>
  <c r="A151" i="1"/>
  <c r="H151" i="1"/>
  <c r="J151" i="1"/>
  <c r="Q151" i="1"/>
  <c r="U151" i="1" s="1"/>
  <c r="W151" i="1" s="1"/>
  <c r="A152" i="1"/>
  <c r="H152" i="1"/>
  <c r="H150" i="1" s="1"/>
  <c r="H149" i="1" s="1"/>
  <c r="Q152" i="1"/>
  <c r="U152" i="1" s="1"/>
  <c r="W152" i="1" s="1"/>
  <c r="A153" i="1"/>
  <c r="H153" i="1"/>
  <c r="J153" i="1"/>
  <c r="N153" i="1" s="1"/>
  <c r="Q153" i="1"/>
  <c r="U153" i="1"/>
  <c r="W153" i="1"/>
  <c r="A154" i="1"/>
  <c r="H154" i="1"/>
  <c r="J154" i="1" s="1"/>
  <c r="N154" i="1" s="1"/>
  <c r="Q154" i="1"/>
  <c r="U154" i="1"/>
  <c r="W154" i="1" s="1"/>
  <c r="A155" i="1"/>
  <c r="H155" i="1"/>
  <c r="J155" i="1" s="1"/>
  <c r="N155" i="1" s="1"/>
  <c r="Q155" i="1"/>
  <c r="U155" i="1" s="1"/>
  <c r="W155" i="1" s="1"/>
  <c r="H156" i="1"/>
  <c r="J156" i="1" s="1"/>
  <c r="N156" i="1" s="1"/>
  <c r="Q156" i="1"/>
  <c r="U156" i="1" s="1"/>
  <c r="W156" i="1" s="1"/>
  <c r="H157" i="1"/>
  <c r="J157" i="1" s="1"/>
  <c r="K157" i="1"/>
  <c r="K150" i="1" s="1"/>
  <c r="K149" i="1" s="1"/>
  <c r="N157" i="1"/>
  <c r="Q157" i="1"/>
  <c r="U157" i="1"/>
  <c r="W157" i="1" s="1"/>
  <c r="H158" i="1"/>
  <c r="J158" i="1"/>
  <c r="N158" i="1"/>
  <c r="Q158" i="1"/>
  <c r="U158" i="1"/>
  <c r="W158" i="1" s="1"/>
  <c r="D159" i="1"/>
  <c r="H159" i="1"/>
  <c r="J159" i="1"/>
  <c r="N159" i="1" s="1"/>
  <c r="K159" i="1"/>
  <c r="L159" i="1"/>
  <c r="M159" i="1"/>
  <c r="M149" i="1" s="1"/>
  <c r="Q159" i="1"/>
  <c r="U159" i="1" s="1"/>
  <c r="W159" i="1" s="1"/>
  <c r="Y159" i="1" s="1"/>
  <c r="A160" i="1"/>
  <c r="H160" i="1"/>
  <c r="J160" i="1"/>
  <c r="N160" i="1" s="1"/>
  <c r="Q160" i="1"/>
  <c r="U160" i="1"/>
  <c r="W160" i="1"/>
  <c r="Y160" i="1"/>
  <c r="H161" i="1"/>
  <c r="J161" i="1"/>
  <c r="N161" i="1" s="1"/>
  <c r="Q161" i="1"/>
  <c r="U161" i="1"/>
  <c r="W161" i="1"/>
  <c r="Y161" i="1" s="1"/>
  <c r="H162" i="1"/>
  <c r="J162" i="1"/>
  <c r="N162" i="1" s="1"/>
  <c r="Y162" i="1" s="1"/>
  <c r="Q162" i="1"/>
  <c r="U162" i="1"/>
  <c r="W162" i="1"/>
  <c r="L163" i="1"/>
  <c r="M163" i="1"/>
  <c r="D164" i="1"/>
  <c r="D163" i="1" s="1"/>
  <c r="D144" i="1" s="1"/>
  <c r="D50" i="1" s="1"/>
  <c r="D191" i="1" s="1"/>
  <c r="H164" i="1"/>
  <c r="K164" i="1"/>
  <c r="K163" i="1" s="1"/>
  <c r="L164" i="1"/>
  <c r="M164" i="1"/>
  <c r="H165" i="1"/>
  <c r="J165" i="1"/>
  <c r="N165" i="1" s="1"/>
  <c r="Y165" i="1" s="1"/>
  <c r="Q165" i="1"/>
  <c r="U165" i="1"/>
  <c r="W165" i="1"/>
  <c r="A166" i="1"/>
  <c r="H166" i="1"/>
  <c r="J166" i="1" s="1"/>
  <c r="N166" i="1" s="1"/>
  <c r="Q166" i="1"/>
  <c r="U166" i="1"/>
  <c r="W166" i="1" s="1"/>
  <c r="Y166" i="1" s="1"/>
  <c r="A167" i="1"/>
  <c r="H167" i="1"/>
  <c r="J167" i="1" s="1"/>
  <c r="N167" i="1" s="1"/>
  <c r="Q167" i="1"/>
  <c r="U167" i="1" s="1"/>
  <c r="W167" i="1"/>
  <c r="D168" i="1"/>
  <c r="K168" i="1"/>
  <c r="L168" i="1"/>
  <c r="M168" i="1"/>
  <c r="H169" i="1"/>
  <c r="J169" i="1"/>
  <c r="Q169" i="1"/>
  <c r="U169" i="1" s="1"/>
  <c r="W169" i="1" s="1"/>
  <c r="A170" i="1"/>
  <c r="H170" i="1"/>
  <c r="J170" i="1" s="1"/>
  <c r="N170" i="1" s="1"/>
  <c r="Q170" i="1"/>
  <c r="U170" i="1" s="1"/>
  <c r="W170" i="1" s="1"/>
  <c r="X170" i="1"/>
  <c r="A171" i="1"/>
  <c r="H171" i="1"/>
  <c r="J171" i="1"/>
  <c r="N171" i="1" s="1"/>
  <c r="Q171" i="1"/>
  <c r="U171" i="1"/>
  <c r="W171" i="1"/>
  <c r="Y171" i="1" s="1"/>
  <c r="A172" i="1"/>
  <c r="H172" i="1"/>
  <c r="J172" i="1" s="1"/>
  <c r="N172" i="1" s="1"/>
  <c r="Q172" i="1"/>
  <c r="U172" i="1"/>
  <c r="W172" i="1" s="1"/>
  <c r="Y172" i="1" s="1"/>
  <c r="H173" i="1"/>
  <c r="J173" i="1" s="1"/>
  <c r="N173" i="1" s="1"/>
  <c r="Q173" i="1"/>
  <c r="U173" i="1"/>
  <c r="W173" i="1" s="1"/>
  <c r="X173" i="1"/>
  <c r="K175" i="1"/>
  <c r="L175" i="1"/>
  <c r="M175" i="1"/>
  <c r="E176" i="1"/>
  <c r="E175" i="1" s="1"/>
  <c r="H176" i="1"/>
  <c r="J176" i="1"/>
  <c r="N176" i="1" s="1"/>
  <c r="K176" i="1"/>
  <c r="L176" i="1"/>
  <c r="M176" i="1"/>
  <c r="A177" i="1"/>
  <c r="H177" i="1"/>
  <c r="J177" i="1" s="1"/>
  <c r="N177" i="1" s="1"/>
  <c r="R177" i="1"/>
  <c r="K179" i="1"/>
  <c r="L179" i="1"/>
  <c r="M179" i="1"/>
  <c r="U179" i="1"/>
  <c r="I180" i="1"/>
  <c r="U180" i="1"/>
  <c r="V180" i="1"/>
  <c r="W180" i="1" s="1"/>
  <c r="I181" i="1"/>
  <c r="J181" i="1" s="1"/>
  <c r="N181" i="1"/>
  <c r="U181" i="1"/>
  <c r="V181" i="1"/>
  <c r="W181" i="1" s="1"/>
  <c r="N183" i="1"/>
  <c r="U183" i="1"/>
  <c r="W183" i="1"/>
  <c r="H185" i="1"/>
  <c r="J185" i="1" s="1"/>
  <c r="N185" i="1" s="1"/>
  <c r="U185" i="1"/>
  <c r="W185" i="1" s="1"/>
  <c r="Y185" i="1" s="1"/>
  <c r="X185" i="1"/>
  <c r="I187" i="1"/>
  <c r="J187" i="1" s="1"/>
  <c r="M187" i="1"/>
  <c r="U187" i="1"/>
  <c r="W187" i="1" s="1"/>
  <c r="J188" i="1"/>
  <c r="K188" i="1"/>
  <c r="K187" i="1" s="1"/>
  <c r="L188" i="1"/>
  <c r="U188" i="1"/>
  <c r="W188" i="1" s="1"/>
  <c r="J189" i="1"/>
  <c r="K189" i="1"/>
  <c r="L189" i="1"/>
  <c r="N189" i="1" s="1"/>
  <c r="U189" i="1"/>
  <c r="W189" i="1" s="1"/>
  <c r="B191" i="1"/>
  <c r="F191" i="1"/>
  <c r="G191" i="1"/>
  <c r="X181" i="1" l="1"/>
  <c r="Y181" i="1"/>
  <c r="E50" i="1"/>
  <c r="E191" i="1" s="1"/>
  <c r="H175" i="1"/>
  <c r="J175" i="1" s="1"/>
  <c r="N175" i="1" s="1"/>
  <c r="X160" i="1"/>
  <c r="M144" i="1"/>
  <c r="X156" i="1"/>
  <c r="Y156" i="1"/>
  <c r="X147" i="1"/>
  <c r="Y147" i="1"/>
  <c r="K144" i="1"/>
  <c r="H137" i="1"/>
  <c r="J137" i="1" s="1"/>
  <c r="N137" i="1" s="1"/>
  <c r="C134" i="1"/>
  <c r="Y124" i="1"/>
  <c r="X124" i="1"/>
  <c r="X113" i="1"/>
  <c r="H111" i="1"/>
  <c r="N104" i="1"/>
  <c r="X172" i="1"/>
  <c r="X153" i="1"/>
  <c r="Y153" i="1"/>
  <c r="L149" i="1"/>
  <c r="X136" i="1"/>
  <c r="Y136" i="1"/>
  <c r="X130" i="1"/>
  <c r="Y130" i="1"/>
  <c r="M121" i="1"/>
  <c r="X169" i="1"/>
  <c r="X167" i="1"/>
  <c r="Y167" i="1"/>
  <c r="X161" i="1"/>
  <c r="X155" i="1"/>
  <c r="Y155" i="1"/>
  <c r="X140" i="1"/>
  <c r="Y140" i="1"/>
  <c r="N139" i="1"/>
  <c r="X139" i="1" s="1"/>
  <c r="J138" i="1"/>
  <c r="N138" i="1" s="1"/>
  <c r="L121" i="1"/>
  <c r="X18" i="1"/>
  <c r="Y18" i="1"/>
  <c r="Y188" i="1"/>
  <c r="X188" i="1"/>
  <c r="J168" i="1"/>
  <c r="N168" i="1" s="1"/>
  <c r="N169" i="1"/>
  <c r="Y169" i="1" s="1"/>
  <c r="Y157" i="1"/>
  <c r="X157" i="1"/>
  <c r="X138" i="1"/>
  <c r="Y138" i="1"/>
  <c r="X131" i="1"/>
  <c r="X127" i="1"/>
  <c r="Y127" i="1"/>
  <c r="Y125" i="1"/>
  <c r="X125" i="1"/>
  <c r="N118" i="1"/>
  <c r="X118" i="1" s="1"/>
  <c r="J117" i="1"/>
  <c r="N117" i="1" s="1"/>
  <c r="X117" i="1" s="1"/>
  <c r="X116" i="1"/>
  <c r="Y116" i="1"/>
  <c r="L187" i="1"/>
  <c r="N187" i="1" s="1"/>
  <c r="N188" i="1"/>
  <c r="X180" i="1"/>
  <c r="H168" i="1"/>
  <c r="H163" i="1" s="1"/>
  <c r="X165" i="1"/>
  <c r="X162" i="1"/>
  <c r="U145" i="1"/>
  <c r="W145" i="1" s="1"/>
  <c r="X142" i="1"/>
  <c r="Y142" i="1"/>
  <c r="X137" i="1"/>
  <c r="Y137" i="1"/>
  <c r="J131" i="1"/>
  <c r="N131" i="1" s="1"/>
  <c r="Y131" i="1" s="1"/>
  <c r="N132" i="1"/>
  <c r="Y132" i="1" s="1"/>
  <c r="Y99" i="1"/>
  <c r="X99" i="1"/>
  <c r="X183" i="1"/>
  <c r="Y183" i="1"/>
  <c r="X154" i="1"/>
  <c r="Y154" i="1"/>
  <c r="X148" i="1"/>
  <c r="Y148" i="1"/>
  <c r="H145" i="1"/>
  <c r="J146" i="1"/>
  <c r="X134" i="1"/>
  <c r="Y134" i="1"/>
  <c r="Y123" i="1"/>
  <c r="X123" i="1"/>
  <c r="X119" i="1"/>
  <c r="Y119" i="1"/>
  <c r="Y110" i="1"/>
  <c r="X110" i="1"/>
  <c r="L50" i="1"/>
  <c r="M50" i="1"/>
  <c r="M191" i="1" s="1"/>
  <c r="R176" i="1"/>
  <c r="U177" i="1"/>
  <c r="W177" i="1" s="1"/>
  <c r="Y173" i="1"/>
  <c r="Y170" i="1"/>
  <c r="X166" i="1"/>
  <c r="Q164" i="1"/>
  <c r="X159" i="1"/>
  <c r="Y158" i="1"/>
  <c r="X158" i="1"/>
  <c r="N135" i="1"/>
  <c r="Y135" i="1" s="1"/>
  <c r="J134" i="1"/>
  <c r="N134" i="1" s="1"/>
  <c r="N129" i="1"/>
  <c r="X129" i="1" s="1"/>
  <c r="J128" i="1"/>
  <c r="N128" i="1" s="1"/>
  <c r="X128" i="1" s="1"/>
  <c r="Y111" i="1"/>
  <c r="X111" i="1"/>
  <c r="X33" i="1"/>
  <c r="Y33" i="1"/>
  <c r="Y189" i="1"/>
  <c r="X189" i="1"/>
  <c r="I179" i="1"/>
  <c r="J179" i="1" s="1"/>
  <c r="N179" i="1" s="1"/>
  <c r="J180" i="1"/>
  <c r="N180" i="1" s="1"/>
  <c r="Y180" i="1" s="1"/>
  <c r="X171" i="1"/>
  <c r="L144" i="1"/>
  <c r="X141" i="1"/>
  <c r="Y141" i="1"/>
  <c r="X133" i="1"/>
  <c r="Y133" i="1"/>
  <c r="P121" i="1"/>
  <c r="U122" i="1"/>
  <c r="W122" i="1" s="1"/>
  <c r="Y108" i="1"/>
  <c r="X108" i="1"/>
  <c r="Y100" i="1"/>
  <c r="X100" i="1"/>
  <c r="X27" i="1"/>
  <c r="Y27" i="1"/>
  <c r="V179" i="1"/>
  <c r="W179" i="1" s="1"/>
  <c r="Q168" i="1"/>
  <c r="U168" i="1" s="1"/>
  <c r="W168" i="1" s="1"/>
  <c r="Y104" i="1"/>
  <c r="X82" i="1"/>
  <c r="Y82" i="1"/>
  <c r="X78" i="1"/>
  <c r="Y78" i="1"/>
  <c r="X74" i="1"/>
  <c r="Y74" i="1"/>
  <c r="X71" i="1"/>
  <c r="Y71" i="1"/>
  <c r="S64" i="1"/>
  <c r="X62" i="1"/>
  <c r="Y62" i="1"/>
  <c r="X57" i="1"/>
  <c r="Y57" i="1"/>
  <c r="X54" i="1"/>
  <c r="Y54" i="1"/>
  <c r="X25" i="1"/>
  <c r="Y25" i="1"/>
  <c r="U21" i="1"/>
  <c r="W21" i="1" s="1"/>
  <c r="T36" i="1"/>
  <c r="X11" i="1"/>
  <c r="Y11" i="1"/>
  <c r="J152" i="1"/>
  <c r="N152" i="1" s="1"/>
  <c r="X152" i="1" s="1"/>
  <c r="N151" i="1"/>
  <c r="Y151" i="1" s="1"/>
  <c r="Q150" i="1"/>
  <c r="U126" i="1"/>
  <c r="W126" i="1" s="1"/>
  <c r="N112" i="1"/>
  <c r="X112" i="1" s="1"/>
  <c r="K103" i="1"/>
  <c r="X106" i="1"/>
  <c r="X96" i="1"/>
  <c r="Y96" i="1"/>
  <c r="Y92" i="1"/>
  <c r="Y90" i="1"/>
  <c r="Y88" i="1"/>
  <c r="Y85" i="1"/>
  <c r="X68" i="1"/>
  <c r="Y68" i="1"/>
  <c r="H64" i="1"/>
  <c r="O52" i="1"/>
  <c r="V46" i="1"/>
  <c r="W46" i="1" s="1"/>
  <c r="W42" i="1"/>
  <c r="J46" i="1"/>
  <c r="N46" i="1" s="1"/>
  <c r="X34" i="1"/>
  <c r="Y34" i="1"/>
  <c r="X29" i="1"/>
  <c r="Y29" i="1"/>
  <c r="X13" i="1"/>
  <c r="Y13" i="1"/>
  <c r="N10" i="1"/>
  <c r="J19" i="1"/>
  <c r="N19" i="1" s="1"/>
  <c r="O8" i="1"/>
  <c r="C121" i="1"/>
  <c r="C50" i="1" s="1"/>
  <c r="C191" i="1" s="1"/>
  <c r="H191" i="1" s="1"/>
  <c r="Y118" i="1"/>
  <c r="X81" i="1"/>
  <c r="Y81" i="1"/>
  <c r="X77" i="1"/>
  <c r="Y77" i="1"/>
  <c r="H50" i="1"/>
  <c r="J50" i="1" s="1"/>
  <c r="X32" i="1"/>
  <c r="U24" i="1"/>
  <c r="W24" i="1" s="1"/>
  <c r="R36" i="1"/>
  <c r="R48" i="1" s="1"/>
  <c r="X10" i="1"/>
  <c r="Y10" i="1"/>
  <c r="J8" i="1"/>
  <c r="N8" i="1" s="1"/>
  <c r="J164" i="1"/>
  <c r="H138" i="1"/>
  <c r="H134" i="1"/>
  <c r="H121" i="1" s="1"/>
  <c r="J121" i="1" s="1"/>
  <c r="N121" i="1" s="1"/>
  <c r="J114" i="1"/>
  <c r="N114" i="1" s="1"/>
  <c r="Y114" i="1" s="1"/>
  <c r="Y107" i="1"/>
  <c r="T103" i="1"/>
  <c r="X97" i="1"/>
  <c r="Y97" i="1"/>
  <c r="J73" i="1"/>
  <c r="H72" i="1"/>
  <c r="X70" i="1"/>
  <c r="Y70" i="1"/>
  <c r="X61" i="1"/>
  <c r="Y61" i="1"/>
  <c r="J56" i="1"/>
  <c r="H55" i="1"/>
  <c r="H52" i="1" s="1"/>
  <c r="X38" i="1"/>
  <c r="Y38" i="1"/>
  <c r="X17" i="1"/>
  <c r="Y17" i="1"/>
  <c r="N105" i="1"/>
  <c r="Y105" i="1" s="1"/>
  <c r="X93" i="1"/>
  <c r="X91" i="1"/>
  <c r="X89" i="1"/>
  <c r="X87" i="1"/>
  <c r="X85" i="1"/>
  <c r="X80" i="1"/>
  <c r="Y80" i="1"/>
  <c r="X76" i="1"/>
  <c r="Y76" i="1"/>
  <c r="X67" i="1"/>
  <c r="Y67" i="1"/>
  <c r="X45" i="1"/>
  <c r="Y45" i="1"/>
  <c r="W40" i="1"/>
  <c r="H48" i="1"/>
  <c r="X31" i="1"/>
  <c r="Y31" i="1"/>
  <c r="P36" i="1"/>
  <c r="U36" i="1" s="1"/>
  <c r="W36" i="1" s="1"/>
  <c r="X12" i="1"/>
  <c r="Y12" i="1"/>
  <c r="Y109" i="1"/>
  <c r="Y98" i="1"/>
  <c r="X94" i="1"/>
  <c r="Y94" i="1"/>
  <c r="X43" i="1"/>
  <c r="Y43" i="1"/>
  <c r="X35" i="1"/>
  <c r="Y35" i="1"/>
  <c r="W30" i="1"/>
  <c r="X26" i="1"/>
  <c r="Y26" i="1"/>
  <c r="S8" i="1"/>
  <c r="U9" i="1"/>
  <c r="W9" i="1" s="1"/>
  <c r="S19" i="1"/>
  <c r="S48" i="1" s="1"/>
  <c r="X115" i="1"/>
  <c r="J122" i="1"/>
  <c r="N122" i="1" s="1"/>
  <c r="Y112" i="1"/>
  <c r="X83" i="1"/>
  <c r="Y83" i="1"/>
  <c r="X79" i="1"/>
  <c r="Y79" i="1"/>
  <c r="X75" i="1"/>
  <c r="Y75" i="1"/>
  <c r="X69" i="1"/>
  <c r="Y69" i="1"/>
  <c r="X58" i="1"/>
  <c r="Y58" i="1"/>
  <c r="X41" i="1"/>
  <c r="Y41" i="1"/>
  <c r="V36" i="1"/>
  <c r="O19" i="1"/>
  <c r="X16" i="1"/>
  <c r="Y16" i="1"/>
  <c r="Y15" i="1"/>
  <c r="I191" i="1"/>
  <c r="J191" i="1" s="1"/>
  <c r="Y113" i="1"/>
  <c r="X104" i="1"/>
  <c r="H103" i="1"/>
  <c r="X101" i="1"/>
  <c r="X95" i="1"/>
  <c r="Y95" i="1"/>
  <c r="K50" i="1"/>
  <c r="K191" i="1" s="1"/>
  <c r="X39" i="1"/>
  <c r="Y39" i="1"/>
  <c r="X28" i="1"/>
  <c r="Y28" i="1"/>
  <c r="X14" i="1"/>
  <c r="Y14" i="1"/>
  <c r="P48" i="1"/>
  <c r="V19" i="1"/>
  <c r="U86" i="1"/>
  <c r="W86" i="1" s="1"/>
  <c r="N53" i="1"/>
  <c r="Y53" i="1" s="1"/>
  <c r="N44" i="1"/>
  <c r="X44" i="1" s="1"/>
  <c r="Y84" i="1"/>
  <c r="J66" i="1"/>
  <c r="J60" i="1"/>
  <c r="T19" i="1"/>
  <c r="T48" i="1" s="1"/>
  <c r="U73" i="1"/>
  <c r="W73" i="1" s="1"/>
  <c r="U56" i="1"/>
  <c r="W56" i="1" s="1"/>
  <c r="J21" i="1"/>
  <c r="N9" i="1"/>
  <c r="Y187" i="1" l="1"/>
  <c r="X187" i="1"/>
  <c r="Y73" i="1"/>
  <c r="X53" i="1"/>
  <c r="N73" i="1"/>
  <c r="X73" i="1" s="1"/>
  <c r="J72" i="1"/>
  <c r="N72" i="1" s="1"/>
  <c r="J163" i="1"/>
  <c r="N163" i="1" s="1"/>
  <c r="N164" i="1"/>
  <c r="Y44" i="1"/>
  <c r="X21" i="1"/>
  <c r="Y21" i="1"/>
  <c r="Y128" i="1"/>
  <c r="J150" i="1"/>
  <c r="Y117" i="1"/>
  <c r="X135" i="1"/>
  <c r="X132" i="1"/>
  <c r="J103" i="1"/>
  <c r="N103" i="1" s="1"/>
  <c r="Y139" i="1"/>
  <c r="T191" i="1"/>
  <c r="X9" i="1"/>
  <c r="Y9" i="1"/>
  <c r="X42" i="1"/>
  <c r="Y42" i="1"/>
  <c r="X126" i="1"/>
  <c r="Y126" i="1"/>
  <c r="J59" i="1"/>
  <c r="N59" i="1" s="1"/>
  <c r="N60" i="1"/>
  <c r="N56" i="1"/>
  <c r="Y56" i="1" s="1"/>
  <c r="J55" i="1"/>
  <c r="N50" i="1"/>
  <c r="X46" i="1"/>
  <c r="Y46" i="1"/>
  <c r="Q149" i="1"/>
  <c r="U150" i="1"/>
  <c r="W150" i="1" s="1"/>
  <c r="U64" i="1"/>
  <c r="W64" i="1" s="1"/>
  <c r="S50" i="1"/>
  <c r="S191" i="1" s="1"/>
  <c r="U164" i="1"/>
  <c r="W164" i="1" s="1"/>
  <c r="Q163" i="1"/>
  <c r="U163" i="1" s="1"/>
  <c r="W163" i="1" s="1"/>
  <c r="J65" i="1"/>
  <c r="N66" i="1"/>
  <c r="U103" i="1"/>
  <c r="W103" i="1" s="1"/>
  <c r="T50" i="1"/>
  <c r="Y129" i="1"/>
  <c r="X40" i="1"/>
  <c r="Y40" i="1"/>
  <c r="O50" i="1"/>
  <c r="U52" i="1"/>
  <c r="W52" i="1" s="1"/>
  <c r="X168" i="1"/>
  <c r="Y168" i="1"/>
  <c r="X114" i="1"/>
  <c r="J145" i="1"/>
  <c r="N145" i="1" s="1"/>
  <c r="X145" i="1" s="1"/>
  <c r="N146" i="1"/>
  <c r="O48" i="1"/>
  <c r="U19" i="1"/>
  <c r="W19" i="1" s="1"/>
  <c r="X30" i="1"/>
  <c r="Y30" i="1"/>
  <c r="X24" i="1"/>
  <c r="Y24" i="1"/>
  <c r="X179" i="1"/>
  <c r="Y179" i="1"/>
  <c r="H144" i="1"/>
  <c r="J144" i="1" s="1"/>
  <c r="N144" i="1" s="1"/>
  <c r="Y152" i="1"/>
  <c r="J36" i="1"/>
  <c r="N21" i="1"/>
  <c r="V48" i="1"/>
  <c r="V191" i="1" s="1"/>
  <c r="X122" i="1"/>
  <c r="Y122" i="1"/>
  <c r="X105" i="1"/>
  <c r="X177" i="1"/>
  <c r="Y177" i="1"/>
  <c r="Y86" i="1"/>
  <c r="X86" i="1"/>
  <c r="U8" i="1"/>
  <c r="W8" i="1" s="1"/>
  <c r="P50" i="1"/>
  <c r="P191" i="1" s="1"/>
  <c r="U121" i="1"/>
  <c r="W121" i="1" s="1"/>
  <c r="R175" i="1"/>
  <c r="U176" i="1"/>
  <c r="W176" i="1" s="1"/>
  <c r="X151" i="1"/>
  <c r="L191" i="1"/>
  <c r="N191" i="1" s="1"/>
  <c r="N192" i="1" l="1"/>
  <c r="N194" i="1"/>
  <c r="Y72" i="1"/>
  <c r="X72" i="1"/>
  <c r="Y176" i="1"/>
  <c r="X176" i="1"/>
  <c r="X56" i="1"/>
  <c r="J48" i="1"/>
  <c r="N48" i="1" s="1"/>
  <c r="N36" i="1"/>
  <c r="X150" i="1"/>
  <c r="X59" i="1"/>
  <c r="Y59" i="1"/>
  <c r="R50" i="1"/>
  <c r="R191" i="1" s="1"/>
  <c r="U175" i="1"/>
  <c r="W175" i="1" s="1"/>
  <c r="Y103" i="1"/>
  <c r="X103" i="1"/>
  <c r="U149" i="1"/>
  <c r="W149" i="1" s="1"/>
  <c r="Q144" i="1"/>
  <c r="X121" i="1"/>
  <c r="Y121" i="1"/>
  <c r="Y145" i="1"/>
  <c r="X66" i="1"/>
  <c r="Y66" i="1"/>
  <c r="X19" i="1"/>
  <c r="Y19" i="1"/>
  <c r="J64" i="1"/>
  <c r="N64" i="1" s="1"/>
  <c r="X64" i="1" s="1"/>
  <c r="N65" i="1"/>
  <c r="X8" i="1"/>
  <c r="Y8" i="1"/>
  <c r="U48" i="1"/>
  <c r="W48" i="1" s="1"/>
  <c r="O191" i="1"/>
  <c r="X163" i="1"/>
  <c r="Y163" i="1"/>
  <c r="X146" i="1"/>
  <c r="Y146" i="1"/>
  <c r="X164" i="1"/>
  <c r="Y164" i="1"/>
  <c r="N55" i="1"/>
  <c r="J52" i="1"/>
  <c r="N52" i="1" s="1"/>
  <c r="X52" i="1" s="1"/>
  <c r="X60" i="1"/>
  <c r="Y60" i="1"/>
  <c r="J149" i="1"/>
  <c r="N149" i="1" s="1"/>
  <c r="N150" i="1"/>
  <c r="Y150" i="1" s="1"/>
  <c r="X55" i="1" l="1"/>
  <c r="Y55" i="1"/>
  <c r="X48" i="1"/>
  <c r="Y48" i="1"/>
  <c r="X36" i="1"/>
  <c r="Y36" i="1"/>
  <c r="X65" i="1"/>
  <c r="Y65" i="1"/>
  <c r="X175" i="1"/>
  <c r="Y175" i="1"/>
  <c r="Y52" i="1"/>
  <c r="Y64" i="1"/>
  <c r="Q50" i="1"/>
  <c r="U144" i="1"/>
  <c r="W144" i="1" s="1"/>
  <c r="X149" i="1"/>
  <c r="Y149" i="1"/>
  <c r="X144" i="1" l="1"/>
  <c r="Y144" i="1"/>
  <c r="Q191" i="1"/>
  <c r="U191" i="1" s="1"/>
  <c r="W191" i="1" s="1"/>
  <c r="U50" i="1"/>
  <c r="W50" i="1" s="1"/>
  <c r="X50" i="1" l="1"/>
  <c r="Y50" i="1"/>
  <c r="Y191" i="1"/>
  <c r="X191" i="1"/>
  <c r="X196" i="1" s="1"/>
</calcChain>
</file>

<file path=xl/sharedStrings.xml><?xml version="1.0" encoding="utf-8"?>
<sst xmlns="http://schemas.openxmlformats.org/spreadsheetml/2006/main" count="187" uniqueCount="187">
  <si>
    <t>El porcentaje de ejecución corresponde al total del presupuesto menos la Reserva y los Fondos de Emergencia $46.408.308.366</t>
  </si>
  <si>
    <t xml:space="preserve">TOTAL GASTOS </t>
  </si>
  <si>
    <t>Cuota de erradicación Peste Porcina Clásica</t>
  </si>
  <si>
    <t>Cuota de fomento porcícola</t>
  </si>
  <si>
    <t xml:space="preserve">RESERVA FUTURAS INVERSIONES Y GASTOS </t>
  </si>
  <si>
    <t>FONDO DE EMERGENCIA PPC</t>
  </si>
  <si>
    <t>FONDO DE EMERGENCIA FNP</t>
  </si>
  <si>
    <t>Cuota de administración PPC</t>
  </si>
  <si>
    <t>Cuota de administración FNP</t>
  </si>
  <si>
    <t>CUOTA DE ADMINISTRACIÓN</t>
  </si>
  <si>
    <t>Control y monitoreo de enfermedades en granjas de Colombia</t>
  </si>
  <si>
    <t>TOTAL ÁREA SANIDAD</t>
  </si>
  <si>
    <t>Apoyo Diagnostico lineas base (ICA)</t>
  </si>
  <si>
    <t>Diagnostico Rutinario, Combos y PRRS</t>
  </si>
  <si>
    <t>Diagnostico rutinario con laboratorios privados</t>
  </si>
  <si>
    <t>Diagnóstico Rutinario, Integrado y PRRS</t>
  </si>
  <si>
    <t>Diagnostico rutinario con laboratorios oficiales</t>
  </si>
  <si>
    <t>Diagnostico</t>
  </si>
  <si>
    <t>Material de apoyo</t>
  </si>
  <si>
    <t>Seminario en mejoramiento procesos administrativos y de calidad en la comercialización de carne</t>
  </si>
  <si>
    <t xml:space="preserve">  Talleres y seminarios</t>
  </si>
  <si>
    <t>Curso virtual en bienestar animal</t>
  </si>
  <si>
    <t>Proyecto convenio de asociación CVC</t>
  </si>
  <si>
    <t>Curso virtual en productos innovadores</t>
  </si>
  <si>
    <t xml:space="preserve">  Vinculación tecnologica</t>
  </si>
  <si>
    <t>Transferencia de tecnología</t>
  </si>
  <si>
    <t>Jornadas de divulgación resultados de investigación</t>
  </si>
  <si>
    <t>Capacitación anual</t>
  </si>
  <si>
    <t>Proyectos</t>
  </si>
  <si>
    <t>Investigación y desarrollo</t>
  </si>
  <si>
    <t>TOTAL ÁREA INVESTIGACIÓN Y TRANSFERENCIA</t>
  </si>
  <si>
    <t>Apoyo autorización sanitaria</t>
  </si>
  <si>
    <t xml:space="preserve">     Contrapartidas Gobernaciones / Alcaldias FNP</t>
  </si>
  <si>
    <t xml:space="preserve">   Contrapartidas FNP</t>
  </si>
  <si>
    <t xml:space="preserve">     Contrapartidas Gobernaciones / Alcaldias</t>
  </si>
  <si>
    <t xml:space="preserve">   Contrapartidas Gobernaciones y/o Alcaldias</t>
  </si>
  <si>
    <t>Convenios</t>
  </si>
  <si>
    <t>Fortalecimiento Asociativo</t>
  </si>
  <si>
    <t>Gestión de servicios</t>
  </si>
  <si>
    <t>Fortalecimiento Empresarial</t>
  </si>
  <si>
    <t>Fortalecimiento de competencias en bienestar animal e inocuidad</t>
  </si>
  <si>
    <t>Profesionales de apoyo en implementación y certificación granja y transporte</t>
  </si>
  <si>
    <t>Inocuidad y bienestar animal en producción primaria y transporte</t>
  </si>
  <si>
    <t>Granjas modelo y mesas de trabajo interinstitucionales e intergremiales</t>
  </si>
  <si>
    <t xml:space="preserve">Acompañamiento y apoyo </t>
  </si>
  <si>
    <t xml:space="preserve">Sostenibilidad y responsabilidad social empresarial en producción primaria </t>
  </si>
  <si>
    <t>Premios PORKS Colombia 2019</t>
  </si>
  <si>
    <t>Taller técnico de bioseguridad, sanidad y productividad</t>
  </si>
  <si>
    <t>Acompañamiento (Certificación en granja y transporte)</t>
  </si>
  <si>
    <t>Programa nacional de bioseguridad y productividad-PNBSP</t>
  </si>
  <si>
    <t>TOTAL ÁREA TÉCNICA</t>
  </si>
  <si>
    <t>Soporte operativo</t>
  </si>
  <si>
    <t>Mantenimiento y actualización plataforma</t>
  </si>
  <si>
    <t>Administración de la base de datos</t>
  </si>
  <si>
    <t>Apoyo actividades de vigilancia activa</t>
  </si>
  <si>
    <t>Vigilancia Epidemiológica</t>
  </si>
  <si>
    <t>Divulgación</t>
  </si>
  <si>
    <t>Capacitación</t>
  </si>
  <si>
    <t>Capacitación y divulgación</t>
  </si>
  <si>
    <t>Disposición de residuos biológicos</t>
  </si>
  <si>
    <t>Contratación de personal</t>
  </si>
  <si>
    <t>Biológico</t>
  </si>
  <si>
    <t>Auxilios distribuidores</t>
  </si>
  <si>
    <t>Suministros clínicos y dotaciones</t>
  </si>
  <si>
    <t>Identificación</t>
  </si>
  <si>
    <t>Vacunacion e identificacion de Porcinos</t>
  </si>
  <si>
    <t>TOTAL ÁREA ERRADICACIÓN PPC</t>
  </si>
  <si>
    <t>Viajes Gestión Regional</t>
  </si>
  <si>
    <t>ChefRegionales PorkColombia</t>
  </si>
  <si>
    <t>Cerdificado PorkColombia (Expertos de carne de cerdo)</t>
  </si>
  <si>
    <t>Eventos Apertura Nuevos Negocios</t>
  </si>
  <si>
    <t>Material Promocional y Publicitario</t>
  </si>
  <si>
    <t xml:space="preserve">Gestion de actividades nutricionales </t>
  </si>
  <si>
    <t>Gestion y seguimiento comercializacion y nuevos negocios</t>
  </si>
  <si>
    <t>Comercialización y Nuevos Negocios</t>
  </si>
  <si>
    <t>Eventos especializados (Sector, gastronomicos , sector salud)</t>
  </si>
  <si>
    <t>Agroexpo</t>
  </si>
  <si>
    <t>Seguimiento gestión a eventos de sensibilización de las bondades de la carne de cerdo</t>
  </si>
  <si>
    <t>Festival PorkColombia</t>
  </si>
  <si>
    <t>Material de promocion al consumo</t>
  </si>
  <si>
    <t>Capacitación anual contratistas</t>
  </si>
  <si>
    <t>Asesor Gastronómico Ejecutivo</t>
  </si>
  <si>
    <t>Cocina PorkColombia</t>
  </si>
  <si>
    <t>Activaciones de consumo</t>
  </si>
  <si>
    <t>Fomento al Consumo Regional</t>
  </si>
  <si>
    <t>Producción Digital</t>
  </si>
  <si>
    <t>Pauta digital</t>
  </si>
  <si>
    <t>Desarrollo Digital (Concurso Sabor Porkcolombia)</t>
  </si>
  <si>
    <t>Kit Publicitario</t>
  </si>
  <si>
    <t>Free Press Influenciadores</t>
  </si>
  <si>
    <t>Sostenimiento y Desarrollo Digital</t>
  </si>
  <si>
    <t>Seguimiento y gestion comunicación integral.</t>
  </si>
  <si>
    <t>Herramienta Branding y Marketing</t>
  </si>
  <si>
    <t>Pauta institucional</t>
  </si>
  <si>
    <t>Consultoría Mercado</t>
  </si>
  <si>
    <t>Campaña de publicidad</t>
  </si>
  <si>
    <t>Campaña de fomento al consumo</t>
  </si>
  <si>
    <t>Estudio NSOP (Carnicerias)</t>
  </si>
  <si>
    <t>Estudio del Consumidor</t>
  </si>
  <si>
    <t>Evaluación Neurologica de la  Campaña Vigente/Eye Tracking</t>
  </si>
  <si>
    <t>Monitoreo de Medios</t>
  </si>
  <si>
    <t>Brand Equity Tracking</t>
  </si>
  <si>
    <t xml:space="preserve">Home Panel </t>
  </si>
  <si>
    <t>Investigación de mercados</t>
  </si>
  <si>
    <t>TOTAL ÁREA MERCADEO</t>
  </si>
  <si>
    <t>Sello de producto en la cadena de transformación</t>
  </si>
  <si>
    <t>Implementación medición de grasa</t>
  </si>
  <si>
    <t>Asesorias BPM y HACCP</t>
  </si>
  <si>
    <t>Aseguramiento de la calidad</t>
  </si>
  <si>
    <t>Seguimiento Mercados Internacionales</t>
  </si>
  <si>
    <t>Actualización Información Nacional</t>
  </si>
  <si>
    <t>Monitoreo Precios de la Carne al Consumidor</t>
  </si>
  <si>
    <t>Sistemas de información de mercados</t>
  </si>
  <si>
    <t>Acceso a Mercados</t>
  </si>
  <si>
    <t>Fortalecimiento institucional</t>
  </si>
  <si>
    <t>TOTAL ÁREA ECONÓMICA</t>
  </si>
  <si>
    <t>TOTAL PROGRAMAS Y PROYECTOS</t>
  </si>
  <si>
    <t>TOTAL FUNCIONAMIENTO</t>
  </si>
  <si>
    <t>SUBTOTAL GASTOS ADMINISTRATIVOS DE RECAUDO</t>
  </si>
  <si>
    <t>Jornadas de trabajo con los coordinadores regionales(trabajo con autoridades)</t>
  </si>
  <si>
    <t>Trabajo con autoridades</t>
  </si>
  <si>
    <t>Movilización Jefe Coordinadores de recaudo</t>
  </si>
  <si>
    <t>Fortalecimiento del beneficio formal</t>
  </si>
  <si>
    <t>Jornadas de trabajo con los coordinadores regionales (visita plantas)</t>
  </si>
  <si>
    <t>Movilización coordinadores</t>
  </si>
  <si>
    <t>Seguimiento al recaudo regional</t>
  </si>
  <si>
    <t>Control al recaudo</t>
  </si>
  <si>
    <t>GASTOS ADMINISTRATIVOS DE RECAUDO</t>
  </si>
  <si>
    <t>SUBTOTAL GASTOS GENERALES</t>
  </si>
  <si>
    <t>Gastos comisión de fomento</t>
  </si>
  <si>
    <t>Cuota auditaje CGR</t>
  </si>
  <si>
    <t>Arriendos</t>
  </si>
  <si>
    <t>Servicios públicos</t>
  </si>
  <si>
    <t>Aseo, vigilancia y cafetería</t>
  </si>
  <si>
    <t>Gastos de viaje</t>
  </si>
  <si>
    <t>Comisiones y gastos bancarios</t>
  </si>
  <si>
    <t>Seguros, impuestos y gastos legales</t>
  </si>
  <si>
    <t xml:space="preserve">Mantenimiento </t>
  </si>
  <si>
    <t xml:space="preserve">Capacitación </t>
  </si>
  <si>
    <t>Transportes, fletes y acarreos</t>
  </si>
  <si>
    <t>Correo</t>
  </si>
  <si>
    <t>Materiales y suministros</t>
  </si>
  <si>
    <t>Impresos y publicaciones</t>
  </si>
  <si>
    <t>Muebles, equipos de oficina y software</t>
  </si>
  <si>
    <t>GASTOS GENERALES</t>
  </si>
  <si>
    <t>SUBTOTAL GASTOS PERSONAL</t>
  </si>
  <si>
    <t>Aportes ICBF y SENA</t>
  </si>
  <si>
    <t>Caja de compensación</t>
  </si>
  <si>
    <t>Seguros y/o fondos privados</t>
  </si>
  <si>
    <t>Intereses de cesantías</t>
  </si>
  <si>
    <t>Cesantías</t>
  </si>
  <si>
    <t xml:space="preserve">Dotación y suministro </t>
  </si>
  <si>
    <t>Honorarios</t>
  </si>
  <si>
    <t>Prima legal</t>
  </si>
  <si>
    <t>Vacaciones</t>
  </si>
  <si>
    <t>Sueldos</t>
  </si>
  <si>
    <t>Servicios de personal</t>
  </si>
  <si>
    <t>GASTOS DE PERSONAL</t>
  </si>
  <si>
    <t>% EJECUCIÓN 2019</t>
  </si>
  <si>
    <t>ACUERDO 2/20</t>
  </si>
  <si>
    <t>EJECUCIÓN AÑO 2019</t>
  </si>
  <si>
    <t>EJECUCIÓN FUNCIONAMIENTO</t>
  </si>
  <si>
    <t>EJECUCIÓN TOTAL INVERSIÓN</t>
  </si>
  <si>
    <t xml:space="preserve">EJECUCIÓN PROGRAMA PPC </t>
  </si>
  <si>
    <t>EJECUCIÓN PROGRAMAS MERCADEO</t>
  </si>
  <si>
    <t>EJECUCIÓN PROGRAMA SANIDAD</t>
  </si>
  <si>
    <t>EJECUCIÓN PROGRAMAS INVESTIG Y TRANSF DE TÉCNOLOGÍA</t>
  </si>
  <si>
    <t>EJECUCIÓN PROGRAMAS TÉCNICA</t>
  </si>
  <si>
    <t>EJECUCIÓN PROGRAMAS ECONÓMICA</t>
  </si>
  <si>
    <t>PRESUPUESTO MODIFICADO</t>
  </si>
  <si>
    <t>ACUERDO 12/19</t>
  </si>
  <si>
    <t>ACUERDO 9/19</t>
  </si>
  <si>
    <t>ACUERDO 5/19</t>
  </si>
  <si>
    <t>TOTAL PRESUPUESTO</t>
  </si>
  <si>
    <t>GASTOS DE FUNCIONAMIENTO</t>
  </si>
  <si>
    <t>TOTAL INVERSIÓN</t>
  </si>
  <si>
    <t xml:space="preserve">PROGRAMA PPC </t>
  </si>
  <si>
    <t>PROGRAMAS MERCADEO</t>
  </si>
  <si>
    <t>PROGRAMA SANIDAD</t>
  </si>
  <si>
    <t>PROGRAMAS INVESTIGACIÓN Y TRANSFERENCIA DE TÉCNOLOGÍA</t>
  </si>
  <si>
    <t>PROGRAMAS TÉCNICA</t>
  </si>
  <si>
    <t>PROGRAMAS ECONÓMICA</t>
  </si>
  <si>
    <t>CUENTAS</t>
  </si>
  <si>
    <t>ANEXO 2</t>
  </si>
  <si>
    <t>EJECUCIÓN PRESUPUESTO DE GASTOS DE FUNCIONAMIENTO E INVERSIÓN AÑO 2.019</t>
  </si>
  <si>
    <t>DIRECCIÓN DE PLANEACIÓN Y SEGUIMIENTO PRESUPUESTAL</t>
  </si>
  <si>
    <t>MINISTERIO DE AGRICULTURA  Y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</si>
</sst>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 * #,##0_ ;_ * \-#,##0_ ;_ * &quot;-&quot;??_ ;_ @_ "/>
    <numFmt numFmtId="165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name val="Times New Roman"/>
      <family val="1"/>
    </font>
    <font>
      <sz val="11"/>
      <name val="Arial"/>
      <family val="2"/>
      <charset val="186"/>
    </font>
    <font>
      <sz val="11"/>
      <color theme="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86"/>
    </font>
    <font>
      <b/>
      <sz val="11"/>
      <color indexed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1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0" borderId="0" xfId="2"/>
    <xf numFmtId="0" fontId="3" fillId="0" borderId="0" xfId="2" applyFont="1"/>
    <xf numFmtId="10" fontId="3" fillId="0" borderId="0" xfId="3" applyNumberFormat="1" applyFont="1"/>
    <xf numFmtId="3" fontId="3" fillId="0" borderId="0" xfId="2" applyNumberFormat="1" applyFont="1"/>
    <xf numFmtId="164" fontId="4" fillId="0" borderId="0" xfId="2" applyNumberFormat="1" applyFont="1"/>
    <xf numFmtId="164" fontId="3" fillId="0" borderId="0" xfId="2" applyNumberFormat="1" applyFont="1"/>
    <xf numFmtId="164" fontId="3" fillId="0" borderId="0" xfId="4" applyNumberFormat="1" applyFont="1"/>
    <xf numFmtId="165" fontId="3" fillId="0" borderId="0" xfId="4" applyFont="1"/>
    <xf numFmtId="9" fontId="3" fillId="0" borderId="0" xfId="3" applyFont="1"/>
    <xf numFmtId="165" fontId="4" fillId="0" borderId="0" xfId="4" applyFont="1"/>
    <xf numFmtId="37" fontId="2" fillId="0" borderId="0" xfId="2" applyNumberFormat="1"/>
    <xf numFmtId="10" fontId="3" fillId="2" borderId="0" xfId="2" applyNumberFormat="1" applyFont="1" applyFill="1"/>
    <xf numFmtId="3" fontId="3" fillId="2" borderId="0" xfId="2" applyNumberFormat="1" applyFont="1" applyFill="1"/>
    <xf numFmtId="0" fontId="3" fillId="2" borderId="0" xfId="2" applyFont="1" applyFill="1"/>
    <xf numFmtId="37" fontId="3" fillId="2" borderId="0" xfId="2" applyNumberFormat="1" applyFont="1" applyFill="1"/>
    <xf numFmtId="0" fontId="5" fillId="2" borderId="0" xfId="5" applyFont="1" applyFill="1"/>
    <xf numFmtId="10" fontId="0" fillId="0" borderId="0" xfId="3" applyNumberFormat="1" applyFont="1"/>
    <xf numFmtId="0" fontId="6" fillId="2" borderId="1" xfId="2" applyFont="1" applyFill="1" applyBorder="1"/>
    <xf numFmtId="0" fontId="6" fillId="2" borderId="2" xfId="2" applyFont="1" applyFill="1" applyBorder="1"/>
    <xf numFmtId="3" fontId="7" fillId="2" borderId="3" xfId="2" applyNumberFormat="1" applyFont="1" applyFill="1" applyBorder="1"/>
    <xf numFmtId="0" fontId="6" fillId="2" borderId="3" xfId="2" applyFont="1" applyFill="1" applyBorder="1"/>
    <xf numFmtId="0" fontId="8" fillId="2" borderId="3" xfId="2" applyFont="1" applyFill="1" applyBorder="1"/>
    <xf numFmtId="3" fontId="6" fillId="2" borderId="3" xfId="2" applyNumberFormat="1" applyFont="1" applyFill="1" applyBorder="1"/>
    <xf numFmtId="3" fontId="9" fillId="2" borderId="3" xfId="2" applyNumberFormat="1" applyFont="1" applyFill="1" applyBorder="1"/>
    <xf numFmtId="0" fontId="6" fillId="2" borderId="4" xfId="2" applyFont="1" applyFill="1" applyBorder="1"/>
    <xf numFmtId="3" fontId="2" fillId="0" borderId="0" xfId="2" applyNumberFormat="1"/>
    <xf numFmtId="10" fontId="10" fillId="2" borderId="5" xfId="3" applyNumberFormat="1" applyFont="1" applyFill="1" applyBorder="1"/>
    <xf numFmtId="3" fontId="10" fillId="2" borderId="6" xfId="6" applyNumberFormat="1" applyFont="1" applyFill="1" applyBorder="1"/>
    <xf numFmtId="3" fontId="10" fillId="0" borderId="7" xfId="6" applyNumberFormat="1" applyFont="1" applyBorder="1"/>
    <xf numFmtId="3" fontId="10" fillId="0" borderId="7" xfId="2" applyNumberFormat="1" applyFont="1" applyBorder="1"/>
    <xf numFmtId="3" fontId="9" fillId="0" borderId="7" xfId="2" applyNumberFormat="1" applyFont="1" applyBorder="1"/>
    <xf numFmtId="0" fontId="9" fillId="0" borderId="8" xfId="2" applyFont="1" applyBorder="1"/>
    <xf numFmtId="3" fontId="9" fillId="0" borderId="7" xfId="6" applyNumberFormat="1" applyFont="1" applyBorder="1"/>
    <xf numFmtId="3" fontId="6" fillId="0" borderId="7" xfId="2" applyNumberFormat="1" applyFont="1" applyBorder="1"/>
    <xf numFmtId="3" fontId="11" fillId="2" borderId="6" xfId="6" applyNumberFormat="1" applyFont="1" applyFill="1" applyBorder="1"/>
    <xf numFmtId="3" fontId="11" fillId="2" borderId="7" xfId="6" applyNumberFormat="1" applyFont="1" applyFill="1" applyBorder="1"/>
    <xf numFmtId="3" fontId="6" fillId="2" borderId="7" xfId="6" applyNumberFormat="1" applyFont="1" applyFill="1" applyBorder="1"/>
    <xf numFmtId="3" fontId="6" fillId="2" borderId="7" xfId="2" applyNumberFormat="1" applyFont="1" applyFill="1" applyBorder="1"/>
    <xf numFmtId="0" fontId="6" fillId="2" borderId="8" xfId="2" applyFont="1" applyFill="1" applyBorder="1"/>
    <xf numFmtId="164" fontId="2" fillId="0" borderId="0" xfId="2" applyNumberFormat="1"/>
    <xf numFmtId="3" fontId="11" fillId="2" borderId="7" xfId="7" applyNumberFormat="1" applyFont="1" applyFill="1" applyBorder="1"/>
    <xf numFmtId="3" fontId="10" fillId="2" borderId="7" xfId="7" applyNumberFormat="1" applyFont="1" applyFill="1" applyBorder="1"/>
    <xf numFmtId="3" fontId="9" fillId="2" borderId="7" xfId="2" applyNumberFormat="1" applyFont="1" applyFill="1" applyBorder="1"/>
    <xf numFmtId="37" fontId="9" fillId="2" borderId="8" xfId="2" applyNumberFormat="1" applyFont="1" applyFill="1" applyBorder="1"/>
    <xf numFmtId="0" fontId="9" fillId="2" borderId="8" xfId="2" applyFont="1" applyFill="1" applyBorder="1"/>
    <xf numFmtId="3" fontId="10" fillId="2" borderId="7" xfId="2" applyNumberFormat="1" applyFont="1" applyFill="1" applyBorder="1"/>
    <xf numFmtId="37" fontId="10" fillId="2" borderId="8" xfId="2" applyNumberFormat="1" applyFont="1" applyFill="1" applyBorder="1"/>
    <xf numFmtId="3" fontId="9" fillId="2" borderId="7" xfId="6" applyNumberFormat="1" applyFont="1" applyFill="1" applyBorder="1"/>
    <xf numFmtId="10" fontId="11" fillId="2" borderId="5" xfId="3" applyNumberFormat="1" applyFont="1" applyFill="1" applyBorder="1"/>
    <xf numFmtId="3" fontId="11" fillId="2" borderId="7" xfId="2" applyNumberFormat="1" applyFont="1" applyFill="1" applyBorder="1"/>
    <xf numFmtId="37" fontId="11" fillId="2" borderId="8" xfId="2" applyNumberFormat="1" applyFont="1" applyFill="1" applyBorder="1"/>
    <xf numFmtId="3" fontId="10" fillId="2" borderId="7" xfId="6" applyNumberFormat="1" applyFont="1" applyFill="1" applyBorder="1"/>
    <xf numFmtId="0" fontId="12" fillId="0" borderId="0" xfId="2" applyFont="1"/>
    <xf numFmtId="37" fontId="11" fillId="2" borderId="8" xfId="2" applyNumberFormat="1" applyFont="1" applyFill="1" applyBorder="1" applyAlignment="1">
      <alignment horizontal="left"/>
    </xf>
    <xf numFmtId="37" fontId="10" fillId="2" borderId="8" xfId="2" applyNumberFormat="1" applyFont="1" applyFill="1" applyBorder="1" applyAlignment="1">
      <alignment horizontal="left"/>
    </xf>
    <xf numFmtId="37" fontId="11" fillId="2" borderId="8" xfId="2" applyNumberFormat="1" applyFont="1" applyFill="1" applyBorder="1" applyAlignment="1">
      <alignment horizontal="left" wrapText="1"/>
    </xf>
    <xf numFmtId="165" fontId="9" fillId="2" borderId="7" xfId="4" applyFont="1" applyFill="1" applyBorder="1"/>
    <xf numFmtId="41" fontId="12" fillId="0" borderId="0" xfId="1" applyFont="1"/>
    <xf numFmtId="0" fontId="12" fillId="2" borderId="0" xfId="2" applyFont="1" applyFill="1"/>
    <xf numFmtId="3" fontId="11" fillId="0" borderId="7" xfId="2" applyNumberFormat="1" applyFont="1" applyBorder="1"/>
    <xf numFmtId="165" fontId="12" fillId="0" borderId="0" xfId="4" applyFont="1"/>
    <xf numFmtId="165" fontId="11" fillId="2" borderId="7" xfId="4" applyFont="1" applyFill="1" applyBorder="1"/>
    <xf numFmtId="3" fontId="12" fillId="0" borderId="0" xfId="2" applyNumberFormat="1" applyFont="1"/>
    <xf numFmtId="3" fontId="10" fillId="2" borderId="9" xfId="2" applyNumberFormat="1" applyFont="1" applyFill="1" applyBorder="1"/>
    <xf numFmtId="3" fontId="9" fillId="2" borderId="9" xfId="2" applyNumberFormat="1" applyFont="1" applyFill="1" applyBorder="1"/>
    <xf numFmtId="0" fontId="9" fillId="2" borderId="10" xfId="2" applyFont="1" applyFill="1" applyBorder="1"/>
    <xf numFmtId="3" fontId="6" fillId="2" borderId="9" xfId="2" applyNumberFormat="1" applyFont="1" applyFill="1" applyBorder="1"/>
    <xf numFmtId="3" fontId="6" fillId="2" borderId="9" xfId="4" applyNumberFormat="1" applyFont="1" applyFill="1" applyBorder="1"/>
    <xf numFmtId="0" fontId="6" fillId="2" borderId="10" xfId="2" applyFont="1" applyFill="1" applyBorder="1"/>
    <xf numFmtId="3" fontId="10" fillId="2" borderId="7" xfId="4" applyNumberFormat="1" applyFont="1" applyFill="1" applyBorder="1"/>
    <xf numFmtId="0" fontId="10" fillId="2" borderId="8" xfId="2" applyFont="1" applyFill="1" applyBorder="1"/>
    <xf numFmtId="3" fontId="11" fillId="2" borderId="9" xfId="6" applyNumberFormat="1" applyFont="1" applyFill="1" applyBorder="1"/>
    <xf numFmtId="3" fontId="9" fillId="2" borderId="9" xfId="6" applyNumberFormat="1" applyFont="1" applyFill="1" applyBorder="1"/>
    <xf numFmtId="3" fontId="6" fillId="2" borderId="7" xfId="4" applyNumberFormat="1" applyFont="1" applyFill="1" applyBorder="1"/>
    <xf numFmtId="3" fontId="6" fillId="2" borderId="8" xfId="2" applyNumberFormat="1" applyFont="1" applyFill="1" applyBorder="1"/>
    <xf numFmtId="3" fontId="9" fillId="2" borderId="8" xfId="2" applyNumberFormat="1" applyFont="1" applyFill="1" applyBorder="1"/>
    <xf numFmtId="3" fontId="13" fillId="2" borderId="7" xfId="2" applyNumberFormat="1" applyFont="1" applyFill="1" applyBorder="1"/>
    <xf numFmtId="0" fontId="2" fillId="0" borderId="0" xfId="2" applyAlignment="1">
      <alignment horizontal="center"/>
    </xf>
    <xf numFmtId="3" fontId="10" fillId="2" borderId="8" xfId="2" applyNumberFormat="1" applyFont="1" applyFill="1" applyBorder="1"/>
    <xf numFmtId="0" fontId="6" fillId="2" borderId="5" xfId="2" applyFont="1" applyFill="1" applyBorder="1"/>
    <xf numFmtId="0" fontId="6" fillId="2" borderId="6" xfId="6" applyFont="1" applyFill="1" applyBorder="1"/>
    <xf numFmtId="0" fontId="6" fillId="2" borderId="7" xfId="6" applyFont="1" applyFill="1" applyBorder="1"/>
    <xf numFmtId="0" fontId="6" fillId="2" borderId="7" xfId="2" applyFont="1" applyFill="1" applyBorder="1"/>
    <xf numFmtId="0" fontId="9" fillId="2" borderId="11" xfId="2" applyFont="1" applyFill="1" applyBorder="1" applyAlignment="1">
      <alignment horizontal="center" vertical="center" wrapText="1"/>
    </xf>
    <xf numFmtId="0" fontId="9" fillId="0" borderId="12" xfId="8" applyFont="1" applyBorder="1" applyAlignment="1">
      <alignment horizontal="center" vertical="center" wrapText="1"/>
    </xf>
    <xf numFmtId="0" fontId="9" fillId="2" borderId="12" xfId="5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0" fontId="2" fillId="2" borderId="0" xfId="2" applyFill="1"/>
    <xf numFmtId="0" fontId="9" fillId="2" borderId="14" xfId="2" applyFont="1" applyFill="1" applyBorder="1" applyAlignment="1">
      <alignment horizontal="centerContinuous"/>
    </xf>
    <xf numFmtId="0" fontId="14" fillId="2" borderId="14" xfId="2" applyFont="1" applyFill="1" applyBorder="1" applyAlignment="1">
      <alignment horizontal="centerContinuous"/>
    </xf>
    <xf numFmtId="0" fontId="15" fillId="2" borderId="14" xfId="2" applyFont="1" applyFill="1" applyBorder="1" applyAlignment="1">
      <alignment horizontal="centerContinuous"/>
    </xf>
    <xf numFmtId="3" fontId="9" fillId="2" borderId="14" xfId="2" applyNumberFormat="1" applyFont="1" applyFill="1" applyBorder="1" applyAlignment="1">
      <alignment horizontal="centerContinuous"/>
    </xf>
    <xf numFmtId="3" fontId="15" fillId="2" borderId="14" xfId="2" applyNumberFormat="1" applyFont="1" applyFill="1" applyBorder="1" applyAlignment="1">
      <alignment horizontal="centerContinuous"/>
    </xf>
    <xf numFmtId="0" fontId="9" fillId="2" borderId="0" xfId="2" applyFont="1" applyFill="1" applyAlignment="1">
      <alignment horizontal="center"/>
    </xf>
    <xf numFmtId="0" fontId="9" fillId="0" borderId="0" xfId="2" applyFont="1" applyAlignment="1">
      <alignment horizontal="center"/>
    </xf>
  </cellXfs>
  <cellStyles count="9">
    <cellStyle name="Millares [0]" xfId="1" builtinId="6"/>
    <cellStyle name="Millares 2 2 2" xfId="7" xr:uid="{0EBEB631-E669-4E7B-815D-16A2972F22F9}"/>
    <cellStyle name="Millares 23" xfId="4" xr:uid="{2C390993-001E-4384-8C28-4124E925CC2B}"/>
    <cellStyle name="Normal" xfId="0" builtinId="0"/>
    <cellStyle name="Normal 10 2" xfId="6" xr:uid="{F0255ADE-12F0-410B-89A2-607FB5EDC2B5}"/>
    <cellStyle name="Normal 14 2" xfId="8" xr:uid="{905DF450-9C9F-4E64-B42E-C444FE3DABA0}"/>
    <cellStyle name="Normal 17" xfId="2" xr:uid="{7AF8D0F4-5DDC-4710-8291-2C8502429398}"/>
    <cellStyle name="Normal 6 2" xfId="5" xr:uid="{1237E0FC-A732-4236-9709-3C936700294B}"/>
    <cellStyle name="Porcentaje 10" xfId="3" xr:uid="{04A55561-7E5E-43D9-A971-CE7E07EB10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0/A&#241;o%202010/MANEJO%20PTO%202010/PRESUPUESTO%20INGRESOS%20ESTIMADO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&#241;o%202015\PRESUPUESTO%202015\PRESUPUESTO%202015%20V.6\Presupuesto%202015%20version%2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0/CIERRES%202010/ACUERDOS%202010/ANEXO%20ACUERDO%206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PRESUPUESTO%202014\PRESUPUESTO%202014%20V.4\Presupuesto%202014%20version%2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triciaMart&#237;nez/Configuraci&#243;n%20local/Archivos%20temporales%20de%20Internet/Content.Outlook/RD6RDTKZ/A&#241;o%202008/Presupuesto%202009/nomina%202009%20pp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0/Acuerdos/Definitivo/ANEXO%20ACUERDO%2002-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JefeControlRegional/Presupuesto%202008/Presupuesto%2020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JorgeOrtiz\Desktop\PPC2013\PRESUPUESTO%202014\PRESUPUESTO%20DEFINITIVO%202014%20NOV\Desagregado%20PPC%202014%20%20definitiv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JorgeOrtiz\Desktop\PPC2013\PRESUPUESTO%202014\PRESUPUESTO%20DEFINITIVO%202014%20NOV\Desagregado%20PPC%202014%20%20definitiv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Acuerdos/Definitivo/ANEXO%20ACUERDO%2009-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&#241;o%202019\Presupuesto%202019\Presupuesto%202019%205ta%20versi&#243;n\Anexos\Presupuesto%20Sanida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&#241;o%202019\Presupuesto%202019\Presupuesto%202019%205ta%20versi&#243;n\Anexos\Presupuestos%20Investigaci&#243;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&#241;o%202019\Presupuesto%202019\Presupuesto%202019%205ta%20versi&#243;n\Anexos\presupuesto%20PPC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NTABILIDAD\ANEXO%20CIERRE%20DE%20INGRESOS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</sheetNames>
    <sheetDataSet>
      <sheetData sheetId="0">
        <row r="37">
          <cell r="AA37">
            <v>-50399435.63293457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</row>
      </sheetData>
      <sheetData sheetId="4"/>
      <sheetData sheetId="5"/>
      <sheetData sheetId="6">
        <row r="5">
          <cell r="E5" t="str">
            <v xml:space="preserve">FECHA </v>
          </cell>
        </row>
      </sheetData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Otros ingresos"/>
      <sheetName val="Anexo 2 "/>
      <sheetName val="Funcionamiento"/>
      <sheetName val="Nómina y honorarios II TRIM."/>
      <sheetName val="Inversión total en programas"/>
      <sheetName val="MODELO CONTRATISTAS"/>
      <sheetName val="Servicios personal 2005"/>
      <sheetName val="Nómina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8" refreshError="1"/>
      <sheetData sheetId="9" refreshError="1"/>
      <sheetData sheetId="10" refreshError="1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Superavit 2013"/>
      <sheetName val="Ejecución ingresos 2013"/>
      <sheetName val="Ejecucion de gastos  2013"/>
      <sheetName val="Anexo 2 "/>
      <sheetName val="Anexo 3"/>
      <sheetName val="Anexo 4"/>
      <sheetName val="Funcionamiento"/>
      <sheetName val="Nómina y honorarios 2014"/>
      <sheetName val="Comparativo nómina 2013-2014"/>
      <sheetName val="Comparativo gastos personal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NGRESOS"/>
      <sheetName val="Proyección ingresos programas"/>
      <sheetName val="Anexo 2-1 "/>
      <sheetName val="RES"/>
      <sheetName val="ECO"/>
      <sheetName val="TEC"/>
      <sheetName val="TRANSF"/>
      <sheetName val="SAN"/>
      <sheetName val="MER"/>
      <sheetName val="PPC"/>
      <sheetName val="FUN"/>
      <sheetName val="CONCILIACIÓN INGRESOS"/>
      <sheetName val="superavit"/>
      <sheetName val="HT"/>
      <sheetName val="ING BARRIDOS"/>
    </sheetNames>
    <sheetDataSet>
      <sheetData sheetId="0"/>
      <sheetData sheetId="1"/>
      <sheetData sheetId="2"/>
      <sheetData sheetId="3"/>
      <sheetData sheetId="4">
        <row r="10">
          <cell r="AE10">
            <v>353825366</v>
          </cell>
        </row>
        <row r="11">
          <cell r="AE11">
            <v>15231021</v>
          </cell>
        </row>
        <row r="12">
          <cell r="AE12">
            <v>21754685</v>
          </cell>
        </row>
        <row r="13">
          <cell r="AE13">
            <v>65534305</v>
          </cell>
        </row>
        <row r="14">
          <cell r="AE14">
            <v>727589</v>
          </cell>
        </row>
        <row r="15">
          <cell r="AE15">
            <v>21754685</v>
          </cell>
        </row>
        <row r="16">
          <cell r="AE16">
            <v>2462737</v>
          </cell>
        </row>
        <row r="17">
          <cell r="AE17">
            <v>69974403</v>
          </cell>
        </row>
        <row r="18">
          <cell r="AE18">
            <v>13479500</v>
          </cell>
        </row>
        <row r="19">
          <cell r="AE19">
            <v>16853700</v>
          </cell>
        </row>
        <row r="23">
          <cell r="AE23">
            <v>7589441</v>
          </cell>
        </row>
        <row r="24">
          <cell r="AE24">
            <v>297000</v>
          </cell>
        </row>
        <row r="25">
          <cell r="AE25">
            <v>2908420</v>
          </cell>
        </row>
        <row r="26">
          <cell r="AE26">
            <v>962402</v>
          </cell>
        </row>
        <row r="27">
          <cell r="AE27">
            <v>9712443</v>
          </cell>
        </row>
        <row r="29">
          <cell r="AE29">
            <v>5224550</v>
          </cell>
        </row>
        <row r="30">
          <cell r="AE30">
            <v>14444424</v>
          </cell>
        </row>
        <row r="37">
          <cell r="AE37">
            <v>282768927</v>
          </cell>
        </row>
        <row r="39">
          <cell r="AE39">
            <v>143064960</v>
          </cell>
        </row>
        <row r="40">
          <cell r="AE40">
            <v>31133359</v>
          </cell>
        </row>
        <row r="41">
          <cell r="AE41">
            <v>68628408</v>
          </cell>
        </row>
        <row r="43">
          <cell r="AE43">
            <v>337360322</v>
          </cell>
        </row>
        <row r="44">
          <cell r="AE44">
            <v>196596660</v>
          </cell>
        </row>
        <row r="45">
          <cell r="AE45">
            <v>107839705</v>
          </cell>
        </row>
      </sheetData>
      <sheetData sheetId="5">
        <row r="10">
          <cell r="AE10">
            <v>481571749</v>
          </cell>
        </row>
        <row r="11">
          <cell r="AE11">
            <v>21477075</v>
          </cell>
        </row>
        <row r="12">
          <cell r="AE12">
            <v>30879373</v>
          </cell>
        </row>
        <row r="13">
          <cell r="AE13">
            <v>29130537</v>
          </cell>
        </row>
        <row r="14">
          <cell r="AE14">
            <v>727589</v>
          </cell>
        </row>
        <row r="15">
          <cell r="AE15">
            <v>30879373</v>
          </cell>
        </row>
        <row r="16">
          <cell r="AE16">
            <v>3364422</v>
          </cell>
        </row>
        <row r="17">
          <cell r="AE17">
            <v>94914015</v>
          </cell>
        </row>
        <row r="18">
          <cell r="AE18">
            <v>17589200</v>
          </cell>
        </row>
        <row r="19">
          <cell r="AE19">
            <v>21988900</v>
          </cell>
        </row>
        <row r="23">
          <cell r="AE23">
            <v>2515123</v>
          </cell>
        </row>
        <row r="24">
          <cell r="AE24">
            <v>11393388</v>
          </cell>
        </row>
        <row r="25">
          <cell r="AE25">
            <v>1364702</v>
          </cell>
        </row>
        <row r="26">
          <cell r="AE26">
            <v>9712443</v>
          </cell>
        </row>
        <row r="27">
          <cell r="AE27">
            <v>2125553</v>
          </cell>
        </row>
        <row r="28">
          <cell r="AE28">
            <v>17033958</v>
          </cell>
        </row>
        <row r="29">
          <cell r="AE29">
            <v>5647622</v>
          </cell>
        </row>
        <row r="36">
          <cell r="AE36">
            <v>333966882</v>
          </cell>
        </row>
        <row r="37">
          <cell r="AE37">
            <v>25841708</v>
          </cell>
        </row>
        <row r="38">
          <cell r="AE38">
            <v>215367589</v>
          </cell>
        </row>
        <row r="39">
          <cell r="AE39">
            <v>56090127</v>
          </cell>
        </row>
        <row r="40">
          <cell r="AE40">
            <v>32214654</v>
          </cell>
        </row>
        <row r="42">
          <cell r="AE42">
            <v>722439702</v>
          </cell>
        </row>
        <row r="43">
          <cell r="AE43">
            <v>211510591</v>
          </cell>
        </row>
        <row r="45">
          <cell r="AE45">
            <v>32131757</v>
          </cell>
        </row>
        <row r="46">
          <cell r="AE46">
            <v>77833965</v>
          </cell>
        </row>
        <row r="48">
          <cell r="AE48">
            <v>236749357</v>
          </cell>
        </row>
        <row r="49">
          <cell r="AE49">
            <v>86000404</v>
          </cell>
        </row>
        <row r="51">
          <cell r="AE51">
            <v>141692445</v>
          </cell>
        </row>
        <row r="52">
          <cell r="AE52">
            <v>141692445</v>
          </cell>
        </row>
        <row r="54">
          <cell r="AE54">
            <v>124443882</v>
          </cell>
        </row>
        <row r="60">
          <cell r="AE60">
            <v>527909556</v>
          </cell>
        </row>
      </sheetData>
      <sheetData sheetId="6">
        <row r="10">
          <cell r="AE10">
            <v>296120928</v>
          </cell>
        </row>
        <row r="11">
          <cell r="AE11">
            <v>12679746</v>
          </cell>
        </row>
        <row r="12">
          <cell r="AE12">
            <v>14860791</v>
          </cell>
        </row>
        <row r="13">
          <cell r="AE13">
            <v>19760000</v>
          </cell>
        </row>
        <row r="14">
          <cell r="AE14">
            <v>727589</v>
          </cell>
        </row>
        <row r="15">
          <cell r="AE15">
            <v>14860791</v>
          </cell>
        </row>
        <row r="16">
          <cell r="AE16">
            <v>1392731</v>
          </cell>
        </row>
        <row r="17">
          <cell r="AE17">
            <v>55261440</v>
          </cell>
        </row>
        <row r="18">
          <cell r="AE18">
            <v>10257200</v>
          </cell>
        </row>
        <row r="19">
          <cell r="AE19">
            <v>12823800</v>
          </cell>
        </row>
        <row r="23">
          <cell r="AE23">
            <v>7337082</v>
          </cell>
        </row>
        <row r="24">
          <cell r="AE24">
            <v>564925</v>
          </cell>
        </row>
        <row r="25">
          <cell r="AE25">
            <v>9712443</v>
          </cell>
        </row>
        <row r="26">
          <cell r="AE26">
            <v>1602053</v>
          </cell>
        </row>
        <row r="27">
          <cell r="AE27">
            <v>7718605</v>
          </cell>
        </row>
        <row r="28">
          <cell r="AE28">
            <v>3075850</v>
          </cell>
        </row>
        <row r="36">
          <cell r="AE36">
            <v>1122156142</v>
          </cell>
        </row>
        <row r="37">
          <cell r="AE37">
            <v>10568958</v>
          </cell>
        </row>
        <row r="38">
          <cell r="AE38">
            <v>30551417</v>
          </cell>
        </row>
        <row r="41">
          <cell r="AE41">
            <v>250923329</v>
          </cell>
        </row>
        <row r="42">
          <cell r="AE42">
            <v>44537488</v>
          </cell>
        </row>
        <row r="43">
          <cell r="AE43">
            <v>37400000</v>
          </cell>
        </row>
        <row r="44">
          <cell r="AE44">
            <v>144996306</v>
          </cell>
        </row>
        <row r="45">
          <cell r="AE45">
            <v>44422119</v>
          </cell>
        </row>
        <row r="46">
          <cell r="AE46">
            <v>0</v>
          </cell>
        </row>
        <row r="47">
          <cell r="AE47">
            <v>36369970</v>
          </cell>
        </row>
        <row r="48">
          <cell r="AE48">
            <v>134000000</v>
          </cell>
        </row>
        <row r="50">
          <cell r="AE50">
            <v>43089291</v>
          </cell>
        </row>
        <row r="51">
          <cell r="AE51">
            <v>45566586</v>
          </cell>
        </row>
        <row r="52">
          <cell r="AE52">
            <v>139038123</v>
          </cell>
        </row>
        <row r="55">
          <cell r="AE55">
            <v>84160118</v>
          </cell>
        </row>
        <row r="56">
          <cell r="AE56">
            <v>263312215</v>
          </cell>
        </row>
        <row r="57">
          <cell r="AE57">
            <v>43565826</v>
          </cell>
        </row>
        <row r="59">
          <cell r="AE59">
            <v>381885765</v>
          </cell>
        </row>
        <row r="60">
          <cell r="AE60">
            <v>716000</v>
          </cell>
        </row>
        <row r="61">
          <cell r="AE61">
            <v>6603771</v>
          </cell>
        </row>
        <row r="62">
          <cell r="AE62">
            <v>9261776</v>
          </cell>
        </row>
        <row r="63">
          <cell r="AE63">
            <v>41583270</v>
          </cell>
        </row>
      </sheetData>
      <sheetData sheetId="7">
        <row r="10">
          <cell r="AE10">
            <v>46819617</v>
          </cell>
        </row>
        <row r="11">
          <cell r="AE11">
            <v>2045014</v>
          </cell>
        </row>
        <row r="12">
          <cell r="AE12">
            <v>3921712</v>
          </cell>
        </row>
        <row r="13">
          <cell r="AE13">
            <v>485060</v>
          </cell>
        </row>
        <row r="14">
          <cell r="AE14">
            <v>3921712</v>
          </cell>
        </row>
        <row r="15">
          <cell r="AE15">
            <v>450257</v>
          </cell>
        </row>
        <row r="16">
          <cell r="AE16">
            <v>9683651</v>
          </cell>
        </row>
        <row r="17">
          <cell r="AE17">
            <v>1889300</v>
          </cell>
        </row>
        <row r="18">
          <cell r="AE18">
            <v>2363200</v>
          </cell>
        </row>
        <row r="22">
          <cell r="AE22">
            <v>3500000</v>
          </cell>
        </row>
        <row r="23">
          <cell r="AE23">
            <v>9712438</v>
          </cell>
        </row>
        <row r="24">
          <cell r="AE24">
            <v>603424</v>
          </cell>
        </row>
        <row r="32">
          <cell r="AE32">
            <v>1269937216</v>
          </cell>
        </row>
      </sheetData>
      <sheetData sheetId="8">
        <row r="10">
          <cell r="AE10">
            <v>363793985</v>
          </cell>
        </row>
        <row r="11">
          <cell r="AE11">
            <v>14861199</v>
          </cell>
        </row>
        <row r="12">
          <cell r="AE12">
            <v>19800213</v>
          </cell>
        </row>
        <row r="13">
          <cell r="AE13">
            <v>727589</v>
          </cell>
        </row>
        <row r="14">
          <cell r="AE14">
            <v>19800213</v>
          </cell>
        </row>
        <row r="15">
          <cell r="AE15">
            <v>1791896</v>
          </cell>
        </row>
        <row r="16">
          <cell r="AE16">
            <v>69443840</v>
          </cell>
        </row>
        <row r="17">
          <cell r="AE17">
            <v>13598000</v>
          </cell>
        </row>
        <row r="18">
          <cell r="AE18">
            <v>17001200</v>
          </cell>
        </row>
        <row r="22">
          <cell r="AE22">
            <v>2976928</v>
          </cell>
        </row>
        <row r="23">
          <cell r="AE23">
            <v>8165413</v>
          </cell>
        </row>
        <row r="24">
          <cell r="AE24">
            <v>2003566</v>
          </cell>
        </row>
        <row r="25">
          <cell r="AE25">
            <v>9712443</v>
          </cell>
        </row>
        <row r="26">
          <cell r="AE26">
            <v>23985884</v>
          </cell>
        </row>
        <row r="27">
          <cell r="AE27">
            <v>5374646</v>
          </cell>
        </row>
        <row r="35">
          <cell r="AE35">
            <v>51756079</v>
          </cell>
        </row>
        <row r="36">
          <cell r="AE36">
            <v>94795750</v>
          </cell>
        </row>
        <row r="37">
          <cell r="AE37">
            <v>19712503</v>
          </cell>
        </row>
        <row r="38">
          <cell r="AE38">
            <v>107133151</v>
          </cell>
        </row>
        <row r="39">
          <cell r="AE39">
            <v>90469591</v>
          </cell>
        </row>
        <row r="40">
          <cell r="AE40">
            <v>144999999</v>
          </cell>
        </row>
        <row r="42">
          <cell r="AE42">
            <v>5295436191</v>
          </cell>
        </row>
        <row r="43">
          <cell r="AE43">
            <v>56043783</v>
          </cell>
        </row>
        <row r="44">
          <cell r="AE44">
            <v>19726285</v>
          </cell>
        </row>
        <row r="45">
          <cell r="AE45">
            <v>46252776</v>
          </cell>
        </row>
        <row r="46">
          <cell r="AE46">
            <v>64138110</v>
          </cell>
        </row>
        <row r="47">
          <cell r="AE47">
            <v>236670417</v>
          </cell>
        </row>
        <row r="48">
          <cell r="AE48">
            <v>113236913</v>
          </cell>
        </row>
        <row r="49">
          <cell r="AE49">
            <v>79976820</v>
          </cell>
        </row>
        <row r="50">
          <cell r="AE50">
            <v>135019428</v>
          </cell>
        </row>
        <row r="51">
          <cell r="AE51">
            <v>288385055</v>
          </cell>
        </row>
        <row r="52">
          <cell r="AE52">
            <v>257905000</v>
          </cell>
        </row>
        <row r="53">
          <cell r="AE53">
            <v>299962030</v>
          </cell>
        </row>
        <row r="55">
          <cell r="AE55">
            <v>351527344</v>
          </cell>
        </row>
        <row r="56">
          <cell r="AE56">
            <v>43782940</v>
          </cell>
        </row>
        <row r="57">
          <cell r="AE57">
            <v>37251103</v>
          </cell>
        </row>
        <row r="58">
          <cell r="AE58">
            <v>91264639</v>
          </cell>
        </row>
        <row r="59">
          <cell r="AE59">
            <v>1055466735</v>
          </cell>
        </row>
        <row r="60">
          <cell r="AE60">
            <v>12338828</v>
          </cell>
        </row>
        <row r="61">
          <cell r="AE61">
            <v>733146475</v>
          </cell>
        </row>
        <row r="62">
          <cell r="AE62">
            <v>206652280</v>
          </cell>
        </row>
        <row r="64">
          <cell r="AE64">
            <v>6179849</v>
          </cell>
        </row>
        <row r="65">
          <cell r="AE65">
            <v>199043510</v>
          </cell>
        </row>
        <row r="66">
          <cell r="AE66">
            <v>110805670</v>
          </cell>
        </row>
        <row r="67">
          <cell r="AE67">
            <v>150007402</v>
          </cell>
        </row>
        <row r="68">
          <cell r="AE68">
            <v>138026488</v>
          </cell>
        </row>
        <row r="69">
          <cell r="AE69">
            <v>175704696</v>
          </cell>
        </row>
        <row r="70">
          <cell r="AE70">
            <v>32035060</v>
          </cell>
        </row>
      </sheetData>
      <sheetData sheetId="9">
        <row r="10">
          <cell r="AE10">
            <v>1000578878</v>
          </cell>
        </row>
        <row r="11">
          <cell r="AE11">
            <v>44330235</v>
          </cell>
        </row>
        <row r="12">
          <cell r="AE12">
            <v>74376232</v>
          </cell>
        </row>
        <row r="13">
          <cell r="AE13">
            <v>2667828</v>
          </cell>
        </row>
        <row r="14">
          <cell r="AE14">
            <v>74376232</v>
          </cell>
        </row>
        <row r="15">
          <cell r="AE15">
            <v>8474541</v>
          </cell>
        </row>
        <row r="16">
          <cell r="AE16">
            <v>206606954</v>
          </cell>
        </row>
        <row r="17">
          <cell r="AE17">
            <v>39573400</v>
          </cell>
        </row>
        <row r="18">
          <cell r="AE18">
            <v>49479500</v>
          </cell>
        </row>
        <row r="22">
          <cell r="AE22">
            <v>7877864</v>
          </cell>
        </row>
        <row r="23">
          <cell r="AE23">
            <v>3412510</v>
          </cell>
        </row>
        <row r="24">
          <cell r="AE24">
            <v>10018483</v>
          </cell>
        </row>
        <row r="25">
          <cell r="AE25">
            <v>256804986</v>
          </cell>
        </row>
        <row r="26">
          <cell r="AE26">
            <v>1293810</v>
          </cell>
        </row>
        <row r="27">
          <cell r="AE27">
            <v>9718809</v>
          </cell>
        </row>
        <row r="28">
          <cell r="AE28">
            <v>40430630</v>
          </cell>
        </row>
        <row r="29">
          <cell r="AE29">
            <v>67648838</v>
          </cell>
        </row>
        <row r="30">
          <cell r="AE30">
            <v>297364680</v>
          </cell>
        </row>
        <row r="31">
          <cell r="AE31">
            <v>31212069</v>
          </cell>
        </row>
        <row r="32">
          <cell r="AE32">
            <v>10033751</v>
          </cell>
        </row>
        <row r="40">
          <cell r="AE40">
            <v>2246349417</v>
          </cell>
        </row>
        <row r="41">
          <cell r="AE41">
            <v>437229863</v>
          </cell>
        </row>
        <row r="42">
          <cell r="AE42">
            <v>210363750</v>
          </cell>
        </row>
        <row r="43">
          <cell r="AE43">
            <v>1660714538</v>
          </cell>
        </row>
        <row r="44">
          <cell r="AE44">
            <v>8256767063</v>
          </cell>
        </row>
        <row r="45">
          <cell r="AE45">
            <v>31475706</v>
          </cell>
        </row>
        <row r="47">
          <cell r="AE47">
            <v>189906565</v>
          </cell>
        </row>
        <row r="48">
          <cell r="AE48">
            <v>185374941</v>
          </cell>
        </row>
        <row r="50">
          <cell r="AE50">
            <v>199169661</v>
          </cell>
        </row>
        <row r="51">
          <cell r="AE51">
            <v>145120894</v>
          </cell>
        </row>
        <row r="53">
          <cell r="AE53">
            <v>176555926</v>
          </cell>
        </row>
        <row r="54">
          <cell r="AE54">
            <v>298294385</v>
          </cell>
        </row>
      </sheetData>
      <sheetData sheetId="10">
        <row r="10">
          <cell r="AE10">
            <v>601092949</v>
          </cell>
        </row>
        <row r="11">
          <cell r="AE11">
            <v>25873625</v>
          </cell>
        </row>
        <row r="12">
          <cell r="AE12">
            <v>49681881</v>
          </cell>
        </row>
        <row r="13">
          <cell r="AE13">
            <v>149899225</v>
          </cell>
        </row>
        <row r="14">
          <cell r="AE14">
            <v>1697712</v>
          </cell>
        </row>
        <row r="15">
          <cell r="AE15">
            <v>49681881</v>
          </cell>
        </row>
        <row r="16">
          <cell r="AE16">
            <v>5341029</v>
          </cell>
        </row>
        <row r="17">
          <cell r="AE17">
            <v>131026360</v>
          </cell>
        </row>
        <row r="18">
          <cell r="AE18">
            <v>23916900</v>
          </cell>
        </row>
        <row r="19">
          <cell r="AE19">
            <v>29903800</v>
          </cell>
        </row>
        <row r="23">
          <cell r="AE23">
            <v>271742568</v>
          </cell>
        </row>
        <row r="24">
          <cell r="AE24">
            <v>13701875</v>
          </cell>
        </row>
        <row r="25">
          <cell r="AE25">
            <v>23195206</v>
          </cell>
        </row>
        <row r="26">
          <cell r="AE26">
            <v>40903485</v>
          </cell>
        </row>
        <row r="27">
          <cell r="AE27">
            <v>3584000</v>
          </cell>
        </row>
        <row r="28">
          <cell r="AE28">
            <v>11162988</v>
          </cell>
        </row>
        <row r="29">
          <cell r="AE29">
            <v>16491513</v>
          </cell>
        </row>
        <row r="30">
          <cell r="AE30">
            <v>10949253</v>
          </cell>
        </row>
        <row r="31">
          <cell r="AE31">
            <v>109188189</v>
          </cell>
        </row>
        <row r="32">
          <cell r="AE32">
            <v>11726953</v>
          </cell>
        </row>
        <row r="33">
          <cell r="AE33">
            <v>10999011</v>
          </cell>
        </row>
        <row r="34">
          <cell r="AE34">
            <v>42169380</v>
          </cell>
        </row>
        <row r="35">
          <cell r="AE35">
            <v>23171632</v>
          </cell>
        </row>
        <row r="36">
          <cell r="AE36">
            <v>60395900</v>
          </cell>
        </row>
        <row r="37">
          <cell r="AE37">
            <v>32814395</v>
          </cell>
        </row>
        <row r="42">
          <cell r="AE42">
            <v>134574766</v>
          </cell>
        </row>
        <row r="43">
          <cell r="AE43">
            <v>179383073</v>
          </cell>
        </row>
        <row r="44">
          <cell r="AE44">
            <v>22348725</v>
          </cell>
        </row>
        <row r="46">
          <cell r="AE46">
            <v>12095955</v>
          </cell>
        </row>
        <row r="47">
          <cell r="AE47">
            <v>91392277</v>
          </cell>
        </row>
        <row r="48">
          <cell r="AE48">
            <v>27097760</v>
          </cell>
        </row>
        <row r="51">
          <cell r="AE51">
            <v>2658619329</v>
          </cell>
        </row>
        <row r="52">
          <cell r="AE52">
            <v>1595171598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Otros ingresos"/>
      <sheetName val="Rendimientos "/>
      <sheetName val="VENTAS PPC"/>
      <sheetName val="Ejecución ingresos 2018"/>
      <sheetName val="Ejecución gastos 2018"/>
      <sheetName val="Superavit 2018"/>
      <sheetName val="Anexo 2 "/>
      <sheetName val="AJ Salarios"/>
      <sheetName val="Anexo 3"/>
      <sheetName val="Anexo 4"/>
      <sheetName val="Funcionamiento"/>
      <sheetName val="Nómina y honorarios 2019"/>
      <sheetName val="Comparativo nómina 2018-2019"/>
      <sheetName val="Comparativo gastos personal "/>
    </sheetNames>
    <sheetDataSet>
      <sheetData sheetId="0">
        <row r="14">
          <cell r="B14">
            <v>24666932486.490723</v>
          </cell>
        </row>
        <row r="15">
          <cell r="B15">
            <v>14800159491.894434</v>
          </cell>
        </row>
        <row r="18">
          <cell r="B18">
            <v>200000000</v>
          </cell>
        </row>
        <row r="19">
          <cell r="B19">
            <v>120000000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8 vs 2017"/>
      <sheetName val="Presupuesto desagregado 2018"/>
      <sheetName val="PRRS"/>
    </sheetNames>
    <sheetDataSet>
      <sheetData sheetId="0" refreshError="1">
        <row r="16">
          <cell r="B16" t="str">
            <v>Control y monitoreo de PRRS</v>
          </cell>
        </row>
        <row r="18">
          <cell r="B18" t="str">
            <v>Programa Nacional de Sanidad Porcina</v>
          </cell>
        </row>
        <row r="19">
          <cell r="B19" t="str">
            <v>Divulgación sanitaria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nexos"/>
      <sheetName val="ingresos"/>
    </sheetNames>
    <sheetDataSet>
      <sheetData sheetId="0" refreshError="1">
        <row r="23">
          <cell r="A23" t="str">
            <v>Gira técnica</v>
          </cell>
        </row>
        <row r="24">
          <cell r="A24" t="str">
            <v>Capacitación en desposte y transformación de la carne de cerdo</v>
          </cell>
        </row>
        <row r="28">
          <cell r="A28" t="str">
            <v>Campus virtual</v>
          </cell>
        </row>
        <row r="30">
          <cell r="A30" t="str">
            <v>Encuentros regionales porcicolas</v>
          </cell>
        </row>
        <row r="32">
          <cell r="A32" t="str">
            <v>Curso de operarios</v>
          </cell>
        </row>
        <row r="34">
          <cell r="A34" t="str">
            <v>Buenas practicas en el manejo de medicamentos veterinarios</v>
          </cell>
        </row>
        <row r="43">
          <cell r="A43" t="str">
            <v>Compras de insumos</v>
          </cell>
        </row>
        <row r="44">
          <cell r="A44" t="str">
            <v>Diagnóstico importados</v>
          </cell>
        </row>
        <row r="50">
          <cell r="A50" t="str">
            <v>Pruebas interlaboratorios</v>
          </cell>
        </row>
        <row r="51">
          <cell r="A51" t="str">
            <v>Promoción al diagnóstico</v>
          </cell>
        </row>
        <row r="52">
          <cell r="A52" t="str">
            <v>Inocuidad y ambiente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7 vs 2018"/>
      <sheetName val="Presupuesto desagregado 2018"/>
      <sheetName val="Suministros clínic y dotación "/>
      <sheetName val="Contratación personal"/>
      <sheetName val="Diagnóstico rutinario"/>
      <sheetName val="Autoridades y puestos control"/>
      <sheetName val="Sistema información"/>
    </sheetNames>
    <sheetDataSet>
      <sheetData sheetId="0" refreshError="1">
        <row r="37">
          <cell r="B37" t="str">
            <v>Diagnóstico Rutinario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  <row r="86">
          <cell r="B86">
            <v>117000000</v>
          </cell>
        </row>
      </sheetData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  <sheetName val="Anexo 4"/>
      <sheetName val="Anexo 2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F1079-572B-4C21-A82F-E53E2036B720}">
  <dimension ref="A1:AD265"/>
  <sheetViews>
    <sheetView tabSelected="1" zoomScale="85" zoomScaleNormal="85" zoomScaleSheetLayoutView="85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J6" sqref="J6"/>
    </sheetView>
  </sheetViews>
  <sheetFormatPr baseColWidth="10" defaultRowHeight="12.75" outlineLevelRow="2" outlineLevelCol="1" x14ac:dyDescent="0.2"/>
  <cols>
    <col min="1" max="1" width="76" style="1" customWidth="1"/>
    <col min="2" max="2" width="16.28515625" style="1" hidden="1" customWidth="1" outlineLevel="1"/>
    <col min="3" max="3" width="18.28515625" style="1" hidden="1" customWidth="1" outlineLevel="1"/>
    <col min="4" max="4" width="19.85546875" style="1" hidden="1" customWidth="1" outlineLevel="1"/>
    <col min="5" max="5" width="14.42578125" style="1" hidden="1" customWidth="1" outlineLevel="1"/>
    <col min="6" max="6" width="15.42578125" style="1" hidden="1" customWidth="1" outlineLevel="1"/>
    <col min="7" max="7" width="17.5703125" style="1" hidden="1" customWidth="1" outlineLevel="1"/>
    <col min="8" max="8" width="18.5703125" style="1" hidden="1" customWidth="1" outlineLevel="1"/>
    <col min="9" max="9" width="20.42578125" style="1" hidden="1" customWidth="1" outlineLevel="1"/>
    <col min="10" max="10" width="18.28515625" style="1" customWidth="1" collapsed="1"/>
    <col min="11" max="13" width="18.28515625" style="1" hidden="1" customWidth="1" outlineLevel="1"/>
    <col min="14" max="14" width="18.28515625" style="1" customWidth="1" collapsed="1"/>
    <col min="15" max="16" width="18.28515625" style="1" customWidth="1"/>
    <col min="17" max="17" width="20.7109375" style="1" customWidth="1"/>
    <col min="18" max="21" width="18.28515625" style="1" customWidth="1"/>
    <col min="22" max="22" width="19.42578125" style="1" customWidth="1"/>
    <col min="23" max="23" width="24.42578125" style="1" bestFit="1" customWidth="1"/>
    <col min="24" max="24" width="20" style="1" bestFit="1" customWidth="1"/>
    <col min="25" max="25" width="11" style="1" customWidth="1"/>
    <col min="26" max="26" width="16.85546875" style="1" customWidth="1"/>
    <col min="27" max="28" width="14.5703125" style="1" customWidth="1"/>
    <col min="29" max="16384" width="11.42578125" style="1"/>
  </cols>
  <sheetData>
    <row r="1" spans="1:27" ht="15" x14ac:dyDescent="0.25">
      <c r="A1" s="96" t="s">
        <v>186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7" ht="15" x14ac:dyDescent="0.25">
      <c r="A2" s="95" t="s">
        <v>185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27" ht="15" x14ac:dyDescent="0.25">
      <c r="A3" s="95" t="s">
        <v>184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</row>
    <row r="4" spans="1:27" ht="15" x14ac:dyDescent="0.25">
      <c r="A4" s="95" t="s">
        <v>183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27" ht="15.75" thickBot="1" x14ac:dyDescent="0.3">
      <c r="A5" s="94"/>
      <c r="B5" s="93"/>
      <c r="C5" s="92"/>
      <c r="D5" s="92"/>
      <c r="E5" s="90"/>
      <c r="F5" s="90"/>
      <c r="G5" s="90"/>
      <c r="H5" s="91"/>
      <c r="I5" s="90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</row>
    <row r="6" spans="1:27" ht="73.5" customHeight="1" thickTop="1" x14ac:dyDescent="0.2">
      <c r="A6" s="88" t="s">
        <v>182</v>
      </c>
      <c r="B6" s="87" t="s">
        <v>181</v>
      </c>
      <c r="C6" s="87" t="s">
        <v>180</v>
      </c>
      <c r="D6" s="87" t="s">
        <v>179</v>
      </c>
      <c r="E6" s="87" t="s">
        <v>178</v>
      </c>
      <c r="F6" s="87" t="s">
        <v>177</v>
      </c>
      <c r="G6" s="87" t="s">
        <v>176</v>
      </c>
      <c r="H6" s="87" t="s">
        <v>175</v>
      </c>
      <c r="I6" s="87" t="s">
        <v>174</v>
      </c>
      <c r="J6" s="87" t="s">
        <v>173</v>
      </c>
      <c r="K6" s="87" t="s">
        <v>172</v>
      </c>
      <c r="L6" s="87" t="s">
        <v>171</v>
      </c>
      <c r="M6" s="87" t="s">
        <v>170</v>
      </c>
      <c r="N6" s="87" t="s">
        <v>169</v>
      </c>
      <c r="O6" s="86" t="s">
        <v>168</v>
      </c>
      <c r="P6" s="86" t="s">
        <v>167</v>
      </c>
      <c r="Q6" s="86" t="s">
        <v>166</v>
      </c>
      <c r="R6" s="86" t="s">
        <v>165</v>
      </c>
      <c r="S6" s="86" t="s">
        <v>164</v>
      </c>
      <c r="T6" s="86" t="s">
        <v>163</v>
      </c>
      <c r="U6" s="86" t="s">
        <v>162</v>
      </c>
      <c r="V6" s="86" t="s">
        <v>161</v>
      </c>
      <c r="W6" s="86" t="s">
        <v>160</v>
      </c>
      <c r="X6" s="85" t="s">
        <v>159</v>
      </c>
      <c r="Y6" s="84" t="s">
        <v>158</v>
      </c>
    </row>
    <row r="7" spans="1:27" ht="15" x14ac:dyDescent="0.25">
      <c r="A7" s="76" t="s">
        <v>157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2"/>
      <c r="P7" s="82"/>
      <c r="Q7" s="82"/>
      <c r="R7" s="82"/>
      <c r="S7" s="82"/>
      <c r="T7" s="82"/>
      <c r="U7" s="82"/>
      <c r="V7" s="82"/>
      <c r="W7" s="82"/>
      <c r="X7" s="81"/>
      <c r="Y7" s="80"/>
    </row>
    <row r="8" spans="1:27" ht="15" x14ac:dyDescent="0.25">
      <c r="A8" s="79" t="s">
        <v>156</v>
      </c>
      <c r="B8" s="46">
        <f>SUM(B9:B18)</f>
        <v>661785036.44141626</v>
      </c>
      <c r="C8" s="46">
        <f>SUM(C9:C18)</f>
        <v>729393770.39277458</v>
      </c>
      <c r="D8" s="46">
        <f>SUM(D9:D18)</f>
        <v>453205978.11943376</v>
      </c>
      <c r="E8" s="46">
        <f>SUM(E9:E18)</f>
        <v>74685338.051227361</v>
      </c>
      <c r="F8" s="46">
        <f>SUM(F9:F18)</f>
        <v>548446325.65812254</v>
      </c>
      <c r="G8" s="46">
        <f>SUM(G9:G18)</f>
        <v>1550491587.3037469</v>
      </c>
      <c r="H8" s="46">
        <f>SUM(H9:H18)</f>
        <v>4018008035.9667211</v>
      </c>
      <c r="I8" s="46">
        <f>SUM(I9:I18)</f>
        <v>1116130042.82251</v>
      </c>
      <c r="J8" s="46">
        <f>SUM(J9:J18)</f>
        <v>5134138078.7892313</v>
      </c>
      <c r="K8" s="46">
        <f>SUM(K9:K18)</f>
        <v>57678000</v>
      </c>
      <c r="L8" s="46">
        <f>SUM(L9:L18)</f>
        <v>61985420</v>
      </c>
      <c r="M8" s="46">
        <f>SUM(M9:M18)</f>
        <v>0</v>
      </c>
      <c r="N8" s="46">
        <f>+J8+K8+M8+L8</f>
        <v>5253801498.7892313</v>
      </c>
      <c r="O8" s="46">
        <f>SUM(O9:O18)</f>
        <v>581597991</v>
      </c>
      <c r="P8" s="46">
        <f>SUM(P9:P18)</f>
        <v>732522233</v>
      </c>
      <c r="Q8" s="46">
        <f>SUM(Q9:Q18)</f>
        <v>438745016</v>
      </c>
      <c r="R8" s="46">
        <f>SUM(R9:R18)</f>
        <v>71579523</v>
      </c>
      <c r="S8" s="46">
        <f>SUM(S9:S18)</f>
        <v>520818135</v>
      </c>
      <c r="T8" s="46">
        <f>SUM(T9:T18)</f>
        <v>1500463800</v>
      </c>
      <c r="U8" s="52">
        <f>SUM(O8:T8)</f>
        <v>3845726698</v>
      </c>
      <c r="V8" s="46">
        <f>SUM(V9:V18)</f>
        <v>1068115362</v>
      </c>
      <c r="W8" s="52">
        <f>+U8+V8</f>
        <v>4913842060</v>
      </c>
      <c r="X8" s="28">
        <f>+W8-N8</f>
        <v>-339959438.7892313</v>
      </c>
      <c r="Y8" s="27">
        <f>+W8/N8</f>
        <v>0.93529267543366901</v>
      </c>
    </row>
    <row r="9" spans="1:27" ht="14.25" x14ac:dyDescent="0.2">
      <c r="A9" s="75" t="s">
        <v>155</v>
      </c>
      <c r="B9" s="38">
        <v>410024775.21061337</v>
      </c>
      <c r="C9" s="38">
        <v>496678849.66936004</v>
      </c>
      <c r="D9" s="38">
        <v>317242075.64413339</v>
      </c>
      <c r="E9" s="38">
        <v>48279096.848853335</v>
      </c>
      <c r="F9" s="38">
        <v>379129153.35402673</v>
      </c>
      <c r="G9" s="38">
        <v>1026652917.3179201</v>
      </c>
      <c r="H9" s="50">
        <f>+B9+C9+D9+G9+E9+F9</f>
        <v>2678006868.0449066</v>
      </c>
      <c r="I9" s="38">
        <v>634440429.19557321</v>
      </c>
      <c r="J9" s="38">
        <f>+H9+I9</f>
        <v>3312447297.2404799</v>
      </c>
      <c r="K9" s="38"/>
      <c r="L9" s="38">
        <v>41690021</v>
      </c>
      <c r="M9" s="38"/>
      <c r="N9" s="38">
        <f>+J9+K9+M9+L9</f>
        <v>3354137318.2404799</v>
      </c>
      <c r="O9" s="37">
        <f>+[2]ECO!AE10</f>
        <v>353825366</v>
      </c>
      <c r="P9" s="37">
        <f>+[2]TEC!AE10</f>
        <v>481571749</v>
      </c>
      <c r="Q9" s="37">
        <f>+[2]TRANSF!AE10</f>
        <v>296120928</v>
      </c>
      <c r="R9" s="37">
        <f>+[2]SAN!AE10</f>
        <v>46819617</v>
      </c>
      <c r="S9" s="37">
        <f>+[2]MER!AE10</f>
        <v>363793985</v>
      </c>
      <c r="T9" s="37">
        <f>+[2]PPC!AE10</f>
        <v>1000578878</v>
      </c>
      <c r="U9" s="37">
        <f>SUM(O9:T9)</f>
        <v>2542710523</v>
      </c>
      <c r="V9" s="37">
        <f>+[2]FUN!AE10</f>
        <v>601092949</v>
      </c>
      <c r="W9" s="37">
        <f>+U9+V9</f>
        <v>3143803472</v>
      </c>
      <c r="X9" s="35">
        <f>+W9-N9</f>
        <v>-210333846.24047995</v>
      </c>
      <c r="Y9" s="49">
        <f>+W9/N9</f>
        <v>0.93729122385757979</v>
      </c>
      <c r="AA9" s="78"/>
    </row>
    <row r="10" spans="1:27" ht="14.25" x14ac:dyDescent="0.2">
      <c r="A10" s="75" t="s">
        <v>154</v>
      </c>
      <c r="B10" s="38">
        <v>20731589.757840004</v>
      </c>
      <c r="C10" s="38">
        <v>25112975.545080002</v>
      </c>
      <c r="D10" s="38">
        <v>16040329.667400002</v>
      </c>
      <c r="E10" s="38">
        <v>2441077.9305600002</v>
      </c>
      <c r="F10" s="38">
        <v>19169451.574080005</v>
      </c>
      <c r="G10" s="38">
        <v>51909417.16776</v>
      </c>
      <c r="H10" s="50">
        <f>+B10+C10+D10+G10+E10+F10</f>
        <v>135404841.64271998</v>
      </c>
      <c r="I10" s="38">
        <v>30063056.244720004</v>
      </c>
      <c r="J10" s="38">
        <f>+H10+I10</f>
        <v>165467897.88744</v>
      </c>
      <c r="K10" s="38"/>
      <c r="L10" s="38">
        <v>2107922</v>
      </c>
      <c r="M10" s="38"/>
      <c r="N10" s="38">
        <f>+J10+K10+M10+L10</f>
        <v>167575819.88744</v>
      </c>
      <c r="O10" s="37">
        <f>+[2]ECO!AE11</f>
        <v>15231021</v>
      </c>
      <c r="P10" s="37">
        <f>+[2]TEC!AE11</f>
        <v>21477075</v>
      </c>
      <c r="Q10" s="37">
        <f>+[2]TRANSF!AE11</f>
        <v>12679746</v>
      </c>
      <c r="R10" s="37">
        <f>+[2]SAN!AE11</f>
        <v>2045014</v>
      </c>
      <c r="S10" s="37">
        <f>+[2]MER!AE11</f>
        <v>14861199</v>
      </c>
      <c r="T10" s="37">
        <f>+[2]PPC!AE11</f>
        <v>44330235</v>
      </c>
      <c r="U10" s="37">
        <f>SUM(O10:T10)</f>
        <v>110624290</v>
      </c>
      <c r="V10" s="37">
        <f>+[2]FUN!AE11</f>
        <v>25873625</v>
      </c>
      <c r="W10" s="37">
        <f>+U10+V10</f>
        <v>136497915</v>
      </c>
      <c r="X10" s="35">
        <f>+W10-N10</f>
        <v>-31077904.887439996</v>
      </c>
      <c r="Y10" s="49">
        <f>+W10/N10</f>
        <v>0.81454421700985913</v>
      </c>
    </row>
    <row r="11" spans="1:27" ht="14.25" x14ac:dyDescent="0.2">
      <c r="A11" s="75" t="s">
        <v>153</v>
      </c>
      <c r="B11" s="38">
        <v>23539253.541200001</v>
      </c>
      <c r="C11" s="38">
        <v>30841563.1866</v>
      </c>
      <c r="D11" s="38">
        <v>15720486.723800002</v>
      </c>
      <c r="E11" s="38">
        <v>4068463.2176000001</v>
      </c>
      <c r="F11" s="38">
        <v>20935689.9016</v>
      </c>
      <c r="G11" s="38">
        <v>75502299.224399984</v>
      </c>
      <c r="H11" s="50">
        <f>+B11+C11+D11+G11+E11+F11</f>
        <v>170607755.79519999</v>
      </c>
      <c r="I11" s="38">
        <v>50105093.741200007</v>
      </c>
      <c r="J11" s="38">
        <f>+H11+I11</f>
        <v>220712849.53639999</v>
      </c>
      <c r="K11" s="38"/>
      <c r="L11" s="38">
        <v>2808722</v>
      </c>
      <c r="M11" s="38"/>
      <c r="N11" s="38">
        <f>+J11+K11+M11+L11</f>
        <v>223521571.53639999</v>
      </c>
      <c r="O11" s="37">
        <f>+[2]ECO!AE12</f>
        <v>21754685</v>
      </c>
      <c r="P11" s="37">
        <f>+[2]TEC!AE12</f>
        <v>30879373</v>
      </c>
      <c r="Q11" s="37">
        <f>+[2]TRANSF!AE12</f>
        <v>14860791</v>
      </c>
      <c r="R11" s="37">
        <f>+[2]SAN!AE12</f>
        <v>3921712</v>
      </c>
      <c r="S11" s="37">
        <f>+[2]MER!AE12</f>
        <v>19800213</v>
      </c>
      <c r="T11" s="37">
        <f>+[2]PPC!AE12</f>
        <v>74376232</v>
      </c>
      <c r="U11" s="37">
        <f>SUM(O11:T11)</f>
        <v>165593006</v>
      </c>
      <c r="V11" s="37">
        <f>+[2]FUN!AE12</f>
        <v>49681881</v>
      </c>
      <c r="W11" s="37">
        <f>+U11+V11</f>
        <v>215274887</v>
      </c>
      <c r="X11" s="35">
        <f>+W11-N11</f>
        <v>-8246684.5363999903</v>
      </c>
      <c r="Y11" s="49">
        <f>+W11/N11</f>
        <v>0.96310564354162553</v>
      </c>
    </row>
    <row r="12" spans="1:27" ht="14.25" x14ac:dyDescent="0.2">
      <c r="A12" s="75" t="s">
        <v>152</v>
      </c>
      <c r="B12" s="77">
        <v>65724823</v>
      </c>
      <c r="C12" s="77">
        <v>0</v>
      </c>
      <c r="D12" s="77">
        <v>0</v>
      </c>
      <c r="E12" s="38">
        <v>0</v>
      </c>
      <c r="F12" s="50">
        <v>0</v>
      </c>
      <c r="G12" s="50"/>
      <c r="H12" s="50">
        <f>+B12+C12+D12+G12+E12+F12</f>
        <v>65724823</v>
      </c>
      <c r="I12" s="38">
        <v>152453398.51280001</v>
      </c>
      <c r="J12" s="38">
        <f>+H12+I12</f>
        <v>218178221.51280001</v>
      </c>
      <c r="K12" s="38">
        <f>34278000+23400000</f>
        <v>57678000</v>
      </c>
      <c r="L12" s="38"/>
      <c r="M12" s="38"/>
      <c r="N12" s="38">
        <f>+J12+K12+M12</f>
        <v>275856221.51279998</v>
      </c>
      <c r="O12" s="37">
        <f>+[2]ECO!AE13</f>
        <v>65534305</v>
      </c>
      <c r="P12" s="37">
        <f>+[2]TEC!AE13</f>
        <v>29130537</v>
      </c>
      <c r="Q12" s="37">
        <f>+[2]TRANSF!AE13</f>
        <v>19760000</v>
      </c>
      <c r="R12" s="37"/>
      <c r="S12" s="37"/>
      <c r="T12" s="37"/>
      <c r="U12" s="37">
        <f>SUM(O12:T12)</f>
        <v>114424842</v>
      </c>
      <c r="V12" s="37">
        <f>+[2]FUN!AE13</f>
        <v>149899225</v>
      </c>
      <c r="W12" s="37">
        <f>+U12+V12</f>
        <v>264324067</v>
      </c>
      <c r="X12" s="35">
        <f>+W12-N12+0.2</f>
        <v>-11532154.312799979</v>
      </c>
      <c r="Y12" s="49">
        <f>+W12/N12</f>
        <v>0.95819505375098135</v>
      </c>
    </row>
    <row r="13" spans="1:27" ht="14.25" x14ac:dyDescent="0.2">
      <c r="A13" s="75" t="s">
        <v>151</v>
      </c>
      <c r="B13" s="38">
        <v>727589.24699999997</v>
      </c>
      <c r="C13" s="38">
        <v>727589.24699999997</v>
      </c>
      <c r="D13" s="38">
        <v>727589.24699999997</v>
      </c>
      <c r="E13" s="38">
        <v>727589.24699999997</v>
      </c>
      <c r="F13" s="38">
        <v>727589.24699999997</v>
      </c>
      <c r="G13" s="38">
        <v>2910356.9879999999</v>
      </c>
      <c r="H13" s="50">
        <f>+B13+C13+D13+G13+E13+F13</f>
        <v>6548303.2229999993</v>
      </c>
      <c r="I13" s="38">
        <v>2182767.7409999999</v>
      </c>
      <c r="J13" s="38">
        <f>+H13+I13</f>
        <v>8731070.9639999997</v>
      </c>
      <c r="K13" s="38"/>
      <c r="L13" s="38"/>
      <c r="M13" s="38"/>
      <c r="N13" s="38">
        <f>+J13+K13+M13</f>
        <v>8731070.9639999997</v>
      </c>
      <c r="O13" s="37">
        <f>+[2]ECO!AE14</f>
        <v>727589</v>
      </c>
      <c r="P13" s="37">
        <f>+[2]TEC!AE14</f>
        <v>727589</v>
      </c>
      <c r="Q13" s="37">
        <f>+[2]TRANSF!AE14</f>
        <v>727589</v>
      </c>
      <c r="R13" s="37">
        <f>+[2]SAN!AE13</f>
        <v>485060</v>
      </c>
      <c r="S13" s="37">
        <f>+[2]MER!AE13</f>
        <v>727589</v>
      </c>
      <c r="T13" s="37">
        <f>+[2]PPC!AE13</f>
        <v>2667828</v>
      </c>
      <c r="U13" s="37">
        <f>SUM(O13:T13)</f>
        <v>6063244</v>
      </c>
      <c r="V13" s="37">
        <f>+[2]FUN!AE14</f>
        <v>1697712</v>
      </c>
      <c r="W13" s="37">
        <f>+U13+V13</f>
        <v>7760956</v>
      </c>
      <c r="X13" s="35">
        <f>+W13-N13</f>
        <v>-970114.96399999969</v>
      </c>
      <c r="Y13" s="49">
        <f>+W13/N13</f>
        <v>0.8888893506879072</v>
      </c>
    </row>
    <row r="14" spans="1:27" ht="14.25" x14ac:dyDescent="0.2">
      <c r="A14" s="75" t="s">
        <v>150</v>
      </c>
      <c r="B14" s="38">
        <v>23539253.541200001</v>
      </c>
      <c r="C14" s="38">
        <v>30841563.1866</v>
      </c>
      <c r="D14" s="38">
        <v>15720486.723800002</v>
      </c>
      <c r="E14" s="38">
        <v>4068463.2176000001</v>
      </c>
      <c r="F14" s="38">
        <v>20935689.9016</v>
      </c>
      <c r="G14" s="38">
        <v>75502299.224399984</v>
      </c>
      <c r="H14" s="50">
        <f>+B14+C14+D14+G14+E14+F14</f>
        <v>170607755.79519999</v>
      </c>
      <c r="I14" s="38">
        <v>50105093.741200007</v>
      </c>
      <c r="J14" s="38">
        <f>+H14+I14</f>
        <v>220712849.53639999</v>
      </c>
      <c r="K14" s="38"/>
      <c r="L14" s="38">
        <v>2808722</v>
      </c>
      <c r="M14" s="38"/>
      <c r="N14" s="38">
        <f>+J14+K14+M14+L14</f>
        <v>223521571.53639999</v>
      </c>
      <c r="O14" s="37">
        <f>+[2]ECO!AE15</f>
        <v>21754685</v>
      </c>
      <c r="P14" s="37">
        <f>+[2]TEC!AE15</f>
        <v>30879373</v>
      </c>
      <c r="Q14" s="37">
        <f>+[2]TRANSF!AE15</f>
        <v>14860791</v>
      </c>
      <c r="R14" s="37">
        <f>+[2]SAN!AE14</f>
        <v>3921712</v>
      </c>
      <c r="S14" s="37">
        <f>+[2]MER!AE14</f>
        <v>19800213</v>
      </c>
      <c r="T14" s="37">
        <f>+[2]PPC!AE14</f>
        <v>74376232</v>
      </c>
      <c r="U14" s="37">
        <f>SUM(O14:T14)</f>
        <v>165593006</v>
      </c>
      <c r="V14" s="37">
        <f>+[2]FUN!AE15</f>
        <v>49681881</v>
      </c>
      <c r="W14" s="37">
        <f>+U14+V14</f>
        <v>215274887</v>
      </c>
      <c r="X14" s="35">
        <f>+W14-N14</f>
        <v>-8246684.5363999903</v>
      </c>
      <c r="Y14" s="49">
        <f>+W14/N14</f>
        <v>0.96310564354162553</v>
      </c>
      <c r="Z14" s="26"/>
      <c r="AA14" s="26"/>
    </row>
    <row r="15" spans="1:27" ht="14.25" x14ac:dyDescent="0.2">
      <c r="A15" s="75" t="s">
        <v>149</v>
      </c>
      <c r="B15" s="38">
        <v>2824710.4249439994</v>
      </c>
      <c r="C15" s="38">
        <v>3700987.5823919997</v>
      </c>
      <c r="D15" s="38">
        <v>1886458.4068560002</v>
      </c>
      <c r="E15" s="38">
        <v>488215.58611199999</v>
      </c>
      <c r="F15" s="38">
        <v>2512282.7881920002</v>
      </c>
      <c r="G15" s="38">
        <v>9060275.906928001</v>
      </c>
      <c r="H15" s="50">
        <f>+B15+C15+D15+G15+E15+F15</f>
        <v>20472930.695424002</v>
      </c>
      <c r="I15" s="38">
        <v>6012611.2489439994</v>
      </c>
      <c r="J15" s="38">
        <f>+H15+I15</f>
        <v>26485541.944368001</v>
      </c>
      <c r="K15" s="38"/>
      <c r="L15" s="38">
        <v>337047</v>
      </c>
      <c r="M15" s="38"/>
      <c r="N15" s="38">
        <f>+J15+K15+M15+L15</f>
        <v>26822588.944368001</v>
      </c>
      <c r="O15" s="37">
        <f>+[2]ECO!AE16</f>
        <v>2462737</v>
      </c>
      <c r="P15" s="37">
        <f>+[2]TEC!AE16</f>
        <v>3364422</v>
      </c>
      <c r="Q15" s="37">
        <f>+[2]TRANSF!AE16</f>
        <v>1392731</v>
      </c>
      <c r="R15" s="37">
        <f>+[2]SAN!AE15</f>
        <v>450257</v>
      </c>
      <c r="S15" s="37">
        <f>+[2]MER!AE15</f>
        <v>1791896</v>
      </c>
      <c r="T15" s="37">
        <f>+[2]PPC!AE15</f>
        <v>8474541</v>
      </c>
      <c r="U15" s="37">
        <f>SUM(O15:T15)</f>
        <v>17936584</v>
      </c>
      <c r="V15" s="37">
        <f>+[2]FUN!AE16</f>
        <v>5341029</v>
      </c>
      <c r="W15" s="37">
        <f>+U15+V15</f>
        <v>23277613</v>
      </c>
      <c r="X15" s="35">
        <f>+W15-N15</f>
        <v>-3544975.9443680011</v>
      </c>
      <c r="Y15" s="49">
        <f>+W15/N15</f>
        <v>0.86783617525808043</v>
      </c>
      <c r="Z15" s="26"/>
      <c r="AA15" s="26"/>
    </row>
    <row r="16" spans="1:27" ht="14.25" x14ac:dyDescent="0.2">
      <c r="A16" s="75" t="s">
        <v>148</v>
      </c>
      <c r="B16" s="38">
        <v>78786399.924243167</v>
      </c>
      <c r="C16" s="38">
        <v>97191339.469866022</v>
      </c>
      <c r="D16" s="38">
        <v>58989129.285713479</v>
      </c>
      <c r="E16" s="38">
        <v>10037343.24082681</v>
      </c>
      <c r="F16" s="38">
        <v>72149132.410067379</v>
      </c>
      <c r="G16" s="38">
        <v>213541293.64491674</v>
      </c>
      <c r="H16" s="50">
        <f>+B16+C16+D16+G16+E16+F16</f>
        <v>530694637.97563362</v>
      </c>
      <c r="I16" s="38">
        <v>133381866.99921045</v>
      </c>
      <c r="J16" s="38">
        <f>+H16+I16</f>
        <v>664076504.9748441</v>
      </c>
      <c r="K16" s="38"/>
      <c r="L16" s="38">
        <v>8429244</v>
      </c>
      <c r="M16" s="38"/>
      <c r="N16" s="38">
        <f>+J16+K16+M16+L16</f>
        <v>672505748.9748441</v>
      </c>
      <c r="O16" s="37">
        <f>+[2]ECO!AE17</f>
        <v>69974403</v>
      </c>
      <c r="P16" s="37">
        <f>+[2]TEC!AE17</f>
        <v>94914015</v>
      </c>
      <c r="Q16" s="37">
        <f>+[2]TRANSF!AE17</f>
        <v>55261440</v>
      </c>
      <c r="R16" s="37">
        <f>+[2]SAN!AE16</f>
        <v>9683651</v>
      </c>
      <c r="S16" s="37">
        <f>+[2]MER!AE16</f>
        <v>69443840</v>
      </c>
      <c r="T16" s="37">
        <f>+[2]PPC!AE16</f>
        <v>206606954</v>
      </c>
      <c r="U16" s="37">
        <f>SUM(O16:T16)</f>
        <v>505884303</v>
      </c>
      <c r="V16" s="37">
        <f>+[2]FUN!AE17</f>
        <v>131026360</v>
      </c>
      <c r="W16" s="37">
        <f>+U16+V16</f>
        <v>636910663</v>
      </c>
      <c r="X16" s="35">
        <f>+W16-N16</f>
        <v>-35595085.974844098</v>
      </c>
      <c r="Y16" s="49">
        <f>+W16/N16</f>
        <v>0.94707095659910023</v>
      </c>
    </row>
    <row r="17" spans="1:25" ht="14.25" x14ac:dyDescent="0.2">
      <c r="A17" s="75" t="s">
        <v>147</v>
      </c>
      <c r="B17" s="38">
        <v>15949618.575278081</v>
      </c>
      <c r="C17" s="38">
        <v>19688401.113722876</v>
      </c>
      <c r="D17" s="38">
        <v>11946409.964769283</v>
      </c>
      <c r="E17" s="38">
        <v>2033372.7834112002</v>
      </c>
      <c r="F17" s="38">
        <v>14616593.991802882</v>
      </c>
      <c r="G17" s="38">
        <v>42405656.813076481</v>
      </c>
      <c r="H17" s="50">
        <f>+B17+C17+D17+G17+E17+F17</f>
        <v>106640053.24206081</v>
      </c>
      <c r="I17" s="38">
        <v>25504766.843494393</v>
      </c>
      <c r="J17" s="38">
        <f>+H17+I17</f>
        <v>132144820.0855552</v>
      </c>
      <c r="K17" s="38"/>
      <c r="L17" s="38">
        <v>1690552</v>
      </c>
      <c r="M17" s="38"/>
      <c r="N17" s="38">
        <f>+J17+K17+M17+L17</f>
        <v>133835372.0855552</v>
      </c>
      <c r="O17" s="37">
        <f>+[2]ECO!AE18</f>
        <v>13479500</v>
      </c>
      <c r="P17" s="37">
        <f>+[2]TEC!AE18</f>
        <v>17589200</v>
      </c>
      <c r="Q17" s="37">
        <f>+[2]TRANSF!AE18</f>
        <v>10257200</v>
      </c>
      <c r="R17" s="37">
        <f>+[2]SAN!AE17</f>
        <v>1889300</v>
      </c>
      <c r="S17" s="37">
        <f>+[2]MER!AE17</f>
        <v>13598000</v>
      </c>
      <c r="T17" s="37">
        <f>+[2]PPC!AE17</f>
        <v>39573400</v>
      </c>
      <c r="U17" s="37">
        <f>SUM(O17:T17)</f>
        <v>96386600</v>
      </c>
      <c r="V17" s="37">
        <f>+[2]FUN!AE18</f>
        <v>23916900</v>
      </c>
      <c r="W17" s="37">
        <f>+U17+V17</f>
        <v>120303500</v>
      </c>
      <c r="X17" s="35">
        <f>+W17-N17</f>
        <v>-13531872.085555196</v>
      </c>
      <c r="Y17" s="49">
        <f>+W17/N17</f>
        <v>0.8988916616385626</v>
      </c>
    </row>
    <row r="18" spans="1:25" ht="14.25" x14ac:dyDescent="0.2">
      <c r="A18" s="75" t="s">
        <v>146</v>
      </c>
      <c r="B18" s="38">
        <v>19937023.219097599</v>
      </c>
      <c r="C18" s="38">
        <v>24610501.392153602</v>
      </c>
      <c r="D18" s="38">
        <v>14933012.4559616</v>
      </c>
      <c r="E18" s="38">
        <v>2541715.9792640004</v>
      </c>
      <c r="F18" s="38">
        <v>18270742.4897536</v>
      </c>
      <c r="G18" s="38">
        <v>53007071.016345605</v>
      </c>
      <c r="H18" s="50">
        <f>+B18+C18+D18+G18+E18+F18</f>
        <v>133300066.55257602</v>
      </c>
      <c r="I18" s="38">
        <v>31880958.554367997</v>
      </c>
      <c r="J18" s="38">
        <f>+H18+I18</f>
        <v>165181025.10694402</v>
      </c>
      <c r="K18" s="38"/>
      <c r="L18" s="38">
        <v>2113190</v>
      </c>
      <c r="M18" s="38"/>
      <c r="N18" s="38">
        <f>+J18+K18+M18+L18</f>
        <v>167294215.10694402</v>
      </c>
      <c r="O18" s="37">
        <f>+[2]ECO!AE19</f>
        <v>16853700</v>
      </c>
      <c r="P18" s="37">
        <f>+[2]TEC!AE19</f>
        <v>21988900</v>
      </c>
      <c r="Q18" s="37">
        <f>+[2]TRANSF!AE19</f>
        <v>12823800</v>
      </c>
      <c r="R18" s="37">
        <f>+[2]SAN!AE18</f>
        <v>2363200</v>
      </c>
      <c r="S18" s="37">
        <f>+[2]MER!AE18</f>
        <v>17001200</v>
      </c>
      <c r="T18" s="37">
        <f>+[2]PPC!AE18</f>
        <v>49479500</v>
      </c>
      <c r="U18" s="37">
        <f>SUM(O18:T18)</f>
        <v>120510300</v>
      </c>
      <c r="V18" s="37">
        <f>+[2]FUN!AE19</f>
        <v>29903800</v>
      </c>
      <c r="W18" s="37">
        <f>+U18+V18</f>
        <v>150414100</v>
      </c>
      <c r="X18" s="35">
        <f>+W18-N18</f>
        <v>-16880115.106944025</v>
      </c>
      <c r="Y18" s="49">
        <f>+W18/N18</f>
        <v>0.89909923008304093</v>
      </c>
    </row>
    <row r="19" spans="1:25" ht="15" x14ac:dyDescent="0.25">
      <c r="A19" s="45" t="s">
        <v>145</v>
      </c>
      <c r="B19" s="43">
        <f>SUM(B9:B18)</f>
        <v>661785036.44141626</v>
      </c>
      <c r="C19" s="43">
        <f>SUM(C9:C18)</f>
        <v>729393770.39277458</v>
      </c>
      <c r="D19" s="43">
        <f>SUM(D9:D18)</f>
        <v>453205978.11943376</v>
      </c>
      <c r="E19" s="43">
        <f>SUM(E9:E18)</f>
        <v>74685338.051227361</v>
      </c>
      <c r="F19" s="43">
        <f>SUM(F9:F18)</f>
        <v>548446325.65812254</v>
      </c>
      <c r="G19" s="43">
        <f>SUM(G9:G18)</f>
        <v>1550491587.3037469</v>
      </c>
      <c r="H19" s="43">
        <f>+B19+C19+D19+G19+E19+F19</f>
        <v>4018008035.966722</v>
      </c>
      <c r="I19" s="43">
        <f>SUM(I9:I18)</f>
        <v>1116130042.82251</v>
      </c>
      <c r="J19" s="43">
        <f>SUM(J9:J18)</f>
        <v>5134138078.7892313</v>
      </c>
      <c r="K19" s="43">
        <f>SUM(K9:K18)</f>
        <v>57678000</v>
      </c>
      <c r="L19" s="43">
        <f>SUM(L9:L18)</f>
        <v>61985420</v>
      </c>
      <c r="M19" s="43">
        <f>SUM(M9:M18)</f>
        <v>0</v>
      </c>
      <c r="N19" s="43">
        <f>+J19+K19+M19+L19</f>
        <v>5253801498.7892313</v>
      </c>
      <c r="O19" s="43">
        <f>SUM(O9:O18)</f>
        <v>581597991</v>
      </c>
      <c r="P19" s="43">
        <f>SUM(P9:P18)</f>
        <v>732522233</v>
      </c>
      <c r="Q19" s="43">
        <f>SUM(Q9:Q18)</f>
        <v>438745016</v>
      </c>
      <c r="R19" s="43">
        <f>SUM(R9:R18)</f>
        <v>71579523</v>
      </c>
      <c r="S19" s="43">
        <f>SUM(S9:S18)</f>
        <v>520818135</v>
      </c>
      <c r="T19" s="43">
        <f>SUM(T9:T18)</f>
        <v>1500463800</v>
      </c>
      <c r="U19" s="48">
        <f>SUM(O19:T19)</f>
        <v>3845726698</v>
      </c>
      <c r="V19" s="43">
        <f>SUM(V9:V18)</f>
        <v>1068115362</v>
      </c>
      <c r="W19" s="48">
        <f>+U19+V19</f>
        <v>4913842060</v>
      </c>
      <c r="X19" s="28">
        <f>+W19-N19</f>
        <v>-339959438.7892313</v>
      </c>
      <c r="Y19" s="27">
        <f>+W19/N19</f>
        <v>0.93529267543366901</v>
      </c>
    </row>
    <row r="20" spans="1:25" ht="15" x14ac:dyDescent="0.25">
      <c r="A20" s="76" t="s">
        <v>144</v>
      </c>
      <c r="B20" s="38"/>
      <c r="C20" s="38"/>
      <c r="D20" s="38"/>
      <c r="E20" s="38"/>
      <c r="F20" s="38"/>
      <c r="G20" s="38"/>
      <c r="H20" s="38"/>
      <c r="I20" s="43"/>
      <c r="J20" s="38"/>
      <c r="K20" s="38"/>
      <c r="L20" s="38"/>
      <c r="M20" s="38"/>
      <c r="N20" s="38"/>
      <c r="O20" s="37"/>
      <c r="P20" s="37"/>
      <c r="Q20" s="37"/>
      <c r="R20" s="37"/>
      <c r="S20" s="37"/>
      <c r="T20" s="37"/>
      <c r="U20" s="37"/>
      <c r="V20" s="37"/>
      <c r="W20" s="37"/>
      <c r="X20" s="28"/>
      <c r="Y20" s="27"/>
    </row>
    <row r="21" spans="1:25" ht="14.25" x14ac:dyDescent="0.2">
      <c r="A21" s="39" t="s">
        <v>143</v>
      </c>
      <c r="B21" s="74">
        <v>9025000</v>
      </c>
      <c r="C21" s="74">
        <v>0</v>
      </c>
      <c r="D21" s="74">
        <v>0</v>
      </c>
      <c r="E21" s="74">
        <v>0</v>
      </c>
      <c r="F21" s="74">
        <v>4000000</v>
      </c>
      <c r="G21" s="74">
        <v>10050000</v>
      </c>
      <c r="H21" s="74">
        <f>+B21+C21+D21+G21+E21+F21</f>
        <v>23075000</v>
      </c>
      <c r="I21" s="38">
        <v>292116088.33160001</v>
      </c>
      <c r="J21" s="38">
        <f>+I21+H21</f>
        <v>315191088.33160001</v>
      </c>
      <c r="K21" s="38"/>
      <c r="L21" s="38"/>
      <c r="M21" s="38"/>
      <c r="N21" s="38">
        <f>+J21+K21+M21</f>
        <v>315191088.33160001</v>
      </c>
      <c r="O21" s="37">
        <f>+[2]ECO!AE23</f>
        <v>7589441</v>
      </c>
      <c r="P21" s="37"/>
      <c r="Q21" s="37"/>
      <c r="R21" s="37"/>
      <c r="S21" s="37">
        <f>+[2]MER!AE22</f>
        <v>2976928</v>
      </c>
      <c r="T21" s="37">
        <f>+[2]PPC!AE22</f>
        <v>7877864</v>
      </c>
      <c r="U21" s="37">
        <f>SUM(O21:T21)</f>
        <v>18444233</v>
      </c>
      <c r="V21" s="37">
        <f>+[2]FUN!AE23</f>
        <v>271742568</v>
      </c>
      <c r="W21" s="37">
        <f>+U21+V21</f>
        <v>290186801</v>
      </c>
      <c r="X21" s="35">
        <f>+W21-N21</f>
        <v>-25004287.33160001</v>
      </c>
      <c r="Y21" s="49">
        <f>+W21/N21</f>
        <v>0.9206694343296471</v>
      </c>
    </row>
    <row r="22" spans="1:25" ht="14.25" x14ac:dyDescent="0.2">
      <c r="A22" s="39" t="s">
        <v>142</v>
      </c>
      <c r="B22" s="38">
        <v>6897940</v>
      </c>
      <c r="C22" s="74">
        <v>3500000</v>
      </c>
      <c r="D22" s="74">
        <v>0</v>
      </c>
      <c r="E22" s="38">
        <v>0</v>
      </c>
      <c r="F22" s="74">
        <v>0</v>
      </c>
      <c r="G22" s="38">
        <v>4127200</v>
      </c>
      <c r="H22" s="74">
        <f>+B22+C22+D22+G22+E22+F22</f>
        <v>14525140</v>
      </c>
      <c r="I22" s="38">
        <v>40536277.046800002</v>
      </c>
      <c r="J22" s="38">
        <f>+H22+I22</f>
        <v>55061417.046800002</v>
      </c>
      <c r="K22" s="38"/>
      <c r="L22" s="38"/>
      <c r="M22" s="38"/>
      <c r="N22" s="38">
        <f>+J22+K22+M22</f>
        <v>55061417.046800002</v>
      </c>
      <c r="O22" s="37">
        <f>+[2]ECO!AE24</f>
        <v>297000</v>
      </c>
      <c r="P22" s="37">
        <f>+[2]TEC!AE23</f>
        <v>2515123</v>
      </c>
      <c r="Q22" s="37"/>
      <c r="R22" s="37"/>
      <c r="S22" s="37"/>
      <c r="T22" s="37">
        <f>+[2]PPC!AE23</f>
        <v>3412510</v>
      </c>
      <c r="U22" s="37">
        <f>SUM(O22:T22)</f>
        <v>6224633</v>
      </c>
      <c r="V22" s="37">
        <f>+[2]FUN!AE24</f>
        <v>13701875</v>
      </c>
      <c r="W22" s="37">
        <f>+U22+V22</f>
        <v>19926508</v>
      </c>
      <c r="X22" s="35">
        <f>+W22-N22</f>
        <v>-35134909.046800002</v>
      </c>
      <c r="Y22" s="49">
        <f>+W22/N22</f>
        <v>0.3618960257245698</v>
      </c>
    </row>
    <row r="23" spans="1:25" ht="14.25" x14ac:dyDescent="0.2">
      <c r="A23" s="39" t="s">
        <v>141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12381600</v>
      </c>
      <c r="H23" s="74">
        <f>+B23+C23+D23+G23+E23+F23</f>
        <v>12381600</v>
      </c>
      <c r="I23" s="38">
        <v>23195623.404800002</v>
      </c>
      <c r="J23" s="38">
        <f>+H23+I23</f>
        <v>35577223.404799998</v>
      </c>
      <c r="K23" s="38"/>
      <c r="L23" s="38"/>
      <c r="M23" s="38"/>
      <c r="N23" s="38">
        <f>+J23+K23+M23</f>
        <v>35577223.404799998</v>
      </c>
      <c r="O23" s="37"/>
      <c r="P23" s="37"/>
      <c r="Q23" s="37"/>
      <c r="R23" s="37"/>
      <c r="S23" s="37"/>
      <c r="T23" s="37">
        <f>+[2]PPC!AE24</f>
        <v>10018483</v>
      </c>
      <c r="U23" s="37">
        <f>SUM(O23:T23)</f>
        <v>10018483</v>
      </c>
      <c r="V23" s="37">
        <f>+[2]FUN!AE25</f>
        <v>23195206</v>
      </c>
      <c r="W23" s="37">
        <f>+U23+V23</f>
        <v>33213689</v>
      </c>
      <c r="X23" s="35">
        <f>+W23-N23</f>
        <v>-2363534.4047999978</v>
      </c>
      <c r="Y23" s="49">
        <f>+W23/N23</f>
        <v>0.93356608024444332</v>
      </c>
    </row>
    <row r="24" spans="1:25" ht="14.25" x14ac:dyDescent="0.2">
      <c r="A24" s="39" t="s">
        <v>140</v>
      </c>
      <c r="B24" s="38">
        <v>4000000</v>
      </c>
      <c r="C24" s="74">
        <v>12478976.4169</v>
      </c>
      <c r="D24" s="74">
        <v>7693027.7770376801</v>
      </c>
      <c r="E24" s="74">
        <v>4044656</v>
      </c>
      <c r="F24" s="74">
        <v>12124792.108754994</v>
      </c>
      <c r="G24" s="74">
        <v>260013600</v>
      </c>
      <c r="H24" s="74">
        <f>+B24+C24+D24+G24+E24+F24</f>
        <v>300355052.30269265</v>
      </c>
      <c r="I24" s="38">
        <v>49814600.952600002</v>
      </c>
      <c r="J24" s="38">
        <f>+H24+I24</f>
        <v>350169653.25529265</v>
      </c>
      <c r="K24" s="38"/>
      <c r="L24" s="38"/>
      <c r="M24" s="38"/>
      <c r="N24" s="38">
        <f>+J24+K24+M24</f>
        <v>350169653.25529265</v>
      </c>
      <c r="O24" s="37">
        <f>+[2]ECO!AE25</f>
        <v>2908420</v>
      </c>
      <c r="P24" s="37">
        <f>+[2]TEC!AE24</f>
        <v>11393388</v>
      </c>
      <c r="Q24" s="37">
        <f>+[2]TRANSF!AE23</f>
        <v>7337082</v>
      </c>
      <c r="R24" s="37">
        <f>+[2]SAN!AE22</f>
        <v>3500000</v>
      </c>
      <c r="S24" s="37">
        <f>+[2]MER!AE23</f>
        <v>8165413</v>
      </c>
      <c r="T24" s="37">
        <f>+[2]PPC!AE25</f>
        <v>256804986</v>
      </c>
      <c r="U24" s="37">
        <f>SUM(O24:T24)</f>
        <v>290109289</v>
      </c>
      <c r="V24" s="37">
        <f>+[2]FUN!AE26</f>
        <v>40903485</v>
      </c>
      <c r="W24" s="37">
        <f>+U24+V24</f>
        <v>331012774</v>
      </c>
      <c r="X24" s="35">
        <f>+W24-N24</f>
        <v>-19156879.255292654</v>
      </c>
      <c r="Y24" s="49">
        <f>+W24/N24</f>
        <v>0.94529257724875937</v>
      </c>
    </row>
    <row r="25" spans="1:25" ht="14.25" x14ac:dyDescent="0.2">
      <c r="A25" s="39" t="s">
        <v>139</v>
      </c>
      <c r="B25" s="74">
        <v>2000000</v>
      </c>
      <c r="C25" s="74">
        <v>2709297</v>
      </c>
      <c r="D25" s="74">
        <v>2271511.3113000002</v>
      </c>
      <c r="E25" s="74">
        <v>0</v>
      </c>
      <c r="F25" s="74">
        <v>2470201.426</v>
      </c>
      <c r="G25" s="74">
        <v>2318782.4000000004</v>
      </c>
      <c r="H25" s="74">
        <f>+B25+C25+D25+G25+E25+F25</f>
        <v>11769792.1373</v>
      </c>
      <c r="I25" s="38">
        <v>5500982.8874000004</v>
      </c>
      <c r="J25" s="38">
        <f>+H25+I25</f>
        <v>17270775.024700001</v>
      </c>
      <c r="K25" s="38"/>
      <c r="L25" s="38"/>
      <c r="M25" s="38"/>
      <c r="N25" s="38">
        <f>+J25+K25+M25</f>
        <v>17270775.024700001</v>
      </c>
      <c r="O25" s="37">
        <f>+[2]ECO!AE26</f>
        <v>962402</v>
      </c>
      <c r="P25" s="37">
        <f>+[2]TEC!AE25</f>
        <v>1364702</v>
      </c>
      <c r="Q25" s="37">
        <f>+[2]TRANSF!AE24</f>
        <v>564925</v>
      </c>
      <c r="R25" s="37"/>
      <c r="S25" s="37">
        <f>+[2]MER!AE24</f>
        <v>2003566</v>
      </c>
      <c r="T25" s="37">
        <f>+[2]PPC!AE26</f>
        <v>1293810</v>
      </c>
      <c r="U25" s="37">
        <f>SUM(O25:T25)</f>
        <v>6189405</v>
      </c>
      <c r="V25" s="37">
        <f>+[2]FUN!AE27</f>
        <v>3584000</v>
      </c>
      <c r="W25" s="37">
        <f>+U25+V25</f>
        <v>9773405</v>
      </c>
      <c r="X25" s="35">
        <f>+W25-N25</f>
        <v>-7497370.0247000009</v>
      </c>
      <c r="Y25" s="49">
        <f>+W25/N25</f>
        <v>0.56589267048076597</v>
      </c>
    </row>
    <row r="26" spans="1:25" ht="14.25" x14ac:dyDescent="0.2">
      <c r="A26" s="75" t="s">
        <v>138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f>+B26+C26+D26+G26+E26+F26</f>
        <v>0</v>
      </c>
      <c r="I26" s="38">
        <v>26850015.5</v>
      </c>
      <c r="J26" s="38">
        <f>+H26+I26</f>
        <v>26850015.5</v>
      </c>
      <c r="K26" s="38"/>
      <c r="L26" s="38"/>
      <c r="M26" s="38"/>
      <c r="N26" s="38">
        <f>+J26+K26+M26</f>
        <v>26850015.5</v>
      </c>
      <c r="O26" s="37"/>
      <c r="P26" s="37"/>
      <c r="Q26" s="37"/>
      <c r="R26" s="37"/>
      <c r="S26" s="37"/>
      <c r="T26" s="37"/>
      <c r="U26" s="37">
        <f>SUM(O26:T26)</f>
        <v>0</v>
      </c>
      <c r="V26" s="37">
        <f>+[2]FUN!AE28</f>
        <v>11162988</v>
      </c>
      <c r="W26" s="37">
        <f>+U26+V26</f>
        <v>11162988</v>
      </c>
      <c r="X26" s="35">
        <f>+W26-N26</f>
        <v>-15687027.5</v>
      </c>
      <c r="Y26" s="49">
        <f>+W26/N26</f>
        <v>0.41575350301008207</v>
      </c>
    </row>
    <row r="27" spans="1:25" ht="14.25" x14ac:dyDescent="0.2">
      <c r="A27" s="39" t="s">
        <v>137</v>
      </c>
      <c r="B27" s="74">
        <v>10369305.223200001</v>
      </c>
      <c r="C27" s="74">
        <v>10369305.223200001</v>
      </c>
      <c r="D27" s="74">
        <v>10369305.223200001</v>
      </c>
      <c r="E27" s="74">
        <v>10369305.223200001</v>
      </c>
      <c r="F27" s="74">
        <v>10369305.223200001</v>
      </c>
      <c r="G27" s="74">
        <v>10369305</v>
      </c>
      <c r="H27" s="74">
        <f>+B27+C27+D27+G27+E27+F27</f>
        <v>62215831.116000004</v>
      </c>
      <c r="I27" s="38">
        <v>26106552.010000005</v>
      </c>
      <c r="J27" s="38">
        <f>+H27+I27</f>
        <v>88322383.126000017</v>
      </c>
      <c r="K27" s="38"/>
      <c r="L27" s="38"/>
      <c r="M27" s="38"/>
      <c r="N27" s="38">
        <f>+J27+K27+M27</f>
        <v>88322383.126000017</v>
      </c>
      <c r="O27" s="37">
        <f>+[2]ECO!AE27</f>
        <v>9712443</v>
      </c>
      <c r="P27" s="37">
        <f>+[2]TEC!AE26</f>
        <v>9712443</v>
      </c>
      <c r="Q27" s="37">
        <f>+[2]TRANSF!AE25</f>
        <v>9712443</v>
      </c>
      <c r="R27" s="37">
        <f>+[2]SAN!AE23</f>
        <v>9712438</v>
      </c>
      <c r="S27" s="37">
        <f>+[2]MER!AE25</f>
        <v>9712443</v>
      </c>
      <c r="T27" s="37">
        <f>+[2]PPC!AE27</f>
        <v>9718809</v>
      </c>
      <c r="U27" s="37">
        <f>SUM(O27:T27)</f>
        <v>58281019</v>
      </c>
      <c r="V27" s="37">
        <f>+[2]FUN!AE29</f>
        <v>16491513</v>
      </c>
      <c r="W27" s="37">
        <f>+U27+V27</f>
        <v>74772532</v>
      </c>
      <c r="X27" s="35">
        <f>+W27-N27</f>
        <v>-13549851.126000017</v>
      </c>
      <c r="Y27" s="49">
        <f>+W27/N27</f>
        <v>0.8465864410987427</v>
      </c>
    </row>
    <row r="28" spans="1:25" ht="14.25" x14ac:dyDescent="0.2">
      <c r="A28" s="39" t="s">
        <v>136</v>
      </c>
      <c r="B28" s="74">
        <v>544518</v>
      </c>
      <c r="C28" s="74">
        <v>3969819.5775083802</v>
      </c>
      <c r="D28" s="74">
        <v>5678778.2782500004</v>
      </c>
      <c r="E28" s="74">
        <v>0</v>
      </c>
      <c r="F28" s="74">
        <v>0</v>
      </c>
      <c r="G28" s="74">
        <v>41636000</v>
      </c>
      <c r="H28" s="74">
        <f>+B28+C28+D28+G28+E28+F28</f>
        <v>51829115.855758384</v>
      </c>
      <c r="I28" s="38">
        <v>13175668.963400001</v>
      </c>
      <c r="J28" s="38">
        <f>+H28+I28</f>
        <v>65004784.819158383</v>
      </c>
      <c r="K28" s="38"/>
      <c r="L28" s="38"/>
      <c r="M28" s="38"/>
      <c r="N28" s="38">
        <f>+J28+K28+M28</f>
        <v>65004784.819158383</v>
      </c>
      <c r="O28" s="37"/>
      <c r="P28" s="37">
        <f>+[2]TEC!AE27</f>
        <v>2125553</v>
      </c>
      <c r="Q28" s="37">
        <f>+[2]TRANSF!AE26</f>
        <v>1602053</v>
      </c>
      <c r="R28" s="37"/>
      <c r="S28" s="37"/>
      <c r="T28" s="37">
        <f>+[2]PPC!AE28</f>
        <v>40430630</v>
      </c>
      <c r="U28" s="37">
        <f>SUM(O28:T28)</f>
        <v>44158236</v>
      </c>
      <c r="V28" s="37">
        <f>+[2]FUN!AE30</f>
        <v>10949253</v>
      </c>
      <c r="W28" s="37">
        <f>+U28+V28</f>
        <v>55107489</v>
      </c>
      <c r="X28" s="35">
        <f>+W28-N28</f>
        <v>-9897295.8191583827</v>
      </c>
      <c r="Y28" s="49">
        <f>+W28/N28</f>
        <v>0.84774511835255817</v>
      </c>
    </row>
    <row r="29" spans="1:25" ht="14.25" x14ac:dyDescent="0.2">
      <c r="A29" s="39" t="s">
        <v>135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75180043</v>
      </c>
      <c r="H29" s="74">
        <f>+B29+C29+D29+G29+E29+F29</f>
        <v>75180043</v>
      </c>
      <c r="I29" s="38">
        <v>128185001.29820001</v>
      </c>
      <c r="J29" s="38">
        <f>+H29+I29</f>
        <v>203365044.29820001</v>
      </c>
      <c r="K29" s="38"/>
      <c r="L29" s="38"/>
      <c r="M29" s="38"/>
      <c r="N29" s="38">
        <f>+J29+K29+M29</f>
        <v>203365044.29820001</v>
      </c>
      <c r="O29" s="37"/>
      <c r="P29" s="37"/>
      <c r="Q29" s="37"/>
      <c r="R29" s="37"/>
      <c r="S29" s="37"/>
      <c r="T29" s="37">
        <f>+[2]PPC!AE29</f>
        <v>67648838</v>
      </c>
      <c r="U29" s="37">
        <f>SUM(O29:T29)</f>
        <v>67648838</v>
      </c>
      <c r="V29" s="37">
        <f>+[2]FUN!AE31</f>
        <v>109188189</v>
      </c>
      <c r="W29" s="37">
        <f>+U29+V29</f>
        <v>176837027</v>
      </c>
      <c r="X29" s="35">
        <f>+W29-N29</f>
        <v>-26528017.298200011</v>
      </c>
      <c r="Y29" s="49">
        <f>+W29/N29</f>
        <v>0.86955468482921172</v>
      </c>
    </row>
    <row r="30" spans="1:25" ht="14.25" x14ac:dyDescent="0.2">
      <c r="A30" s="39" t="s">
        <v>134</v>
      </c>
      <c r="B30" s="38">
        <v>15613499.999999998</v>
      </c>
      <c r="C30" s="38">
        <v>18421745</v>
      </c>
      <c r="D30" s="38">
        <v>9359748.9332038984</v>
      </c>
      <c r="E30" s="38">
        <v>0</v>
      </c>
      <c r="F30" s="74">
        <v>25642497.681432728</v>
      </c>
      <c r="G30" s="38">
        <v>338757729.60000002</v>
      </c>
      <c r="H30" s="74">
        <f>+B30+C30+D30+G30+E30+F30</f>
        <v>407795221.21463662</v>
      </c>
      <c r="I30" s="38">
        <v>26692500</v>
      </c>
      <c r="J30" s="38">
        <f>+H30+I30</f>
        <v>434487721.21463662</v>
      </c>
      <c r="K30" s="38"/>
      <c r="L30" s="38"/>
      <c r="M30" s="38"/>
      <c r="N30" s="38">
        <f>+J30+K30+M30</f>
        <v>434487721.21463662</v>
      </c>
      <c r="O30" s="37">
        <f>+[2]ECO!AE29</f>
        <v>5224550</v>
      </c>
      <c r="P30" s="37">
        <f>+[2]TEC!AE28</f>
        <v>17033958</v>
      </c>
      <c r="Q30" s="37">
        <f>+[2]TRANSF!AE27</f>
        <v>7718605</v>
      </c>
      <c r="R30" s="37"/>
      <c r="S30" s="37">
        <f>+[2]MER!AE26</f>
        <v>23985884</v>
      </c>
      <c r="T30" s="37">
        <f>+[2]PPC!AE30</f>
        <v>297364680</v>
      </c>
      <c r="U30" s="37">
        <f>SUM(O30:T30)</f>
        <v>351327677</v>
      </c>
      <c r="V30" s="37">
        <f>+[2]FUN!AE32</f>
        <v>11726953</v>
      </c>
      <c r="W30" s="37">
        <f>+U30+V30</f>
        <v>363054630</v>
      </c>
      <c r="X30" s="35">
        <f>+W30-N30</f>
        <v>-71433091.214636624</v>
      </c>
      <c r="Y30" s="49">
        <f>+W30/N30</f>
        <v>0.8355923821852983</v>
      </c>
    </row>
    <row r="31" spans="1:25" ht="14.25" x14ac:dyDescent="0.2">
      <c r="A31" s="39" t="s">
        <v>133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  <c r="H31" s="74">
        <f>+B31+C31+D31+G31+E31+F31</f>
        <v>0</v>
      </c>
      <c r="I31" s="38">
        <v>11553390.648800001</v>
      </c>
      <c r="J31" s="38">
        <f>+H31+I31</f>
        <v>11553390.648800001</v>
      </c>
      <c r="K31" s="38"/>
      <c r="L31" s="38"/>
      <c r="M31" s="38"/>
      <c r="N31" s="38">
        <f>+J31+K31+M31</f>
        <v>11553390.648800001</v>
      </c>
      <c r="O31" s="37"/>
      <c r="P31" s="37"/>
      <c r="Q31" s="37"/>
      <c r="R31" s="37"/>
      <c r="S31" s="37"/>
      <c r="T31" s="37"/>
      <c r="U31" s="37">
        <f>SUM(O31:T31)</f>
        <v>0</v>
      </c>
      <c r="V31" s="37">
        <f>+[2]FUN!AE33</f>
        <v>10999011</v>
      </c>
      <c r="W31" s="37">
        <f>+U31+V31</f>
        <v>10999011</v>
      </c>
      <c r="X31" s="35">
        <f>+W31-N31</f>
        <v>-554379.64880000055</v>
      </c>
      <c r="Y31" s="49">
        <f>+W31/N31</f>
        <v>0.95201584836416997</v>
      </c>
    </row>
    <row r="32" spans="1:25" ht="14.25" x14ac:dyDescent="0.2">
      <c r="A32" s="39" t="s">
        <v>132</v>
      </c>
      <c r="B32" s="38">
        <v>14444424</v>
      </c>
      <c r="C32" s="38">
        <v>5680605</v>
      </c>
      <c r="D32" s="38">
        <v>3150047</v>
      </c>
      <c r="E32" s="38">
        <v>616445</v>
      </c>
      <c r="F32" s="38">
        <v>5374707</v>
      </c>
      <c r="G32" s="38">
        <v>32584459.2304</v>
      </c>
      <c r="H32" s="74">
        <f>+B32+C32+D32+G32+E32+F32</f>
        <v>61850687.230399996</v>
      </c>
      <c r="I32" s="38">
        <v>42169379.930000007</v>
      </c>
      <c r="J32" s="38">
        <f>+H32+I32</f>
        <v>104020067.1604</v>
      </c>
      <c r="K32" s="38"/>
      <c r="L32" s="38"/>
      <c r="M32" s="38"/>
      <c r="N32" s="38">
        <f>+J32+K32+M32</f>
        <v>104020067.1604</v>
      </c>
      <c r="O32" s="37">
        <f>+[2]ECO!AE30</f>
        <v>14444424</v>
      </c>
      <c r="P32" s="37">
        <f>+[2]TEC!AE29</f>
        <v>5647622</v>
      </c>
      <c r="Q32" s="37">
        <f>+[2]TRANSF!AE28</f>
        <v>3075850</v>
      </c>
      <c r="R32" s="37">
        <f>+[2]SAN!AE24</f>
        <v>603424</v>
      </c>
      <c r="S32" s="37">
        <f>+[2]MER!AE27</f>
        <v>5374646</v>
      </c>
      <c r="T32" s="37">
        <f>+[2]PPC!AE31</f>
        <v>31212069</v>
      </c>
      <c r="U32" s="37">
        <f>SUM(O32:T32)</f>
        <v>60358035</v>
      </c>
      <c r="V32" s="37">
        <f>+[2]FUN!AE34</f>
        <v>42169380</v>
      </c>
      <c r="W32" s="37">
        <f>+U32+V32</f>
        <v>102527415</v>
      </c>
      <c r="X32" s="35">
        <f>+W32-N32</f>
        <v>-1492652.1604000032</v>
      </c>
      <c r="Y32" s="49">
        <f>+W32/N32</f>
        <v>0.98565034419658359</v>
      </c>
    </row>
    <row r="33" spans="1:25" ht="14.25" x14ac:dyDescent="0.2">
      <c r="A33" s="39" t="s">
        <v>131</v>
      </c>
      <c r="B33" s="74">
        <v>0</v>
      </c>
      <c r="C33" s="74">
        <v>0</v>
      </c>
      <c r="D33" s="74">
        <v>0</v>
      </c>
      <c r="E33" s="74">
        <v>0</v>
      </c>
      <c r="F33" s="74">
        <v>0</v>
      </c>
      <c r="G33" s="74">
        <v>10034186</v>
      </c>
      <c r="H33" s="74">
        <f>+B33+C33+D33+G33+E33+F33</f>
        <v>10034186</v>
      </c>
      <c r="I33" s="38">
        <v>37681348</v>
      </c>
      <c r="J33" s="38">
        <f>+H33+I33</f>
        <v>47715534</v>
      </c>
      <c r="K33" s="38"/>
      <c r="L33" s="38"/>
      <c r="M33" s="38"/>
      <c r="N33" s="38">
        <f>+J33+K33+M33</f>
        <v>47715534</v>
      </c>
      <c r="O33" s="37"/>
      <c r="P33" s="37"/>
      <c r="Q33" s="37"/>
      <c r="R33" s="37"/>
      <c r="S33" s="37"/>
      <c r="T33" s="37">
        <f>+[2]PPC!AE32</f>
        <v>10033751</v>
      </c>
      <c r="U33" s="37">
        <f>SUM(O33:T33)</f>
        <v>10033751</v>
      </c>
      <c r="V33" s="37">
        <f>+[2]FUN!AE35</f>
        <v>23171632</v>
      </c>
      <c r="W33" s="37">
        <f>+U33+V33</f>
        <v>33205383</v>
      </c>
      <c r="X33" s="35">
        <f>+W33-N33</f>
        <v>-14510151</v>
      </c>
      <c r="Y33" s="49">
        <f>+W33/N33</f>
        <v>0.69590299460967997</v>
      </c>
    </row>
    <row r="34" spans="1:25" ht="14.25" x14ac:dyDescent="0.2">
      <c r="A34" s="39" t="s">
        <v>130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f>+B34+C34+D34+G34+E34+F34</f>
        <v>0</v>
      </c>
      <c r="I34" s="38">
        <v>74527979.849400014</v>
      </c>
      <c r="J34" s="38">
        <f>+H34+I34</f>
        <v>74527979.849400014</v>
      </c>
      <c r="K34" s="38"/>
      <c r="L34" s="38"/>
      <c r="M34" s="38"/>
      <c r="N34" s="38">
        <f>+J34+K34+M34</f>
        <v>74527979.849400014</v>
      </c>
      <c r="O34" s="37"/>
      <c r="P34" s="37"/>
      <c r="Q34" s="37"/>
      <c r="R34" s="37"/>
      <c r="S34" s="37"/>
      <c r="T34" s="37">
        <v>0</v>
      </c>
      <c r="U34" s="37">
        <f>SUM(O34:T34)</f>
        <v>0</v>
      </c>
      <c r="V34" s="37">
        <f>+[2]FUN!AE36</f>
        <v>60395900</v>
      </c>
      <c r="W34" s="37">
        <f>+U34+V34</f>
        <v>60395900</v>
      </c>
      <c r="X34" s="35">
        <f>+W34-N34</f>
        <v>-14132079.849400014</v>
      </c>
      <c r="Y34" s="49">
        <f>+W34/N34</f>
        <v>0.81037886874222331</v>
      </c>
    </row>
    <row r="35" spans="1:25" ht="14.25" x14ac:dyDescent="0.2">
      <c r="A35" s="39" t="s">
        <v>129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f>+B35+C35+D35+G35+E35+F35</f>
        <v>0</v>
      </c>
      <c r="I35" s="38">
        <v>25450148.708600003</v>
      </c>
      <c r="J35" s="38">
        <f>+H35+I35</f>
        <v>25450148.708600003</v>
      </c>
      <c r="K35" s="38">
        <v>20000000</v>
      </c>
      <c r="L35" s="38"/>
      <c r="M35" s="38"/>
      <c r="N35" s="38">
        <f>+J35+K35+M35</f>
        <v>45450148.7086</v>
      </c>
      <c r="O35" s="37"/>
      <c r="P35" s="37"/>
      <c r="Q35" s="37"/>
      <c r="R35" s="37"/>
      <c r="S35" s="37"/>
      <c r="T35" s="37">
        <v>0</v>
      </c>
      <c r="U35" s="37">
        <f>SUM(O35:T35)</f>
        <v>0</v>
      </c>
      <c r="V35" s="37">
        <f>+[2]FUN!AE37</f>
        <v>32814395</v>
      </c>
      <c r="W35" s="37">
        <f>+U35+V35</f>
        <v>32814395</v>
      </c>
      <c r="X35" s="35">
        <f>+W35-N35</f>
        <v>-12635753.7086</v>
      </c>
      <c r="Y35" s="49">
        <f>+W35/N35</f>
        <v>0.72198652660933793</v>
      </c>
    </row>
    <row r="36" spans="1:25" ht="15" x14ac:dyDescent="0.25">
      <c r="A36" s="71" t="s">
        <v>128</v>
      </c>
      <c r="B36" s="70">
        <f>SUM(B21:B35)</f>
        <v>62894687.223200001</v>
      </c>
      <c r="C36" s="70">
        <f>SUM(C21:C35)</f>
        <v>57129748.217608377</v>
      </c>
      <c r="D36" s="70">
        <f>SUM(D21:D35)</f>
        <v>38522418.522991583</v>
      </c>
      <c r="E36" s="70">
        <f>SUM(E21:E35)</f>
        <v>15030406.223200001</v>
      </c>
      <c r="F36" s="70">
        <f>SUM(F21:F35)</f>
        <v>59981503.439387724</v>
      </c>
      <c r="G36" s="70">
        <f>SUM(G21:G35)</f>
        <v>797452905.23039997</v>
      </c>
      <c r="H36" s="70">
        <f>SUM(H21:H35)</f>
        <v>1031011668.8567876</v>
      </c>
      <c r="I36" s="46">
        <f>SUM(I21:I35)</f>
        <v>823555557.5316</v>
      </c>
      <c r="J36" s="46">
        <f>SUM(J21:J35)</f>
        <v>1854567226.3883877</v>
      </c>
      <c r="K36" s="46">
        <f>SUM(K21:K35)</f>
        <v>20000000</v>
      </c>
      <c r="L36" s="46">
        <f>SUM(L21:L35)</f>
        <v>0</v>
      </c>
      <c r="M36" s="46">
        <f>SUM(M21:M35)</f>
        <v>0</v>
      </c>
      <c r="N36" s="46">
        <f>+J36+K36+M36</f>
        <v>1874567226.3883877</v>
      </c>
      <c r="O36" s="46">
        <f>SUM(O21:O35)</f>
        <v>41138680</v>
      </c>
      <c r="P36" s="46">
        <f>SUM(P21:P35)</f>
        <v>49792789</v>
      </c>
      <c r="Q36" s="46">
        <f>SUM(Q21:Q35)</f>
        <v>30010958</v>
      </c>
      <c r="R36" s="46">
        <f>SUM(R21:R35)</f>
        <v>13815862</v>
      </c>
      <c r="S36" s="46">
        <f>SUM(S21:S35)</f>
        <v>52218880</v>
      </c>
      <c r="T36" s="46">
        <f>SUM(T21:T35)</f>
        <v>735816430</v>
      </c>
      <c r="U36" s="48">
        <f>SUM(O36:T36)</f>
        <v>922793599</v>
      </c>
      <c r="V36" s="46">
        <f>SUM(V21:V35)</f>
        <v>682196348</v>
      </c>
      <c r="W36" s="48">
        <f>+U36+V36</f>
        <v>1604989947</v>
      </c>
      <c r="X36" s="28">
        <f>+W36-N36</f>
        <v>-269577279.38838768</v>
      </c>
      <c r="Y36" s="27">
        <f>+W36/N36</f>
        <v>0.85619225835513757</v>
      </c>
    </row>
    <row r="37" spans="1:25" ht="15" x14ac:dyDescent="0.25">
      <c r="A37" s="71" t="s">
        <v>127</v>
      </c>
      <c r="B37" s="70"/>
      <c r="C37" s="70"/>
      <c r="D37" s="70"/>
      <c r="E37" s="70"/>
      <c r="F37" s="70"/>
      <c r="G37" s="70"/>
      <c r="H37" s="70"/>
      <c r="I37" s="46"/>
      <c r="J37" s="46"/>
      <c r="K37" s="46"/>
      <c r="L37" s="46"/>
      <c r="M37" s="46"/>
      <c r="N37" s="46"/>
      <c r="O37" s="48"/>
      <c r="P37" s="48"/>
      <c r="Q37" s="48"/>
      <c r="R37" s="48"/>
      <c r="S37" s="48"/>
      <c r="T37" s="48"/>
      <c r="U37" s="48"/>
      <c r="V37" s="48"/>
      <c r="W37" s="48"/>
      <c r="X37" s="28"/>
      <c r="Y37" s="27"/>
    </row>
    <row r="38" spans="1:25" ht="15" x14ac:dyDescent="0.25">
      <c r="A38" s="55" t="s">
        <v>126</v>
      </c>
      <c r="B38" s="46"/>
      <c r="C38" s="46"/>
      <c r="D38" s="46"/>
      <c r="E38" s="46"/>
      <c r="F38" s="46"/>
      <c r="G38" s="46"/>
      <c r="H38" s="46"/>
      <c r="I38" s="46">
        <f>SUM(I39:I41)</f>
        <v>366340694</v>
      </c>
      <c r="J38" s="46">
        <f>SUM(J39:J41)</f>
        <v>366340694</v>
      </c>
      <c r="K38" s="46">
        <f>SUM(K39:K41)</f>
        <v>0</v>
      </c>
      <c r="L38" s="46">
        <f>SUM(L39:L41)</f>
        <v>0</v>
      </c>
      <c r="M38" s="46">
        <f>SUM(M39:M41)</f>
        <v>0</v>
      </c>
      <c r="N38" s="46">
        <f>+J38+K38+M38</f>
        <v>366340694</v>
      </c>
      <c r="O38" s="48"/>
      <c r="P38" s="48"/>
      <c r="Q38" s="48"/>
      <c r="R38" s="48"/>
      <c r="S38" s="48"/>
      <c r="T38" s="48"/>
      <c r="U38" s="48">
        <f>SUM(O38:T38)</f>
        <v>0</v>
      </c>
      <c r="V38" s="48">
        <f>SUM(V39:V41)</f>
        <v>336306564</v>
      </c>
      <c r="W38" s="48">
        <f>+U38+V38</f>
        <v>336306564</v>
      </c>
      <c r="X38" s="28">
        <f>+W38-N38</f>
        <v>-30034130</v>
      </c>
      <c r="Y38" s="27">
        <f>+W38/N38</f>
        <v>0.91801585111371764</v>
      </c>
    </row>
    <row r="39" spans="1:25" ht="15" hidden="1" outlineLevel="1" x14ac:dyDescent="0.25">
      <c r="A39" s="54" t="s">
        <v>125</v>
      </c>
      <c r="B39" s="50"/>
      <c r="C39" s="50"/>
      <c r="D39" s="50"/>
      <c r="E39" s="50"/>
      <c r="F39" s="50"/>
      <c r="G39" s="50"/>
      <c r="H39" s="50"/>
      <c r="I39" s="50">
        <v>140194716</v>
      </c>
      <c r="J39" s="50">
        <f>+H39+I39</f>
        <v>140194716</v>
      </c>
      <c r="K39" s="50"/>
      <c r="L39" s="50"/>
      <c r="M39" s="50"/>
      <c r="N39" s="50">
        <f>+J39+K39+M39</f>
        <v>140194716</v>
      </c>
      <c r="O39" s="73"/>
      <c r="P39" s="73"/>
      <c r="Q39" s="73"/>
      <c r="R39" s="73"/>
      <c r="S39" s="73"/>
      <c r="T39" s="73"/>
      <c r="U39" s="73">
        <f>SUM(O39:T39)</f>
        <v>0</v>
      </c>
      <c r="V39" s="72">
        <f>+[2]FUN!AE42</f>
        <v>134574766</v>
      </c>
      <c r="W39" s="72">
        <f>+U39+V39</f>
        <v>134574766</v>
      </c>
      <c r="X39" s="35">
        <f>+W39-N39</f>
        <v>-5619950</v>
      </c>
      <c r="Y39" s="49">
        <f>+W39/N39</f>
        <v>0.9599132537919618</v>
      </c>
    </row>
    <row r="40" spans="1:25" ht="15" hidden="1" outlineLevel="1" x14ac:dyDescent="0.25">
      <c r="A40" s="54" t="s">
        <v>124</v>
      </c>
      <c r="B40" s="50"/>
      <c r="C40" s="50"/>
      <c r="D40" s="50"/>
      <c r="E40" s="50"/>
      <c r="F40" s="50"/>
      <c r="G40" s="50"/>
      <c r="H40" s="50"/>
      <c r="I40" s="50">
        <v>201673640</v>
      </c>
      <c r="J40" s="50">
        <f>+H40+I40</f>
        <v>201673640</v>
      </c>
      <c r="K40" s="50"/>
      <c r="L40" s="50"/>
      <c r="M40" s="50"/>
      <c r="N40" s="50">
        <f>+J40+K40+M40</f>
        <v>201673640</v>
      </c>
      <c r="O40" s="73"/>
      <c r="P40" s="73"/>
      <c r="Q40" s="73"/>
      <c r="R40" s="73"/>
      <c r="S40" s="73"/>
      <c r="T40" s="73"/>
      <c r="U40" s="73">
        <f>SUM(O40:T40)</f>
        <v>0</v>
      </c>
      <c r="V40" s="72">
        <f>+[2]FUN!AE43</f>
        <v>179383073</v>
      </c>
      <c r="W40" s="72">
        <f>+U40+V40</f>
        <v>179383073</v>
      </c>
      <c r="X40" s="35">
        <f>+W40-N40</f>
        <v>-22290567</v>
      </c>
      <c r="Y40" s="49">
        <f>+W40/N40</f>
        <v>0.88947208470080674</v>
      </c>
    </row>
    <row r="41" spans="1:25" ht="15" hidden="1" outlineLevel="1" x14ac:dyDescent="0.25">
      <c r="A41" s="54" t="s">
        <v>123</v>
      </c>
      <c r="B41" s="50"/>
      <c r="C41" s="50"/>
      <c r="D41" s="50"/>
      <c r="E41" s="50"/>
      <c r="F41" s="50"/>
      <c r="G41" s="50"/>
      <c r="H41" s="50"/>
      <c r="I41" s="50">
        <v>24472338</v>
      </c>
      <c r="J41" s="50">
        <f>+H41+I41</f>
        <v>24472338</v>
      </c>
      <c r="K41" s="50"/>
      <c r="L41" s="50"/>
      <c r="M41" s="50"/>
      <c r="N41" s="50">
        <f>+J41+K41+M41</f>
        <v>24472338</v>
      </c>
      <c r="O41" s="73"/>
      <c r="P41" s="73"/>
      <c r="Q41" s="73"/>
      <c r="R41" s="73"/>
      <c r="S41" s="73"/>
      <c r="T41" s="73"/>
      <c r="U41" s="73">
        <f>SUM(O41:T41)</f>
        <v>0</v>
      </c>
      <c r="V41" s="72">
        <f>+[2]FUN!AE44</f>
        <v>22348725</v>
      </c>
      <c r="W41" s="72">
        <f>+U41+V41</f>
        <v>22348725</v>
      </c>
      <c r="X41" s="35">
        <f>+W41-N41</f>
        <v>-2123613</v>
      </c>
      <c r="Y41" s="49">
        <f>+W41/N41</f>
        <v>0.91322394288604547</v>
      </c>
    </row>
    <row r="42" spans="1:25" ht="15" collapsed="1" x14ac:dyDescent="0.25">
      <c r="A42" s="55" t="s">
        <v>122</v>
      </c>
      <c r="B42" s="46"/>
      <c r="C42" s="46"/>
      <c r="D42" s="46"/>
      <c r="E42" s="46"/>
      <c r="F42" s="46"/>
      <c r="G42" s="46"/>
      <c r="H42" s="46"/>
      <c r="I42" s="46">
        <f>SUM(I43:I45)</f>
        <v>173639161</v>
      </c>
      <c r="J42" s="46">
        <f>SUM(J43:J45)</f>
        <v>173639161</v>
      </c>
      <c r="K42" s="46">
        <f>SUM(K43:K45)</f>
        <v>0</v>
      </c>
      <c r="L42" s="46">
        <f>SUM(L43:L45)</f>
        <v>0</v>
      </c>
      <c r="M42" s="46">
        <f>SUM(M43:M45)</f>
        <v>0</v>
      </c>
      <c r="N42" s="46">
        <f>+J42+K42+M42</f>
        <v>173639161</v>
      </c>
      <c r="O42" s="48"/>
      <c r="P42" s="48"/>
      <c r="Q42" s="48"/>
      <c r="R42" s="48"/>
      <c r="S42" s="48"/>
      <c r="T42" s="48"/>
      <c r="U42" s="48">
        <f>SUM(O42:T42)</f>
        <v>0</v>
      </c>
      <c r="V42" s="48">
        <f>SUM(V43:V45)</f>
        <v>130585992</v>
      </c>
      <c r="W42" s="48">
        <f>+U42+V42</f>
        <v>130585992</v>
      </c>
      <c r="X42" s="28">
        <f>+W42-N42</f>
        <v>-43053169</v>
      </c>
      <c r="Y42" s="27">
        <f>+W42/N42</f>
        <v>0.75205380657189425</v>
      </c>
    </row>
    <row r="43" spans="1:25" s="53" customFormat="1" ht="15" hidden="1" outlineLevel="1" x14ac:dyDescent="0.25">
      <c r="A43" s="54" t="s">
        <v>121</v>
      </c>
      <c r="B43" s="38"/>
      <c r="C43" s="43"/>
      <c r="D43" s="43"/>
      <c r="E43" s="43"/>
      <c r="F43" s="43"/>
      <c r="G43" s="43"/>
      <c r="H43" s="38"/>
      <c r="I43" s="38">
        <v>18859932</v>
      </c>
      <c r="J43" s="50">
        <f>+H43+I43</f>
        <v>18859932</v>
      </c>
      <c r="K43" s="50"/>
      <c r="L43" s="50"/>
      <c r="M43" s="50"/>
      <c r="N43" s="50">
        <f>+J43+K43+M43</f>
        <v>18859932</v>
      </c>
      <c r="O43" s="36"/>
      <c r="P43" s="36"/>
      <c r="Q43" s="36"/>
      <c r="R43" s="36"/>
      <c r="S43" s="36"/>
      <c r="T43" s="36"/>
      <c r="U43" s="36">
        <f>SUM(O43:T43)</f>
        <v>0</v>
      </c>
      <c r="V43" s="36">
        <f>+[2]FUN!AE46</f>
        <v>12095955</v>
      </c>
      <c r="W43" s="36">
        <f>+U43+V43</f>
        <v>12095955</v>
      </c>
      <c r="X43" s="35">
        <f>+W43-N43</f>
        <v>-6763977</v>
      </c>
      <c r="Y43" s="49">
        <f>+W43/N43</f>
        <v>0.64135729651623341</v>
      </c>
    </row>
    <row r="44" spans="1:25" s="53" customFormat="1" ht="15" hidden="1" outlineLevel="1" x14ac:dyDescent="0.25">
      <c r="A44" s="54" t="s">
        <v>120</v>
      </c>
      <c r="B44" s="38"/>
      <c r="C44" s="43"/>
      <c r="D44" s="43"/>
      <c r="E44" s="43"/>
      <c r="F44" s="43"/>
      <c r="G44" s="43"/>
      <c r="H44" s="38"/>
      <c r="I44" s="38">
        <v>135946400</v>
      </c>
      <c r="J44" s="50">
        <f>+H44+I44</f>
        <v>135946400</v>
      </c>
      <c r="K44" s="50"/>
      <c r="L44" s="50"/>
      <c r="M44" s="50"/>
      <c r="N44" s="50">
        <f>+J44+K44+M44-14000000</f>
        <v>121946400</v>
      </c>
      <c r="O44" s="52"/>
      <c r="P44" s="52"/>
      <c r="Q44" s="52"/>
      <c r="R44" s="52"/>
      <c r="S44" s="52"/>
      <c r="T44" s="52"/>
      <c r="U44" s="52">
        <f>SUM(O44:T44)</f>
        <v>0</v>
      </c>
      <c r="V44" s="36">
        <f>+[2]FUN!AE47</f>
        <v>91392277</v>
      </c>
      <c r="W44" s="36">
        <f>+U44+V44</f>
        <v>91392277</v>
      </c>
      <c r="X44" s="35">
        <f>+W44-N44</f>
        <v>-30554123</v>
      </c>
      <c r="Y44" s="49">
        <f>+W44/N44</f>
        <v>0.7494462895173617</v>
      </c>
    </row>
    <row r="45" spans="1:25" s="53" customFormat="1" ht="15" hidden="1" outlineLevel="1" x14ac:dyDescent="0.25">
      <c r="A45" s="54" t="s">
        <v>119</v>
      </c>
      <c r="B45" s="38"/>
      <c r="C45" s="43"/>
      <c r="D45" s="43"/>
      <c r="E45" s="43"/>
      <c r="F45" s="43"/>
      <c r="G45" s="43"/>
      <c r="H45" s="38"/>
      <c r="I45" s="38">
        <v>18832829</v>
      </c>
      <c r="J45" s="50">
        <f>+H45+I45</f>
        <v>18832829</v>
      </c>
      <c r="K45" s="50"/>
      <c r="L45" s="50"/>
      <c r="M45" s="50"/>
      <c r="N45" s="50">
        <f>+J45+K45+M45+14000000</f>
        <v>32832829</v>
      </c>
      <c r="O45" s="36"/>
      <c r="P45" s="36"/>
      <c r="Q45" s="36"/>
      <c r="R45" s="36"/>
      <c r="S45" s="36"/>
      <c r="T45" s="36"/>
      <c r="U45" s="36">
        <f>SUM(O45:T45)</f>
        <v>0</v>
      </c>
      <c r="V45" s="36">
        <f>+[2]FUN!AE48</f>
        <v>27097760</v>
      </c>
      <c r="W45" s="36">
        <f>+U45+V45</f>
        <v>27097760</v>
      </c>
      <c r="X45" s="35">
        <f>+W45-N45</f>
        <v>-5735069</v>
      </c>
      <c r="Y45" s="49">
        <f>+W45/N45</f>
        <v>0.82532516463933092</v>
      </c>
    </row>
    <row r="46" spans="1:25" ht="15" collapsed="1" x14ac:dyDescent="0.25">
      <c r="A46" s="71" t="s">
        <v>118</v>
      </c>
      <c r="B46" s="70"/>
      <c r="C46" s="70"/>
      <c r="D46" s="70"/>
      <c r="E46" s="70"/>
      <c r="F46" s="70"/>
      <c r="G46" s="70"/>
      <c r="H46" s="70"/>
      <c r="I46" s="46">
        <f>+I38+I42</f>
        <v>539979855</v>
      </c>
      <c r="J46" s="46">
        <f>+J38+J42</f>
        <v>539979855</v>
      </c>
      <c r="K46" s="46">
        <f>+K38+K42</f>
        <v>0</v>
      </c>
      <c r="L46" s="46">
        <f>+L38+L42</f>
        <v>0</v>
      </c>
      <c r="M46" s="46">
        <f>+M38+M42</f>
        <v>0</v>
      </c>
      <c r="N46" s="46">
        <f>+J46+K46+M46</f>
        <v>539979855</v>
      </c>
      <c r="O46" s="36"/>
      <c r="P46" s="36"/>
      <c r="Q46" s="36"/>
      <c r="R46" s="36"/>
      <c r="S46" s="36"/>
      <c r="T46" s="36"/>
      <c r="U46" s="36">
        <f>SUM(O46:T46)</f>
        <v>0</v>
      </c>
      <c r="V46" s="52">
        <f>+V42+V38</f>
        <v>466892556</v>
      </c>
      <c r="W46" s="52">
        <f>+U46+V46</f>
        <v>466892556</v>
      </c>
      <c r="X46" s="28">
        <f>+W46-N46</f>
        <v>-73087299</v>
      </c>
      <c r="Y46" s="27">
        <f>+W46/N46</f>
        <v>0.86464810062219821</v>
      </c>
    </row>
    <row r="47" spans="1:25" ht="15" x14ac:dyDescent="0.25">
      <c r="A47" s="71"/>
      <c r="B47" s="70"/>
      <c r="C47" s="70"/>
      <c r="D47" s="70"/>
      <c r="E47" s="70"/>
      <c r="F47" s="70"/>
      <c r="G47" s="70"/>
      <c r="H47" s="70"/>
      <c r="I47" s="46"/>
      <c r="J47" s="46"/>
      <c r="K47" s="46"/>
      <c r="L47" s="46"/>
      <c r="M47" s="46"/>
      <c r="N47" s="46"/>
      <c r="O47" s="52"/>
      <c r="P47" s="52"/>
      <c r="Q47" s="52"/>
      <c r="R47" s="52"/>
      <c r="S47" s="52"/>
      <c r="T47" s="52"/>
      <c r="U47" s="52"/>
      <c r="V47" s="52"/>
      <c r="W47" s="52"/>
      <c r="X47" s="28"/>
      <c r="Y47" s="27"/>
    </row>
    <row r="48" spans="1:25" ht="15" x14ac:dyDescent="0.25">
      <c r="A48" s="71" t="s">
        <v>117</v>
      </c>
      <c r="B48" s="70">
        <f>+B36+B19</f>
        <v>724679723.66461623</v>
      </c>
      <c r="C48" s="70">
        <f>+C36+C19</f>
        <v>786523518.61038291</v>
      </c>
      <c r="D48" s="70">
        <f>+D36+D19</f>
        <v>491728396.64242536</v>
      </c>
      <c r="E48" s="70">
        <f>+E36+E19</f>
        <v>89715744.274427354</v>
      </c>
      <c r="F48" s="70">
        <f>+F36+F19</f>
        <v>608427829.09751022</v>
      </c>
      <c r="G48" s="70">
        <f>+G36+G19</f>
        <v>2347944492.5341468</v>
      </c>
      <c r="H48" s="70">
        <f>+B48+C48+D48+G48+E48+F48</f>
        <v>5049019704.8235092</v>
      </c>
      <c r="I48" s="46">
        <f>+I19+I36+I46</f>
        <v>2479665455.3541098</v>
      </c>
      <c r="J48" s="46">
        <f>+J36+J19+J46</f>
        <v>7528685160.177619</v>
      </c>
      <c r="K48" s="46">
        <f>+K36+K19+K46</f>
        <v>77678000</v>
      </c>
      <c r="L48" s="46">
        <f>+L36+L19+L46</f>
        <v>61985420</v>
      </c>
      <c r="M48" s="46">
        <f>+M36+M19+M46</f>
        <v>0</v>
      </c>
      <c r="N48" s="46">
        <f>+J48+K48+M48+L48</f>
        <v>7668348580.177619</v>
      </c>
      <c r="O48" s="52">
        <f>+O19+O36</f>
        <v>622736671</v>
      </c>
      <c r="P48" s="52">
        <f>+P19+P36</f>
        <v>782315022</v>
      </c>
      <c r="Q48" s="52">
        <f>+Q19+Q36</f>
        <v>468755974</v>
      </c>
      <c r="R48" s="52">
        <f>+R19+R36</f>
        <v>85395385</v>
      </c>
      <c r="S48" s="52">
        <f>+S19+S36</f>
        <v>573037015</v>
      </c>
      <c r="T48" s="52">
        <f>+T19+T36</f>
        <v>2236280230</v>
      </c>
      <c r="U48" s="52">
        <f>SUM(O48:T48)</f>
        <v>4768520297</v>
      </c>
      <c r="V48" s="52">
        <f>+V36+V46+V19</f>
        <v>2217204266</v>
      </c>
      <c r="W48" s="52">
        <f>+U48+V48</f>
        <v>6985724563</v>
      </c>
      <c r="X48" s="28">
        <f>+W48-N48</f>
        <v>-682624017.17761898</v>
      </c>
      <c r="Y48" s="27">
        <f>+W48/N48</f>
        <v>0.91098161357163976</v>
      </c>
    </row>
    <row r="49" spans="1:28" ht="15" x14ac:dyDescent="0.25">
      <c r="A49" s="69"/>
      <c r="B49" s="68"/>
      <c r="C49" s="68"/>
      <c r="D49" s="68"/>
      <c r="E49" s="68"/>
      <c r="F49" s="68"/>
      <c r="G49" s="68"/>
      <c r="H49" s="68"/>
      <c r="I49" s="67"/>
      <c r="J49" s="67"/>
      <c r="K49" s="67"/>
      <c r="L49" s="67"/>
      <c r="M49" s="67"/>
      <c r="N49" s="67"/>
      <c r="O49" s="36"/>
      <c r="P49" s="36"/>
      <c r="Q49" s="36"/>
      <c r="R49" s="36"/>
      <c r="S49" s="36"/>
      <c r="T49" s="36"/>
      <c r="U49" s="36"/>
      <c r="V49" s="36"/>
      <c r="W49" s="36"/>
      <c r="X49" s="28"/>
      <c r="Y49" s="27"/>
    </row>
    <row r="50" spans="1:28" ht="15" x14ac:dyDescent="0.25">
      <c r="A50" s="66" t="s">
        <v>116</v>
      </c>
      <c r="B50" s="65">
        <f>+B52</f>
        <v>1261324989</v>
      </c>
      <c r="C50" s="65">
        <f>+C121</f>
        <v>3232084771.2935162</v>
      </c>
      <c r="D50" s="65">
        <f>+D144</f>
        <v>2375300591.3474884</v>
      </c>
      <c r="E50" s="65">
        <f>+E175</f>
        <v>1333168791.7</v>
      </c>
      <c r="F50" s="65">
        <f>+F64</f>
        <v>9782903779.9706879</v>
      </c>
      <c r="G50" s="65">
        <f>+G103</f>
        <v>14294151950.1854</v>
      </c>
      <c r="H50" s="65">
        <f>+B50+C50+D50+G50+E50+F50</f>
        <v>32278934873.497093</v>
      </c>
      <c r="I50" s="65">
        <v>0</v>
      </c>
      <c r="J50" s="65">
        <f>+I50+H50</f>
        <v>32278934873.497093</v>
      </c>
      <c r="K50" s="65">
        <f>+K52+K64+K103+K121+K144+K175</f>
        <v>250000000</v>
      </c>
      <c r="L50" s="65">
        <f>+L52+L64+L103+L121+L144+L175</f>
        <v>2242927500</v>
      </c>
      <c r="M50" s="65">
        <f>+M52+M64+M103+M121+M144+M175</f>
        <v>-339851892</v>
      </c>
      <c r="N50" s="65">
        <f>+J50+K50+M50+L50</f>
        <v>34432010481.497093</v>
      </c>
      <c r="O50" s="52">
        <f>+O52</f>
        <v>1167392340.5</v>
      </c>
      <c r="P50" s="52">
        <f>+P121</f>
        <v>2824192619</v>
      </c>
      <c r="Q50" s="52">
        <f>+Q144</f>
        <v>2914708470</v>
      </c>
      <c r="R50" s="52">
        <f>+R175</f>
        <v>1269937216</v>
      </c>
      <c r="S50" s="52">
        <f>+S64</f>
        <v>10744852900</v>
      </c>
      <c r="T50" s="52">
        <f>+T103</f>
        <v>14037322709</v>
      </c>
      <c r="U50" s="52">
        <f>SUM(O50:T50)</f>
        <v>32958406254.5</v>
      </c>
      <c r="V50" s="52"/>
      <c r="W50" s="52">
        <f>+U50+V50</f>
        <v>32958406254.5</v>
      </c>
      <c r="X50" s="28">
        <f>+W50-N50</f>
        <v>-1473604226.9970932</v>
      </c>
      <c r="Y50" s="27">
        <f>+W50/N50</f>
        <v>0.9572024924949134</v>
      </c>
    </row>
    <row r="51" spans="1:28" ht="15" x14ac:dyDescent="0.25">
      <c r="A51" s="66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52"/>
      <c r="P51" s="52"/>
      <c r="Q51" s="52"/>
      <c r="R51" s="52"/>
      <c r="S51" s="52"/>
      <c r="T51" s="52"/>
      <c r="U51" s="52"/>
      <c r="V51" s="52"/>
      <c r="W51" s="52"/>
      <c r="X51" s="28"/>
      <c r="Y51" s="27"/>
    </row>
    <row r="52" spans="1:28" ht="15" x14ac:dyDescent="0.25">
      <c r="A52" s="66" t="s">
        <v>115</v>
      </c>
      <c r="B52" s="65">
        <f>+B53+B134+B55+B38+B42+B59</f>
        <v>1261324989</v>
      </c>
      <c r="C52" s="65"/>
      <c r="D52" s="65"/>
      <c r="E52" s="65"/>
      <c r="F52" s="65"/>
      <c r="G52" s="65"/>
      <c r="H52" s="65">
        <f>+H53+H55+H59</f>
        <v>1261324989</v>
      </c>
      <c r="I52" s="65"/>
      <c r="J52" s="64">
        <f>+J53+J55+J59</f>
        <v>1261324989</v>
      </c>
      <c r="K52" s="64">
        <f>+K53+K55+K59</f>
        <v>0</v>
      </c>
      <c r="L52" s="64">
        <f>+L53+L55+L59</f>
        <v>0</v>
      </c>
      <c r="M52" s="64">
        <f>+M53+M55+M59</f>
        <v>0</v>
      </c>
      <c r="N52" s="64">
        <f>+J52+K52+M52</f>
        <v>1261324989</v>
      </c>
      <c r="O52" s="52">
        <f>+O53+O134+O55+O38+O42+O59</f>
        <v>1167392340.5</v>
      </c>
      <c r="P52" s="52"/>
      <c r="Q52" s="52"/>
      <c r="R52" s="52"/>
      <c r="S52" s="52"/>
      <c r="T52" s="52"/>
      <c r="U52" s="52">
        <f>SUM(O52:T52)</f>
        <v>1167392340.5</v>
      </c>
      <c r="V52" s="52"/>
      <c r="W52" s="52">
        <f>+U52+V52</f>
        <v>1167392340.5</v>
      </c>
      <c r="X52" s="28">
        <f>+W52-N52</f>
        <v>-93932648.5</v>
      </c>
      <c r="Y52" s="27">
        <f>+W52/N52</f>
        <v>0.92552859150561073</v>
      </c>
    </row>
    <row r="53" spans="1:28" s="53" customFormat="1" ht="15" x14ac:dyDescent="0.25">
      <c r="A53" s="44" t="s">
        <v>114</v>
      </c>
      <c r="B53" s="43">
        <f>+SUM(B54:B54)</f>
        <v>347829905.5</v>
      </c>
      <c r="C53" s="43"/>
      <c r="D53" s="43"/>
      <c r="E53" s="43"/>
      <c r="F53" s="43"/>
      <c r="G53" s="43"/>
      <c r="H53" s="43">
        <f>+SUM(H54:H54)</f>
        <v>347829905.5</v>
      </c>
      <c r="I53" s="43"/>
      <c r="J53" s="43">
        <f>+SUM(J54:J54)</f>
        <v>347829905.5</v>
      </c>
      <c r="K53" s="43">
        <f>+SUM(K54:K54)</f>
        <v>0</v>
      </c>
      <c r="L53" s="43">
        <f>+SUM(L54:L54)</f>
        <v>0</v>
      </c>
      <c r="M53" s="43">
        <f>+SUM(M54:M54)</f>
        <v>0</v>
      </c>
      <c r="N53" s="43">
        <f>+J53+K53+M53</f>
        <v>347829905.5</v>
      </c>
      <c r="O53" s="52">
        <f>+SUM(O54:O54)</f>
        <v>282768927</v>
      </c>
      <c r="P53" s="36"/>
      <c r="Q53" s="36"/>
      <c r="R53" s="36"/>
      <c r="S53" s="36"/>
      <c r="T53" s="36"/>
      <c r="U53" s="52">
        <f>SUM(O53:T53)</f>
        <v>282768927</v>
      </c>
      <c r="V53" s="36"/>
      <c r="W53" s="52">
        <f>+U53+V53</f>
        <v>282768927</v>
      </c>
      <c r="X53" s="28">
        <f>+W53-N53</f>
        <v>-65060978.5</v>
      </c>
      <c r="Y53" s="27">
        <f>+W53/N53</f>
        <v>0.81295174028674766</v>
      </c>
    </row>
    <row r="54" spans="1:28" s="53" customFormat="1" ht="15" hidden="1" outlineLevel="1" x14ac:dyDescent="0.25">
      <c r="A54" s="54" t="s">
        <v>113</v>
      </c>
      <c r="B54" s="38">
        <v>347829905.5</v>
      </c>
      <c r="C54" s="43"/>
      <c r="D54" s="43"/>
      <c r="E54" s="43"/>
      <c r="F54" s="43"/>
      <c r="G54" s="43"/>
      <c r="H54" s="38">
        <f>+B54+C54+D54+G54+E54+F54</f>
        <v>347829905.5</v>
      </c>
      <c r="I54" s="43"/>
      <c r="J54" s="50">
        <f>+H54+I54</f>
        <v>347829905.5</v>
      </c>
      <c r="K54" s="50"/>
      <c r="L54" s="50"/>
      <c r="M54" s="50"/>
      <c r="N54" s="50">
        <f>+J54+K54+M54</f>
        <v>347829905.5</v>
      </c>
      <c r="O54" s="36">
        <f>+[2]ECO!AE37</f>
        <v>282768927</v>
      </c>
      <c r="P54" s="36"/>
      <c r="Q54" s="36"/>
      <c r="R54" s="36"/>
      <c r="S54" s="36"/>
      <c r="T54" s="36"/>
      <c r="U54" s="36">
        <f>SUM(O54:T54)</f>
        <v>282768927</v>
      </c>
      <c r="V54" s="36"/>
      <c r="W54" s="36">
        <f>+U54+V54</f>
        <v>282768927</v>
      </c>
      <c r="X54" s="35">
        <f>+W54-N54</f>
        <v>-65060978.5</v>
      </c>
      <c r="Y54" s="49">
        <f>+W54/N54</f>
        <v>0.81295174028674766</v>
      </c>
    </row>
    <row r="55" spans="1:28" s="53" customFormat="1" ht="15" collapsed="1" x14ac:dyDescent="0.25">
      <c r="A55" s="55" t="s">
        <v>112</v>
      </c>
      <c r="B55" s="46">
        <f>SUM(B56:B58)</f>
        <v>248631847</v>
      </c>
      <c r="C55" s="43"/>
      <c r="D55" s="43"/>
      <c r="E55" s="43"/>
      <c r="F55" s="43"/>
      <c r="G55" s="43"/>
      <c r="H55" s="46">
        <f>SUM(H56:H58)</f>
        <v>248631847</v>
      </c>
      <c r="I55" s="43"/>
      <c r="J55" s="46">
        <f>SUM(J56:J58)</f>
        <v>248631847</v>
      </c>
      <c r="K55" s="46">
        <f>SUM(K56:K58)</f>
        <v>0</v>
      </c>
      <c r="L55" s="46">
        <f>SUM(L56:L58)</f>
        <v>0</v>
      </c>
      <c r="M55" s="46">
        <f>SUM(M56:M58)</f>
        <v>0</v>
      </c>
      <c r="N55" s="46">
        <f>+J55+K55+M55</f>
        <v>248631847</v>
      </c>
      <c r="O55" s="52">
        <f>SUM(O56:O58)</f>
        <v>242826727</v>
      </c>
      <c r="P55" s="36"/>
      <c r="Q55" s="36"/>
      <c r="R55" s="36"/>
      <c r="S55" s="36"/>
      <c r="T55" s="36"/>
      <c r="U55" s="52">
        <f>SUM(O55:T55)</f>
        <v>242826727</v>
      </c>
      <c r="V55" s="36"/>
      <c r="W55" s="52">
        <f>+U55+V55</f>
        <v>242826727</v>
      </c>
      <c r="X55" s="28">
        <f>+W55-N55</f>
        <v>-5805120</v>
      </c>
      <c r="Y55" s="27">
        <f>+W55/N55</f>
        <v>0.97665174405433264</v>
      </c>
    </row>
    <row r="56" spans="1:28" s="53" customFormat="1" ht="15" hidden="1" outlineLevel="1" x14ac:dyDescent="0.25">
      <c r="A56" s="54" t="s">
        <v>111</v>
      </c>
      <c r="B56" s="38">
        <v>148249162</v>
      </c>
      <c r="C56" s="43"/>
      <c r="D56" s="43"/>
      <c r="E56" s="43"/>
      <c r="F56" s="43"/>
      <c r="G56" s="43"/>
      <c r="H56" s="38">
        <f>+B56+C56+D56+G56+E56+F56</f>
        <v>148249162</v>
      </c>
      <c r="I56" s="43"/>
      <c r="J56" s="50">
        <f>+H56+I56</f>
        <v>148249162</v>
      </c>
      <c r="K56" s="50"/>
      <c r="L56" s="50"/>
      <c r="M56" s="50"/>
      <c r="N56" s="50">
        <f>+J56+K56+M56-1000000</f>
        <v>147249162</v>
      </c>
      <c r="O56" s="36">
        <f>+[2]ECO!AE39</f>
        <v>143064960</v>
      </c>
      <c r="P56" s="52"/>
      <c r="Q56" s="52"/>
      <c r="R56" s="52"/>
      <c r="S56" s="52"/>
      <c r="T56" s="52"/>
      <c r="U56" s="52">
        <f>SUM(O56:T56)</f>
        <v>143064960</v>
      </c>
      <c r="V56" s="52"/>
      <c r="W56" s="36">
        <f>+U56+V56</f>
        <v>143064960</v>
      </c>
      <c r="X56" s="35">
        <f>+W56-N56</f>
        <v>-4184202</v>
      </c>
      <c r="Y56" s="49">
        <f>+W56/N56</f>
        <v>0.97158420500892217</v>
      </c>
    </row>
    <row r="57" spans="1:28" s="53" customFormat="1" ht="15" hidden="1" outlineLevel="1" x14ac:dyDescent="0.25">
      <c r="A57" s="54" t="s">
        <v>110</v>
      </c>
      <c r="B57" s="38">
        <v>42025833</v>
      </c>
      <c r="C57" s="43"/>
      <c r="D57" s="43"/>
      <c r="E57" s="43"/>
      <c r="F57" s="43"/>
      <c r="G57" s="43"/>
      <c r="H57" s="38">
        <f>+B57+C57+D57+G57+E57+F57</f>
        <v>42025833</v>
      </c>
      <c r="I57" s="43"/>
      <c r="J57" s="50">
        <f>+H57+I57</f>
        <v>42025833</v>
      </c>
      <c r="K57" s="50"/>
      <c r="L57" s="50"/>
      <c r="M57" s="50"/>
      <c r="N57" s="50">
        <f>+J57+K57+M57-10000000</f>
        <v>32025833</v>
      </c>
      <c r="O57" s="36">
        <f>+[2]ECO!AE40</f>
        <v>31133359</v>
      </c>
      <c r="P57" s="36"/>
      <c r="Q57" s="36"/>
      <c r="R57" s="36"/>
      <c r="S57" s="36"/>
      <c r="T57" s="36"/>
      <c r="U57" s="36">
        <f>SUM(O57:T57)</f>
        <v>31133359</v>
      </c>
      <c r="V57" s="36"/>
      <c r="W57" s="36">
        <f>+U57+V57</f>
        <v>31133359</v>
      </c>
      <c r="X57" s="35">
        <f>+W57-N57</f>
        <v>-892474</v>
      </c>
      <c r="Y57" s="49">
        <f>+W57/N57</f>
        <v>0.97213268426148358</v>
      </c>
    </row>
    <row r="58" spans="1:28" s="53" customFormat="1" ht="15" hidden="1" outlineLevel="1" x14ac:dyDescent="0.25">
      <c r="A58" s="54" t="s">
        <v>109</v>
      </c>
      <c r="B58" s="38">
        <v>58356852</v>
      </c>
      <c r="C58" s="43"/>
      <c r="D58" s="43"/>
      <c r="E58" s="43"/>
      <c r="F58" s="43"/>
      <c r="G58" s="43"/>
      <c r="H58" s="38">
        <f>+B58+C58+D58+G58+E58+F58</f>
        <v>58356852</v>
      </c>
      <c r="I58" s="43"/>
      <c r="J58" s="50">
        <f>+H58+I58</f>
        <v>58356852</v>
      </c>
      <c r="K58" s="50"/>
      <c r="L58" s="50"/>
      <c r="M58" s="50"/>
      <c r="N58" s="50">
        <f>+J58+K58+M58+11000000</f>
        <v>69356852</v>
      </c>
      <c r="O58" s="36">
        <f>+[2]ECO!AE41</f>
        <v>68628408</v>
      </c>
      <c r="P58" s="36"/>
      <c r="Q58" s="36"/>
      <c r="R58" s="36"/>
      <c r="S58" s="36"/>
      <c r="T58" s="36"/>
      <c r="U58" s="36">
        <f>SUM(O58:T58)</f>
        <v>68628408</v>
      </c>
      <c r="V58" s="36"/>
      <c r="W58" s="36">
        <f>+U58+V58</f>
        <v>68628408</v>
      </c>
      <c r="X58" s="35">
        <f>+W58-N58</f>
        <v>-728444</v>
      </c>
      <c r="Y58" s="49">
        <f>+W58/N58</f>
        <v>0.98949715883875466</v>
      </c>
    </row>
    <row r="59" spans="1:28" s="53" customFormat="1" ht="15" collapsed="1" x14ac:dyDescent="0.25">
      <c r="A59" s="55" t="s">
        <v>108</v>
      </c>
      <c r="B59" s="46">
        <f>SUM(B60:B62)</f>
        <v>664863236.5</v>
      </c>
      <c r="C59" s="43"/>
      <c r="D59" s="43"/>
      <c r="E59" s="43"/>
      <c r="F59" s="43"/>
      <c r="G59" s="43"/>
      <c r="H59" s="46">
        <f>SUM(H60:H62)</f>
        <v>664863236.5</v>
      </c>
      <c r="I59" s="43"/>
      <c r="J59" s="46">
        <f>SUM(J60:J62)</f>
        <v>664863236.5</v>
      </c>
      <c r="K59" s="46">
        <f>SUM(K60:K62)</f>
        <v>0</v>
      </c>
      <c r="L59" s="46">
        <f>SUM(L60:L62)</f>
        <v>0</v>
      </c>
      <c r="M59" s="46">
        <f>SUM(M60:M62)</f>
        <v>0</v>
      </c>
      <c r="N59" s="46">
        <f>+J59+K59+M59</f>
        <v>664863236.5</v>
      </c>
      <c r="O59" s="52">
        <f>SUM(O60:O62)</f>
        <v>641796686.5</v>
      </c>
      <c r="P59" s="36"/>
      <c r="Q59" s="36"/>
      <c r="R59" s="36"/>
      <c r="S59" s="36"/>
      <c r="T59" s="36"/>
      <c r="U59" s="52">
        <f>SUM(O59:T59)</f>
        <v>641796686.5</v>
      </c>
      <c r="V59" s="36"/>
      <c r="W59" s="52">
        <f>+U59+V59</f>
        <v>641796686.5</v>
      </c>
      <c r="X59" s="28">
        <f>+W59-N59</f>
        <v>-23066550</v>
      </c>
      <c r="Y59" s="27">
        <f>+W59/N59</f>
        <v>0.96530632356598955</v>
      </c>
    </row>
    <row r="60" spans="1:28" s="53" customFormat="1" ht="15" hidden="1" outlineLevel="1" x14ac:dyDescent="0.25">
      <c r="A60" s="54" t="s">
        <v>107</v>
      </c>
      <c r="B60" s="38">
        <v>322483709</v>
      </c>
      <c r="C60" s="43"/>
      <c r="D60" s="43"/>
      <c r="E60" s="43"/>
      <c r="F60" s="43"/>
      <c r="G60" s="43"/>
      <c r="H60" s="38">
        <f>+B60+C60+D60+G60+E60+F60</f>
        <v>322483709</v>
      </c>
      <c r="I60" s="43"/>
      <c r="J60" s="50">
        <f>+H60+I60</f>
        <v>322483709</v>
      </c>
      <c r="K60" s="50"/>
      <c r="L60" s="50"/>
      <c r="M60" s="50"/>
      <c r="N60" s="50">
        <f>+J60+K60+M60+21000000</f>
        <v>343483709</v>
      </c>
      <c r="O60" s="36">
        <f>+[2]ECO!AE43</f>
        <v>337360322</v>
      </c>
      <c r="P60" s="52"/>
      <c r="Q60" s="52"/>
      <c r="R60" s="52"/>
      <c r="S60" s="52"/>
      <c r="T60" s="52"/>
      <c r="U60" s="52">
        <f>SUM(O60:T60)</f>
        <v>337360322</v>
      </c>
      <c r="V60" s="52"/>
      <c r="W60" s="52">
        <f>+U60+V60</f>
        <v>337360322</v>
      </c>
      <c r="X60" s="28">
        <f>+W60-N60</f>
        <v>-6123387</v>
      </c>
      <c r="Y60" s="27">
        <f>+W60/N60</f>
        <v>0.98217270036524496</v>
      </c>
    </row>
    <row r="61" spans="1:28" s="53" customFormat="1" ht="15" hidden="1" outlineLevel="1" x14ac:dyDescent="0.25">
      <c r="A61" s="54" t="s">
        <v>106</v>
      </c>
      <c r="B61" s="38">
        <v>227413076</v>
      </c>
      <c r="C61" s="43"/>
      <c r="D61" s="43"/>
      <c r="E61" s="43"/>
      <c r="F61" s="43"/>
      <c r="G61" s="43"/>
      <c r="H61" s="38">
        <f>+B61+C61+D61+G61+E61+F61</f>
        <v>227413076</v>
      </c>
      <c r="I61" s="43"/>
      <c r="J61" s="50">
        <f>+H61+I61</f>
        <v>227413076</v>
      </c>
      <c r="K61" s="50"/>
      <c r="L61" s="50"/>
      <c r="M61" s="50"/>
      <c r="N61" s="50">
        <f>+J61+K61+M61-21000000</f>
        <v>206413076</v>
      </c>
      <c r="O61" s="36">
        <f>+[2]ECO!AE44</f>
        <v>196596660</v>
      </c>
      <c r="P61" s="36"/>
      <c r="Q61" s="36"/>
      <c r="R61" s="36"/>
      <c r="S61" s="36"/>
      <c r="T61" s="36"/>
      <c r="U61" s="36">
        <f>SUM(O61:T61)</f>
        <v>196596660</v>
      </c>
      <c r="V61" s="36"/>
      <c r="W61" s="36">
        <f>+U61+V61</f>
        <v>196596660</v>
      </c>
      <c r="X61" s="35">
        <f>+W61-N61</f>
        <v>-9816416</v>
      </c>
      <c r="Y61" s="49">
        <f>+W61/N61</f>
        <v>0.95244285783522742</v>
      </c>
    </row>
    <row r="62" spans="1:28" s="53" customFormat="1" ht="15" hidden="1" outlineLevel="1" x14ac:dyDescent="0.25">
      <c r="A62" s="54" t="s">
        <v>105</v>
      </c>
      <c r="B62" s="38">
        <v>114966451.5</v>
      </c>
      <c r="C62" s="43"/>
      <c r="D62" s="43"/>
      <c r="E62" s="43"/>
      <c r="F62" s="43"/>
      <c r="G62" s="43"/>
      <c r="H62" s="38">
        <f>+B62+C62+D62+G62+E62+F62</f>
        <v>114966451.5</v>
      </c>
      <c r="I62" s="43"/>
      <c r="J62" s="50">
        <f>+H62+I62</f>
        <v>114966451.5</v>
      </c>
      <c r="K62" s="50"/>
      <c r="L62" s="50"/>
      <c r="M62" s="50"/>
      <c r="N62" s="50">
        <f>+J62+K62+M62</f>
        <v>114966451.5</v>
      </c>
      <c r="O62" s="36">
        <f>+[2]ECO!AE45-0.5</f>
        <v>107839704.5</v>
      </c>
      <c r="P62" s="36"/>
      <c r="Q62" s="36"/>
      <c r="R62" s="36"/>
      <c r="S62" s="36"/>
      <c r="T62" s="36"/>
      <c r="U62" s="36">
        <f>SUM(O62:T62)</f>
        <v>107839704.5</v>
      </c>
      <c r="V62" s="36"/>
      <c r="W62" s="36">
        <f>+U62+V62</f>
        <v>107839704.5</v>
      </c>
      <c r="X62" s="35">
        <f>+W62-N62</f>
        <v>-7126747</v>
      </c>
      <c r="Y62" s="49">
        <f>+W62/N62</f>
        <v>0.93801020291558712</v>
      </c>
    </row>
    <row r="63" spans="1:28" s="53" customFormat="1" ht="15" collapsed="1" x14ac:dyDescent="0.25">
      <c r="A63" s="54"/>
      <c r="B63" s="38"/>
      <c r="C63" s="43"/>
      <c r="D63" s="43"/>
      <c r="E63" s="43"/>
      <c r="F63" s="43"/>
      <c r="G63" s="43"/>
      <c r="H63" s="38"/>
      <c r="I63" s="43"/>
      <c r="J63" s="50"/>
      <c r="K63" s="50"/>
      <c r="L63" s="50"/>
      <c r="M63" s="50"/>
      <c r="N63" s="50"/>
      <c r="O63" s="36"/>
      <c r="P63" s="36"/>
      <c r="Q63" s="36"/>
      <c r="R63" s="36"/>
      <c r="S63" s="36"/>
      <c r="T63" s="36"/>
      <c r="U63" s="36"/>
      <c r="V63" s="36"/>
      <c r="W63" s="36"/>
      <c r="X63" s="28"/>
      <c r="Y63" s="27"/>
    </row>
    <row r="64" spans="1:28" s="53" customFormat="1" ht="15" x14ac:dyDescent="0.25">
      <c r="A64" s="55" t="s">
        <v>104</v>
      </c>
      <c r="B64" s="38"/>
      <c r="C64" s="43"/>
      <c r="D64" s="43"/>
      <c r="E64" s="43"/>
      <c r="F64" s="43">
        <f>+F65+F72+F85+F94</f>
        <v>9782903779.9706879</v>
      </c>
      <c r="G64" s="43"/>
      <c r="H64" s="43">
        <f>+H65+H72+H85+H94</f>
        <v>9782903779.9706879</v>
      </c>
      <c r="I64" s="43"/>
      <c r="J64" s="43">
        <f>+J65+J72+J85+J94</f>
        <v>9782903779.9706879</v>
      </c>
      <c r="K64" s="43">
        <f>+K65+K72+K85+K94</f>
        <v>0</v>
      </c>
      <c r="L64" s="43">
        <f>+L65+L72+L85+L94</f>
        <v>1084000000</v>
      </c>
      <c r="M64" s="43">
        <f>+M65+M72+M85+M94</f>
        <v>0</v>
      </c>
      <c r="N64" s="43">
        <f>+J64+K64+M64+L64</f>
        <v>10866903779.970688</v>
      </c>
      <c r="O64" s="52"/>
      <c r="P64" s="52"/>
      <c r="Q64" s="52"/>
      <c r="R64" s="52"/>
      <c r="S64" s="52">
        <f>+S65+S72+S85+S94</f>
        <v>10744852900</v>
      </c>
      <c r="T64" s="52"/>
      <c r="U64" s="52">
        <f>SUM(O64:T64)</f>
        <v>10744852900</v>
      </c>
      <c r="V64" s="52"/>
      <c r="W64" s="52">
        <f>+U64+V64</f>
        <v>10744852900</v>
      </c>
      <c r="X64" s="28">
        <f>+W64-N64</f>
        <v>-122050879.97068787</v>
      </c>
      <c r="Y64" s="27">
        <f>+W64/N64</f>
        <v>0.98876856900162802</v>
      </c>
      <c r="AB64" s="63"/>
    </row>
    <row r="65" spans="1:25" s="53" customFormat="1" ht="15" x14ac:dyDescent="0.25">
      <c r="A65" s="55" t="s">
        <v>103</v>
      </c>
      <c r="B65" s="38"/>
      <c r="C65" s="43"/>
      <c r="D65" s="43"/>
      <c r="E65" s="43"/>
      <c r="F65" s="43">
        <f>SUM(F66:F71)</f>
        <v>419015792.23564082</v>
      </c>
      <c r="G65" s="43"/>
      <c r="H65" s="43">
        <f>SUM(H66:H71)</f>
        <v>419015792.23564082</v>
      </c>
      <c r="I65" s="43"/>
      <c r="J65" s="43">
        <f>SUM(J66:J71)</f>
        <v>419015792.23564082</v>
      </c>
      <c r="K65" s="43">
        <f>SUM(K66:K71)</f>
        <v>0</v>
      </c>
      <c r="L65" s="43">
        <f>SUM(L66:L71)</f>
        <v>100000000</v>
      </c>
      <c r="M65" s="43">
        <f>SUM(M66:M71)</f>
        <v>0</v>
      </c>
      <c r="N65" s="43">
        <f>+J65+K65+M65+L65</f>
        <v>519015792.23564082</v>
      </c>
      <c r="O65" s="36"/>
      <c r="P65" s="36"/>
      <c r="Q65" s="36"/>
      <c r="R65" s="36"/>
      <c r="S65" s="52">
        <f>SUM(S66:S71)</f>
        <v>508867073</v>
      </c>
      <c r="T65" s="36"/>
      <c r="U65" s="52">
        <f>SUM(O65:T65)</f>
        <v>508867073</v>
      </c>
      <c r="V65" s="36"/>
      <c r="W65" s="52">
        <f>+U65+V65</f>
        <v>508867073</v>
      </c>
      <c r="X65" s="28">
        <f>+W65-N65</f>
        <v>-10148719.235640824</v>
      </c>
      <c r="Y65" s="27">
        <f>+W65/N65</f>
        <v>0.98044622266323422</v>
      </c>
    </row>
    <row r="66" spans="1:25" s="53" customFormat="1" ht="15" hidden="1" outlineLevel="1" x14ac:dyDescent="0.25">
      <c r="A66" s="54" t="s">
        <v>102</v>
      </c>
      <c r="B66" s="38"/>
      <c r="C66" s="43"/>
      <c r="D66" s="43"/>
      <c r="E66" s="43"/>
      <c r="F66" s="50">
        <v>51758729.541219331</v>
      </c>
      <c r="G66" s="43"/>
      <c r="H66" s="38">
        <f>+B66+C66+D66+G66+E66+F66</f>
        <v>51758729.541219331</v>
      </c>
      <c r="I66" s="43"/>
      <c r="J66" s="50">
        <f>+H66+I66</f>
        <v>51758729.541219331</v>
      </c>
      <c r="K66" s="50"/>
      <c r="L66" s="50"/>
      <c r="M66" s="50"/>
      <c r="N66" s="50">
        <f>+J66+K66+M66</f>
        <v>51758729.541219331</v>
      </c>
      <c r="O66" s="36"/>
      <c r="P66" s="36"/>
      <c r="Q66" s="36"/>
      <c r="R66" s="36"/>
      <c r="S66" s="36">
        <f>+[2]MER!AE35</f>
        <v>51756079</v>
      </c>
      <c r="T66" s="36"/>
      <c r="U66" s="36">
        <f>SUM(O66:T66)</f>
        <v>51756079</v>
      </c>
      <c r="V66" s="36"/>
      <c r="W66" s="36">
        <f>+U66+V66</f>
        <v>51756079</v>
      </c>
      <c r="X66" s="35">
        <f>+W66-N66</f>
        <v>-2650.5412193313241</v>
      </c>
      <c r="Y66" s="49">
        <f>+W66/N66</f>
        <v>0.99994879045056118</v>
      </c>
    </row>
    <row r="67" spans="1:25" s="53" customFormat="1" ht="15" hidden="1" outlineLevel="1" x14ac:dyDescent="0.25">
      <c r="A67" s="54" t="s">
        <v>101</v>
      </c>
      <c r="B67" s="38"/>
      <c r="C67" s="43"/>
      <c r="D67" s="43"/>
      <c r="E67" s="43"/>
      <c r="F67" s="50">
        <v>94882866.942860901</v>
      </c>
      <c r="G67" s="43"/>
      <c r="H67" s="38">
        <f>+B67+C67+D67+G67+E67+F67</f>
        <v>94882866.942860901</v>
      </c>
      <c r="I67" s="43"/>
      <c r="J67" s="50">
        <f>+H67+I67</f>
        <v>94882866.942860901</v>
      </c>
      <c r="K67" s="50"/>
      <c r="L67" s="50"/>
      <c r="M67" s="50"/>
      <c r="N67" s="50">
        <f>+J67+K67+M67</f>
        <v>94882866.942860901</v>
      </c>
      <c r="O67" s="36"/>
      <c r="P67" s="36"/>
      <c r="Q67" s="36"/>
      <c r="R67" s="36"/>
      <c r="S67" s="36">
        <f>+[2]MER!AE36</f>
        <v>94795750</v>
      </c>
      <c r="T67" s="36"/>
      <c r="U67" s="36">
        <f>SUM(O67:T67)</f>
        <v>94795750</v>
      </c>
      <c r="V67" s="36"/>
      <c r="W67" s="36">
        <f>+U67+V67</f>
        <v>94795750</v>
      </c>
      <c r="X67" s="35">
        <f>+W67-N67</f>
        <v>-87116.942860901356</v>
      </c>
      <c r="Y67" s="49">
        <f>+W67/N67</f>
        <v>0.99908184748555962</v>
      </c>
    </row>
    <row r="68" spans="1:25" s="53" customFormat="1" ht="15" hidden="1" outlineLevel="1" x14ac:dyDescent="0.25">
      <c r="A68" s="54" t="s">
        <v>100</v>
      </c>
      <c r="B68" s="38"/>
      <c r="C68" s="43"/>
      <c r="D68" s="43"/>
      <c r="E68" s="43"/>
      <c r="F68" s="50">
        <v>28980847.529003043</v>
      </c>
      <c r="G68" s="43"/>
      <c r="H68" s="38">
        <f>+B68+C68+D68+G68+E68+F68</f>
        <v>28980847.529003043</v>
      </c>
      <c r="I68" s="43"/>
      <c r="J68" s="50">
        <f>+H68+I68</f>
        <v>28980847.529003043</v>
      </c>
      <c r="K68" s="50"/>
      <c r="L68" s="50"/>
      <c r="M68" s="50"/>
      <c r="N68" s="50">
        <f>+J68+K68+M68</f>
        <v>28980847.529003043</v>
      </c>
      <c r="O68" s="52"/>
      <c r="P68" s="52"/>
      <c r="Q68" s="52"/>
      <c r="R68" s="52"/>
      <c r="S68" s="36">
        <f>+[2]MER!AE37</f>
        <v>19712503</v>
      </c>
      <c r="T68" s="52"/>
      <c r="U68" s="52">
        <f>SUM(O68:T68)</f>
        <v>19712503</v>
      </c>
      <c r="V68" s="52"/>
      <c r="W68" s="52">
        <f>+U68+V68</f>
        <v>19712503</v>
      </c>
      <c r="X68" s="28">
        <f>+W68-N68</f>
        <v>-9268344.5290030427</v>
      </c>
      <c r="Y68" s="27">
        <f>+W68/N68</f>
        <v>0.68019070112674929</v>
      </c>
    </row>
    <row r="69" spans="1:25" s="53" customFormat="1" ht="15" hidden="1" outlineLevel="1" x14ac:dyDescent="0.25">
      <c r="A69" s="54" t="s">
        <v>99</v>
      </c>
      <c r="B69" s="38"/>
      <c r="C69" s="43"/>
      <c r="D69" s="43"/>
      <c r="E69" s="43"/>
      <c r="F69" s="50">
        <v>107251381.98284137</v>
      </c>
      <c r="G69" s="43"/>
      <c r="H69" s="38">
        <f>+B69+C69+D69+G69+E69+F69</f>
        <v>107251381.98284137</v>
      </c>
      <c r="I69" s="43"/>
      <c r="J69" s="50">
        <f>+H69+I69</f>
        <v>107251381.98284137</v>
      </c>
      <c r="K69" s="50"/>
      <c r="L69" s="50"/>
      <c r="M69" s="50"/>
      <c r="N69" s="50">
        <f>+J69+K69+M69</f>
        <v>107251381.98284137</v>
      </c>
      <c r="O69" s="36"/>
      <c r="P69" s="36"/>
      <c r="Q69" s="36"/>
      <c r="R69" s="36"/>
      <c r="S69" s="36">
        <f>+[2]MER!AE38</f>
        <v>107133151</v>
      </c>
      <c r="T69" s="36"/>
      <c r="U69" s="36">
        <f>SUM(O69:T69)</f>
        <v>107133151</v>
      </c>
      <c r="V69" s="36"/>
      <c r="W69" s="36">
        <f>+U69+V69</f>
        <v>107133151</v>
      </c>
      <c r="X69" s="35">
        <f>+W69-N69</f>
        <v>-118230.98284137249</v>
      </c>
      <c r="Y69" s="49">
        <f>+W69/N69</f>
        <v>0.99889762741835542</v>
      </c>
    </row>
    <row r="70" spans="1:25" s="53" customFormat="1" ht="15" hidden="1" outlineLevel="1" x14ac:dyDescent="0.25">
      <c r="A70" s="54" t="s">
        <v>98</v>
      </c>
      <c r="B70" s="38"/>
      <c r="C70" s="43"/>
      <c r="D70" s="43"/>
      <c r="E70" s="43"/>
      <c r="F70" s="50">
        <v>90711740.013716161</v>
      </c>
      <c r="G70" s="43"/>
      <c r="H70" s="38">
        <f>+B70+C70+D70+G70+E70+F70</f>
        <v>90711740.013716161</v>
      </c>
      <c r="I70" s="43"/>
      <c r="J70" s="50">
        <f>+H70+I70</f>
        <v>90711740.013716161</v>
      </c>
      <c r="K70" s="50"/>
      <c r="L70" s="50"/>
      <c r="M70" s="50"/>
      <c r="N70" s="50">
        <f>+J70+K70+M70</f>
        <v>90711740.013716161</v>
      </c>
      <c r="O70" s="36"/>
      <c r="P70" s="36"/>
      <c r="Q70" s="36"/>
      <c r="R70" s="36"/>
      <c r="S70" s="36">
        <f>+[2]MER!AE39</f>
        <v>90469591</v>
      </c>
      <c r="T70" s="36"/>
      <c r="U70" s="36">
        <f>SUM(O70:T70)</f>
        <v>90469591</v>
      </c>
      <c r="V70" s="36"/>
      <c r="W70" s="36">
        <f>+U70+V70</f>
        <v>90469591</v>
      </c>
      <c r="X70" s="35">
        <f>+W70-N70</f>
        <v>-242149.01371616125</v>
      </c>
      <c r="Y70" s="49">
        <f>+W70/N70</f>
        <v>0.99733056588177504</v>
      </c>
    </row>
    <row r="71" spans="1:25" s="53" customFormat="1" ht="15" hidden="1" outlineLevel="1" x14ac:dyDescent="0.25">
      <c r="A71" s="54" t="s">
        <v>97</v>
      </c>
      <c r="B71" s="38"/>
      <c r="C71" s="43"/>
      <c r="D71" s="43"/>
      <c r="E71" s="43"/>
      <c r="F71" s="50">
        <v>45430226.226000004</v>
      </c>
      <c r="G71" s="43"/>
      <c r="H71" s="38">
        <f>+B71+C71+D71+G71+E71+F71</f>
        <v>45430226.226000004</v>
      </c>
      <c r="I71" s="43"/>
      <c r="J71" s="50">
        <f>+H71+I71</f>
        <v>45430226.226000004</v>
      </c>
      <c r="K71" s="50"/>
      <c r="L71" s="50">
        <v>100000000</v>
      </c>
      <c r="M71" s="50"/>
      <c r="N71" s="50">
        <f>+J71+K71+M71+L71</f>
        <v>145430226.22600001</v>
      </c>
      <c r="O71" s="36"/>
      <c r="P71" s="36"/>
      <c r="Q71" s="36"/>
      <c r="R71" s="36"/>
      <c r="S71" s="36">
        <f>+[2]MER!AE40</f>
        <v>144999999</v>
      </c>
      <c r="T71" s="36"/>
      <c r="U71" s="36">
        <f>SUM(O71:T71)</f>
        <v>144999999</v>
      </c>
      <c r="V71" s="36"/>
      <c r="W71" s="36">
        <f>+U71+V71</f>
        <v>144999999</v>
      </c>
      <c r="X71" s="35">
        <f>+W71-N71</f>
        <v>-430227.22600001097</v>
      </c>
      <c r="Y71" s="49">
        <f>+W71/N71</f>
        <v>0.99704169320804448</v>
      </c>
    </row>
    <row r="72" spans="1:25" s="53" customFormat="1" ht="15" collapsed="1" x14ac:dyDescent="0.25">
      <c r="A72" s="55" t="s">
        <v>96</v>
      </c>
      <c r="B72" s="38"/>
      <c r="C72" s="43"/>
      <c r="D72" s="43"/>
      <c r="E72" s="43"/>
      <c r="F72" s="43">
        <f>SUM(F73:F84)</f>
        <v>6664969084.6905308</v>
      </c>
      <c r="G72" s="43"/>
      <c r="H72" s="43">
        <f>SUM(H73:H84)</f>
        <v>6664969084.6905308</v>
      </c>
      <c r="I72" s="43"/>
      <c r="J72" s="43">
        <f>SUM(J73:K84)</f>
        <v>6664969084.6905308</v>
      </c>
      <c r="K72" s="43">
        <f>SUM(K73:K83)</f>
        <v>0</v>
      </c>
      <c r="L72" s="43">
        <f>SUM(L73:L84)</f>
        <v>300000000</v>
      </c>
      <c r="M72" s="43">
        <f>SUM(M73:M84)</f>
        <v>0</v>
      </c>
      <c r="N72" s="43">
        <f>+J72+K72+M72+L72</f>
        <v>6964969084.6905308</v>
      </c>
      <c r="O72" s="48"/>
      <c r="P72" s="48"/>
      <c r="Q72" s="48"/>
      <c r="R72" s="48"/>
      <c r="S72" s="48">
        <f>SUM(S73:S84)</f>
        <v>6892752808</v>
      </c>
      <c r="T72" s="48"/>
      <c r="U72" s="48">
        <f>SUM(O72:T72)</f>
        <v>6892752808</v>
      </c>
      <c r="V72" s="48"/>
      <c r="W72" s="48">
        <f>+U72+V72</f>
        <v>6892752808</v>
      </c>
      <c r="X72" s="28">
        <f>+W72-N72</f>
        <v>-72216276.690530777</v>
      </c>
      <c r="Y72" s="27">
        <f>+W72/N72</f>
        <v>0.9896315007557942</v>
      </c>
    </row>
    <row r="73" spans="1:25" s="53" customFormat="1" ht="15" hidden="1" outlineLevel="1" x14ac:dyDescent="0.25">
      <c r="A73" s="54" t="s">
        <v>95</v>
      </c>
      <c r="B73" s="38"/>
      <c r="C73" s="43"/>
      <c r="D73" s="43"/>
      <c r="E73" s="43"/>
      <c r="F73" s="50">
        <v>5318685983</v>
      </c>
      <c r="G73" s="43"/>
      <c r="H73" s="38">
        <f>+B73+C73+D73+G73+E73+F73</f>
        <v>5318685983</v>
      </c>
      <c r="I73" s="43"/>
      <c r="J73" s="50">
        <f>+H73+I73</f>
        <v>5318685983</v>
      </c>
      <c r="K73" s="50"/>
      <c r="L73" s="50"/>
      <c r="M73" s="50"/>
      <c r="N73" s="50">
        <f>+J73+K73+M73</f>
        <v>5318685983</v>
      </c>
      <c r="O73" s="48"/>
      <c r="P73" s="48"/>
      <c r="Q73" s="48"/>
      <c r="R73" s="48"/>
      <c r="S73" s="36">
        <f>+[2]MER!AE42</f>
        <v>5295436191</v>
      </c>
      <c r="T73" s="48"/>
      <c r="U73" s="48">
        <f>SUM(O73:T73)</f>
        <v>5295436191</v>
      </c>
      <c r="V73" s="48"/>
      <c r="W73" s="48">
        <f>+U73+V73</f>
        <v>5295436191</v>
      </c>
      <c r="X73" s="28">
        <f>+W73-N73</f>
        <v>-23249792</v>
      </c>
      <c r="Y73" s="27">
        <f>+W73/N73</f>
        <v>0.99562865864344829</v>
      </c>
    </row>
    <row r="74" spans="1:25" s="53" customFormat="1" ht="15" hidden="1" outlineLevel="1" x14ac:dyDescent="0.25">
      <c r="A74" s="54" t="s">
        <v>94</v>
      </c>
      <c r="B74" s="38"/>
      <c r="C74" s="43"/>
      <c r="D74" s="43"/>
      <c r="E74" s="43"/>
      <c r="F74" s="50">
        <v>65098025.18080318</v>
      </c>
      <c r="G74" s="43"/>
      <c r="H74" s="38">
        <f>+B74+C74+D74+G74+E74+F74</f>
        <v>65098025.18080318</v>
      </c>
      <c r="I74" s="43"/>
      <c r="J74" s="50">
        <f>+H74+I74</f>
        <v>65098025.18080318</v>
      </c>
      <c r="K74" s="50"/>
      <c r="L74" s="50"/>
      <c r="M74" s="50"/>
      <c r="N74" s="50">
        <f>+J74+K74+M74</f>
        <v>65098025.18080318</v>
      </c>
      <c r="O74" s="36"/>
      <c r="P74" s="36"/>
      <c r="Q74" s="36"/>
      <c r="R74" s="36"/>
      <c r="S74" s="36">
        <f>+[2]MER!AE43</f>
        <v>56043783</v>
      </c>
      <c r="T74" s="36"/>
      <c r="U74" s="36">
        <f>SUM(O74:T74)</f>
        <v>56043783</v>
      </c>
      <c r="V74" s="36"/>
      <c r="W74" s="36">
        <f>+U74+V74</f>
        <v>56043783</v>
      </c>
      <c r="X74" s="35">
        <f>+W74-N74</f>
        <v>-9054242.1808031797</v>
      </c>
      <c r="Y74" s="49">
        <f>+W74/N74</f>
        <v>0.86091371964578134</v>
      </c>
    </row>
    <row r="75" spans="1:25" s="53" customFormat="1" ht="15" hidden="1" outlineLevel="1" x14ac:dyDescent="0.25">
      <c r="A75" s="54" t="s">
        <v>93</v>
      </c>
      <c r="B75" s="38"/>
      <c r="C75" s="43"/>
      <c r="D75" s="43"/>
      <c r="E75" s="43"/>
      <c r="F75" s="50">
        <v>54235046.130368061</v>
      </c>
      <c r="G75" s="43"/>
      <c r="H75" s="38">
        <f>+B75+C75+D75+G75+E75+F75</f>
        <v>54235046.130368061</v>
      </c>
      <c r="I75" s="43"/>
      <c r="J75" s="50">
        <f>+H75+I75</f>
        <v>54235046.130368061</v>
      </c>
      <c r="K75" s="50"/>
      <c r="L75" s="50"/>
      <c r="M75" s="50"/>
      <c r="N75" s="50">
        <f>+J75+K75+M75</f>
        <v>54235046.130368061</v>
      </c>
      <c r="O75" s="36"/>
      <c r="P75" s="36"/>
      <c r="Q75" s="36"/>
      <c r="R75" s="36"/>
      <c r="S75" s="36">
        <f>+[2]MER!AE44</f>
        <v>19726285</v>
      </c>
      <c r="T75" s="36"/>
      <c r="U75" s="36">
        <f>SUM(O75:T75)</f>
        <v>19726285</v>
      </c>
      <c r="V75" s="36"/>
      <c r="W75" s="36">
        <f>+U75+V75</f>
        <v>19726285</v>
      </c>
      <c r="X75" s="35">
        <f>+W75-N75</f>
        <v>-34508761.130368061</v>
      </c>
      <c r="Y75" s="49">
        <f>+W75/N75</f>
        <v>0.36371841470518407</v>
      </c>
    </row>
    <row r="76" spans="1:25" s="53" customFormat="1" ht="15" hidden="1" outlineLevel="1" x14ac:dyDescent="0.25">
      <c r="A76" s="54" t="s">
        <v>92</v>
      </c>
      <c r="B76" s="38"/>
      <c r="C76" s="43"/>
      <c r="D76" s="43"/>
      <c r="E76" s="43"/>
      <c r="F76" s="50">
        <v>50000000</v>
      </c>
      <c r="G76" s="43"/>
      <c r="H76" s="38">
        <f>+B76+C76+D76+G76+E76+F76</f>
        <v>50000000</v>
      </c>
      <c r="I76" s="43"/>
      <c r="J76" s="50">
        <f>+H76+I76</f>
        <v>50000000</v>
      </c>
      <c r="K76" s="50"/>
      <c r="L76" s="50"/>
      <c r="M76" s="50"/>
      <c r="N76" s="50">
        <f>+J76+K76+M76</f>
        <v>50000000</v>
      </c>
      <c r="O76" s="36"/>
      <c r="P76" s="36"/>
      <c r="Q76" s="36"/>
      <c r="R76" s="36"/>
      <c r="S76" s="36">
        <f>+[2]MER!AE45</f>
        <v>46252776</v>
      </c>
      <c r="T76" s="36"/>
      <c r="U76" s="36">
        <f>SUM(O76:T76)</f>
        <v>46252776</v>
      </c>
      <c r="V76" s="36"/>
      <c r="W76" s="36">
        <f>+U76+V76</f>
        <v>46252776</v>
      </c>
      <c r="X76" s="35">
        <f>+W76-N76</f>
        <v>-3747224</v>
      </c>
      <c r="Y76" s="49">
        <f>+W76/N76</f>
        <v>0.92505552000000002</v>
      </c>
    </row>
    <row r="77" spans="1:25" s="53" customFormat="1" ht="15" hidden="1" outlineLevel="1" x14ac:dyDescent="0.25">
      <c r="A77" s="54" t="s">
        <v>91</v>
      </c>
      <c r="B77" s="38"/>
      <c r="C77" s="43"/>
      <c r="D77" s="43"/>
      <c r="E77" s="43"/>
      <c r="F77" s="50">
        <v>64732716.865740009</v>
      </c>
      <c r="G77" s="43"/>
      <c r="H77" s="38">
        <f>+B77+C77+D77+G77+E77+F77</f>
        <v>64732716.865740009</v>
      </c>
      <c r="I77" s="43"/>
      <c r="J77" s="50">
        <f>+H77+I77</f>
        <v>64732716.865740009</v>
      </c>
      <c r="K77" s="50"/>
      <c r="L77" s="50"/>
      <c r="M77" s="50"/>
      <c r="N77" s="50">
        <f>+J77+K77+M77</f>
        <v>64732716.865740009</v>
      </c>
      <c r="O77" s="36"/>
      <c r="P77" s="36"/>
      <c r="Q77" s="36"/>
      <c r="R77" s="36"/>
      <c r="S77" s="36">
        <f>+[2]MER!AE46</f>
        <v>64138110</v>
      </c>
      <c r="T77" s="36"/>
      <c r="U77" s="36">
        <f>SUM(O77:T77)</f>
        <v>64138110</v>
      </c>
      <c r="V77" s="36"/>
      <c r="W77" s="36">
        <f>+U77+V77</f>
        <v>64138110</v>
      </c>
      <c r="X77" s="35">
        <f>+W77-N77</f>
        <v>-594606.86574000865</v>
      </c>
      <c r="Y77" s="49">
        <f>+W77/N77</f>
        <v>0.99081443056108298</v>
      </c>
    </row>
    <row r="78" spans="1:25" s="53" customFormat="1" ht="15" hidden="1" outlineLevel="1" x14ac:dyDescent="0.25">
      <c r="A78" s="54" t="s">
        <v>90</v>
      </c>
      <c r="B78" s="38"/>
      <c r="C78" s="43"/>
      <c r="D78" s="43"/>
      <c r="E78" s="43"/>
      <c r="F78" s="50">
        <v>237019332.76837587</v>
      </c>
      <c r="G78" s="43"/>
      <c r="H78" s="38">
        <f>+B78+C78+D78+G78+E78+F78</f>
        <v>237019332.76837587</v>
      </c>
      <c r="I78" s="43"/>
      <c r="J78" s="50">
        <f>+H78+I78</f>
        <v>237019332.76837587</v>
      </c>
      <c r="K78" s="50"/>
      <c r="L78" s="50"/>
      <c r="M78" s="50"/>
      <c r="N78" s="50">
        <f>+J78+K78+M78</f>
        <v>237019332.76837587</v>
      </c>
      <c r="O78" s="36"/>
      <c r="P78" s="36"/>
      <c r="Q78" s="36"/>
      <c r="R78" s="36"/>
      <c r="S78" s="36">
        <f>+[2]MER!AE47</f>
        <v>236670417</v>
      </c>
      <c r="T78" s="36"/>
      <c r="U78" s="36">
        <f>SUM(O78:T78)</f>
        <v>236670417</v>
      </c>
      <c r="V78" s="36"/>
      <c r="W78" s="36">
        <f>+U78+V78</f>
        <v>236670417</v>
      </c>
      <c r="X78" s="35">
        <f>+W78-N78</f>
        <v>-348915.76837587357</v>
      </c>
      <c r="Y78" s="49">
        <f>+W78/N78</f>
        <v>0.99852790165131022</v>
      </c>
    </row>
    <row r="79" spans="1:25" s="53" customFormat="1" ht="15" hidden="1" outlineLevel="1" x14ac:dyDescent="0.25">
      <c r="A79" s="54" t="s">
        <v>89</v>
      </c>
      <c r="B79" s="38"/>
      <c r="C79" s="43"/>
      <c r="D79" s="43"/>
      <c r="E79" s="43"/>
      <c r="F79" s="50">
        <v>113503529.65841505</v>
      </c>
      <c r="G79" s="43"/>
      <c r="H79" s="38">
        <f>+B79+C79+D79+G79+E79+F79</f>
        <v>113503529.65841505</v>
      </c>
      <c r="I79" s="43"/>
      <c r="J79" s="50">
        <f>+H79+I79</f>
        <v>113503529.65841505</v>
      </c>
      <c r="K79" s="50"/>
      <c r="L79" s="50"/>
      <c r="M79" s="50"/>
      <c r="N79" s="50">
        <f>+J79+K79+M79</f>
        <v>113503529.65841505</v>
      </c>
      <c r="O79" s="36"/>
      <c r="P79" s="36"/>
      <c r="Q79" s="36"/>
      <c r="R79" s="36"/>
      <c r="S79" s="36">
        <f>+[2]MER!AE48</f>
        <v>113236913</v>
      </c>
      <c r="T79" s="36"/>
      <c r="U79" s="36">
        <f>SUM(O79:T79)</f>
        <v>113236913</v>
      </c>
      <c r="V79" s="36"/>
      <c r="W79" s="36">
        <f>+U79+V79</f>
        <v>113236913</v>
      </c>
      <c r="X79" s="35">
        <f>+W79-N79</f>
        <v>-266616.65841504931</v>
      </c>
      <c r="Y79" s="49">
        <f>+W79/N79</f>
        <v>0.99765102760048585</v>
      </c>
    </row>
    <row r="80" spans="1:25" s="53" customFormat="1" ht="15" hidden="1" outlineLevel="1" x14ac:dyDescent="0.25">
      <c r="A80" s="54" t="s">
        <v>88</v>
      </c>
      <c r="B80" s="38"/>
      <c r="C80" s="43"/>
      <c r="D80" s="43"/>
      <c r="E80" s="43"/>
      <c r="F80" s="50">
        <v>79979358.083901346</v>
      </c>
      <c r="G80" s="43"/>
      <c r="H80" s="38">
        <f>+B80+C80+D80+G80+E80+F80</f>
        <v>79979358.083901346</v>
      </c>
      <c r="I80" s="43"/>
      <c r="J80" s="50">
        <f>+H80+I80</f>
        <v>79979358.083901346</v>
      </c>
      <c r="K80" s="50"/>
      <c r="L80" s="50"/>
      <c r="M80" s="50"/>
      <c r="N80" s="50">
        <f>+J80+K80+M80</f>
        <v>79979358.083901346</v>
      </c>
      <c r="O80" s="36"/>
      <c r="P80" s="36"/>
      <c r="Q80" s="36"/>
      <c r="R80" s="36"/>
      <c r="S80" s="36">
        <f>+[2]MER!AE49</f>
        <v>79976820</v>
      </c>
      <c r="T80" s="36"/>
      <c r="U80" s="36">
        <f>SUM(O80:T80)</f>
        <v>79976820</v>
      </c>
      <c r="V80" s="36"/>
      <c r="W80" s="36">
        <f>+U80+V80</f>
        <v>79976820</v>
      </c>
      <c r="X80" s="35">
        <f>+W80-N80</f>
        <v>-2538.0839013457298</v>
      </c>
      <c r="Y80" s="49">
        <f>+W80/N80</f>
        <v>0.99996826576303999</v>
      </c>
    </row>
    <row r="81" spans="1:25" s="53" customFormat="1" ht="15" hidden="1" outlineLevel="1" x14ac:dyDescent="0.25">
      <c r="A81" s="54" t="s">
        <v>87</v>
      </c>
      <c r="B81" s="38"/>
      <c r="C81" s="43"/>
      <c r="D81" s="43"/>
      <c r="E81" s="43"/>
      <c r="F81" s="50">
        <v>135127426.37792671</v>
      </c>
      <c r="G81" s="43"/>
      <c r="H81" s="38">
        <f>+B81+C81+D81+G81+E81+F81</f>
        <v>135127426.37792671</v>
      </c>
      <c r="I81" s="43"/>
      <c r="J81" s="50">
        <f>+H81+I81</f>
        <v>135127426.37792671</v>
      </c>
      <c r="K81" s="50"/>
      <c r="L81" s="50"/>
      <c r="M81" s="50"/>
      <c r="N81" s="50">
        <f>+J81+K81+M81</f>
        <v>135127426.37792671</v>
      </c>
      <c r="O81" s="48"/>
      <c r="P81" s="48"/>
      <c r="Q81" s="48"/>
      <c r="R81" s="48"/>
      <c r="S81" s="36">
        <f>+[2]MER!AE50</f>
        <v>135019428</v>
      </c>
      <c r="T81" s="48"/>
      <c r="U81" s="36">
        <f>SUM(O81:T81)</f>
        <v>135019428</v>
      </c>
      <c r="V81" s="36"/>
      <c r="W81" s="36">
        <f>+U81+V81</f>
        <v>135019428</v>
      </c>
      <c r="X81" s="35">
        <f>+W81-N81</f>
        <v>-107998.37792670727</v>
      </c>
      <c r="Y81" s="49">
        <f>+W81/N81</f>
        <v>0.99920076641121947</v>
      </c>
    </row>
    <row r="82" spans="1:25" s="53" customFormat="1" ht="15" hidden="1" outlineLevel="1" x14ac:dyDescent="0.25">
      <c r="A82" s="54" t="s">
        <v>86</v>
      </c>
      <c r="B82" s="38"/>
      <c r="C82" s="43"/>
      <c r="D82" s="43"/>
      <c r="E82" s="43"/>
      <c r="F82" s="50">
        <v>288637666.625</v>
      </c>
      <c r="G82" s="43"/>
      <c r="H82" s="38">
        <f>+B82+C82+D82+G82+E82+F82</f>
        <v>288637666.625</v>
      </c>
      <c r="I82" s="43"/>
      <c r="J82" s="50">
        <f>+H82+I82</f>
        <v>288637666.625</v>
      </c>
      <c r="K82" s="50"/>
      <c r="L82" s="50"/>
      <c r="M82" s="50"/>
      <c r="N82" s="50">
        <f>+J82+K82+M82</f>
        <v>288637666.625</v>
      </c>
      <c r="O82" s="36"/>
      <c r="P82" s="36"/>
      <c r="Q82" s="36"/>
      <c r="R82" s="36"/>
      <c r="S82" s="36">
        <f>+[2]MER!AE51</f>
        <v>288385055</v>
      </c>
      <c r="T82" s="36"/>
      <c r="U82" s="36">
        <f>SUM(O82:T82)</f>
        <v>288385055</v>
      </c>
      <c r="V82" s="36"/>
      <c r="W82" s="36">
        <f>+U82+V82</f>
        <v>288385055</v>
      </c>
      <c r="X82" s="35">
        <f>+W82-N82</f>
        <v>-252611.625</v>
      </c>
      <c r="Y82" s="49">
        <f>+W82/N82</f>
        <v>0.99912481406895448</v>
      </c>
    </row>
    <row r="83" spans="1:25" s="53" customFormat="1" ht="15" hidden="1" outlineLevel="1" x14ac:dyDescent="0.25">
      <c r="A83" s="54" t="s">
        <v>85</v>
      </c>
      <c r="B83" s="38"/>
      <c r="C83" s="43"/>
      <c r="D83" s="43"/>
      <c r="E83" s="43"/>
      <c r="F83" s="50">
        <v>257950000</v>
      </c>
      <c r="G83" s="43"/>
      <c r="H83" s="38">
        <f>+B83+C83+D83+G83+E83+F83</f>
        <v>257950000</v>
      </c>
      <c r="I83" s="43"/>
      <c r="J83" s="50">
        <f>+H83+I83</f>
        <v>257950000</v>
      </c>
      <c r="K83" s="50"/>
      <c r="L83" s="50"/>
      <c r="M83" s="50"/>
      <c r="N83" s="50">
        <f>+J83+K83+M83</f>
        <v>257950000</v>
      </c>
      <c r="O83" s="36"/>
      <c r="P83" s="36"/>
      <c r="Q83" s="36"/>
      <c r="R83" s="36"/>
      <c r="S83" s="36">
        <f>+[2]MER!AE52</f>
        <v>257905000</v>
      </c>
      <c r="T83" s="36"/>
      <c r="U83" s="36">
        <f>SUM(O83:T83)</f>
        <v>257905000</v>
      </c>
      <c r="V83" s="36"/>
      <c r="W83" s="36">
        <f>+U83+V83</f>
        <v>257905000</v>
      </c>
      <c r="X83" s="35">
        <f>+W83-N83</f>
        <v>-45000</v>
      </c>
      <c r="Y83" s="49">
        <f>+W83/N83</f>
        <v>0.99982554758674158</v>
      </c>
    </row>
    <row r="84" spans="1:25" s="53" customFormat="1" ht="15" hidden="1" outlineLevel="1" x14ac:dyDescent="0.25">
      <c r="A84" s="54" t="s">
        <v>84</v>
      </c>
      <c r="B84" s="38"/>
      <c r="C84" s="43"/>
      <c r="D84" s="43"/>
      <c r="E84" s="43"/>
      <c r="F84" s="50"/>
      <c r="G84" s="43"/>
      <c r="H84" s="38"/>
      <c r="I84" s="43"/>
      <c r="J84" s="50"/>
      <c r="K84" s="50"/>
      <c r="L84" s="50">
        <v>300000000</v>
      </c>
      <c r="M84" s="50"/>
      <c r="N84" s="50">
        <f>+J84+K84+M84+L84</f>
        <v>300000000</v>
      </c>
      <c r="O84" s="36"/>
      <c r="P84" s="36"/>
      <c r="Q84" s="36"/>
      <c r="R84" s="36"/>
      <c r="S84" s="36">
        <f>+[2]MER!AE53</f>
        <v>299962030</v>
      </c>
      <c r="T84" s="36"/>
      <c r="U84" s="36">
        <f>SUM(O84:T84)</f>
        <v>299962030</v>
      </c>
      <c r="V84" s="36"/>
      <c r="W84" s="36">
        <f>+U84+V84</f>
        <v>299962030</v>
      </c>
      <c r="X84" s="35">
        <f>+W84-N84</f>
        <v>-37970</v>
      </c>
      <c r="Y84" s="49">
        <f>+W84/N84</f>
        <v>0.99987343333333334</v>
      </c>
    </row>
    <row r="85" spans="1:25" s="53" customFormat="1" ht="15" collapsed="1" x14ac:dyDescent="0.25">
      <c r="A85" s="55" t="s">
        <v>83</v>
      </c>
      <c r="B85" s="38"/>
      <c r="C85" s="43"/>
      <c r="D85" s="43"/>
      <c r="E85" s="43"/>
      <c r="F85" s="43">
        <f>SUM(F86:F93)</f>
        <v>1913751433.0529971</v>
      </c>
      <c r="G85" s="43"/>
      <c r="H85" s="43">
        <f>SUM(H86:H93)</f>
        <v>1913751433.0529971</v>
      </c>
      <c r="I85" s="43"/>
      <c r="J85" s="43">
        <f>SUM(J86:J93)</f>
        <v>1913751433.0529971</v>
      </c>
      <c r="K85" s="43">
        <f>SUM(K86:K93)</f>
        <v>0</v>
      </c>
      <c r="L85" s="43">
        <f>SUM(L86:L93)</f>
        <v>640000000</v>
      </c>
      <c r="M85" s="43">
        <f>SUM(M86:M93)</f>
        <v>0</v>
      </c>
      <c r="N85" s="43">
        <f>+J85+K85+M85+L85</f>
        <v>2553751433.0529971</v>
      </c>
      <c r="O85" s="36"/>
      <c r="P85" s="36"/>
      <c r="Q85" s="36"/>
      <c r="R85" s="36"/>
      <c r="S85" s="52">
        <f>SUM(S86:S93)</f>
        <v>2531430344</v>
      </c>
      <c r="T85" s="36"/>
      <c r="U85" s="52">
        <f>SUM(O85:T85)</f>
        <v>2531430344</v>
      </c>
      <c r="V85" s="36"/>
      <c r="W85" s="52">
        <f>+U85+V85</f>
        <v>2531430344</v>
      </c>
      <c r="X85" s="28">
        <f>+W85-N85</f>
        <v>-22321089.052997112</v>
      </c>
      <c r="Y85" s="27">
        <f>+W85/N85</f>
        <v>0.99125949034659477</v>
      </c>
    </row>
    <row r="86" spans="1:25" s="53" customFormat="1" ht="15" hidden="1" outlineLevel="1" x14ac:dyDescent="0.25">
      <c r="A86" s="54" t="s">
        <v>82</v>
      </c>
      <c r="B86" s="38"/>
      <c r="C86" s="43"/>
      <c r="D86" s="43"/>
      <c r="E86" s="43"/>
      <c r="F86" s="50">
        <v>191527647.5252448</v>
      </c>
      <c r="G86" s="43"/>
      <c r="H86" s="38">
        <f>+B86+C86+D86+G86+E86+F86</f>
        <v>191527647.5252448</v>
      </c>
      <c r="I86" s="43"/>
      <c r="J86" s="50">
        <f>+H86+I86</f>
        <v>191527647.5252448</v>
      </c>
      <c r="K86" s="50"/>
      <c r="L86" s="50">
        <v>160000000</v>
      </c>
      <c r="M86" s="50"/>
      <c r="N86" s="50">
        <f>+J86+K86+M86+L86</f>
        <v>351527647.52524483</v>
      </c>
      <c r="O86" s="36"/>
      <c r="P86" s="36"/>
      <c r="Q86" s="36"/>
      <c r="R86" s="36"/>
      <c r="S86" s="36">
        <f>+[2]MER!AE55</f>
        <v>351527344</v>
      </c>
      <c r="T86" s="36"/>
      <c r="U86" s="36">
        <f>SUM(O86:T86)</f>
        <v>351527344</v>
      </c>
      <c r="V86" s="36"/>
      <c r="W86" s="36">
        <f>+U86+V86</f>
        <v>351527344</v>
      </c>
      <c r="X86" s="35">
        <f>+W86-N86</f>
        <v>-303.52524483203888</v>
      </c>
      <c r="Y86" s="49">
        <f>+W86/N86</f>
        <v>0.99999913655370509</v>
      </c>
    </row>
    <row r="87" spans="1:25" s="53" customFormat="1" ht="15" hidden="1" outlineLevel="1" x14ac:dyDescent="0.25">
      <c r="A87" s="54" t="s">
        <v>81</v>
      </c>
      <c r="B87" s="38"/>
      <c r="C87" s="43"/>
      <c r="D87" s="43"/>
      <c r="E87" s="43"/>
      <c r="F87" s="50">
        <v>43804139.657740004</v>
      </c>
      <c r="G87" s="43"/>
      <c r="H87" s="38">
        <f>+B87+C87+D87+G87+E87+F87</f>
        <v>43804139.657740004</v>
      </c>
      <c r="I87" s="43"/>
      <c r="J87" s="50">
        <f>+H87+I87</f>
        <v>43804139.657740004</v>
      </c>
      <c r="K87" s="50"/>
      <c r="L87" s="50"/>
      <c r="M87" s="50"/>
      <c r="N87" s="50">
        <f>+J87+K87+M87</f>
        <v>43804139.657740004</v>
      </c>
      <c r="O87" s="36"/>
      <c r="P87" s="36"/>
      <c r="Q87" s="36"/>
      <c r="R87" s="36"/>
      <c r="S87" s="36">
        <f>+[2]MER!AE56</f>
        <v>43782940</v>
      </c>
      <c r="T87" s="36"/>
      <c r="U87" s="36">
        <f>SUM(O87:T87)</f>
        <v>43782940</v>
      </c>
      <c r="V87" s="36"/>
      <c r="W87" s="36">
        <f>+U87+V87</f>
        <v>43782940</v>
      </c>
      <c r="X87" s="35">
        <f>+W87-N87</f>
        <v>-21199.657740004361</v>
      </c>
      <c r="Y87" s="49">
        <f>+W87/N87</f>
        <v>0.99951603529014277</v>
      </c>
    </row>
    <row r="88" spans="1:25" s="53" customFormat="1" ht="15" hidden="1" outlineLevel="1" x14ac:dyDescent="0.25">
      <c r="A88" s="54" t="s">
        <v>80</v>
      </c>
      <c r="B88" s="38"/>
      <c r="C88" s="43"/>
      <c r="D88" s="43"/>
      <c r="E88" s="43"/>
      <c r="F88" s="50">
        <v>44099007.022012636</v>
      </c>
      <c r="G88" s="43"/>
      <c r="H88" s="38">
        <f>+B88+C88+D88+G88+E88+F88</f>
        <v>44099007.022012636</v>
      </c>
      <c r="I88" s="43"/>
      <c r="J88" s="50">
        <f>+H88+I88</f>
        <v>44099007.022012636</v>
      </c>
      <c r="K88" s="50"/>
      <c r="L88" s="50"/>
      <c r="M88" s="50"/>
      <c r="N88" s="50">
        <f>+J88+K88+M88</f>
        <v>44099007.022012636</v>
      </c>
      <c r="O88" s="36"/>
      <c r="P88" s="36"/>
      <c r="Q88" s="36"/>
      <c r="R88" s="36"/>
      <c r="S88" s="36">
        <f>+[2]MER!AE57</f>
        <v>37251103</v>
      </c>
      <c r="T88" s="36"/>
      <c r="U88" s="36">
        <f>SUM(O88:T88)</f>
        <v>37251103</v>
      </c>
      <c r="V88" s="36"/>
      <c r="W88" s="36">
        <f>+U88+V88</f>
        <v>37251103</v>
      </c>
      <c r="X88" s="35">
        <f>+W88-N88</f>
        <v>-6847904.0220126361</v>
      </c>
      <c r="Y88" s="49">
        <f>+W88/N88</f>
        <v>0.8447152331889376</v>
      </c>
    </row>
    <row r="89" spans="1:25" s="53" customFormat="1" ht="15" hidden="1" outlineLevel="1" x14ac:dyDescent="0.25">
      <c r="A89" s="54" t="s">
        <v>79</v>
      </c>
      <c r="B89" s="38"/>
      <c r="C89" s="43"/>
      <c r="D89" s="43"/>
      <c r="E89" s="43"/>
      <c r="F89" s="50">
        <v>91290052.700000003</v>
      </c>
      <c r="G89" s="43"/>
      <c r="H89" s="38">
        <f>+B89+C89+D89+G89+E89+F89</f>
        <v>91290052.700000003</v>
      </c>
      <c r="I89" s="43"/>
      <c r="J89" s="50">
        <f>+H89+I89</f>
        <v>91290052.700000003</v>
      </c>
      <c r="K89" s="50"/>
      <c r="L89" s="50"/>
      <c r="M89" s="50"/>
      <c r="N89" s="50">
        <f>+J89+K89+M89</f>
        <v>91290052.700000003</v>
      </c>
      <c r="O89" s="36"/>
      <c r="P89" s="36"/>
      <c r="Q89" s="36"/>
      <c r="R89" s="36"/>
      <c r="S89" s="36">
        <f>+[2]MER!AE58</f>
        <v>91264639</v>
      </c>
      <c r="T89" s="36"/>
      <c r="U89" s="36">
        <f>SUM(O89:T89)</f>
        <v>91264639</v>
      </c>
      <c r="V89" s="36"/>
      <c r="W89" s="36">
        <f>+U89+V89</f>
        <v>91264639</v>
      </c>
      <c r="X89" s="35">
        <f>+W89-N89</f>
        <v>-25413.70000000298</v>
      </c>
      <c r="Y89" s="49">
        <f>+W89/N89</f>
        <v>0.99972161589079678</v>
      </c>
    </row>
    <row r="90" spans="1:25" s="53" customFormat="1" ht="15" hidden="1" outlineLevel="1" x14ac:dyDescent="0.25">
      <c r="A90" s="54" t="s">
        <v>78</v>
      </c>
      <c r="B90" s="38"/>
      <c r="C90" s="43"/>
      <c r="D90" s="43"/>
      <c r="E90" s="43"/>
      <c r="F90" s="50">
        <v>590700341</v>
      </c>
      <c r="G90" s="43"/>
      <c r="H90" s="38">
        <f>+B90+C90+D90+G90+E90+F90</f>
        <v>590700341</v>
      </c>
      <c r="I90" s="43"/>
      <c r="J90" s="50">
        <f>+H90+I90</f>
        <v>590700341</v>
      </c>
      <c r="K90" s="50"/>
      <c r="L90" s="50">
        <v>480000000</v>
      </c>
      <c r="M90" s="50"/>
      <c r="N90" s="50">
        <f>+J90+K90+M90+L90</f>
        <v>1070700341</v>
      </c>
      <c r="O90" s="36"/>
      <c r="P90" s="36"/>
      <c r="Q90" s="36"/>
      <c r="R90" s="36"/>
      <c r="S90" s="36">
        <f>+[2]MER!AE59</f>
        <v>1055466735</v>
      </c>
      <c r="T90" s="36"/>
      <c r="U90" s="36">
        <f>SUM(O90:T90)</f>
        <v>1055466735</v>
      </c>
      <c r="V90" s="36"/>
      <c r="W90" s="36">
        <f>+U90+V90</f>
        <v>1055466735</v>
      </c>
      <c r="X90" s="35">
        <f>+W90-N90</f>
        <v>-15233606</v>
      </c>
      <c r="Y90" s="49">
        <f>+W90/N90</f>
        <v>0.98577229742378503</v>
      </c>
    </row>
    <row r="91" spans="1:25" s="53" customFormat="1" ht="15" hidden="1" outlineLevel="1" x14ac:dyDescent="0.25">
      <c r="A91" s="54" t="s">
        <v>77</v>
      </c>
      <c r="B91" s="38"/>
      <c r="C91" s="43"/>
      <c r="D91" s="43"/>
      <c r="E91" s="43"/>
      <c r="F91" s="50">
        <v>12381600</v>
      </c>
      <c r="G91" s="43"/>
      <c r="H91" s="38">
        <f>+B91+C91+D91+G91+E91+F91</f>
        <v>12381600</v>
      </c>
      <c r="I91" s="43"/>
      <c r="J91" s="50">
        <f>+H91+I91</f>
        <v>12381600</v>
      </c>
      <c r="K91" s="50"/>
      <c r="L91" s="50"/>
      <c r="M91" s="50"/>
      <c r="N91" s="50">
        <f>+J91+K91+M91</f>
        <v>12381600</v>
      </c>
      <c r="O91" s="36"/>
      <c r="P91" s="36"/>
      <c r="Q91" s="36"/>
      <c r="R91" s="36"/>
      <c r="S91" s="36">
        <f>+[2]MER!AE60</f>
        <v>12338828</v>
      </c>
      <c r="T91" s="36"/>
      <c r="U91" s="36">
        <f>SUM(O91:T91)</f>
        <v>12338828</v>
      </c>
      <c r="V91" s="36"/>
      <c r="W91" s="36">
        <f>+U91+V91</f>
        <v>12338828</v>
      </c>
      <c r="X91" s="35">
        <f>+W91-N91</f>
        <v>-42772</v>
      </c>
      <c r="Y91" s="49">
        <f>+W91/N91</f>
        <v>0.99654551915745948</v>
      </c>
    </row>
    <row r="92" spans="1:25" s="53" customFormat="1" ht="15" hidden="1" outlineLevel="1" x14ac:dyDescent="0.25">
      <c r="A92" s="54" t="s">
        <v>76</v>
      </c>
      <c r="B92" s="38"/>
      <c r="C92" s="43"/>
      <c r="D92" s="43"/>
      <c r="E92" s="43"/>
      <c r="F92" s="50">
        <v>733261564.54799998</v>
      </c>
      <c r="G92" s="43"/>
      <c r="H92" s="38">
        <f>+B92+C92+D92+G92+E92+F92</f>
        <v>733261564.54799998</v>
      </c>
      <c r="I92" s="43"/>
      <c r="J92" s="50">
        <f>+H92+I92</f>
        <v>733261564.54799998</v>
      </c>
      <c r="K92" s="50"/>
      <c r="L92" s="50"/>
      <c r="M92" s="50"/>
      <c r="N92" s="50">
        <f>+J92+K92+M92</f>
        <v>733261564.54799998</v>
      </c>
      <c r="O92" s="48"/>
      <c r="P92" s="48"/>
      <c r="Q92" s="48"/>
      <c r="R92" s="48"/>
      <c r="S92" s="36">
        <f>+[2]MER!AE61</f>
        <v>733146475</v>
      </c>
      <c r="T92" s="48"/>
      <c r="U92" s="48">
        <f>SUM(O92:T92)</f>
        <v>733146475</v>
      </c>
      <c r="V92" s="48"/>
      <c r="W92" s="48">
        <f>+U92+V92</f>
        <v>733146475</v>
      </c>
      <c r="X92" s="28">
        <f>+W92-N92</f>
        <v>-115089.54799997807</v>
      </c>
      <c r="Y92" s="27">
        <f>+W92/N92</f>
        <v>0.99984304434656834</v>
      </c>
    </row>
    <row r="93" spans="1:25" s="53" customFormat="1" ht="15" hidden="1" outlineLevel="1" x14ac:dyDescent="0.25">
      <c r="A93" s="54" t="s">
        <v>75</v>
      </c>
      <c r="B93" s="38"/>
      <c r="C93" s="43"/>
      <c r="D93" s="43"/>
      <c r="E93" s="43"/>
      <c r="F93" s="50">
        <v>206687080.60000002</v>
      </c>
      <c r="G93" s="43"/>
      <c r="H93" s="38">
        <f>+B93+C93+D93+G93+E93+F93</f>
        <v>206687080.60000002</v>
      </c>
      <c r="I93" s="43"/>
      <c r="J93" s="50">
        <f>+H93+I93</f>
        <v>206687080.60000002</v>
      </c>
      <c r="K93" s="50"/>
      <c r="L93" s="50"/>
      <c r="M93" s="50"/>
      <c r="N93" s="50">
        <f>+J93+K93+M93</f>
        <v>206687080.60000002</v>
      </c>
      <c r="O93" s="36"/>
      <c r="P93" s="36"/>
      <c r="Q93" s="36"/>
      <c r="R93" s="36"/>
      <c r="S93" s="36">
        <f>+[2]MER!AE62</f>
        <v>206652280</v>
      </c>
      <c r="T93" s="36"/>
      <c r="U93" s="36">
        <f>SUM(O93:T93)</f>
        <v>206652280</v>
      </c>
      <c r="V93" s="36"/>
      <c r="W93" s="36">
        <f>+U93+V93</f>
        <v>206652280</v>
      </c>
      <c r="X93" s="35">
        <f>+W93-N93</f>
        <v>-34800.600000023842</v>
      </c>
      <c r="Y93" s="49">
        <f>+W93/N93</f>
        <v>0.99983162663143244</v>
      </c>
    </row>
    <row r="94" spans="1:25" s="53" customFormat="1" ht="15" collapsed="1" x14ac:dyDescent="0.25">
      <c r="A94" s="55" t="s">
        <v>74</v>
      </c>
      <c r="B94" s="46"/>
      <c r="C94" s="46"/>
      <c r="D94" s="46"/>
      <c r="E94" s="46"/>
      <c r="F94" s="46">
        <f>SUM(F95:F101)</f>
        <v>785167469.99152005</v>
      </c>
      <c r="G94" s="46"/>
      <c r="H94" s="46">
        <f>+B94+C94+D94+G94+E94+F94</f>
        <v>785167469.99152005</v>
      </c>
      <c r="I94" s="46"/>
      <c r="J94" s="46">
        <f>+H94+I94</f>
        <v>785167469.99152005</v>
      </c>
      <c r="K94" s="46">
        <f>SUM(K95:K101)</f>
        <v>0</v>
      </c>
      <c r="L94" s="46">
        <f>SUM(L95:L101)</f>
        <v>44000000</v>
      </c>
      <c r="M94" s="46">
        <f>SUM(M95:M101)</f>
        <v>0</v>
      </c>
      <c r="N94" s="46">
        <f>+J94+K94+M94+L94</f>
        <v>829167469.99152005</v>
      </c>
      <c r="O94" s="36"/>
      <c r="P94" s="36"/>
      <c r="Q94" s="36"/>
      <c r="R94" s="36"/>
      <c r="S94" s="52">
        <f>SUM(S95:S101)</f>
        <v>811802675</v>
      </c>
      <c r="T94" s="36"/>
      <c r="U94" s="52">
        <f>SUM(O94:T94)</f>
        <v>811802675</v>
      </c>
      <c r="V94" s="36"/>
      <c r="W94" s="52">
        <f>+U94+V94</f>
        <v>811802675</v>
      </c>
      <c r="X94" s="28">
        <f>+W94-N94</f>
        <v>-17364794.991520047</v>
      </c>
      <c r="Y94" s="27">
        <f>+W94/N94</f>
        <v>0.97905755396832239</v>
      </c>
    </row>
    <row r="95" spans="1:25" s="53" customFormat="1" ht="15" hidden="1" outlineLevel="1" x14ac:dyDescent="0.25">
      <c r="A95" s="54" t="s">
        <v>73</v>
      </c>
      <c r="B95" s="38"/>
      <c r="C95" s="43"/>
      <c r="D95" s="43"/>
      <c r="E95" s="43"/>
      <c r="F95" s="50">
        <v>10004270.892000001</v>
      </c>
      <c r="G95" s="43"/>
      <c r="H95" s="38">
        <f>+B95+C95+D95+G95+E95+F95</f>
        <v>10004270.892000001</v>
      </c>
      <c r="I95" s="43"/>
      <c r="J95" s="50">
        <f>+H95+I95</f>
        <v>10004270.892000001</v>
      </c>
      <c r="K95" s="50"/>
      <c r="L95" s="50"/>
      <c r="M95" s="50"/>
      <c r="N95" s="50">
        <f>+J95+K95+M95</f>
        <v>10004270.892000001</v>
      </c>
      <c r="O95" s="36"/>
      <c r="P95" s="36"/>
      <c r="Q95" s="36"/>
      <c r="R95" s="36"/>
      <c r="S95" s="36">
        <f>+[2]MER!AE64</f>
        <v>6179849</v>
      </c>
      <c r="T95" s="36"/>
      <c r="U95" s="36">
        <f>SUM(O95:T95)</f>
        <v>6179849</v>
      </c>
      <c r="V95" s="36"/>
      <c r="W95" s="36">
        <f>+U95+V95</f>
        <v>6179849</v>
      </c>
      <c r="X95" s="35">
        <f>+W95-N95</f>
        <v>-3824421.8920000009</v>
      </c>
      <c r="Y95" s="49">
        <f>+W95/N95</f>
        <v>0.61772107799897424</v>
      </c>
    </row>
    <row r="96" spans="1:25" s="53" customFormat="1" ht="15" hidden="1" outlineLevel="1" x14ac:dyDescent="0.25">
      <c r="A96" s="54" t="s">
        <v>72</v>
      </c>
      <c r="B96" s="38"/>
      <c r="C96" s="43"/>
      <c r="D96" s="43"/>
      <c r="E96" s="43"/>
      <c r="F96" s="50">
        <v>175216558.63096002</v>
      </c>
      <c r="G96" s="43"/>
      <c r="H96" s="38">
        <f>+B96+C96+D96+G96+E96+F96</f>
        <v>175216558.63096002</v>
      </c>
      <c r="I96" s="43"/>
      <c r="J96" s="50">
        <f>+H96+I96</f>
        <v>175216558.63096002</v>
      </c>
      <c r="K96" s="50"/>
      <c r="L96" s="50">
        <v>25190880</v>
      </c>
      <c r="M96" s="50"/>
      <c r="N96" s="50">
        <f>+J96+K96+M96+L96</f>
        <v>200407438.63096002</v>
      </c>
      <c r="O96" s="36"/>
      <c r="P96" s="36"/>
      <c r="Q96" s="36"/>
      <c r="R96" s="36"/>
      <c r="S96" s="36">
        <f>+[2]MER!AE65</f>
        <v>199043510</v>
      </c>
      <c r="T96" s="36"/>
      <c r="U96" s="36">
        <f>SUM(O96:T96)</f>
        <v>199043510</v>
      </c>
      <c r="V96" s="36"/>
      <c r="W96" s="36">
        <f>+U96+V96</f>
        <v>199043510</v>
      </c>
      <c r="X96" s="35">
        <f>+W96-N96</f>
        <v>-1363928.6309600174</v>
      </c>
      <c r="Y96" s="49">
        <f>+W96/N96</f>
        <v>0.99319422153051107</v>
      </c>
    </row>
    <row r="97" spans="1:25" s="53" customFormat="1" ht="15" hidden="1" outlineLevel="1" x14ac:dyDescent="0.25">
      <c r="A97" s="54" t="s">
        <v>71</v>
      </c>
      <c r="B97" s="38"/>
      <c r="C97" s="43"/>
      <c r="D97" s="43"/>
      <c r="E97" s="43"/>
      <c r="F97" s="50">
        <v>110852351.302</v>
      </c>
      <c r="G97" s="43"/>
      <c r="H97" s="38">
        <f>+B97+C97+D97+G97+E97+F97</f>
        <v>110852351.302</v>
      </c>
      <c r="I97" s="43"/>
      <c r="J97" s="50">
        <f>+H97+I97</f>
        <v>110852351.302</v>
      </c>
      <c r="K97" s="50"/>
      <c r="L97" s="50"/>
      <c r="M97" s="50"/>
      <c r="N97" s="50">
        <f>+J97+K97+M97</f>
        <v>110852351.302</v>
      </c>
      <c r="O97" s="36"/>
      <c r="P97" s="36"/>
      <c r="Q97" s="36"/>
      <c r="R97" s="36"/>
      <c r="S97" s="36">
        <f>+[2]MER!AE66</f>
        <v>110805670</v>
      </c>
      <c r="T97" s="36"/>
      <c r="U97" s="36">
        <f>SUM(O97:T97)</f>
        <v>110805670</v>
      </c>
      <c r="V97" s="36"/>
      <c r="W97" s="36">
        <f>+U97+V97</f>
        <v>110805670</v>
      </c>
      <c r="X97" s="35">
        <f>+W97-N97</f>
        <v>-46681.302000001073</v>
      </c>
      <c r="Y97" s="49">
        <f>+W97/N97</f>
        <v>0.9995788875792736</v>
      </c>
    </row>
    <row r="98" spans="1:25" s="53" customFormat="1" ht="15" hidden="1" outlineLevel="1" x14ac:dyDescent="0.25">
      <c r="A98" s="54" t="s">
        <v>70</v>
      </c>
      <c r="B98" s="38"/>
      <c r="C98" s="43"/>
      <c r="D98" s="43"/>
      <c r="E98" s="43"/>
      <c r="F98" s="50">
        <v>135696542.44300002</v>
      </c>
      <c r="G98" s="43"/>
      <c r="H98" s="38">
        <f>+B98+C98+D98+G98+E98+F98</f>
        <v>135696542.44300002</v>
      </c>
      <c r="I98" s="43"/>
      <c r="J98" s="50">
        <f>+H98+I98</f>
        <v>135696542.44300002</v>
      </c>
      <c r="K98" s="50"/>
      <c r="L98" s="50">
        <v>18809120</v>
      </c>
      <c r="M98" s="50"/>
      <c r="N98" s="50">
        <f>+J98+K98+M98+L98</f>
        <v>154505662.44300002</v>
      </c>
      <c r="O98" s="36"/>
      <c r="P98" s="36"/>
      <c r="Q98" s="36"/>
      <c r="R98" s="36"/>
      <c r="S98" s="36">
        <f>+[2]MER!AE67</f>
        <v>150007402</v>
      </c>
      <c r="T98" s="36"/>
      <c r="U98" s="36">
        <f>SUM(O98:T98)</f>
        <v>150007402</v>
      </c>
      <c r="V98" s="36"/>
      <c r="W98" s="36">
        <f>+U98+V98</f>
        <v>150007402</v>
      </c>
      <c r="X98" s="35">
        <f>+W98-N98</f>
        <v>-4498260.4430000186</v>
      </c>
      <c r="Y98" s="49">
        <f>+W98/N98</f>
        <v>0.97088611270373659</v>
      </c>
    </row>
    <row r="99" spans="1:25" s="53" customFormat="1" ht="15" hidden="1" outlineLevel="1" x14ac:dyDescent="0.25">
      <c r="A99" s="54" t="s">
        <v>69</v>
      </c>
      <c r="B99" s="38"/>
      <c r="C99" s="43"/>
      <c r="D99" s="43"/>
      <c r="E99" s="43"/>
      <c r="F99" s="50">
        <v>140768031.35780001</v>
      </c>
      <c r="G99" s="43"/>
      <c r="H99" s="38">
        <f>+B99+C99+D99+G99+E99+F99</f>
        <v>140768031.35780001</v>
      </c>
      <c r="I99" s="43"/>
      <c r="J99" s="50">
        <f>+H99+I99</f>
        <v>140768031.35780001</v>
      </c>
      <c r="K99" s="50"/>
      <c r="L99" s="50"/>
      <c r="M99" s="50"/>
      <c r="N99" s="50">
        <f>+J99+K99+M99</f>
        <v>140768031.35780001</v>
      </c>
      <c r="O99" s="36"/>
      <c r="P99" s="36"/>
      <c r="Q99" s="36"/>
      <c r="R99" s="36"/>
      <c r="S99" s="36">
        <f>+[2]MER!AE68</f>
        <v>138026488</v>
      </c>
      <c r="T99" s="36"/>
      <c r="U99" s="36">
        <f>SUM(O99:T99)</f>
        <v>138026488</v>
      </c>
      <c r="V99" s="36"/>
      <c r="W99" s="36">
        <f>+U99+V99</f>
        <v>138026488</v>
      </c>
      <c r="X99" s="35">
        <f>+W99-N99</f>
        <v>-2741543.3578000069</v>
      </c>
      <c r="Y99" s="49">
        <f>+W99/N99</f>
        <v>0.98052438944157971</v>
      </c>
    </row>
    <row r="100" spans="1:25" s="53" customFormat="1" ht="15" hidden="1" outlineLevel="1" x14ac:dyDescent="0.25">
      <c r="A100" s="54" t="s">
        <v>68</v>
      </c>
      <c r="B100" s="38"/>
      <c r="C100" s="43"/>
      <c r="D100" s="43"/>
      <c r="E100" s="43"/>
      <c r="F100" s="50">
        <v>176285534.38496</v>
      </c>
      <c r="G100" s="43"/>
      <c r="H100" s="38">
        <f>+B100+C100+D100+G100+E100+F100</f>
        <v>176285534.38496</v>
      </c>
      <c r="I100" s="43"/>
      <c r="J100" s="50">
        <f>+H100+I100</f>
        <v>176285534.38496</v>
      </c>
      <c r="K100" s="50"/>
      <c r="L100" s="50"/>
      <c r="M100" s="50"/>
      <c r="N100" s="50">
        <f>+J100+K100+M100</f>
        <v>176285534.38496</v>
      </c>
      <c r="O100" s="36"/>
      <c r="P100" s="36"/>
      <c r="Q100" s="36"/>
      <c r="R100" s="36"/>
      <c r="S100" s="36">
        <f>+[2]MER!AE69</f>
        <v>175704696</v>
      </c>
      <c r="T100" s="36"/>
      <c r="U100" s="36">
        <f>SUM(O100:T100)</f>
        <v>175704696</v>
      </c>
      <c r="V100" s="36"/>
      <c r="W100" s="36">
        <f>+U100+V100</f>
        <v>175704696</v>
      </c>
      <c r="X100" s="35">
        <f>+W100-N100</f>
        <v>-580838.38495999575</v>
      </c>
      <c r="Y100" s="49">
        <f>+W100/N100</f>
        <v>0.99670512735496719</v>
      </c>
    </row>
    <row r="101" spans="1:25" s="53" customFormat="1" ht="15" hidden="1" outlineLevel="1" x14ac:dyDescent="0.25">
      <c r="A101" s="54" t="s">
        <v>67</v>
      </c>
      <c r="B101" s="38"/>
      <c r="C101" s="43"/>
      <c r="D101" s="43"/>
      <c r="E101" s="43"/>
      <c r="F101" s="50">
        <v>36344180.980800003</v>
      </c>
      <c r="G101" s="43"/>
      <c r="H101" s="38">
        <f>+B101+C101+D101+G101+E101+F101</f>
        <v>36344180.980800003</v>
      </c>
      <c r="I101" s="43"/>
      <c r="J101" s="50">
        <f>+H101+I101</f>
        <v>36344180.980800003</v>
      </c>
      <c r="K101" s="50"/>
      <c r="L101" s="50"/>
      <c r="M101" s="50"/>
      <c r="N101" s="50">
        <f>+J101+K101+M101</f>
        <v>36344180.980800003</v>
      </c>
      <c r="O101" s="52"/>
      <c r="P101" s="52"/>
      <c r="Q101" s="52"/>
      <c r="R101" s="52"/>
      <c r="S101" s="36">
        <f>+[2]MER!AE70</f>
        <v>32035060</v>
      </c>
      <c r="T101" s="52"/>
      <c r="U101" s="52">
        <f>SUM(O101:T101)</f>
        <v>32035060</v>
      </c>
      <c r="V101" s="52"/>
      <c r="W101" s="36">
        <f>+U101+V101</f>
        <v>32035060</v>
      </c>
      <c r="X101" s="35">
        <f>+W101-N101</f>
        <v>-4309120.9808000028</v>
      </c>
      <c r="Y101" s="49">
        <f>+W101/N101</f>
        <v>0.88143573841775558</v>
      </c>
    </row>
    <row r="102" spans="1:25" s="53" customFormat="1" ht="15" collapsed="1" x14ac:dyDescent="0.25">
      <c r="A102" s="54"/>
      <c r="B102" s="38"/>
      <c r="C102" s="43"/>
      <c r="D102" s="43"/>
      <c r="E102" s="43"/>
      <c r="F102" s="50"/>
      <c r="G102" s="43"/>
      <c r="H102" s="38"/>
      <c r="I102" s="43"/>
      <c r="J102" s="50"/>
      <c r="K102" s="50"/>
      <c r="L102" s="50"/>
      <c r="M102" s="50"/>
      <c r="N102" s="50"/>
      <c r="O102" s="36"/>
      <c r="P102" s="36"/>
      <c r="Q102" s="36"/>
      <c r="R102" s="36"/>
      <c r="S102" s="36"/>
      <c r="T102" s="36"/>
      <c r="U102" s="36"/>
      <c r="V102" s="36"/>
      <c r="W102" s="36"/>
      <c r="X102" s="28"/>
      <c r="Y102" s="27"/>
    </row>
    <row r="103" spans="1:25" s="53" customFormat="1" ht="15" x14ac:dyDescent="0.25">
      <c r="A103" s="55" t="s">
        <v>66</v>
      </c>
      <c r="B103" s="43"/>
      <c r="C103" s="43"/>
      <c r="D103" s="43"/>
      <c r="E103" s="43"/>
      <c r="F103" s="43"/>
      <c r="G103" s="43">
        <f>+G104+G111+G114+G117</f>
        <v>14294151950.1854</v>
      </c>
      <c r="H103" s="43">
        <f>+H104+H111+H114+H117</f>
        <v>14294151950.1854</v>
      </c>
      <c r="I103" s="43"/>
      <c r="J103" s="43">
        <f>+J104+J111+J114+J117</f>
        <v>14294151950.1854</v>
      </c>
      <c r="K103" s="43">
        <f>+K104+K111+K114+K117</f>
        <v>0</v>
      </c>
      <c r="L103" s="43">
        <f>+L104+L111+L114+L117</f>
        <v>310000000</v>
      </c>
      <c r="M103" s="43">
        <f>+M104+M111+M114+M117</f>
        <v>0</v>
      </c>
      <c r="N103" s="43">
        <f>+J103+K103+M103+L103</f>
        <v>14604151950.1854</v>
      </c>
      <c r="O103" s="36"/>
      <c r="P103" s="36"/>
      <c r="Q103" s="36"/>
      <c r="R103" s="36"/>
      <c r="S103" s="36"/>
      <c r="T103" s="52">
        <f>+T104+T111+T114+T117</f>
        <v>14037322709</v>
      </c>
      <c r="U103" s="52">
        <f>SUM(O103:T103)</f>
        <v>14037322709</v>
      </c>
      <c r="V103" s="52"/>
      <c r="W103" s="52">
        <f>+U103+V103</f>
        <v>14037322709</v>
      </c>
      <c r="X103" s="28">
        <f>+W103-N103</f>
        <v>-566829241.18540001</v>
      </c>
      <c r="Y103" s="27">
        <f>+W103/N103</f>
        <v>0.96118711698434467</v>
      </c>
    </row>
    <row r="104" spans="1:25" s="53" customFormat="1" ht="15" x14ac:dyDescent="0.25">
      <c r="A104" s="55" t="s">
        <v>65</v>
      </c>
      <c r="B104" s="43"/>
      <c r="C104" s="43"/>
      <c r="D104" s="43"/>
      <c r="E104" s="46"/>
      <c r="F104" s="43"/>
      <c r="G104" s="46">
        <f>SUM(G105:G110)</f>
        <v>12864799535.870399</v>
      </c>
      <c r="H104" s="46">
        <f>SUM(H105:H110)</f>
        <v>12864799535.870399</v>
      </c>
      <c r="I104" s="43"/>
      <c r="J104" s="46">
        <f>SUM(J105:J110)</f>
        <v>12864799535.870399</v>
      </c>
      <c r="K104" s="46">
        <f>SUM(K105:K110)</f>
        <v>0</v>
      </c>
      <c r="L104" s="46">
        <f>SUM(L105:L110)</f>
        <v>310000000</v>
      </c>
      <c r="M104" s="46">
        <f>SUM(M105:M110)</f>
        <v>0</v>
      </c>
      <c r="N104" s="46">
        <f>+J104+K104+M104+L104</f>
        <v>13174799535.870399</v>
      </c>
      <c r="O104" s="36"/>
      <c r="P104" s="36"/>
      <c r="Q104" s="36"/>
      <c r="R104" s="36"/>
      <c r="S104" s="36"/>
      <c r="T104" s="52">
        <f>SUM(T105:T110)</f>
        <v>12842900337</v>
      </c>
      <c r="U104" s="52">
        <f>SUM(O104:T104)</f>
        <v>12842900337</v>
      </c>
      <c r="V104" s="36"/>
      <c r="W104" s="52">
        <f>+U104+V104</f>
        <v>12842900337</v>
      </c>
      <c r="X104" s="28">
        <f>+W104-N104</f>
        <v>-331899198.87039948</v>
      </c>
      <c r="Y104" s="27">
        <f>+W104/N104</f>
        <v>0.97480802664459876</v>
      </c>
    </row>
    <row r="105" spans="1:25" s="53" customFormat="1" ht="15" hidden="1" outlineLevel="1" x14ac:dyDescent="0.25">
      <c r="A105" s="54" t="s">
        <v>64</v>
      </c>
      <c r="B105" s="43"/>
      <c r="C105" s="43"/>
      <c r="D105" s="43"/>
      <c r="E105" s="38"/>
      <c r="F105" s="43"/>
      <c r="G105" s="38">
        <v>2324008860</v>
      </c>
      <c r="H105" s="38">
        <f>+B105+C105+D105+G105+E105+F105</f>
        <v>2324008860</v>
      </c>
      <c r="I105" s="43"/>
      <c r="J105" s="50">
        <f>+H105+I105</f>
        <v>2324008860</v>
      </c>
      <c r="K105" s="50"/>
      <c r="L105" s="50"/>
      <c r="M105" s="50"/>
      <c r="N105" s="50">
        <f>+J105+K105+M105-28000000</f>
        <v>2296008860</v>
      </c>
      <c r="O105" s="36"/>
      <c r="P105" s="36"/>
      <c r="Q105" s="36"/>
      <c r="R105" s="36"/>
      <c r="S105" s="36"/>
      <c r="T105" s="36">
        <f>+[2]PPC!AE40</f>
        <v>2246349417</v>
      </c>
      <c r="U105" s="36">
        <f>SUM(O105:T105)</f>
        <v>2246349417</v>
      </c>
      <c r="V105" s="36"/>
      <c r="W105" s="36">
        <f>+U105+V105</f>
        <v>2246349417</v>
      </c>
      <c r="X105" s="35">
        <f>+W105-N105</f>
        <v>-49659443</v>
      </c>
      <c r="Y105" s="49">
        <f>+W105/N105</f>
        <v>0.97837140619744822</v>
      </c>
    </row>
    <row r="106" spans="1:25" s="53" customFormat="1" ht="15" hidden="1" outlineLevel="1" x14ac:dyDescent="0.25">
      <c r="A106" s="54" t="s">
        <v>63</v>
      </c>
      <c r="B106" s="43"/>
      <c r="C106" s="43"/>
      <c r="D106" s="43"/>
      <c r="E106" s="38"/>
      <c r="F106" s="43"/>
      <c r="G106" s="38">
        <v>528456275.31040007</v>
      </c>
      <c r="H106" s="38">
        <f>+B106+C106+D106+G106+E106+F106</f>
        <v>528456275.31040007</v>
      </c>
      <c r="I106" s="43"/>
      <c r="J106" s="50">
        <f>+H106+I106</f>
        <v>528456275.31040007</v>
      </c>
      <c r="K106" s="50"/>
      <c r="L106" s="50"/>
      <c r="M106" s="50"/>
      <c r="N106" s="50">
        <f>+J106+K106+M106-70000000</f>
        <v>458456275.31040007</v>
      </c>
      <c r="O106" s="36"/>
      <c r="P106" s="36"/>
      <c r="Q106" s="36"/>
      <c r="R106" s="36"/>
      <c r="S106" s="36"/>
      <c r="T106" s="36">
        <f>+[2]PPC!AE41</f>
        <v>437229863</v>
      </c>
      <c r="U106" s="36">
        <f>SUM(O106:T106)</f>
        <v>437229863</v>
      </c>
      <c r="V106" s="36"/>
      <c r="W106" s="36">
        <f>+U106+V106</f>
        <v>437229863</v>
      </c>
      <c r="X106" s="35">
        <f>+W106-N106</f>
        <v>-21226412.310400069</v>
      </c>
      <c r="Y106" s="49">
        <f>+W106/N106</f>
        <v>0.953700246995139</v>
      </c>
    </row>
    <row r="107" spans="1:25" s="53" customFormat="1" ht="15" hidden="1" outlineLevel="1" x14ac:dyDescent="0.25">
      <c r="A107" s="54" t="s">
        <v>62</v>
      </c>
      <c r="B107" s="43"/>
      <c r="C107" s="43"/>
      <c r="D107" s="43"/>
      <c r="E107" s="38"/>
      <c r="F107" s="43"/>
      <c r="G107" s="38">
        <v>260749686.12</v>
      </c>
      <c r="H107" s="38">
        <f>+B107+C107+D107+G107+E107+F107</f>
        <v>260749686.12</v>
      </c>
      <c r="I107" s="43"/>
      <c r="J107" s="50">
        <f>+H107+I107</f>
        <v>260749686.12</v>
      </c>
      <c r="K107" s="50"/>
      <c r="L107" s="50"/>
      <c r="M107" s="50"/>
      <c r="N107" s="50">
        <f>+J107+K107+M107</f>
        <v>260749686.12</v>
      </c>
      <c r="O107" s="36"/>
      <c r="P107" s="36"/>
      <c r="Q107" s="36"/>
      <c r="R107" s="36"/>
      <c r="S107" s="36"/>
      <c r="T107" s="36">
        <f>+[2]PPC!AE42</f>
        <v>210363750</v>
      </c>
      <c r="U107" s="36">
        <f>SUM(O107:T107)</f>
        <v>210363750</v>
      </c>
      <c r="V107" s="36"/>
      <c r="W107" s="36">
        <f>+U107+V107</f>
        <v>210363750</v>
      </c>
      <c r="X107" s="35">
        <f>+W107-N107</f>
        <v>-50385936.120000005</v>
      </c>
      <c r="Y107" s="49">
        <f>+W107/N107</f>
        <v>0.80676511304864307</v>
      </c>
    </row>
    <row r="108" spans="1:25" s="53" customFormat="1" ht="15" hidden="1" outlineLevel="1" x14ac:dyDescent="0.25">
      <c r="A108" s="54" t="s">
        <v>61</v>
      </c>
      <c r="B108" s="43"/>
      <c r="C108" s="43"/>
      <c r="D108" s="43"/>
      <c r="E108" s="38"/>
      <c r="F108" s="43"/>
      <c r="G108" s="38">
        <v>1588972000</v>
      </c>
      <c r="H108" s="38">
        <f>+B108+C108+D108+G108+E108+F108</f>
        <v>1588972000</v>
      </c>
      <c r="I108" s="43"/>
      <c r="J108" s="50">
        <f>+H108+I108</f>
        <v>1588972000</v>
      </c>
      <c r="K108" s="50"/>
      <c r="L108" s="50"/>
      <c r="M108" s="50"/>
      <c r="N108" s="50">
        <f>+J108+K108+M108+84000000</f>
        <v>1672972000</v>
      </c>
      <c r="O108" s="36"/>
      <c r="P108" s="36"/>
      <c r="Q108" s="36"/>
      <c r="R108" s="36"/>
      <c r="S108" s="36"/>
      <c r="T108" s="36">
        <f>+[2]PPC!AE43</f>
        <v>1660714538</v>
      </c>
      <c r="U108" s="36">
        <f>SUM(O108:T108)</f>
        <v>1660714538</v>
      </c>
      <c r="V108" s="36"/>
      <c r="W108" s="36">
        <f>+U108+V108</f>
        <v>1660714538</v>
      </c>
      <c r="X108" s="35">
        <f>+W108-N108</f>
        <v>-12257462</v>
      </c>
      <c r="Y108" s="49">
        <f>+W108/N108</f>
        <v>0.99267324139316138</v>
      </c>
    </row>
    <row r="109" spans="1:25" s="53" customFormat="1" ht="15" hidden="1" outlineLevel="1" x14ac:dyDescent="0.25">
      <c r="A109" s="54" t="s">
        <v>60</v>
      </c>
      <c r="B109" s="43"/>
      <c r="C109" s="43"/>
      <c r="D109" s="43"/>
      <c r="E109" s="38"/>
      <c r="F109" s="43"/>
      <c r="G109" s="38">
        <v>8140612714.4400005</v>
      </c>
      <c r="H109" s="38">
        <f>+B109+C109+D109+G109+E109+F109</f>
        <v>8140612714.4400005</v>
      </c>
      <c r="I109" s="43"/>
      <c r="J109" s="50">
        <f>+H109+I109</f>
        <v>8140612714.4400005</v>
      </c>
      <c r="K109" s="50"/>
      <c r="L109" s="50">
        <v>310000000</v>
      </c>
      <c r="M109" s="50"/>
      <c r="N109" s="50">
        <f>+J109+K109+M109+L109</f>
        <v>8450612714.4400005</v>
      </c>
      <c r="O109" s="48"/>
      <c r="P109" s="48"/>
      <c r="Q109" s="48"/>
      <c r="R109" s="48"/>
      <c r="S109" s="48"/>
      <c r="T109" s="36">
        <f>+[2]PPC!AE44</f>
        <v>8256767063</v>
      </c>
      <c r="U109" s="36">
        <f>SUM(O109:T109)</f>
        <v>8256767063</v>
      </c>
      <c r="V109" s="36"/>
      <c r="W109" s="36">
        <f>+U109+V109</f>
        <v>8256767063</v>
      </c>
      <c r="X109" s="35">
        <f>+W109-N109</f>
        <v>-193845651.44000053</v>
      </c>
      <c r="Y109" s="49">
        <f>+W109/N109</f>
        <v>0.97706134951507528</v>
      </c>
    </row>
    <row r="110" spans="1:25" s="53" customFormat="1" ht="15" hidden="1" outlineLevel="1" x14ac:dyDescent="0.25">
      <c r="A110" s="54" t="s">
        <v>59</v>
      </c>
      <c r="B110" s="43"/>
      <c r="C110" s="43"/>
      <c r="D110" s="43"/>
      <c r="E110" s="38"/>
      <c r="F110" s="43"/>
      <c r="G110" s="38">
        <v>22000000</v>
      </c>
      <c r="H110" s="38">
        <f>+B110+C110+D110+G110+E110+F110</f>
        <v>22000000</v>
      </c>
      <c r="I110" s="43"/>
      <c r="J110" s="50">
        <f>+H110+I110</f>
        <v>22000000</v>
      </c>
      <c r="K110" s="50"/>
      <c r="L110" s="50"/>
      <c r="M110" s="50"/>
      <c r="N110" s="50">
        <f>+J110+K110+M110+14000000</f>
        <v>36000000</v>
      </c>
      <c r="O110" s="52"/>
      <c r="P110" s="52"/>
      <c r="Q110" s="52"/>
      <c r="R110" s="52"/>
      <c r="S110" s="52"/>
      <c r="T110" s="36">
        <f>+[2]PPC!AE45</f>
        <v>31475706</v>
      </c>
      <c r="U110" s="36">
        <f>SUM(O110:T110)</f>
        <v>31475706</v>
      </c>
      <c r="V110" s="36"/>
      <c r="W110" s="36">
        <f>+U110+V110</f>
        <v>31475706</v>
      </c>
      <c r="X110" s="35">
        <f>+W110-N110</f>
        <v>-4524294</v>
      </c>
      <c r="Y110" s="49">
        <f>+W110/N110</f>
        <v>0.87432516666666671</v>
      </c>
    </row>
    <row r="111" spans="1:25" s="53" customFormat="1" ht="15" collapsed="1" x14ac:dyDescent="0.25">
      <c r="A111" s="55" t="s">
        <v>58</v>
      </c>
      <c r="B111" s="43"/>
      <c r="C111" s="43"/>
      <c r="D111" s="43"/>
      <c r="E111" s="46"/>
      <c r="F111" s="43"/>
      <c r="G111" s="46">
        <f>SUM(G112:G113)</f>
        <v>416432340</v>
      </c>
      <c r="H111" s="46">
        <f>SUM(H112:H113)</f>
        <v>416432340</v>
      </c>
      <c r="I111" s="43"/>
      <c r="J111" s="46">
        <f>SUM(J112:J113)</f>
        <v>416432340</v>
      </c>
      <c r="K111" s="46">
        <f>SUM(K112:K113)</f>
        <v>0</v>
      </c>
      <c r="L111" s="46">
        <f>SUM(L112:L113)</f>
        <v>0</v>
      </c>
      <c r="M111" s="46">
        <f>SUM(M112:M113)</f>
        <v>0</v>
      </c>
      <c r="N111" s="46">
        <f>+J111+K111+M111</f>
        <v>416432340</v>
      </c>
      <c r="O111" s="36"/>
      <c r="P111" s="36"/>
      <c r="Q111" s="36"/>
      <c r="R111" s="36"/>
      <c r="S111" s="36"/>
      <c r="T111" s="52">
        <f>SUM(T112:T113)</f>
        <v>375281506</v>
      </c>
      <c r="U111" s="52">
        <f>SUM(O111:T111)</f>
        <v>375281506</v>
      </c>
      <c r="V111" s="36"/>
      <c r="W111" s="52">
        <f>+U111+V111</f>
        <v>375281506</v>
      </c>
      <c r="X111" s="28">
        <f>+W111-N111</f>
        <v>-41150834</v>
      </c>
      <c r="Y111" s="27">
        <f>+W111/N111</f>
        <v>0.90118242497688816</v>
      </c>
    </row>
    <row r="112" spans="1:25" s="53" customFormat="1" ht="15" hidden="1" outlineLevel="1" x14ac:dyDescent="0.25">
      <c r="A112" s="54" t="s">
        <v>57</v>
      </c>
      <c r="B112" s="43"/>
      <c r="C112" s="43"/>
      <c r="D112" s="43"/>
      <c r="E112" s="38"/>
      <c r="F112" s="43"/>
      <c r="G112" s="38">
        <v>214192340</v>
      </c>
      <c r="H112" s="38">
        <f>+B112+C112+D112+G112+E112+F112</f>
        <v>214192340</v>
      </c>
      <c r="I112" s="43"/>
      <c r="J112" s="50">
        <f>+H112+I112</f>
        <v>214192340</v>
      </c>
      <c r="K112" s="50"/>
      <c r="L112" s="50"/>
      <c r="M112" s="50"/>
      <c r="N112" s="50">
        <f>+J112+K112+M112</f>
        <v>214192340</v>
      </c>
      <c r="O112" s="36"/>
      <c r="P112" s="36"/>
      <c r="Q112" s="36"/>
      <c r="R112" s="36"/>
      <c r="S112" s="36"/>
      <c r="T112" s="36">
        <f>+[2]PPC!AE47</f>
        <v>189906565</v>
      </c>
      <c r="U112" s="36">
        <f>SUM(O112:T112)</f>
        <v>189906565</v>
      </c>
      <c r="V112" s="36"/>
      <c r="W112" s="36">
        <f>+U112+V112</f>
        <v>189906565</v>
      </c>
      <c r="X112" s="35">
        <f>+W112-N112</f>
        <v>-24285775</v>
      </c>
      <c r="Y112" s="49">
        <f>+W112/N112</f>
        <v>0.8866169770590302</v>
      </c>
    </row>
    <row r="113" spans="1:25" s="53" customFormat="1" ht="15" hidden="1" outlineLevel="1" x14ac:dyDescent="0.25">
      <c r="A113" s="54" t="s">
        <v>56</v>
      </c>
      <c r="B113" s="43"/>
      <c r="C113" s="43"/>
      <c r="D113" s="43"/>
      <c r="E113" s="38"/>
      <c r="F113" s="43"/>
      <c r="G113" s="38">
        <v>202240000</v>
      </c>
      <c r="H113" s="38">
        <f>+B113+C113+D113+G113+E113+F113</f>
        <v>202240000</v>
      </c>
      <c r="I113" s="43"/>
      <c r="J113" s="50">
        <f>+H113+I113</f>
        <v>202240000</v>
      </c>
      <c r="K113" s="50"/>
      <c r="L113" s="50"/>
      <c r="M113" s="50"/>
      <c r="N113" s="50">
        <f>+J113+K113+M113</f>
        <v>202240000</v>
      </c>
      <c r="O113" s="36"/>
      <c r="P113" s="36"/>
      <c r="Q113" s="36"/>
      <c r="R113" s="36"/>
      <c r="S113" s="36"/>
      <c r="T113" s="36">
        <f>+[2]PPC!AE48</f>
        <v>185374941</v>
      </c>
      <c r="U113" s="36">
        <f>SUM(O113:T113)</f>
        <v>185374941</v>
      </c>
      <c r="V113" s="36"/>
      <c r="W113" s="36">
        <f>+U113+V113</f>
        <v>185374941</v>
      </c>
      <c r="X113" s="35">
        <f>+W113-N113</f>
        <v>-16865059</v>
      </c>
      <c r="Y113" s="49">
        <f>+W113/N113</f>
        <v>0.91660868769778481</v>
      </c>
    </row>
    <row r="114" spans="1:25" s="53" customFormat="1" ht="15" collapsed="1" x14ac:dyDescent="0.25">
      <c r="A114" s="55" t="s">
        <v>55</v>
      </c>
      <c r="B114" s="43"/>
      <c r="C114" s="43"/>
      <c r="D114" s="43"/>
      <c r="E114" s="46"/>
      <c r="F114" s="43"/>
      <c r="G114" s="46">
        <f>SUM(G115:G116)</f>
        <v>507420074.315</v>
      </c>
      <c r="H114" s="46">
        <f>SUM(H115:H116)</f>
        <v>507420074.315</v>
      </c>
      <c r="I114" s="43"/>
      <c r="J114" s="46">
        <f>SUM(J115:J116)</f>
        <v>507420074.315</v>
      </c>
      <c r="K114" s="46">
        <f>SUM(K115:K116)</f>
        <v>0</v>
      </c>
      <c r="L114" s="46">
        <f>SUM(L115:L116)</f>
        <v>0</v>
      </c>
      <c r="M114" s="46">
        <f>SUM(M115:M116)</f>
        <v>0</v>
      </c>
      <c r="N114" s="46">
        <f>+J114+K114+M114</f>
        <v>507420074.315</v>
      </c>
      <c r="O114" s="36"/>
      <c r="P114" s="36"/>
      <c r="Q114" s="36"/>
      <c r="R114" s="36"/>
      <c r="S114" s="36"/>
      <c r="T114" s="52">
        <f>SUM(T115:T116)</f>
        <v>344290555</v>
      </c>
      <c r="U114" s="52">
        <f>SUM(O114:T114)</f>
        <v>344290555</v>
      </c>
      <c r="V114" s="36"/>
      <c r="W114" s="52">
        <f>+U114+V114</f>
        <v>344290555</v>
      </c>
      <c r="X114" s="28">
        <f>+W114-N114</f>
        <v>-163129519.315</v>
      </c>
      <c r="Y114" s="27">
        <f>+W114/N114</f>
        <v>0.67851189266561962</v>
      </c>
    </row>
    <row r="115" spans="1:25" s="53" customFormat="1" ht="15" hidden="1" outlineLevel="1" x14ac:dyDescent="0.25">
      <c r="A115" s="54" t="str">
        <f>+'[6]Presupuesto 2017 vs 2018'!$B$37</f>
        <v>Diagnóstico Rutinario</v>
      </c>
      <c r="B115" s="43"/>
      <c r="C115" s="43"/>
      <c r="D115" s="43"/>
      <c r="E115" s="38"/>
      <c r="F115" s="43"/>
      <c r="G115" s="38">
        <v>321405700</v>
      </c>
      <c r="H115" s="38">
        <f>+B115+C115+D115+G115+E115+F115</f>
        <v>321405700</v>
      </c>
      <c r="I115" s="43"/>
      <c r="J115" s="50">
        <f>+H115+I115</f>
        <v>321405700</v>
      </c>
      <c r="K115" s="50"/>
      <c r="L115" s="50"/>
      <c r="M115" s="50"/>
      <c r="N115" s="50">
        <f>+J115+K115+M115</f>
        <v>321405700</v>
      </c>
      <c r="O115" s="36"/>
      <c r="P115" s="36"/>
      <c r="Q115" s="36"/>
      <c r="R115" s="36"/>
      <c r="S115" s="36"/>
      <c r="T115" s="36">
        <f>+[2]PPC!AE50</f>
        <v>199169661</v>
      </c>
      <c r="U115" s="36">
        <f>SUM(O115:T115)</f>
        <v>199169661</v>
      </c>
      <c r="V115" s="36"/>
      <c r="W115" s="36">
        <f>+U115+V115</f>
        <v>199169661</v>
      </c>
      <c r="X115" s="35">
        <f>+W115-N115</f>
        <v>-122236039</v>
      </c>
      <c r="Y115" s="49">
        <f>+W115/N115</f>
        <v>0.61968303922425771</v>
      </c>
    </row>
    <row r="116" spans="1:25" s="53" customFormat="1" ht="15" hidden="1" outlineLevel="1" x14ac:dyDescent="0.25">
      <c r="A116" s="54" t="s">
        <v>54</v>
      </c>
      <c r="B116" s="43"/>
      <c r="C116" s="43"/>
      <c r="D116" s="43"/>
      <c r="E116" s="38"/>
      <c r="F116" s="43"/>
      <c r="G116" s="38">
        <v>186014374.315</v>
      </c>
      <c r="H116" s="38">
        <f>+B116+C116+D116+G116+E116+F116</f>
        <v>186014374.315</v>
      </c>
      <c r="I116" s="43"/>
      <c r="J116" s="50">
        <f>+H116+I116</f>
        <v>186014374.315</v>
      </c>
      <c r="K116" s="50"/>
      <c r="L116" s="50"/>
      <c r="M116" s="50"/>
      <c r="N116" s="50">
        <f>+J116+K116+M116</f>
        <v>186014374.315</v>
      </c>
      <c r="O116" s="36"/>
      <c r="P116" s="36"/>
      <c r="Q116" s="36"/>
      <c r="R116" s="36"/>
      <c r="S116" s="36"/>
      <c r="T116" s="36">
        <f>+[2]PPC!AE51</f>
        <v>145120894</v>
      </c>
      <c r="U116" s="36">
        <f>SUM(O116:T116)</f>
        <v>145120894</v>
      </c>
      <c r="V116" s="36"/>
      <c r="W116" s="36">
        <f>+U116+V116</f>
        <v>145120894</v>
      </c>
      <c r="X116" s="35">
        <f>+W116-N116</f>
        <v>-40893480.314999998</v>
      </c>
      <c r="Y116" s="49">
        <f>+W116/N116</f>
        <v>0.78015956849791479</v>
      </c>
    </row>
    <row r="117" spans="1:25" s="53" customFormat="1" ht="15" collapsed="1" x14ac:dyDescent="0.25">
      <c r="A117" s="55" t="s">
        <v>53</v>
      </c>
      <c r="B117" s="43"/>
      <c r="C117" s="43"/>
      <c r="D117" s="43"/>
      <c r="E117" s="46"/>
      <c r="F117" s="43"/>
      <c r="G117" s="46">
        <f>SUM(G118:G119)</f>
        <v>505500000</v>
      </c>
      <c r="H117" s="46">
        <f>SUM(H118:H119)</f>
        <v>505500000</v>
      </c>
      <c r="I117" s="46"/>
      <c r="J117" s="46">
        <f>SUM(J118:J119)</f>
        <v>505500000</v>
      </c>
      <c r="K117" s="46">
        <f>SUM(K118:K119)</f>
        <v>0</v>
      </c>
      <c r="L117" s="46">
        <f>SUM(L118:L119)</f>
        <v>0</v>
      </c>
      <c r="M117" s="46">
        <f>SUM(M118:M119)</f>
        <v>0</v>
      </c>
      <c r="N117" s="46">
        <f>+J117+K117+M117</f>
        <v>505500000</v>
      </c>
      <c r="O117" s="52"/>
      <c r="P117" s="52"/>
      <c r="Q117" s="52"/>
      <c r="R117" s="52"/>
      <c r="S117" s="52"/>
      <c r="T117" s="52">
        <f>SUM(T118:T119)</f>
        <v>474850311</v>
      </c>
      <c r="U117" s="52">
        <f>SUM(O117:T117)</f>
        <v>474850311</v>
      </c>
      <c r="V117" s="52"/>
      <c r="W117" s="52">
        <f>+U117+V117</f>
        <v>474850311</v>
      </c>
      <c r="X117" s="28">
        <f>+W117-N117</f>
        <v>-30649689</v>
      </c>
      <c r="Y117" s="27">
        <f>+W117/N117</f>
        <v>0.93936757863501485</v>
      </c>
    </row>
    <row r="118" spans="1:25" s="53" customFormat="1" ht="15" hidden="1" outlineLevel="1" x14ac:dyDescent="0.25">
      <c r="A118" s="54" t="s">
        <v>52</v>
      </c>
      <c r="B118" s="43"/>
      <c r="C118" s="43"/>
      <c r="D118" s="43"/>
      <c r="E118" s="38"/>
      <c r="F118" s="43"/>
      <c r="G118" s="38">
        <v>192000208</v>
      </c>
      <c r="H118" s="38">
        <f>+B118+C118+D118+G118+E118+F118</f>
        <v>192000208</v>
      </c>
      <c r="I118" s="43"/>
      <c r="J118" s="50">
        <f>+H118+I118</f>
        <v>192000208</v>
      </c>
      <c r="K118" s="50"/>
      <c r="L118" s="50"/>
      <c r="M118" s="50"/>
      <c r="N118" s="50">
        <f>+J118+K118+M118</f>
        <v>192000208</v>
      </c>
      <c r="O118" s="36"/>
      <c r="P118" s="36"/>
      <c r="Q118" s="36"/>
      <c r="R118" s="36"/>
      <c r="S118" s="36"/>
      <c r="T118" s="36">
        <f>+[2]PPC!AE53</f>
        <v>176555926</v>
      </c>
      <c r="U118" s="36">
        <f>SUM(O118:T118)</f>
        <v>176555926</v>
      </c>
      <c r="V118" s="36"/>
      <c r="W118" s="36">
        <f>+U118+V118</f>
        <v>176555926</v>
      </c>
      <c r="X118" s="35">
        <f>+W118-N118</f>
        <v>-15444282</v>
      </c>
      <c r="Y118" s="49">
        <f>+W118/N118</f>
        <v>0.91956111839212173</v>
      </c>
    </row>
    <row r="119" spans="1:25" s="53" customFormat="1" ht="15" hidden="1" outlineLevel="1" x14ac:dyDescent="0.25">
      <c r="A119" s="54" t="s">
        <v>51</v>
      </c>
      <c r="B119" s="43"/>
      <c r="C119" s="43"/>
      <c r="D119" s="43"/>
      <c r="E119" s="38"/>
      <c r="F119" s="43"/>
      <c r="G119" s="38">
        <v>313499792</v>
      </c>
      <c r="H119" s="38">
        <f>+B119+C119+D119+G119+E119+F119</f>
        <v>313499792</v>
      </c>
      <c r="I119" s="43"/>
      <c r="J119" s="50">
        <f>+H119+I119</f>
        <v>313499792</v>
      </c>
      <c r="K119" s="50"/>
      <c r="L119" s="50"/>
      <c r="M119" s="50"/>
      <c r="N119" s="50">
        <f>+J119+K119+M119</f>
        <v>313499792</v>
      </c>
      <c r="O119" s="36"/>
      <c r="P119" s="36"/>
      <c r="Q119" s="36"/>
      <c r="R119" s="36"/>
      <c r="S119" s="36"/>
      <c r="T119" s="36">
        <f>+[2]PPC!AE54</f>
        <v>298294385</v>
      </c>
      <c r="U119" s="36">
        <f>SUM(O119:T119)</f>
        <v>298294385</v>
      </c>
      <c r="V119" s="36"/>
      <c r="W119" s="36">
        <f>+U119+V119</f>
        <v>298294385</v>
      </c>
      <c r="X119" s="35">
        <f>+W119-N119</f>
        <v>-15205407</v>
      </c>
      <c r="Y119" s="49">
        <f>+W119/N119</f>
        <v>0.95149787212617987</v>
      </c>
    </row>
    <row r="120" spans="1:25" s="53" customFormat="1" ht="15" collapsed="1" x14ac:dyDescent="0.25">
      <c r="A120" s="54"/>
      <c r="B120" s="43"/>
      <c r="C120" s="43"/>
      <c r="D120" s="43"/>
      <c r="E120" s="50"/>
      <c r="F120" s="43"/>
      <c r="G120" s="50"/>
      <c r="H120" s="38"/>
      <c r="I120" s="43"/>
      <c r="J120" s="50"/>
      <c r="K120" s="50"/>
      <c r="L120" s="50"/>
      <c r="M120" s="50"/>
      <c r="N120" s="50"/>
      <c r="O120" s="52"/>
      <c r="P120" s="52"/>
      <c r="Q120" s="52"/>
      <c r="R120" s="52"/>
      <c r="S120" s="52"/>
      <c r="T120" s="52"/>
      <c r="U120" s="52"/>
      <c r="V120" s="52"/>
      <c r="W120" s="52"/>
      <c r="X120" s="28"/>
      <c r="Y120" s="27"/>
    </row>
    <row r="121" spans="1:25" s="61" customFormat="1" ht="15" x14ac:dyDescent="0.25">
      <c r="A121" s="55" t="s">
        <v>50</v>
      </c>
      <c r="B121" s="57"/>
      <c r="C121" s="46">
        <f>+C122+C128+C131+C134</f>
        <v>3232084771.2935162</v>
      </c>
      <c r="D121" s="57"/>
      <c r="E121" s="62"/>
      <c r="F121" s="57"/>
      <c r="G121" s="62"/>
      <c r="H121" s="46">
        <f>+H122+H128+H131+H134</f>
        <v>3232084771.2935162</v>
      </c>
      <c r="I121" s="57"/>
      <c r="J121" s="46">
        <f>+H121+I121</f>
        <v>3232084771.2935162</v>
      </c>
      <c r="K121" s="46">
        <f>+K122+K128+K131+K134</f>
        <v>0</v>
      </c>
      <c r="L121" s="46">
        <f>+L122+L128+L131+L134</f>
        <v>0</v>
      </c>
      <c r="M121" s="46">
        <f>+M122+M128+M131+M134</f>
        <v>-147386892</v>
      </c>
      <c r="N121" s="46">
        <f>+J121+K121+M121</f>
        <v>3084697879.2935162</v>
      </c>
      <c r="O121" s="36"/>
      <c r="P121" s="52">
        <f>+P122+P128+P131+P134</f>
        <v>2824192619</v>
      </c>
      <c r="Q121" s="36"/>
      <c r="R121" s="36"/>
      <c r="S121" s="36"/>
      <c r="T121" s="36"/>
      <c r="U121" s="52">
        <f>SUM(O121:T121)</f>
        <v>2824192619</v>
      </c>
      <c r="V121" s="52"/>
      <c r="W121" s="52">
        <f>+U121+V121</f>
        <v>2824192619</v>
      </c>
      <c r="X121" s="28">
        <f>+W121-N121</f>
        <v>-260505260.29351616</v>
      </c>
      <c r="Y121" s="27">
        <f>+W121/N121</f>
        <v>0.91554918164200272</v>
      </c>
    </row>
    <row r="122" spans="1:25" s="53" customFormat="1" ht="15" x14ac:dyDescent="0.25">
      <c r="A122" s="55" t="s">
        <v>49</v>
      </c>
      <c r="B122" s="57"/>
      <c r="C122" s="43">
        <f>SUM(C123:C127)</f>
        <v>792992415.11609995</v>
      </c>
      <c r="D122" s="43"/>
      <c r="E122" s="43"/>
      <c r="F122" s="43"/>
      <c r="G122" s="43"/>
      <c r="H122" s="43">
        <f>+B122+C122+D122+G122+E122+F122</f>
        <v>792992415.11609995</v>
      </c>
      <c r="I122" s="46"/>
      <c r="J122" s="43">
        <f>SUM(J123:K127)</f>
        <v>792992415.11609995</v>
      </c>
      <c r="K122" s="43">
        <f>SUM(K123:K125)</f>
        <v>0</v>
      </c>
      <c r="L122" s="43">
        <f>SUM(L123:L125)</f>
        <v>0</v>
      </c>
      <c r="M122" s="43">
        <f>SUM(M123:M125)</f>
        <v>0</v>
      </c>
      <c r="N122" s="43">
        <f>+J122+K122+M122</f>
        <v>792992415.11609995</v>
      </c>
      <c r="O122" s="36"/>
      <c r="P122" s="52">
        <f>SUM(P123:P127)</f>
        <v>663480960</v>
      </c>
      <c r="Q122" s="36"/>
      <c r="R122" s="36"/>
      <c r="S122" s="36"/>
      <c r="T122" s="36"/>
      <c r="U122" s="52">
        <f>SUM(O122:T122)</f>
        <v>663480960</v>
      </c>
      <c r="V122" s="36"/>
      <c r="W122" s="52">
        <f>+U122+V122</f>
        <v>663480960</v>
      </c>
      <c r="X122" s="28">
        <f>+W122-N122</f>
        <v>-129511455.11609995</v>
      </c>
      <c r="Y122" s="27">
        <f>+W122/N122</f>
        <v>0.83668008338120292</v>
      </c>
    </row>
    <row r="123" spans="1:25" s="53" customFormat="1" ht="15" hidden="1" outlineLevel="1" x14ac:dyDescent="0.25">
      <c r="A123" s="54" t="s">
        <v>48</v>
      </c>
      <c r="B123" s="57"/>
      <c r="C123" s="50">
        <v>365072549.07609999</v>
      </c>
      <c r="D123" s="43"/>
      <c r="E123" s="43"/>
      <c r="F123" s="43"/>
      <c r="G123" s="43"/>
      <c r="H123" s="50">
        <f>+B123+C123+D123+G123+E123+F123</f>
        <v>365072549.07609999</v>
      </c>
      <c r="I123" s="46"/>
      <c r="J123" s="50">
        <f>+H123+I123</f>
        <v>365072549.07609999</v>
      </c>
      <c r="K123" s="50"/>
      <c r="L123" s="50"/>
      <c r="M123" s="50"/>
      <c r="N123" s="50">
        <f>+J123+K123+M123</f>
        <v>365072549.07609999</v>
      </c>
      <c r="O123" s="52"/>
      <c r="P123" s="36">
        <f>+[2]TEC!AE36</f>
        <v>333966882</v>
      </c>
      <c r="Q123" s="52"/>
      <c r="R123" s="52"/>
      <c r="S123" s="52"/>
      <c r="T123" s="52"/>
      <c r="U123" s="36">
        <f>SUM(O123:T123)</f>
        <v>333966882</v>
      </c>
      <c r="V123" s="36"/>
      <c r="W123" s="36">
        <f>+U123+V123</f>
        <v>333966882</v>
      </c>
      <c r="X123" s="35">
        <f>+W123-N123</f>
        <v>-31105667.076099992</v>
      </c>
      <c r="Y123" s="49">
        <f>+W123/N123</f>
        <v>0.9147959298642967</v>
      </c>
    </row>
    <row r="124" spans="1:25" s="53" customFormat="1" ht="15" hidden="1" outlineLevel="1" x14ac:dyDescent="0.25">
      <c r="A124" s="54" t="s">
        <v>47</v>
      </c>
      <c r="B124" s="57"/>
      <c r="C124" s="50">
        <v>40250000</v>
      </c>
      <c r="D124" s="43"/>
      <c r="E124" s="43"/>
      <c r="F124" s="43"/>
      <c r="G124" s="43"/>
      <c r="H124" s="50">
        <f>+B124+C124+D124+G124+E124+F124</f>
        <v>40250000</v>
      </c>
      <c r="I124" s="46"/>
      <c r="J124" s="50">
        <f>+H124+I124</f>
        <v>40250000</v>
      </c>
      <c r="K124" s="50"/>
      <c r="L124" s="50"/>
      <c r="M124" s="50"/>
      <c r="N124" s="50">
        <f>+J124+K124+M124</f>
        <v>40250000</v>
      </c>
      <c r="O124" s="36"/>
      <c r="P124" s="36">
        <f>+[2]TEC!AE37</f>
        <v>25841708</v>
      </c>
      <c r="Q124" s="36"/>
      <c r="R124" s="36"/>
      <c r="S124" s="36"/>
      <c r="T124" s="36"/>
      <c r="U124" s="36">
        <f>SUM(O124:T124)</f>
        <v>25841708</v>
      </c>
      <c r="V124" s="36"/>
      <c r="W124" s="36">
        <f>+U124+V124</f>
        <v>25841708</v>
      </c>
      <c r="X124" s="35">
        <f>+W124-N124</f>
        <v>-14408292</v>
      </c>
      <c r="Y124" s="49">
        <f>+W124/N124</f>
        <v>0.64203001242236024</v>
      </c>
    </row>
    <row r="125" spans="1:25" s="53" customFormat="1" ht="15" hidden="1" outlineLevel="1" x14ac:dyDescent="0.25">
      <c r="A125" s="54" t="s">
        <v>46</v>
      </c>
      <c r="B125" s="57"/>
      <c r="C125" s="50">
        <v>227487450.03999999</v>
      </c>
      <c r="D125" s="43"/>
      <c r="E125" s="43"/>
      <c r="F125" s="43"/>
      <c r="G125" s="43"/>
      <c r="H125" s="50">
        <f>+B125+C125+D125+G125+E125+F125</f>
        <v>227487450.03999999</v>
      </c>
      <c r="I125" s="46"/>
      <c r="J125" s="50">
        <f>+H125+I125</f>
        <v>227487450.03999999</v>
      </c>
      <c r="K125" s="50"/>
      <c r="L125" s="50"/>
      <c r="M125" s="50"/>
      <c r="N125" s="50">
        <f>+J125+K125+M125</f>
        <v>227487450.03999999</v>
      </c>
      <c r="O125" s="36"/>
      <c r="P125" s="36">
        <f>+[2]TEC!AE38</f>
        <v>215367589</v>
      </c>
      <c r="Q125" s="36"/>
      <c r="R125" s="36"/>
      <c r="S125" s="36"/>
      <c r="T125" s="36"/>
      <c r="U125" s="36">
        <f>SUM(O125:T125)</f>
        <v>215367589</v>
      </c>
      <c r="V125" s="36"/>
      <c r="W125" s="36">
        <f>+U125+V125</f>
        <v>215367589</v>
      </c>
      <c r="X125" s="35">
        <f>+W125-N125</f>
        <v>-12119861.039999992</v>
      </c>
      <c r="Y125" s="49">
        <f>+W125/N125</f>
        <v>0.94672294652795608</v>
      </c>
    </row>
    <row r="126" spans="1:25" s="53" customFormat="1" ht="15" hidden="1" outlineLevel="2" x14ac:dyDescent="0.25">
      <c r="A126" s="54" t="str">
        <f>+'[4]Presupuesto 2018 vs 2017'!$B$16</f>
        <v>Control y monitoreo de PRRS</v>
      </c>
      <c r="B126" s="43"/>
      <c r="C126" s="50">
        <v>127200000</v>
      </c>
      <c r="D126" s="43"/>
      <c r="E126" s="59"/>
      <c r="F126" s="43"/>
      <c r="G126" s="43"/>
      <c r="H126" s="50">
        <f>+B126+C126+D126+G126+E126+F126</f>
        <v>127200000</v>
      </c>
      <c r="I126" s="43"/>
      <c r="J126" s="50">
        <f>+H126+I126</f>
        <v>127200000</v>
      </c>
      <c r="K126" s="50"/>
      <c r="L126" s="50"/>
      <c r="M126" s="50"/>
      <c r="N126" s="50">
        <f>+J126+K126+M126</f>
        <v>127200000</v>
      </c>
      <c r="O126" s="36"/>
      <c r="P126" s="36">
        <f>+[2]TEC!AE39</f>
        <v>56090127</v>
      </c>
      <c r="Q126" s="36"/>
      <c r="R126" s="36"/>
      <c r="S126" s="36"/>
      <c r="T126" s="36"/>
      <c r="U126" s="36">
        <f>SUM(O126:T126)</f>
        <v>56090127</v>
      </c>
      <c r="V126" s="36"/>
      <c r="W126" s="36">
        <f>+U126+V126</f>
        <v>56090127</v>
      </c>
      <c r="X126" s="35">
        <f>+W126-N126</f>
        <v>-71109873</v>
      </c>
      <c r="Y126" s="49">
        <f>+W126/N126</f>
        <v>0.44096011792452833</v>
      </c>
    </row>
    <row r="127" spans="1:25" s="53" customFormat="1" ht="15" hidden="1" outlineLevel="2" x14ac:dyDescent="0.25">
      <c r="A127" s="54" t="str">
        <f>+'[4]Presupuesto 2018 vs 2017'!$B$19</f>
        <v>Divulgación sanitaria</v>
      </c>
      <c r="B127" s="43"/>
      <c r="C127" s="50">
        <v>32982416</v>
      </c>
      <c r="D127" s="43"/>
      <c r="E127" s="59"/>
      <c r="F127" s="43"/>
      <c r="G127" s="43"/>
      <c r="H127" s="50">
        <f>+B127+C127+D127+G127+E127+F127</f>
        <v>32982416</v>
      </c>
      <c r="I127" s="43"/>
      <c r="J127" s="50">
        <f>+H127+I127</f>
        <v>32982416</v>
      </c>
      <c r="K127" s="50"/>
      <c r="L127" s="50"/>
      <c r="M127" s="50"/>
      <c r="N127" s="50">
        <f>+J127+K127+M127</f>
        <v>32982416</v>
      </c>
      <c r="O127" s="52"/>
      <c r="P127" s="36">
        <f>+[2]TEC!AE40</f>
        <v>32214654</v>
      </c>
      <c r="Q127" s="52"/>
      <c r="R127" s="52"/>
      <c r="S127" s="52"/>
      <c r="T127" s="52"/>
      <c r="U127" s="36">
        <f>SUM(O127:T127)</f>
        <v>32214654</v>
      </c>
      <c r="V127" s="36"/>
      <c r="W127" s="36">
        <f>+U127+V127</f>
        <v>32214654</v>
      </c>
      <c r="X127" s="35">
        <f>+W127-N127</f>
        <v>-767762</v>
      </c>
      <c r="Y127" s="49">
        <f>+W127/N127</f>
        <v>0.97672208124474569</v>
      </c>
    </row>
    <row r="128" spans="1:25" s="53" customFormat="1" ht="15" collapsed="1" x14ac:dyDescent="0.25">
      <c r="A128" s="55" t="s">
        <v>45</v>
      </c>
      <c r="B128" s="57"/>
      <c r="C128" s="43">
        <f>SUM(C129:C130)</f>
        <v>991333351.01581621</v>
      </c>
      <c r="D128" s="43"/>
      <c r="E128" s="43"/>
      <c r="F128" s="43"/>
      <c r="G128" s="43"/>
      <c r="H128" s="46">
        <f>+B128+C128+D128+G128+E128+F128</f>
        <v>991333351.01581621</v>
      </c>
      <c r="I128" s="46"/>
      <c r="J128" s="43">
        <f>SUM(J129:J130)</f>
        <v>991333351.01581621</v>
      </c>
      <c r="K128" s="43">
        <f>SUM(K129:K130)</f>
        <v>0</v>
      </c>
      <c r="L128" s="43">
        <f>SUM(L129:L130)</f>
        <v>0</v>
      </c>
      <c r="M128" s="43">
        <f>SUM(M129:M130)</f>
        <v>0</v>
      </c>
      <c r="N128" s="43">
        <f>+J128+K128+M128</f>
        <v>991333351.01581621</v>
      </c>
      <c r="O128" s="48"/>
      <c r="P128" s="48">
        <f>SUM(P129:P130)</f>
        <v>933950293</v>
      </c>
      <c r="Q128" s="48"/>
      <c r="R128" s="48"/>
      <c r="S128" s="48"/>
      <c r="T128" s="48"/>
      <c r="U128" s="48">
        <f>SUM(O128:T128)</f>
        <v>933950293</v>
      </c>
      <c r="V128" s="48"/>
      <c r="W128" s="48">
        <f>+U128+V128</f>
        <v>933950293</v>
      </c>
      <c r="X128" s="28">
        <f>+W128-N128</f>
        <v>-57383058.015816212</v>
      </c>
      <c r="Y128" s="27">
        <f>+W128/N128</f>
        <v>0.94211527539448159</v>
      </c>
    </row>
    <row r="129" spans="1:26" s="53" customFormat="1" ht="15" hidden="1" outlineLevel="1" x14ac:dyDescent="0.25">
      <c r="A129" s="54" t="s">
        <v>44</v>
      </c>
      <c r="B129" s="57"/>
      <c r="C129" s="50">
        <v>753366786.44581628</v>
      </c>
      <c r="D129" s="43"/>
      <c r="E129" s="43"/>
      <c r="F129" s="43"/>
      <c r="G129" s="43"/>
      <c r="H129" s="50">
        <f>+B129+C129+D129+G129+E129+F129</f>
        <v>753366786.44581628</v>
      </c>
      <c r="I129" s="46"/>
      <c r="J129" s="50">
        <f>+H129+I129</f>
        <v>753366786.44581628</v>
      </c>
      <c r="K129" s="50"/>
      <c r="L129" s="50"/>
      <c r="M129" s="50"/>
      <c r="N129" s="50">
        <f>+J129+K129+M129</f>
        <v>753366786.44581628</v>
      </c>
      <c r="O129" s="36"/>
      <c r="P129" s="36">
        <f>+[2]TEC!AE42</f>
        <v>722439702</v>
      </c>
      <c r="Q129" s="36"/>
      <c r="R129" s="36"/>
      <c r="S129" s="36"/>
      <c r="T129" s="36"/>
      <c r="U129" s="36">
        <f>SUM(O129:T129)</f>
        <v>722439702</v>
      </c>
      <c r="V129" s="36"/>
      <c r="W129" s="36">
        <f>+U129+V129</f>
        <v>722439702</v>
      </c>
      <c r="X129" s="35">
        <f>+W129-N129</f>
        <v>-30927084.445816278</v>
      </c>
      <c r="Y129" s="49">
        <f>+W129/N129</f>
        <v>0.95894817106057728</v>
      </c>
    </row>
    <row r="130" spans="1:26" s="53" customFormat="1" ht="15" hidden="1" outlineLevel="1" x14ac:dyDescent="0.25">
      <c r="A130" s="54" t="s">
        <v>43</v>
      </c>
      <c r="B130" s="57"/>
      <c r="C130" s="50">
        <v>237966564.56999999</v>
      </c>
      <c r="D130" s="43"/>
      <c r="E130" s="43"/>
      <c r="F130" s="43"/>
      <c r="G130" s="43"/>
      <c r="H130" s="50">
        <f>+B130+C130+D130+G130+E130+F130</f>
        <v>237966564.56999999</v>
      </c>
      <c r="I130" s="46"/>
      <c r="J130" s="50">
        <f>+H130+I130</f>
        <v>237966564.56999999</v>
      </c>
      <c r="K130" s="50"/>
      <c r="L130" s="50"/>
      <c r="M130" s="50"/>
      <c r="N130" s="50">
        <f>+J130+K130+M130</f>
        <v>237966564.56999999</v>
      </c>
      <c r="O130" s="36"/>
      <c r="P130" s="36">
        <f>+[2]TEC!AE43</f>
        <v>211510591</v>
      </c>
      <c r="Q130" s="36"/>
      <c r="R130" s="36"/>
      <c r="S130" s="36"/>
      <c r="T130" s="36"/>
      <c r="U130" s="36">
        <f>SUM(O130:T130)</f>
        <v>211510591</v>
      </c>
      <c r="V130" s="36"/>
      <c r="W130" s="36">
        <f>+U130+V130</f>
        <v>211510591</v>
      </c>
      <c r="X130" s="35">
        <f>+W130-N130</f>
        <v>-26455973.569999993</v>
      </c>
      <c r="Y130" s="49">
        <f>+W130/N130</f>
        <v>0.8888248287409396</v>
      </c>
    </row>
    <row r="131" spans="1:26" s="53" customFormat="1" ht="15" collapsed="1" x14ac:dyDescent="0.25">
      <c r="A131" s="55" t="s">
        <v>42</v>
      </c>
      <c r="B131" s="57"/>
      <c r="C131" s="43">
        <f>SUM(C132:C133)</f>
        <v>115856446.3184</v>
      </c>
      <c r="D131" s="43"/>
      <c r="E131" s="43"/>
      <c r="F131" s="43"/>
      <c r="G131" s="43"/>
      <c r="H131" s="46">
        <f>+B131+C131+D131+G131+E131+F131</f>
        <v>115856446.3184</v>
      </c>
      <c r="I131" s="46"/>
      <c r="J131" s="43">
        <f>SUM(J132:J133)</f>
        <v>115856446.3184</v>
      </c>
      <c r="K131" s="43">
        <f>SUM(K132:K133)</f>
        <v>0</v>
      </c>
      <c r="L131" s="43">
        <f>SUM(L132:L133)</f>
        <v>0</v>
      </c>
      <c r="M131" s="43">
        <f>SUM(M132:M133)</f>
        <v>0</v>
      </c>
      <c r="N131" s="43">
        <f>+J131+K131+M131</f>
        <v>115856446.3184</v>
      </c>
      <c r="O131" s="36"/>
      <c r="P131" s="52">
        <f>SUM(P132:P133)</f>
        <v>109965722</v>
      </c>
      <c r="Q131" s="36"/>
      <c r="R131" s="36"/>
      <c r="S131" s="36"/>
      <c r="T131" s="36"/>
      <c r="U131" s="52">
        <f>SUM(O131:T131)</f>
        <v>109965722</v>
      </c>
      <c r="V131" s="36"/>
      <c r="W131" s="52">
        <f>+U131+V131</f>
        <v>109965722</v>
      </c>
      <c r="X131" s="28">
        <f>+W131-N131</f>
        <v>-5890724.3183999956</v>
      </c>
      <c r="Y131" s="27">
        <f>+W131/N131</f>
        <v>0.9491549714703752</v>
      </c>
    </row>
    <row r="132" spans="1:26" s="53" customFormat="1" ht="15" hidden="1" outlineLevel="1" x14ac:dyDescent="0.25">
      <c r="A132" s="54" t="s">
        <v>41</v>
      </c>
      <c r="B132" s="57"/>
      <c r="C132" s="50">
        <v>32342735.199000001</v>
      </c>
      <c r="D132" s="43"/>
      <c r="E132" s="43"/>
      <c r="F132" s="43"/>
      <c r="G132" s="43"/>
      <c r="H132" s="50">
        <f>+B132+C132+D132+G132+E132+F132</f>
        <v>32342735.199000001</v>
      </c>
      <c r="I132" s="46"/>
      <c r="J132" s="50">
        <f>+H132+I132</f>
        <v>32342735.199000001</v>
      </c>
      <c r="K132" s="50"/>
      <c r="L132" s="50"/>
      <c r="M132" s="50"/>
      <c r="N132" s="50">
        <f>+J132+K132+M132</f>
        <v>32342735.199000001</v>
      </c>
      <c r="O132" s="48"/>
      <c r="P132" s="36">
        <f>+[2]TEC!AE45</f>
        <v>32131757</v>
      </c>
      <c r="Q132" s="48"/>
      <c r="R132" s="48"/>
      <c r="S132" s="48"/>
      <c r="T132" s="48"/>
      <c r="U132" s="48">
        <f>SUM(O132:T132)</f>
        <v>32131757</v>
      </c>
      <c r="V132" s="48"/>
      <c r="W132" s="36">
        <f>+U132+V132</f>
        <v>32131757</v>
      </c>
      <c r="X132" s="35">
        <f>+W132-N132</f>
        <v>-210978.19900000095</v>
      </c>
      <c r="Y132" s="49">
        <f>+W132/N132</f>
        <v>0.99347679787433307</v>
      </c>
    </row>
    <row r="133" spans="1:26" s="53" customFormat="1" ht="15" hidden="1" outlineLevel="1" x14ac:dyDescent="0.25">
      <c r="A133" s="54" t="s">
        <v>40</v>
      </c>
      <c r="B133" s="57"/>
      <c r="C133" s="50">
        <v>83513711.119399995</v>
      </c>
      <c r="D133" s="43"/>
      <c r="E133" s="43"/>
      <c r="F133" s="43"/>
      <c r="G133" s="43"/>
      <c r="H133" s="50">
        <f>+B133+C133+D133+G133+E133+F133</f>
        <v>83513711.119399995</v>
      </c>
      <c r="I133" s="46"/>
      <c r="J133" s="50">
        <f>+H133+I133</f>
        <v>83513711.119399995</v>
      </c>
      <c r="K133" s="50"/>
      <c r="L133" s="50"/>
      <c r="M133" s="50"/>
      <c r="N133" s="50">
        <f>+J133+K133+M133</f>
        <v>83513711.119399995</v>
      </c>
      <c r="O133" s="36"/>
      <c r="P133" s="36">
        <f>+[2]TEC!AE46</f>
        <v>77833965</v>
      </c>
      <c r="Q133" s="36"/>
      <c r="R133" s="36"/>
      <c r="S133" s="36"/>
      <c r="T133" s="36"/>
      <c r="U133" s="36">
        <f>SUM(O133:T133)</f>
        <v>77833965</v>
      </c>
      <c r="V133" s="36"/>
      <c r="W133" s="36">
        <f>+U133+V133</f>
        <v>77833965</v>
      </c>
      <c r="X133" s="35">
        <f>+W133-N133</f>
        <v>-5679746.1193999946</v>
      </c>
      <c r="Y133" s="49">
        <f>+W133/N133</f>
        <v>0.93199025593199147</v>
      </c>
    </row>
    <row r="134" spans="1:26" s="53" customFormat="1" ht="15" collapsed="1" x14ac:dyDescent="0.25">
      <c r="A134" s="55" t="s">
        <v>39</v>
      </c>
      <c r="B134" s="46"/>
      <c r="C134" s="43">
        <f>+C135+C136+C137+C142</f>
        <v>1331902558.8432</v>
      </c>
      <c r="D134" s="43"/>
      <c r="E134" s="43"/>
      <c r="F134" s="43"/>
      <c r="G134" s="43"/>
      <c r="H134" s="46">
        <f>+H135+H136+H137+H142</f>
        <v>1331902558.8432</v>
      </c>
      <c r="I134" s="43"/>
      <c r="J134" s="46">
        <f>+J135+J137+J142+J136</f>
        <v>1331902558.8432</v>
      </c>
      <c r="K134" s="46">
        <f>+K135+K137+K142+K136</f>
        <v>0</v>
      </c>
      <c r="L134" s="46">
        <f>+L135+L137+L142+L136</f>
        <v>0</v>
      </c>
      <c r="M134" s="46">
        <f>+M135+M137+M142+M136</f>
        <v>-147386892</v>
      </c>
      <c r="N134" s="46">
        <f>+J134+K134+M134</f>
        <v>1184515666.8432</v>
      </c>
      <c r="O134" s="36"/>
      <c r="P134" s="52">
        <f>+P135+P136+P137+P142</f>
        <v>1116795644</v>
      </c>
      <c r="Q134" s="36"/>
      <c r="R134" s="36"/>
      <c r="S134" s="36"/>
      <c r="T134" s="36"/>
      <c r="U134" s="52">
        <f>SUM(O134:T134)</f>
        <v>1116795644</v>
      </c>
      <c r="V134" s="36"/>
      <c r="W134" s="52">
        <f>+U134+V134</f>
        <v>1116795644</v>
      </c>
      <c r="X134" s="28">
        <f>+W134-N134</f>
        <v>-67720022.843199968</v>
      </c>
      <c r="Y134" s="27">
        <f>+W134/N134</f>
        <v>0.94282893444231297</v>
      </c>
      <c r="Z134" s="58"/>
    </row>
    <row r="135" spans="1:26" s="53" customFormat="1" ht="15" hidden="1" outlineLevel="1" x14ac:dyDescent="0.25">
      <c r="A135" s="54" t="s">
        <v>38</v>
      </c>
      <c r="B135" s="59"/>
      <c r="C135" s="38">
        <v>221729758</v>
      </c>
      <c r="D135" s="43"/>
      <c r="E135" s="43"/>
      <c r="F135" s="43"/>
      <c r="G135" s="43"/>
      <c r="H135" s="50">
        <f>+B135+C135+D135+G135+E135+F135</f>
        <v>221729758</v>
      </c>
      <c r="I135" s="43"/>
      <c r="J135" s="50">
        <f>+H135+I135</f>
        <v>221729758</v>
      </c>
      <c r="K135" s="50"/>
      <c r="L135" s="50"/>
      <c r="M135" s="50"/>
      <c r="N135" s="50">
        <f>+J135+K135+M135+23573093</f>
        <v>245302851</v>
      </c>
      <c r="O135" s="48"/>
      <c r="P135" s="36">
        <f>+[2]TEC!AE48</f>
        <v>236749357</v>
      </c>
      <c r="Q135" s="48"/>
      <c r="R135" s="48"/>
      <c r="S135" s="48"/>
      <c r="T135" s="48"/>
      <c r="U135" s="48">
        <f>SUM(O135:T135)</f>
        <v>236749357</v>
      </c>
      <c r="V135" s="48"/>
      <c r="W135" s="36">
        <f>+U135+V135</f>
        <v>236749357</v>
      </c>
      <c r="X135" s="35">
        <f>+W135-N135</f>
        <v>-8553494</v>
      </c>
      <c r="Y135" s="49">
        <f>+W135/N135</f>
        <v>0.96513088223340704</v>
      </c>
      <c r="Z135" s="58"/>
    </row>
    <row r="136" spans="1:26" s="53" customFormat="1" ht="15" hidden="1" outlineLevel="1" x14ac:dyDescent="0.25">
      <c r="A136" s="54" t="s">
        <v>37</v>
      </c>
      <c r="B136" s="59"/>
      <c r="C136" s="38">
        <v>113514644.8432</v>
      </c>
      <c r="D136" s="43"/>
      <c r="E136" s="43"/>
      <c r="F136" s="43"/>
      <c r="G136" s="43"/>
      <c r="H136" s="50">
        <f>+B136+C136+D136+G136+E136+F136</f>
        <v>113514644.8432</v>
      </c>
      <c r="I136" s="43"/>
      <c r="J136" s="50">
        <f>+H136+I136</f>
        <v>113514644.8432</v>
      </c>
      <c r="K136" s="50"/>
      <c r="L136" s="50"/>
      <c r="M136" s="50"/>
      <c r="N136" s="50">
        <f>+J136+K136+M136</f>
        <v>113514644.8432</v>
      </c>
      <c r="O136" s="36"/>
      <c r="P136" s="36">
        <f>+[2]TEC!AE49</f>
        <v>86000404</v>
      </c>
      <c r="Q136" s="36"/>
      <c r="R136" s="36"/>
      <c r="S136" s="36"/>
      <c r="T136" s="36"/>
      <c r="U136" s="36">
        <f>SUM(O136:T136)</f>
        <v>86000404</v>
      </c>
      <c r="V136" s="36"/>
      <c r="W136" s="36">
        <f>+U136+V136</f>
        <v>86000404</v>
      </c>
      <c r="X136" s="35">
        <f>+W136-N136</f>
        <v>-27514240.843199998</v>
      </c>
      <c r="Y136" s="49">
        <f>+W136/N136</f>
        <v>0.75761505591453893</v>
      </c>
      <c r="Z136" s="58"/>
    </row>
    <row r="137" spans="1:26" s="53" customFormat="1" ht="15" hidden="1" outlineLevel="1" x14ac:dyDescent="0.25">
      <c r="A137" s="54" t="s">
        <v>36</v>
      </c>
      <c r="B137" s="46"/>
      <c r="C137" s="43">
        <f>+C138+C140</f>
        <v>460000000</v>
      </c>
      <c r="D137" s="43"/>
      <c r="E137" s="43"/>
      <c r="F137" s="43"/>
      <c r="G137" s="43"/>
      <c r="H137" s="46">
        <f>+B137+C137+D137+G137+E137+F137</f>
        <v>460000000</v>
      </c>
      <c r="I137" s="46"/>
      <c r="J137" s="46">
        <f>+H137+I137</f>
        <v>460000000</v>
      </c>
      <c r="K137" s="46">
        <f>+K138+K140</f>
        <v>0</v>
      </c>
      <c r="L137" s="46">
        <f>+L138+L140</f>
        <v>0</v>
      </c>
      <c r="M137" s="46">
        <f>+M138+M140</f>
        <v>-147386892</v>
      </c>
      <c r="N137" s="30">
        <f>+J137+K137+M137</f>
        <v>312613108</v>
      </c>
      <c r="O137" s="36"/>
      <c r="P137" s="52">
        <f>+P138+P140</f>
        <v>266136327</v>
      </c>
      <c r="Q137" s="36"/>
      <c r="R137" s="36"/>
      <c r="S137" s="36"/>
      <c r="T137" s="36"/>
      <c r="U137" s="36">
        <f>SUM(O137:T137)</f>
        <v>266136327</v>
      </c>
      <c r="V137" s="36"/>
      <c r="W137" s="52">
        <f>+U137+V137</f>
        <v>266136327</v>
      </c>
      <c r="X137" s="28">
        <f>+W137-N137</f>
        <v>-46476781</v>
      </c>
      <c r="Y137" s="27">
        <f>+W137/N137</f>
        <v>0.85132811193572855</v>
      </c>
      <c r="Z137" s="58"/>
    </row>
    <row r="138" spans="1:26" s="53" customFormat="1" ht="15" hidden="1" outlineLevel="2" x14ac:dyDescent="0.25">
      <c r="A138" s="54" t="s">
        <v>35</v>
      </c>
      <c r="B138" s="46"/>
      <c r="C138" s="43">
        <f>+C139</f>
        <v>290000000</v>
      </c>
      <c r="D138" s="43"/>
      <c r="E138" s="43"/>
      <c r="F138" s="43"/>
      <c r="G138" s="43"/>
      <c r="H138" s="46">
        <f>+H139</f>
        <v>290000000</v>
      </c>
      <c r="I138" s="46"/>
      <c r="J138" s="46">
        <f>+J139</f>
        <v>290000000</v>
      </c>
      <c r="K138" s="46">
        <f>+K139</f>
        <v>0</v>
      </c>
      <c r="L138" s="46">
        <f>+L139</f>
        <v>0</v>
      </c>
      <c r="M138" s="46">
        <f>+M139</f>
        <v>-147386892</v>
      </c>
      <c r="N138" s="30">
        <f>+J138+K138+M138+14008819</f>
        <v>156621927</v>
      </c>
      <c r="O138" s="48"/>
      <c r="P138" s="52">
        <f>+[2]TEC!AE51</f>
        <v>141692445</v>
      </c>
      <c r="Q138" s="48"/>
      <c r="R138" s="48"/>
      <c r="S138" s="48"/>
      <c r="T138" s="48"/>
      <c r="U138" s="48">
        <f>SUM(O138:T138)</f>
        <v>141692445</v>
      </c>
      <c r="V138" s="48"/>
      <c r="W138" s="48">
        <f>+U138+V138</f>
        <v>141692445</v>
      </c>
      <c r="X138" s="28">
        <f>+W138-N138</f>
        <v>-14929482</v>
      </c>
      <c r="Y138" s="27">
        <f>+W138/N138</f>
        <v>0.90467821277668226</v>
      </c>
      <c r="Z138" s="58"/>
    </row>
    <row r="139" spans="1:26" s="53" customFormat="1" ht="15" hidden="1" outlineLevel="2" x14ac:dyDescent="0.25">
      <c r="A139" s="54" t="s">
        <v>34</v>
      </c>
      <c r="B139" s="59"/>
      <c r="C139" s="38">
        <v>290000000</v>
      </c>
      <c r="D139" s="43"/>
      <c r="E139" s="43"/>
      <c r="F139" s="43"/>
      <c r="G139" s="43"/>
      <c r="H139" s="50">
        <f>+B139+C139+D139+G139+E139+F139</f>
        <v>290000000</v>
      </c>
      <c r="I139" s="43"/>
      <c r="J139" s="50">
        <f>+H139+I139</f>
        <v>290000000</v>
      </c>
      <c r="K139" s="50"/>
      <c r="L139" s="50"/>
      <c r="M139" s="50">
        <v>-147386892</v>
      </c>
      <c r="N139" s="60">
        <f>+J139+K139+M139+14008819</f>
        <v>156621927</v>
      </c>
      <c r="O139" s="36"/>
      <c r="P139" s="36">
        <f>+[2]TEC!AE52</f>
        <v>141692445</v>
      </c>
      <c r="Q139" s="36"/>
      <c r="R139" s="36"/>
      <c r="S139" s="36"/>
      <c r="T139" s="36"/>
      <c r="U139" s="36">
        <f>SUM(O139:T139)</f>
        <v>141692445</v>
      </c>
      <c r="V139" s="36"/>
      <c r="W139" s="36">
        <f>+U139+V139</f>
        <v>141692445</v>
      </c>
      <c r="X139" s="35">
        <f>+W139-N139</f>
        <v>-14929482</v>
      </c>
      <c r="Y139" s="49">
        <f>+W139/N139</f>
        <v>0.90467821277668226</v>
      </c>
      <c r="Z139" s="58"/>
    </row>
    <row r="140" spans="1:26" s="53" customFormat="1" ht="15" hidden="1" outlineLevel="2" x14ac:dyDescent="0.25">
      <c r="A140" s="54" t="s">
        <v>33</v>
      </c>
      <c r="B140" s="46"/>
      <c r="C140" s="43">
        <f>+C141</f>
        <v>170000000</v>
      </c>
      <c r="D140" s="43"/>
      <c r="E140" s="43"/>
      <c r="F140" s="43"/>
      <c r="G140" s="43"/>
      <c r="H140" s="46">
        <f>+B140+C140+D140+G140+E140+F140</f>
        <v>170000000</v>
      </c>
      <c r="I140" s="46"/>
      <c r="J140" s="46">
        <f>+H140+I140</f>
        <v>170000000</v>
      </c>
      <c r="K140" s="46">
        <f>+K141</f>
        <v>0</v>
      </c>
      <c r="L140" s="46">
        <f>+L141</f>
        <v>0</v>
      </c>
      <c r="M140" s="46">
        <f>+M141</f>
        <v>0</v>
      </c>
      <c r="N140" s="30">
        <f>+J140+K140+M140-30073093</f>
        <v>139926907</v>
      </c>
      <c r="O140" s="36"/>
      <c r="P140" s="36">
        <f>+[2]TEC!AE54</f>
        <v>124443882</v>
      </c>
      <c r="Q140" s="36"/>
      <c r="R140" s="36"/>
      <c r="S140" s="36"/>
      <c r="T140" s="36"/>
      <c r="U140" s="36">
        <f>SUM(O140:T140)</f>
        <v>124443882</v>
      </c>
      <c r="V140" s="36"/>
      <c r="W140" s="52">
        <f>+U140+V140</f>
        <v>124443882</v>
      </c>
      <c r="X140" s="28">
        <f>+W140-N140</f>
        <v>-15483025</v>
      </c>
      <c r="Y140" s="27">
        <f>+W140/N140</f>
        <v>0.88934919429041626</v>
      </c>
      <c r="Z140" s="58"/>
    </row>
    <row r="141" spans="1:26" s="53" customFormat="1" ht="15" hidden="1" outlineLevel="2" x14ac:dyDescent="0.25">
      <c r="A141" s="54" t="s">
        <v>32</v>
      </c>
      <c r="B141" s="59"/>
      <c r="C141" s="38">
        <v>170000000</v>
      </c>
      <c r="D141" s="43"/>
      <c r="E141" s="43"/>
      <c r="F141" s="43"/>
      <c r="G141" s="43"/>
      <c r="H141" s="50">
        <f>+B141+C141+D141+G141+E141+F141</f>
        <v>170000000</v>
      </c>
      <c r="I141" s="43"/>
      <c r="J141" s="50">
        <f>+H141+I141</f>
        <v>170000000</v>
      </c>
      <c r="K141" s="50"/>
      <c r="L141" s="50"/>
      <c r="M141" s="50"/>
      <c r="N141" s="60">
        <f>+J141+K141+M141-30073093</f>
        <v>139926907</v>
      </c>
      <c r="O141" s="52"/>
      <c r="P141" s="36">
        <f>+[2]TEC!AE54</f>
        <v>124443882</v>
      </c>
      <c r="Q141" s="52"/>
      <c r="R141" s="52"/>
      <c r="S141" s="52"/>
      <c r="T141" s="52"/>
      <c r="U141" s="36">
        <f>SUM(O141:T141)</f>
        <v>124443882</v>
      </c>
      <c r="V141" s="36"/>
      <c r="W141" s="36">
        <f>+U141+V141</f>
        <v>124443882</v>
      </c>
      <c r="X141" s="35">
        <f>+W141-N141</f>
        <v>-15483025</v>
      </c>
      <c r="Y141" s="49">
        <f>+W141/N141</f>
        <v>0.88934919429041626</v>
      </c>
      <c r="Z141" s="58"/>
    </row>
    <row r="142" spans="1:26" s="53" customFormat="1" ht="15" hidden="1" outlineLevel="1" x14ac:dyDescent="0.25">
      <c r="A142" s="54" t="s">
        <v>31</v>
      </c>
      <c r="B142" s="59"/>
      <c r="C142" s="46">
        <v>536658156</v>
      </c>
      <c r="D142" s="43"/>
      <c r="E142" s="43"/>
      <c r="F142" s="43"/>
      <c r="G142" s="43"/>
      <c r="H142" s="50">
        <f>+B142+C142+D142+G142+E142+F142</f>
        <v>536658156</v>
      </c>
      <c r="I142" s="43"/>
      <c r="J142" s="50">
        <f>+H142+I142</f>
        <v>536658156</v>
      </c>
      <c r="K142" s="50"/>
      <c r="L142" s="50"/>
      <c r="M142" s="50"/>
      <c r="N142" s="50">
        <f>+J142+K142+M142-7508819</f>
        <v>529149337</v>
      </c>
      <c r="O142" s="48"/>
      <c r="P142" s="36">
        <f>+[2]TEC!AE60</f>
        <v>527909556</v>
      </c>
      <c r="Q142" s="48"/>
      <c r="R142" s="48"/>
      <c r="S142" s="48"/>
      <c r="T142" s="48"/>
      <c r="U142" s="36">
        <f>SUM(O142:T142)</f>
        <v>527909556</v>
      </c>
      <c r="V142" s="36"/>
      <c r="W142" s="36">
        <f>+U142+V142</f>
        <v>527909556</v>
      </c>
      <c r="X142" s="35">
        <f>+W142-N142</f>
        <v>-1239781</v>
      </c>
      <c r="Y142" s="49">
        <f>+W142/N142</f>
        <v>0.99765703004178574</v>
      </c>
      <c r="Z142" s="58"/>
    </row>
    <row r="143" spans="1:26" s="53" customFormat="1" ht="15" collapsed="1" x14ac:dyDescent="0.25">
      <c r="A143" s="54"/>
      <c r="B143" s="57"/>
      <c r="C143" s="43"/>
      <c r="D143" s="43"/>
      <c r="E143" s="43"/>
      <c r="F143" s="43"/>
      <c r="G143" s="43"/>
      <c r="H143" s="50"/>
      <c r="I143" s="43"/>
      <c r="J143" s="50"/>
      <c r="K143" s="50"/>
      <c r="L143" s="50"/>
      <c r="M143" s="50"/>
      <c r="N143" s="50"/>
      <c r="O143" s="36"/>
      <c r="P143" s="36"/>
      <c r="Q143" s="36"/>
      <c r="R143" s="36"/>
      <c r="S143" s="36"/>
      <c r="T143" s="36"/>
      <c r="U143" s="36"/>
      <c r="V143" s="36"/>
      <c r="W143" s="36"/>
      <c r="X143" s="28"/>
      <c r="Y143" s="27"/>
    </row>
    <row r="144" spans="1:26" s="53" customFormat="1" ht="15" x14ac:dyDescent="0.25">
      <c r="A144" s="55" t="s">
        <v>30</v>
      </c>
      <c r="B144" s="57"/>
      <c r="C144" s="43"/>
      <c r="D144" s="43">
        <f>+D145+D149+D163</f>
        <v>2375300591.3474884</v>
      </c>
      <c r="E144" s="43"/>
      <c r="F144" s="43"/>
      <c r="G144" s="43"/>
      <c r="H144" s="43">
        <f>+H145+H149+H163</f>
        <v>2375300591.3474884</v>
      </c>
      <c r="I144" s="43"/>
      <c r="J144" s="46">
        <f>+H144+I144</f>
        <v>2375300591.3474884</v>
      </c>
      <c r="K144" s="46">
        <f>+K145+K149+K163</f>
        <v>250000000</v>
      </c>
      <c r="L144" s="46">
        <f>+L145+L149+L163</f>
        <v>848927500</v>
      </c>
      <c r="M144" s="46">
        <f>+M145+M149+M163</f>
        <v>-192465000</v>
      </c>
      <c r="N144" s="46">
        <f>+J144+K144+M144+L144</f>
        <v>3281763091.3474884</v>
      </c>
      <c r="O144" s="36"/>
      <c r="P144" s="36"/>
      <c r="Q144" s="52">
        <f>+Q145+Q149+Q163</f>
        <v>2914708470</v>
      </c>
      <c r="R144" s="36"/>
      <c r="S144" s="36"/>
      <c r="T144" s="36"/>
      <c r="U144" s="52">
        <f>SUM(O144:T144)</f>
        <v>2914708470</v>
      </c>
      <c r="V144" s="52"/>
      <c r="W144" s="52">
        <f>+U144+V144</f>
        <v>2914708470</v>
      </c>
      <c r="X144" s="28">
        <f>+W144-N144</f>
        <v>-367054621.3474884</v>
      </c>
      <c r="Y144" s="27">
        <f>+W144/N144</f>
        <v>0.88815322400472962</v>
      </c>
    </row>
    <row r="145" spans="1:25" s="53" customFormat="1" ht="15" x14ac:dyDescent="0.25">
      <c r="A145" s="55" t="s">
        <v>29</v>
      </c>
      <c r="B145" s="43"/>
      <c r="C145" s="43"/>
      <c r="D145" s="43">
        <f>SUM(D146:D148)</f>
        <v>811381903.88660002</v>
      </c>
      <c r="E145" s="43"/>
      <c r="F145" s="43"/>
      <c r="G145" s="43"/>
      <c r="H145" s="43">
        <f>SUM(H146:H148)</f>
        <v>811381903.88660002</v>
      </c>
      <c r="I145" s="43"/>
      <c r="J145" s="43">
        <f>SUM(J146:J148)</f>
        <v>811381903.88660002</v>
      </c>
      <c r="K145" s="43">
        <f>SUM(K146:K148)</f>
        <v>0</v>
      </c>
      <c r="L145" s="43">
        <f>SUM(L146:L148)</f>
        <v>500000000</v>
      </c>
      <c r="M145" s="43">
        <f>SUM(M146:M148)</f>
        <v>0</v>
      </c>
      <c r="N145" s="43">
        <f>+J145+K145+M145+L145</f>
        <v>1311381903.8866</v>
      </c>
      <c r="O145" s="36"/>
      <c r="P145" s="36"/>
      <c r="Q145" s="52">
        <f>SUM(Q146:Q148)</f>
        <v>1163276517</v>
      </c>
      <c r="R145" s="36"/>
      <c r="S145" s="36"/>
      <c r="T145" s="36"/>
      <c r="U145" s="52">
        <f>SUM(O145:T145)</f>
        <v>1163276517</v>
      </c>
      <c r="V145" s="36"/>
      <c r="W145" s="52">
        <f>+U145+V145</f>
        <v>1163276517</v>
      </c>
      <c r="X145" s="28">
        <f>+W145-N145</f>
        <v>-148105386.88660002</v>
      </c>
      <c r="Y145" s="27">
        <f>+W145/N145</f>
        <v>0.88706159018387121</v>
      </c>
    </row>
    <row r="146" spans="1:25" s="53" customFormat="1" ht="15" hidden="1" outlineLevel="1" x14ac:dyDescent="0.25">
      <c r="A146" s="54" t="s">
        <v>28</v>
      </c>
      <c r="B146" s="43"/>
      <c r="C146" s="43"/>
      <c r="D146" s="50">
        <v>768060022.60000002</v>
      </c>
      <c r="E146" s="43"/>
      <c r="F146" s="43"/>
      <c r="G146" s="43"/>
      <c r="H146" s="38">
        <f>+B146+C146+D146+G146+E146+F146</f>
        <v>768060022.60000002</v>
      </c>
      <c r="I146" s="43"/>
      <c r="J146" s="50">
        <f>+H146+I146</f>
        <v>768060022.60000002</v>
      </c>
      <c r="K146" s="50"/>
      <c r="L146" s="50">
        <v>500000000</v>
      </c>
      <c r="M146" s="50"/>
      <c r="N146" s="50">
        <f>+J146+K146+M146-4300000+L146</f>
        <v>1263760022.5999999</v>
      </c>
      <c r="O146" s="48"/>
      <c r="P146" s="48"/>
      <c r="Q146" s="36">
        <f>+[2]TRANSF!AE36</f>
        <v>1122156142</v>
      </c>
      <c r="R146" s="48"/>
      <c r="S146" s="48"/>
      <c r="T146" s="48"/>
      <c r="U146" s="48">
        <f>SUM(O146:T146)</f>
        <v>1122156142</v>
      </c>
      <c r="V146" s="48"/>
      <c r="W146" s="36">
        <f>+U146+V146</f>
        <v>1122156142</v>
      </c>
      <c r="X146" s="35">
        <f>+W146-N146</f>
        <v>-141603880.5999999</v>
      </c>
      <c r="Y146" s="49">
        <f>+W146/N146</f>
        <v>0.88795034020092611</v>
      </c>
    </row>
    <row r="147" spans="1:25" s="53" customFormat="1" ht="15" hidden="1" outlineLevel="1" x14ac:dyDescent="0.25">
      <c r="A147" s="54" t="s">
        <v>27</v>
      </c>
      <c r="B147" s="43"/>
      <c r="C147" s="43"/>
      <c r="D147" s="50">
        <v>12102706.623</v>
      </c>
      <c r="E147" s="43"/>
      <c r="F147" s="43"/>
      <c r="G147" s="43"/>
      <c r="H147" s="38">
        <f>+B147+C147+D147+G147+E147+F147</f>
        <v>12102706.623</v>
      </c>
      <c r="I147" s="43"/>
      <c r="J147" s="50">
        <f>+H147+I147</f>
        <v>12102706.623</v>
      </c>
      <c r="K147" s="50"/>
      <c r="L147" s="50"/>
      <c r="M147" s="50"/>
      <c r="N147" s="50">
        <f>+J147+K147+M147</f>
        <v>12102706.623</v>
      </c>
      <c r="O147" s="48"/>
      <c r="P147" s="48"/>
      <c r="Q147" s="36">
        <f>+[2]TRANSF!AE37</f>
        <v>10568958</v>
      </c>
      <c r="R147" s="48"/>
      <c r="S147" s="48"/>
      <c r="T147" s="48"/>
      <c r="U147" s="48">
        <f>SUM(O147:T147)</f>
        <v>10568958</v>
      </c>
      <c r="V147" s="48"/>
      <c r="W147" s="36">
        <f>+U147+V147</f>
        <v>10568958</v>
      </c>
      <c r="X147" s="35">
        <f>+W147-N147</f>
        <v>-1533748.6229999997</v>
      </c>
      <c r="Y147" s="49">
        <f>+W147/N147</f>
        <v>0.87327226290974769</v>
      </c>
    </row>
    <row r="148" spans="1:25" s="53" customFormat="1" ht="15" hidden="1" outlineLevel="1" x14ac:dyDescent="0.25">
      <c r="A148" s="54" t="s">
        <v>26</v>
      </c>
      <c r="B148" s="43"/>
      <c r="C148" s="43"/>
      <c r="D148" s="50">
        <v>31219174.663600001</v>
      </c>
      <c r="E148" s="43"/>
      <c r="F148" s="43"/>
      <c r="G148" s="43"/>
      <c r="H148" s="38">
        <f>+B148+C148+D148+G148+E148+F148</f>
        <v>31219174.663600001</v>
      </c>
      <c r="I148" s="43"/>
      <c r="J148" s="50">
        <f>+H148+I148</f>
        <v>31219174.663600001</v>
      </c>
      <c r="K148" s="50"/>
      <c r="L148" s="50"/>
      <c r="M148" s="50"/>
      <c r="N148" s="50">
        <f>+J148+K148+M148+4300000</f>
        <v>35519174.663599998</v>
      </c>
      <c r="O148" s="36"/>
      <c r="P148" s="36"/>
      <c r="Q148" s="36">
        <f>+[2]TRANSF!AE38</f>
        <v>30551417</v>
      </c>
      <c r="R148" s="36"/>
      <c r="S148" s="36"/>
      <c r="T148" s="36"/>
      <c r="U148" s="36">
        <f>SUM(O148:T148)</f>
        <v>30551417</v>
      </c>
      <c r="V148" s="36"/>
      <c r="W148" s="36">
        <f>+U148+V148</f>
        <v>30551417</v>
      </c>
      <c r="X148" s="35">
        <f>+W148-N148</f>
        <v>-4967757.6635999978</v>
      </c>
      <c r="Y148" s="49">
        <f>+W148/N148</f>
        <v>0.86013870787682045</v>
      </c>
    </row>
    <row r="149" spans="1:25" s="53" customFormat="1" ht="15" collapsed="1" x14ac:dyDescent="0.25">
      <c r="A149" s="55" t="s">
        <v>25</v>
      </c>
      <c r="B149" s="43"/>
      <c r="C149" s="43"/>
      <c r="D149" s="43">
        <f>+D150+D159</f>
        <v>772343650</v>
      </c>
      <c r="E149" s="43"/>
      <c r="F149" s="43"/>
      <c r="G149" s="43"/>
      <c r="H149" s="43">
        <f>+H150+H159</f>
        <v>772343650</v>
      </c>
      <c r="I149" s="43"/>
      <c r="J149" s="43">
        <f>+J150+J159</f>
        <v>772343650</v>
      </c>
      <c r="K149" s="43">
        <f>+K150+K159</f>
        <v>170000000</v>
      </c>
      <c r="L149" s="43">
        <f>+L150+L159</f>
        <v>278927500</v>
      </c>
      <c r="M149" s="43">
        <f>+M150+M159</f>
        <v>-192465000</v>
      </c>
      <c r="N149" s="43">
        <f>+J149+K149+M149+L149</f>
        <v>1028806150</v>
      </c>
      <c r="O149" s="36"/>
      <c r="P149" s="36"/>
      <c r="Q149" s="52">
        <f>+Q150+Q159</f>
        <v>920343212</v>
      </c>
      <c r="R149" s="36"/>
      <c r="S149" s="36"/>
      <c r="T149" s="36"/>
      <c r="U149" s="52">
        <f>SUM(O149:T149)</f>
        <v>920343212</v>
      </c>
      <c r="V149" s="36"/>
      <c r="W149" s="52">
        <f>+U149+V149</f>
        <v>920343212</v>
      </c>
      <c r="X149" s="28">
        <f>+W149-N149</f>
        <v>-108462938</v>
      </c>
      <c r="Y149" s="27">
        <f>+W149/N149</f>
        <v>0.89457397975313424</v>
      </c>
    </row>
    <row r="150" spans="1:25" s="53" customFormat="1" ht="15" hidden="1" outlineLevel="1" x14ac:dyDescent="0.25">
      <c r="A150" s="55" t="s">
        <v>24</v>
      </c>
      <c r="B150" s="43"/>
      <c r="C150" s="43"/>
      <c r="D150" s="43">
        <f>SUM(D151:D158)</f>
        <v>459142650</v>
      </c>
      <c r="E150" s="43"/>
      <c r="F150" s="43"/>
      <c r="G150" s="43"/>
      <c r="H150" s="43">
        <f>SUM(H151:H158)</f>
        <v>459142650</v>
      </c>
      <c r="I150" s="43"/>
      <c r="J150" s="43">
        <f>SUM(J151:J158)</f>
        <v>459142650</v>
      </c>
      <c r="K150" s="43">
        <f>SUM(K151:K158)</f>
        <v>170000000</v>
      </c>
      <c r="L150" s="43">
        <f>SUM(L151:L158)</f>
        <v>278927500</v>
      </c>
      <c r="M150" s="43">
        <f>SUM(M151:M158)</f>
        <v>-192465000</v>
      </c>
      <c r="N150" s="43">
        <f>+J150+K150+M150+L150</f>
        <v>715605150</v>
      </c>
      <c r="O150" s="36"/>
      <c r="P150" s="36"/>
      <c r="Q150" s="52">
        <f>SUM(Q151:Q158)</f>
        <v>692649212</v>
      </c>
      <c r="R150" s="36"/>
      <c r="S150" s="36"/>
      <c r="T150" s="36"/>
      <c r="U150" s="36">
        <f>SUM(O150:T150)</f>
        <v>692649212</v>
      </c>
      <c r="V150" s="36"/>
      <c r="W150" s="52">
        <f>+U150+V150</f>
        <v>692649212</v>
      </c>
      <c r="X150" s="28">
        <f>+W150-N150</f>
        <v>-22955938</v>
      </c>
      <c r="Y150" s="27">
        <f>+W150/N150</f>
        <v>0.96792094355385783</v>
      </c>
    </row>
    <row r="151" spans="1:25" s="53" customFormat="1" ht="15" hidden="1" outlineLevel="2" x14ac:dyDescent="0.25">
      <c r="A151" s="54" t="str">
        <f>+[5]Hoja1!$A$23</f>
        <v>Gira técnica</v>
      </c>
      <c r="B151" s="43"/>
      <c r="C151" s="43"/>
      <c r="D151" s="50">
        <v>35000000</v>
      </c>
      <c r="E151" s="43"/>
      <c r="F151" s="43"/>
      <c r="G151" s="43"/>
      <c r="H151" s="38">
        <f>+B151+C151+D151+G151+E151+F151</f>
        <v>35000000</v>
      </c>
      <c r="I151" s="43"/>
      <c r="J151" s="50">
        <f>+H151+I151</f>
        <v>35000000</v>
      </c>
      <c r="K151" s="50"/>
      <c r="L151" s="50">
        <v>245927500</v>
      </c>
      <c r="M151" s="50">
        <v>-192465000</v>
      </c>
      <c r="N151" s="50">
        <f>+J151+K151+M151+162461000+L151</f>
        <v>250923500</v>
      </c>
      <c r="O151" s="36"/>
      <c r="P151" s="36"/>
      <c r="Q151" s="36">
        <f>+[2]TRANSF!AE41</f>
        <v>250923329</v>
      </c>
      <c r="R151" s="36"/>
      <c r="S151" s="36"/>
      <c r="T151" s="36"/>
      <c r="U151" s="36">
        <f>SUM(O151:T151)</f>
        <v>250923329</v>
      </c>
      <c r="V151" s="36"/>
      <c r="W151" s="36">
        <f>+U151+V151</f>
        <v>250923329</v>
      </c>
      <c r="X151" s="35">
        <f>+W151-N151</f>
        <v>-171</v>
      </c>
      <c r="Y151" s="49">
        <f>+W151/N151</f>
        <v>0.99999931851739676</v>
      </c>
    </row>
    <row r="152" spans="1:25" s="53" customFormat="1" ht="15" hidden="1" outlineLevel="2" x14ac:dyDescent="0.25">
      <c r="A152" s="54" t="str">
        <f>+[5]Hoja1!$A$24</f>
        <v>Capacitación en desposte y transformación de la carne de cerdo</v>
      </c>
      <c r="B152" s="43"/>
      <c r="C152" s="43"/>
      <c r="D152" s="50">
        <v>49000000</v>
      </c>
      <c r="E152" s="43"/>
      <c r="F152" s="43"/>
      <c r="G152" s="43"/>
      <c r="H152" s="38">
        <f>+B152+C152+D152+G152+E152+F152</f>
        <v>49000000</v>
      </c>
      <c r="I152" s="43"/>
      <c r="J152" s="50">
        <f>+H152+I152</f>
        <v>49000000</v>
      </c>
      <c r="K152" s="50"/>
      <c r="L152" s="50"/>
      <c r="M152" s="50"/>
      <c r="N152" s="50">
        <f>+J152+K152+M152-3961000</f>
        <v>45039000</v>
      </c>
      <c r="O152" s="36"/>
      <c r="P152" s="36"/>
      <c r="Q152" s="36">
        <f>+[2]TRANSF!AE42</f>
        <v>44537488</v>
      </c>
      <c r="R152" s="36"/>
      <c r="S152" s="36"/>
      <c r="T152" s="36"/>
      <c r="U152" s="36">
        <f>SUM(O152:T152)</f>
        <v>44537488</v>
      </c>
      <c r="V152" s="36"/>
      <c r="W152" s="36">
        <f>+U152+V152</f>
        <v>44537488</v>
      </c>
      <c r="X152" s="35">
        <f>+W152-N152</f>
        <v>-501512</v>
      </c>
      <c r="Y152" s="49">
        <f>+W152/N152</f>
        <v>0.98886493927485064</v>
      </c>
    </row>
    <row r="153" spans="1:25" s="53" customFormat="1" ht="15" hidden="1" outlineLevel="2" x14ac:dyDescent="0.25">
      <c r="A153" s="54" t="str">
        <f>+[5]Hoja1!$A$28</f>
        <v>Campus virtual</v>
      </c>
      <c r="B153" s="43"/>
      <c r="C153" s="43"/>
      <c r="D153" s="50">
        <v>41000000</v>
      </c>
      <c r="E153" s="43"/>
      <c r="F153" s="43"/>
      <c r="G153" s="43"/>
      <c r="H153" s="38">
        <f>+B153+C153+D153+G153+E153+F153</f>
        <v>41000000</v>
      </c>
      <c r="I153" s="43"/>
      <c r="J153" s="50">
        <f>+H153+I153</f>
        <v>41000000</v>
      </c>
      <c r="K153" s="50"/>
      <c r="L153" s="50"/>
      <c r="M153" s="50"/>
      <c r="N153" s="50">
        <f>+J153+K153+M153</f>
        <v>41000000</v>
      </c>
      <c r="O153" s="36"/>
      <c r="P153" s="36"/>
      <c r="Q153" s="36">
        <f>+[2]TRANSF!AE43</f>
        <v>37400000</v>
      </c>
      <c r="R153" s="36"/>
      <c r="S153" s="36"/>
      <c r="T153" s="36"/>
      <c r="U153" s="36">
        <f>SUM(O153:T153)</f>
        <v>37400000</v>
      </c>
      <c r="V153" s="36"/>
      <c r="W153" s="36">
        <f>+U153+V153</f>
        <v>37400000</v>
      </c>
      <c r="X153" s="35">
        <f>+W153-N153</f>
        <v>-3600000</v>
      </c>
      <c r="Y153" s="49">
        <f>+W153/N153</f>
        <v>0.91219512195121955</v>
      </c>
    </row>
    <row r="154" spans="1:25" s="53" customFormat="1" ht="15" hidden="1" outlineLevel="2" x14ac:dyDescent="0.25">
      <c r="A154" s="54" t="str">
        <f>+[5]Hoja1!$A$30</f>
        <v>Encuentros regionales porcicolas</v>
      </c>
      <c r="B154" s="43"/>
      <c r="C154" s="43"/>
      <c r="D154" s="50">
        <v>137229400</v>
      </c>
      <c r="E154" s="43"/>
      <c r="F154" s="43"/>
      <c r="G154" s="43"/>
      <c r="H154" s="38">
        <f>+B154+C154+D154+G154+E154+F154</f>
        <v>137229400</v>
      </c>
      <c r="I154" s="43"/>
      <c r="J154" s="50">
        <f>+H154+I154</f>
        <v>137229400</v>
      </c>
      <c r="K154" s="50">
        <v>28000000</v>
      </c>
      <c r="L154" s="50">
        <v>13000000</v>
      </c>
      <c r="M154" s="50"/>
      <c r="N154" s="50">
        <f>+J154+K154+M154-27500000+L154</f>
        <v>150729400</v>
      </c>
      <c r="O154" s="36"/>
      <c r="P154" s="36"/>
      <c r="Q154" s="36">
        <f>+[2]TRANSF!AE44</f>
        <v>144996306</v>
      </c>
      <c r="R154" s="36"/>
      <c r="S154" s="36"/>
      <c r="T154" s="36"/>
      <c r="U154" s="36">
        <f>SUM(O154:T154)</f>
        <v>144996306</v>
      </c>
      <c r="V154" s="36"/>
      <c r="W154" s="36">
        <f>+U154+V154</f>
        <v>144996306</v>
      </c>
      <c r="X154" s="35">
        <f>+W154-N154</f>
        <v>-5733094</v>
      </c>
      <c r="Y154" s="49">
        <f>+W154/N154</f>
        <v>0.96196432812709398</v>
      </c>
    </row>
    <row r="155" spans="1:25" s="53" customFormat="1" ht="15" hidden="1" outlineLevel="2" x14ac:dyDescent="0.25">
      <c r="A155" s="54" t="str">
        <f>+[5]Hoja1!$A$32</f>
        <v>Curso de operarios</v>
      </c>
      <c r="B155" s="43"/>
      <c r="C155" s="43"/>
      <c r="D155" s="50">
        <v>75000000</v>
      </c>
      <c r="E155" s="43"/>
      <c r="F155" s="43"/>
      <c r="G155" s="43"/>
      <c r="H155" s="38">
        <f>+B155+C155+D155+G155+E155+F155</f>
        <v>75000000</v>
      </c>
      <c r="I155" s="43"/>
      <c r="J155" s="50">
        <f>+H155+I155</f>
        <v>75000000</v>
      </c>
      <c r="K155" s="50"/>
      <c r="L155" s="50"/>
      <c r="M155" s="50"/>
      <c r="N155" s="50">
        <f>+J155+K155+M155-23000000</f>
        <v>52000000</v>
      </c>
      <c r="O155" s="48"/>
      <c r="P155" s="48"/>
      <c r="Q155" s="36">
        <f>+[2]TRANSF!AE45</f>
        <v>44422119</v>
      </c>
      <c r="R155" s="48"/>
      <c r="S155" s="48"/>
      <c r="T155" s="48"/>
      <c r="U155" s="36">
        <f>SUM(O155:T155)</f>
        <v>44422119</v>
      </c>
      <c r="V155" s="36"/>
      <c r="W155" s="36">
        <f>+U155+V155</f>
        <v>44422119</v>
      </c>
      <c r="X155" s="35">
        <f>+W155-N155</f>
        <v>-7577881</v>
      </c>
      <c r="Y155" s="49">
        <f>+W155/N155</f>
        <v>0.85427151923076927</v>
      </c>
    </row>
    <row r="156" spans="1:25" s="53" customFormat="1" ht="15" hidden="1" outlineLevel="2" x14ac:dyDescent="0.25">
      <c r="A156" s="54" t="s">
        <v>23</v>
      </c>
      <c r="B156" s="43"/>
      <c r="C156" s="43"/>
      <c r="D156" s="50">
        <v>100913250</v>
      </c>
      <c r="E156" s="43"/>
      <c r="F156" s="43"/>
      <c r="G156" s="43"/>
      <c r="H156" s="38">
        <f>+B156+C156+D156+G156+E156+F156</f>
        <v>100913250</v>
      </c>
      <c r="I156" s="43"/>
      <c r="J156" s="50">
        <f>+H156+I156</f>
        <v>100913250</v>
      </c>
      <c r="K156" s="50"/>
      <c r="L156" s="50"/>
      <c r="M156" s="50"/>
      <c r="N156" s="50">
        <f>+J156+K156+M156-70000000</f>
        <v>30913250</v>
      </c>
      <c r="O156" s="36"/>
      <c r="P156" s="36"/>
      <c r="Q156" s="36">
        <f>+[2]TRANSF!AE46</f>
        <v>0</v>
      </c>
      <c r="R156" s="36"/>
      <c r="S156" s="36"/>
      <c r="T156" s="36"/>
      <c r="U156" s="36">
        <f>SUM(O156:T156)</f>
        <v>0</v>
      </c>
      <c r="V156" s="36"/>
      <c r="W156" s="36">
        <f>+U156+V156</f>
        <v>0</v>
      </c>
      <c r="X156" s="35">
        <f>+W156-N156</f>
        <v>-30913250</v>
      </c>
      <c r="Y156" s="49">
        <f>+W156/N156</f>
        <v>0</v>
      </c>
    </row>
    <row r="157" spans="1:25" s="53" customFormat="1" ht="15" hidden="1" outlineLevel="2" x14ac:dyDescent="0.25">
      <c r="A157" s="54" t="s">
        <v>22</v>
      </c>
      <c r="B157" s="43"/>
      <c r="C157" s="43"/>
      <c r="D157" s="50"/>
      <c r="E157" s="43"/>
      <c r="F157" s="43"/>
      <c r="G157" s="43"/>
      <c r="H157" s="38">
        <f>+B157+C157+D157+G157+E157+F157</f>
        <v>0</v>
      </c>
      <c r="I157" s="43"/>
      <c r="J157" s="50">
        <f>+H157+I157</f>
        <v>0</v>
      </c>
      <c r="K157" s="50">
        <f>100000000+42000000</f>
        <v>142000000</v>
      </c>
      <c r="L157" s="50"/>
      <c r="M157" s="50"/>
      <c r="N157" s="50">
        <f>+J157+K157+M157</f>
        <v>142000000</v>
      </c>
      <c r="O157" s="36"/>
      <c r="P157" s="36"/>
      <c r="Q157" s="36">
        <f>+[2]TRANSF!AE48</f>
        <v>134000000</v>
      </c>
      <c r="R157" s="36"/>
      <c r="S157" s="36"/>
      <c r="T157" s="36"/>
      <c r="U157" s="36">
        <f>SUM(O157:T157)</f>
        <v>134000000</v>
      </c>
      <c r="V157" s="36"/>
      <c r="W157" s="36">
        <f>+U157+V157</f>
        <v>134000000</v>
      </c>
      <c r="X157" s="35">
        <f>+W157-N157</f>
        <v>-8000000</v>
      </c>
      <c r="Y157" s="49">
        <f>+W157/N157</f>
        <v>0.94366197183098588</v>
      </c>
    </row>
    <row r="158" spans="1:25" s="53" customFormat="1" ht="15" hidden="1" outlineLevel="2" x14ac:dyDescent="0.25">
      <c r="A158" s="54" t="s">
        <v>21</v>
      </c>
      <c r="B158" s="43"/>
      <c r="C158" s="43"/>
      <c r="D158" s="50">
        <v>21000000</v>
      </c>
      <c r="E158" s="43"/>
      <c r="F158" s="43"/>
      <c r="G158" s="43"/>
      <c r="H158" s="38">
        <f>+B158+C158+D158+G158+E158+F158</f>
        <v>21000000</v>
      </c>
      <c r="I158" s="43"/>
      <c r="J158" s="50">
        <f>+H158+I158</f>
        <v>21000000</v>
      </c>
      <c r="K158" s="50"/>
      <c r="L158" s="50">
        <v>20000000</v>
      </c>
      <c r="M158" s="50"/>
      <c r="N158" s="50">
        <f>+J158+K158+M158+L158</f>
        <v>41000000</v>
      </c>
      <c r="O158" s="36"/>
      <c r="P158" s="36"/>
      <c r="Q158" s="36">
        <f>+[2]TRANSF!AE47</f>
        <v>36369970</v>
      </c>
      <c r="R158" s="36"/>
      <c r="S158" s="36"/>
      <c r="T158" s="36"/>
      <c r="U158" s="36">
        <f>SUM(O158:T158)</f>
        <v>36369970</v>
      </c>
      <c r="V158" s="36"/>
      <c r="W158" s="36">
        <f>+U158+V158</f>
        <v>36369970</v>
      </c>
      <c r="X158" s="35">
        <f>+W158-N158</f>
        <v>-4630030</v>
      </c>
      <c r="Y158" s="49">
        <f>+W158/N158</f>
        <v>0.88707243902439026</v>
      </c>
    </row>
    <row r="159" spans="1:25" s="53" customFormat="1" ht="15" hidden="1" outlineLevel="1" x14ac:dyDescent="0.25">
      <c r="A159" s="55" t="s">
        <v>20</v>
      </c>
      <c r="B159" s="43"/>
      <c r="C159" s="43"/>
      <c r="D159" s="43">
        <f>SUM(D160:D162)</f>
        <v>313201000</v>
      </c>
      <c r="E159" s="43"/>
      <c r="F159" s="43"/>
      <c r="G159" s="43"/>
      <c r="H159" s="43">
        <f>SUM(H160:H162)</f>
        <v>313201000</v>
      </c>
      <c r="I159" s="43"/>
      <c r="J159" s="43">
        <f>SUM(J160:J162)</f>
        <v>313201000</v>
      </c>
      <c r="K159" s="43">
        <f>SUM(K160:K162)</f>
        <v>0</v>
      </c>
      <c r="L159" s="43">
        <f>SUM(L160:L162)</f>
        <v>0</v>
      </c>
      <c r="M159" s="43">
        <f>SUM(M160:M162)</f>
        <v>0</v>
      </c>
      <c r="N159" s="43">
        <f>+J159+K159+M159-38000000</f>
        <v>275201000</v>
      </c>
      <c r="O159" s="48"/>
      <c r="P159" s="48"/>
      <c r="Q159" s="52">
        <f>SUM(Q160:Q162)</f>
        <v>227694000</v>
      </c>
      <c r="R159" s="48"/>
      <c r="S159" s="48"/>
      <c r="T159" s="48"/>
      <c r="U159" s="48">
        <f>SUM(O159:T159)</f>
        <v>227694000</v>
      </c>
      <c r="V159" s="48"/>
      <c r="W159" s="48">
        <f>+U159+V159</f>
        <v>227694000</v>
      </c>
      <c r="X159" s="28">
        <f>+W159-N159</f>
        <v>-47507000</v>
      </c>
      <c r="Y159" s="27">
        <f>+W159/N159</f>
        <v>0.82737344704416049</v>
      </c>
    </row>
    <row r="160" spans="1:25" s="53" customFormat="1" ht="15" hidden="1" outlineLevel="2" x14ac:dyDescent="0.25">
      <c r="A160" s="54" t="str">
        <f>+[5]Hoja1!$A$34</f>
        <v>Buenas practicas en el manejo de medicamentos veterinarios</v>
      </c>
      <c r="B160" s="43"/>
      <c r="C160" s="43"/>
      <c r="D160" s="50">
        <v>40000000</v>
      </c>
      <c r="E160" s="43"/>
      <c r="F160" s="43"/>
      <c r="G160" s="43"/>
      <c r="H160" s="38">
        <f>+B160+C160+D160+G160+E160+F160</f>
        <v>40000000</v>
      </c>
      <c r="I160" s="43"/>
      <c r="J160" s="50">
        <f>+H160+I160</f>
        <v>40000000</v>
      </c>
      <c r="K160" s="50"/>
      <c r="L160" s="50"/>
      <c r="M160" s="50"/>
      <c r="N160" s="50">
        <f>+J160+K160+M160+5000000</f>
        <v>45000000</v>
      </c>
      <c r="O160" s="48"/>
      <c r="P160" s="48"/>
      <c r="Q160" s="36">
        <f>+[2]TRANSF!AE50</f>
        <v>43089291</v>
      </c>
      <c r="R160" s="48"/>
      <c r="S160" s="48"/>
      <c r="T160" s="48"/>
      <c r="U160" s="48">
        <f>SUM(O160:T160)</f>
        <v>43089291</v>
      </c>
      <c r="V160" s="48"/>
      <c r="W160" s="36">
        <f>+U160+V160</f>
        <v>43089291</v>
      </c>
      <c r="X160" s="35">
        <f>+W160-N160</f>
        <v>-1910709</v>
      </c>
      <c r="Y160" s="49">
        <f>+W160/N160</f>
        <v>0.95753980000000005</v>
      </c>
    </row>
    <row r="161" spans="1:25" s="53" customFormat="1" ht="29.25" hidden="1" outlineLevel="2" x14ac:dyDescent="0.25">
      <c r="A161" s="56" t="s">
        <v>19</v>
      </c>
      <c r="B161" s="43"/>
      <c r="C161" s="43"/>
      <c r="D161" s="50">
        <v>72000000</v>
      </c>
      <c r="E161" s="43"/>
      <c r="F161" s="43"/>
      <c r="G161" s="43"/>
      <c r="H161" s="38">
        <f>+B161+C161+D161+G161+E161+F161</f>
        <v>72000000</v>
      </c>
      <c r="I161" s="43"/>
      <c r="J161" s="50">
        <f>+H161+I161</f>
        <v>72000000</v>
      </c>
      <c r="K161" s="50"/>
      <c r="L161" s="50"/>
      <c r="M161" s="50"/>
      <c r="N161" s="50">
        <f>+J161+K161+M161-13000000</f>
        <v>59000000</v>
      </c>
      <c r="O161" s="36"/>
      <c r="P161" s="36"/>
      <c r="Q161" s="36">
        <f>+[2]TRANSF!AE51</f>
        <v>45566586</v>
      </c>
      <c r="R161" s="36"/>
      <c r="S161" s="36"/>
      <c r="T161" s="36"/>
      <c r="U161" s="36">
        <f>SUM(O161:T161)</f>
        <v>45566586</v>
      </c>
      <c r="V161" s="36"/>
      <c r="W161" s="36">
        <f>+U161+V161</f>
        <v>45566586</v>
      </c>
      <c r="X161" s="35">
        <f>+W161-N161</f>
        <v>-13433414</v>
      </c>
      <c r="Y161" s="49">
        <f>+W161/N161</f>
        <v>0.7723150169491525</v>
      </c>
    </row>
    <row r="162" spans="1:25" s="53" customFormat="1" ht="15" hidden="1" outlineLevel="2" x14ac:dyDescent="0.25">
      <c r="A162" s="54" t="s">
        <v>18</v>
      </c>
      <c r="B162" s="43"/>
      <c r="C162" s="43"/>
      <c r="D162" s="50">
        <v>201201000</v>
      </c>
      <c r="E162" s="43"/>
      <c r="F162" s="43"/>
      <c r="G162" s="43"/>
      <c r="H162" s="38">
        <f>+B162+C162+D162+G162+E162+F162</f>
        <v>201201000</v>
      </c>
      <c r="I162" s="43"/>
      <c r="J162" s="50">
        <f>+H162+I162</f>
        <v>201201000</v>
      </c>
      <c r="K162" s="50"/>
      <c r="L162" s="50"/>
      <c r="M162" s="50"/>
      <c r="N162" s="50">
        <f>+J162+K162+M162-30000000</f>
        <v>171201000</v>
      </c>
      <c r="O162" s="36"/>
      <c r="P162" s="36"/>
      <c r="Q162" s="36">
        <f>+[2]TRANSF!AE52</f>
        <v>139038123</v>
      </c>
      <c r="R162" s="36"/>
      <c r="S162" s="36"/>
      <c r="T162" s="36"/>
      <c r="U162" s="36">
        <f>SUM(O162:T162)</f>
        <v>139038123</v>
      </c>
      <c r="V162" s="36"/>
      <c r="W162" s="36">
        <f>+U162+V162</f>
        <v>139038123</v>
      </c>
      <c r="X162" s="35">
        <f>+W162-N162</f>
        <v>-32162877</v>
      </c>
      <c r="Y162" s="49">
        <f>+W162/N162</f>
        <v>0.81213382515289045</v>
      </c>
    </row>
    <row r="163" spans="1:25" s="53" customFormat="1" ht="15" collapsed="1" x14ac:dyDescent="0.25">
      <c r="A163" s="55" t="s">
        <v>17</v>
      </c>
      <c r="B163" s="43"/>
      <c r="C163" s="43"/>
      <c r="D163" s="43">
        <f>+D164+D168+D172+D173</f>
        <v>791575037.46088827</v>
      </c>
      <c r="E163" s="43"/>
      <c r="F163" s="43"/>
      <c r="G163" s="43"/>
      <c r="H163" s="43">
        <f>+H164+H168+H172+H173</f>
        <v>791575037.46088827</v>
      </c>
      <c r="I163" s="43"/>
      <c r="J163" s="43">
        <f>+J164+J168+J172+J173</f>
        <v>791575037.46088827</v>
      </c>
      <c r="K163" s="43">
        <f>+K164+K168+K172+K173</f>
        <v>80000000</v>
      </c>
      <c r="L163" s="43">
        <f>+L164+L168+L172+L173</f>
        <v>70000000</v>
      </c>
      <c r="M163" s="43">
        <f>+M164+M168+M172+M173</f>
        <v>0</v>
      </c>
      <c r="N163" s="43">
        <f>+J163+L163+K163+M163</f>
        <v>941575037.46088827</v>
      </c>
      <c r="O163" s="36"/>
      <c r="P163" s="36"/>
      <c r="Q163" s="52">
        <f>+Q164+Q168+Q172+Q173</f>
        <v>831088741</v>
      </c>
      <c r="R163" s="36"/>
      <c r="S163" s="36"/>
      <c r="T163" s="36"/>
      <c r="U163" s="52">
        <f>SUM(O163:T163)</f>
        <v>831088741</v>
      </c>
      <c r="V163" s="36"/>
      <c r="W163" s="52">
        <f>+U163+V163</f>
        <v>831088741</v>
      </c>
      <c r="X163" s="28">
        <f>+W163-N163</f>
        <v>-110486296.46088827</v>
      </c>
      <c r="Y163" s="27">
        <f>+W163/N163</f>
        <v>0.88265800168318742</v>
      </c>
    </row>
    <row r="164" spans="1:25" s="53" customFormat="1" ht="15" hidden="1" outlineLevel="1" x14ac:dyDescent="0.25">
      <c r="A164" s="55" t="s">
        <v>16</v>
      </c>
      <c r="B164" s="43"/>
      <c r="C164" s="43"/>
      <c r="D164" s="43">
        <f>SUM(D165:D167)</f>
        <v>257681191.32829058</v>
      </c>
      <c r="E164" s="43"/>
      <c r="F164" s="43"/>
      <c r="G164" s="43"/>
      <c r="H164" s="43">
        <f>SUM(H165:H167)</f>
        <v>257681191.32829058</v>
      </c>
      <c r="I164" s="43"/>
      <c r="J164" s="43">
        <f>SUM(J165:J167)</f>
        <v>257681191.32829058</v>
      </c>
      <c r="K164" s="43">
        <f>SUM(K165:K167)</f>
        <v>80000000</v>
      </c>
      <c r="L164" s="43">
        <f>SUM(L165:L167)</f>
        <v>30000000</v>
      </c>
      <c r="M164" s="43">
        <f>SUM(M165:M167)</f>
        <v>0</v>
      </c>
      <c r="N164" s="43">
        <f>+J164+K164+L164+M164+36000000</f>
        <v>403681191.32829058</v>
      </c>
      <c r="O164" s="36"/>
      <c r="P164" s="36"/>
      <c r="Q164" s="52">
        <f>SUM(Q165:Q167)</f>
        <v>391038159</v>
      </c>
      <c r="R164" s="36"/>
      <c r="S164" s="36"/>
      <c r="T164" s="36"/>
      <c r="U164" s="36">
        <f>SUM(O164:T164)</f>
        <v>391038159</v>
      </c>
      <c r="V164" s="36"/>
      <c r="W164" s="52">
        <f>+U164+V164</f>
        <v>391038159</v>
      </c>
      <c r="X164" s="28">
        <f>+W164-N164</f>
        <v>-12643032.328290582</v>
      </c>
      <c r="Y164" s="27">
        <f>+W164/N164</f>
        <v>0.96868065047398078</v>
      </c>
    </row>
    <row r="165" spans="1:25" s="53" customFormat="1" ht="15" hidden="1" outlineLevel="2" x14ac:dyDescent="0.25">
      <c r="A165" s="54" t="s">
        <v>15</v>
      </c>
      <c r="B165" s="43"/>
      <c r="C165" s="43"/>
      <c r="D165" s="38">
        <v>59351163.428290583</v>
      </c>
      <c r="E165" s="43"/>
      <c r="F165" s="43"/>
      <c r="G165" s="43"/>
      <c r="H165" s="38">
        <f>+B165+C165+D165+G165+E165+F165</f>
        <v>59351163.428290583</v>
      </c>
      <c r="I165" s="43"/>
      <c r="J165" s="50">
        <f>+H165+I165</f>
        <v>59351163.428290583</v>
      </c>
      <c r="K165" s="50"/>
      <c r="L165" s="50">
        <v>30000000</v>
      </c>
      <c r="M165" s="50"/>
      <c r="N165" s="50">
        <f>+J165+L165+K165+M165</f>
        <v>89351163.428290576</v>
      </c>
      <c r="O165" s="36"/>
      <c r="P165" s="36"/>
      <c r="Q165" s="36">
        <f>+[2]TRANSF!AE55</f>
        <v>84160118</v>
      </c>
      <c r="R165" s="36"/>
      <c r="S165" s="36"/>
      <c r="T165" s="36"/>
      <c r="U165" s="36">
        <f>SUM(O165:T165)</f>
        <v>84160118</v>
      </c>
      <c r="V165" s="36"/>
      <c r="W165" s="36">
        <f>+U165+V165</f>
        <v>84160118</v>
      </c>
      <c r="X165" s="35">
        <f>+W165-N165</f>
        <v>-5191045.4282905757</v>
      </c>
      <c r="Y165" s="49">
        <f>+W165/N165</f>
        <v>0.94190287815942442</v>
      </c>
    </row>
    <row r="166" spans="1:25" s="53" customFormat="1" ht="15" hidden="1" outlineLevel="2" x14ac:dyDescent="0.25">
      <c r="A166" s="54" t="str">
        <f>+[5]Hoja1!$A$43</f>
        <v>Compras de insumos</v>
      </c>
      <c r="B166" s="43"/>
      <c r="C166" s="43"/>
      <c r="D166" s="38">
        <v>150000000</v>
      </c>
      <c r="E166" s="43"/>
      <c r="F166" s="43"/>
      <c r="G166" s="43"/>
      <c r="H166" s="38">
        <f>+B166+C166+D166+G166+E166+F166</f>
        <v>150000000</v>
      </c>
      <c r="I166" s="43"/>
      <c r="J166" s="50">
        <f>+H166+I166</f>
        <v>150000000</v>
      </c>
      <c r="K166" s="50">
        <v>80000000</v>
      </c>
      <c r="L166" s="50"/>
      <c r="M166" s="50"/>
      <c r="N166" s="50">
        <f>+J166+K166+M166+39500000</f>
        <v>269500000</v>
      </c>
      <c r="O166" s="48"/>
      <c r="P166" s="48"/>
      <c r="Q166" s="36">
        <f>+[2]TRANSF!AE56</f>
        <v>263312215</v>
      </c>
      <c r="R166" s="48"/>
      <c r="S166" s="48"/>
      <c r="T166" s="48"/>
      <c r="U166" s="48">
        <f>SUM(O166:T166)</f>
        <v>263312215</v>
      </c>
      <c r="V166" s="48"/>
      <c r="W166" s="36">
        <f>+U166+V166</f>
        <v>263312215</v>
      </c>
      <c r="X166" s="35">
        <f>+W166-N166</f>
        <v>-6187785</v>
      </c>
      <c r="Y166" s="49">
        <f>+W166/N166</f>
        <v>0.97703975881261595</v>
      </c>
    </row>
    <row r="167" spans="1:25" s="53" customFormat="1" ht="15" hidden="1" outlineLevel="2" x14ac:dyDescent="0.25">
      <c r="A167" s="54" t="str">
        <f>+[5]Hoja1!$A$44</f>
        <v>Diagnóstico importados</v>
      </c>
      <c r="B167" s="43"/>
      <c r="C167" s="43"/>
      <c r="D167" s="38">
        <v>48330027.899999999</v>
      </c>
      <c r="E167" s="43"/>
      <c r="F167" s="43"/>
      <c r="G167" s="43"/>
      <c r="H167" s="38">
        <f>+B167+C167+D167+G167+E167+F167</f>
        <v>48330027.899999999</v>
      </c>
      <c r="I167" s="43"/>
      <c r="J167" s="50">
        <f>+H167+I167</f>
        <v>48330027.899999999</v>
      </c>
      <c r="K167" s="50"/>
      <c r="L167" s="50"/>
      <c r="M167" s="50"/>
      <c r="N167" s="50">
        <f>+J167+K167+M167-3500000</f>
        <v>44830027.899999999</v>
      </c>
      <c r="O167" s="36"/>
      <c r="P167" s="36"/>
      <c r="Q167" s="36">
        <f>+[2]TRANSF!AE57</f>
        <v>43565826</v>
      </c>
      <c r="R167" s="36"/>
      <c r="S167" s="36"/>
      <c r="T167" s="36"/>
      <c r="U167" s="36">
        <f>SUM(O167:T167)</f>
        <v>43565826</v>
      </c>
      <c r="V167" s="36"/>
      <c r="W167" s="36">
        <f>+U167+V167</f>
        <v>43565826</v>
      </c>
      <c r="X167" s="35">
        <f>+W167-N167</f>
        <v>-1264201.8999999985</v>
      </c>
      <c r="Y167" s="49">
        <f>+W167/N167</f>
        <v>0.97180010900684721</v>
      </c>
    </row>
    <row r="168" spans="1:25" s="53" customFormat="1" ht="15" hidden="1" outlineLevel="1" x14ac:dyDescent="0.25">
      <c r="A168" s="55" t="s">
        <v>14</v>
      </c>
      <c r="B168" s="43"/>
      <c r="C168" s="43"/>
      <c r="D168" s="43">
        <f>SUM(D169:D171)</f>
        <v>353305576.46309775</v>
      </c>
      <c r="E168" s="43"/>
      <c r="F168" s="43"/>
      <c r="G168" s="43"/>
      <c r="H168" s="43">
        <f>SUM(H169:H171)</f>
        <v>353305576.46309775</v>
      </c>
      <c r="I168" s="43"/>
      <c r="J168" s="43">
        <f>SUM(J169:J171)</f>
        <v>353305576.46309775</v>
      </c>
      <c r="K168" s="43">
        <f>SUM(K169:K171)</f>
        <v>0</v>
      </c>
      <c r="L168" s="43">
        <f>SUM(L169:L171)</f>
        <v>40000000</v>
      </c>
      <c r="M168" s="43">
        <f>SUM(M169:M171)</f>
        <v>0</v>
      </c>
      <c r="N168" s="43">
        <f>+J168+L168+K168+M168+10000000</f>
        <v>403305576.46309775</v>
      </c>
      <c r="O168" s="36"/>
      <c r="P168" s="36"/>
      <c r="Q168" s="52">
        <f>SUM(Q169:Q171)</f>
        <v>389205536</v>
      </c>
      <c r="R168" s="36"/>
      <c r="S168" s="36"/>
      <c r="T168" s="36"/>
      <c r="U168" s="36">
        <f>SUM(O168:T168)</f>
        <v>389205536</v>
      </c>
      <c r="V168" s="36"/>
      <c r="W168" s="52">
        <f>+U168+V168</f>
        <v>389205536</v>
      </c>
      <c r="X168" s="28">
        <f>+W168-N168</f>
        <v>-14100040.463097751</v>
      </c>
      <c r="Y168" s="27">
        <f>+W168/N168</f>
        <v>0.96503881600955776</v>
      </c>
    </row>
    <row r="169" spans="1:25" s="53" customFormat="1" ht="15" hidden="1" outlineLevel="2" x14ac:dyDescent="0.25">
      <c r="A169" s="54" t="s">
        <v>13</v>
      </c>
      <c r="B169" s="43"/>
      <c r="C169" s="43"/>
      <c r="D169" s="38">
        <v>310040950.23709774</v>
      </c>
      <c r="E169" s="43"/>
      <c r="F169" s="43"/>
      <c r="G169" s="43"/>
      <c r="H169" s="38">
        <f>+B169+C169+D169+G169+E169+F169</f>
        <v>310040950.23709774</v>
      </c>
      <c r="I169" s="43"/>
      <c r="J169" s="50">
        <f>+H169+I169</f>
        <v>310040950.23709774</v>
      </c>
      <c r="K169" s="50"/>
      <c r="L169" s="50">
        <v>40000000</v>
      </c>
      <c r="M169" s="50"/>
      <c r="N169" s="50">
        <f>+J169+L169+K169+M169+34000000</f>
        <v>384040950.23709774</v>
      </c>
      <c r="O169" s="36"/>
      <c r="P169" s="36"/>
      <c r="Q169" s="36">
        <f>+[2]TRANSF!AE59</f>
        <v>381885765</v>
      </c>
      <c r="R169" s="36"/>
      <c r="S169" s="36"/>
      <c r="T169" s="36"/>
      <c r="U169" s="36">
        <f>SUM(O169:T169)</f>
        <v>381885765</v>
      </c>
      <c r="V169" s="36"/>
      <c r="W169" s="36">
        <f>+U169+V169</f>
        <v>381885765</v>
      </c>
      <c r="X169" s="35">
        <f>+W169-N169</f>
        <v>-2155185.2370977402</v>
      </c>
      <c r="Y169" s="49">
        <f>+W169/N169</f>
        <v>0.99438813690111127</v>
      </c>
    </row>
    <row r="170" spans="1:25" s="53" customFormat="1" ht="15" hidden="1" outlineLevel="1" x14ac:dyDescent="0.25">
      <c r="A170" s="54" t="str">
        <f>+[5]Hoja1!$A$50</f>
        <v>Pruebas interlaboratorios</v>
      </c>
      <c r="B170" s="43"/>
      <c r="C170" s="43"/>
      <c r="D170" s="50">
        <v>27677531</v>
      </c>
      <c r="E170" s="50"/>
      <c r="F170" s="50"/>
      <c r="G170" s="50"/>
      <c r="H170" s="50">
        <f>+B170+C170+D170+G170+E170+F170</f>
        <v>27677531</v>
      </c>
      <c r="I170" s="50"/>
      <c r="J170" s="50">
        <f>+H170+I170</f>
        <v>27677531</v>
      </c>
      <c r="K170" s="50"/>
      <c r="L170" s="50"/>
      <c r="M170" s="50"/>
      <c r="N170" s="50">
        <f>+J170+K170+M170-20000000</f>
        <v>7677531</v>
      </c>
      <c r="O170" s="36"/>
      <c r="P170" s="36"/>
      <c r="Q170" s="36">
        <f>+[2]TRANSF!AE60</f>
        <v>716000</v>
      </c>
      <c r="R170" s="36"/>
      <c r="S170" s="36"/>
      <c r="T170" s="36"/>
      <c r="U170" s="36">
        <f>SUM(O170:T170)</f>
        <v>716000</v>
      </c>
      <c r="V170" s="36"/>
      <c r="W170" s="36">
        <f>+U170+V170</f>
        <v>716000</v>
      </c>
      <c r="X170" s="35">
        <f>+W170-N170</f>
        <v>-6961531</v>
      </c>
      <c r="Y170" s="49">
        <f>+W170/N170</f>
        <v>9.3259148025582703E-2</v>
      </c>
    </row>
    <row r="171" spans="1:25" s="53" customFormat="1" ht="15" hidden="1" outlineLevel="1" x14ac:dyDescent="0.25">
      <c r="A171" s="54" t="str">
        <f>+[5]Hoja1!$A$51</f>
        <v>Promoción al diagnóstico</v>
      </c>
      <c r="B171" s="43"/>
      <c r="C171" s="43"/>
      <c r="D171" s="50">
        <v>15587095.226</v>
      </c>
      <c r="E171" s="50"/>
      <c r="F171" s="50"/>
      <c r="G171" s="50"/>
      <c r="H171" s="50">
        <f>+B171+C171+D171+G171+E171+F171</f>
        <v>15587095.226</v>
      </c>
      <c r="I171" s="50"/>
      <c r="J171" s="50">
        <f>+H171+I171</f>
        <v>15587095.226</v>
      </c>
      <c r="K171" s="50"/>
      <c r="L171" s="50"/>
      <c r="M171" s="50"/>
      <c r="N171" s="50">
        <f>+J171+K171+M171-4000000</f>
        <v>11587095.226</v>
      </c>
      <c r="O171" s="36"/>
      <c r="P171" s="36"/>
      <c r="Q171" s="36">
        <f>+[2]TRANSF!AE61</f>
        <v>6603771</v>
      </c>
      <c r="R171" s="36"/>
      <c r="S171" s="36"/>
      <c r="T171" s="36"/>
      <c r="U171" s="36">
        <f>SUM(O171:T171)</f>
        <v>6603771</v>
      </c>
      <c r="V171" s="36"/>
      <c r="W171" s="36">
        <f>+U171+V171</f>
        <v>6603771</v>
      </c>
      <c r="X171" s="35">
        <f>+W171-N171</f>
        <v>-4983324.2259999998</v>
      </c>
      <c r="Y171" s="49">
        <f>+W171/N171</f>
        <v>0.56992463349933986</v>
      </c>
    </row>
    <row r="172" spans="1:25" s="53" customFormat="1" ht="15" hidden="1" outlineLevel="1" x14ac:dyDescent="0.25">
      <c r="A172" s="55" t="str">
        <f>+[5]Hoja1!$A$52</f>
        <v>Inocuidad y ambiente</v>
      </c>
      <c r="B172" s="43"/>
      <c r="C172" s="43"/>
      <c r="D172" s="43">
        <v>30358189.669500001</v>
      </c>
      <c r="E172" s="43"/>
      <c r="F172" s="43"/>
      <c r="G172" s="43"/>
      <c r="H172" s="46">
        <f>+B172+C172+D172+G172+E172+F172</f>
        <v>30358189.669500001</v>
      </c>
      <c r="I172" s="46"/>
      <c r="J172" s="46">
        <f>+H172+I172</f>
        <v>30358189.669500001</v>
      </c>
      <c r="K172" s="46"/>
      <c r="L172" s="46"/>
      <c r="M172" s="46"/>
      <c r="N172" s="46">
        <f>+J172+K172+M172-10000000</f>
        <v>20358189.669500001</v>
      </c>
      <c r="O172" s="52"/>
      <c r="P172" s="52"/>
      <c r="Q172" s="52">
        <f>+[2]TRANSF!AE62</f>
        <v>9261776</v>
      </c>
      <c r="R172" s="52"/>
      <c r="S172" s="52"/>
      <c r="T172" s="52"/>
      <c r="U172" s="52">
        <f>SUM(O172:T172)</f>
        <v>9261776</v>
      </c>
      <c r="V172" s="52"/>
      <c r="W172" s="52">
        <f>+U172+V172</f>
        <v>9261776</v>
      </c>
      <c r="X172" s="28">
        <f>+W172-N172</f>
        <v>-11096413.669500001</v>
      </c>
      <c r="Y172" s="27">
        <f>+W172/N172</f>
        <v>0.45494104094509452</v>
      </c>
    </row>
    <row r="173" spans="1:25" s="53" customFormat="1" ht="15" hidden="1" outlineLevel="1" x14ac:dyDescent="0.25">
      <c r="A173" s="55" t="s">
        <v>12</v>
      </c>
      <c r="B173" s="43"/>
      <c r="C173" s="43"/>
      <c r="D173" s="43">
        <v>150230080</v>
      </c>
      <c r="E173" s="43"/>
      <c r="F173" s="43"/>
      <c r="G173" s="43"/>
      <c r="H173" s="46">
        <f>+B173+C173+D173+G173+E173+F173</f>
        <v>150230080</v>
      </c>
      <c r="I173" s="46"/>
      <c r="J173" s="46">
        <f>+H173+I173</f>
        <v>150230080</v>
      </c>
      <c r="K173" s="46"/>
      <c r="L173" s="46"/>
      <c r="M173" s="46"/>
      <c r="N173" s="46">
        <f>+J173+K173+M173-36000000</f>
        <v>114230080</v>
      </c>
      <c r="O173" s="52"/>
      <c r="P173" s="52"/>
      <c r="Q173" s="52">
        <f>+[2]TRANSF!AE63</f>
        <v>41583270</v>
      </c>
      <c r="R173" s="52"/>
      <c r="S173" s="52"/>
      <c r="T173" s="52"/>
      <c r="U173" s="52">
        <f>SUM(O173:T173)</f>
        <v>41583270</v>
      </c>
      <c r="V173" s="52"/>
      <c r="W173" s="52">
        <f>+U173+V173</f>
        <v>41583270</v>
      </c>
      <c r="X173" s="28">
        <f>+W173-N173</f>
        <v>-72646810</v>
      </c>
      <c r="Y173" s="27">
        <f>+W173/N173</f>
        <v>0.36403082270449255</v>
      </c>
    </row>
    <row r="174" spans="1:25" s="53" customFormat="1" ht="15" collapsed="1" x14ac:dyDescent="0.25">
      <c r="A174" s="54"/>
      <c r="B174" s="43"/>
      <c r="C174" s="43"/>
      <c r="D174" s="43"/>
      <c r="E174" s="43"/>
      <c r="F174" s="43"/>
      <c r="G174" s="43"/>
      <c r="H174" s="38"/>
      <c r="I174" s="43"/>
      <c r="J174" s="50"/>
      <c r="K174" s="50"/>
      <c r="L174" s="50"/>
      <c r="M174" s="50"/>
      <c r="N174" s="50"/>
      <c r="O174" s="36"/>
      <c r="P174" s="36"/>
      <c r="Q174" s="36"/>
      <c r="R174" s="36"/>
      <c r="S174" s="36"/>
      <c r="T174" s="36"/>
      <c r="U174" s="36"/>
      <c r="V174" s="36"/>
      <c r="W174" s="36"/>
      <c r="X174" s="28"/>
      <c r="Y174" s="27"/>
    </row>
    <row r="175" spans="1:25" s="53" customFormat="1" ht="15" x14ac:dyDescent="0.25">
      <c r="A175" s="55" t="s">
        <v>11</v>
      </c>
      <c r="B175" s="43"/>
      <c r="C175" s="43"/>
      <c r="D175" s="43"/>
      <c r="E175" s="46">
        <f>+E176</f>
        <v>1333168791.7</v>
      </c>
      <c r="F175" s="46"/>
      <c r="G175" s="46"/>
      <c r="H175" s="46">
        <f>+B175+C175+D175+G175+E175+F175</f>
        <v>1333168791.7</v>
      </c>
      <c r="I175" s="46"/>
      <c r="J175" s="46">
        <f>+H175+I175</f>
        <v>1333168791.7</v>
      </c>
      <c r="K175" s="46">
        <f>+K176</f>
        <v>0</v>
      </c>
      <c r="L175" s="46">
        <f>+L176</f>
        <v>0</v>
      </c>
      <c r="M175" s="46">
        <f>+M176</f>
        <v>0</v>
      </c>
      <c r="N175" s="46">
        <f>+J175+K175+M175</f>
        <v>1333168791.7</v>
      </c>
      <c r="O175" s="52"/>
      <c r="P175" s="52"/>
      <c r="Q175" s="52"/>
      <c r="R175" s="52">
        <f>+R176</f>
        <v>1269937216</v>
      </c>
      <c r="S175" s="52"/>
      <c r="T175" s="52"/>
      <c r="U175" s="52">
        <f>SUM(O175:T175)</f>
        <v>1269937216</v>
      </c>
      <c r="V175" s="52"/>
      <c r="W175" s="52">
        <f>+U175+V175</f>
        <v>1269937216</v>
      </c>
      <c r="X175" s="28">
        <f>+W175-N175</f>
        <v>-63231575.700000048</v>
      </c>
      <c r="Y175" s="27">
        <f>+W175/N175</f>
        <v>0.95257046512514754</v>
      </c>
    </row>
    <row r="176" spans="1:25" s="53" customFormat="1" ht="15" x14ac:dyDescent="0.25">
      <c r="A176" s="55" t="s">
        <v>10</v>
      </c>
      <c r="B176" s="43"/>
      <c r="C176" s="43"/>
      <c r="D176" s="43"/>
      <c r="E176" s="43">
        <f>+E177</f>
        <v>1333168791.7</v>
      </c>
      <c r="F176" s="43"/>
      <c r="G176" s="43"/>
      <c r="H176" s="43">
        <f>+H177</f>
        <v>1333168791.7</v>
      </c>
      <c r="I176" s="43"/>
      <c r="J176" s="46">
        <f>+H176+I176</f>
        <v>1333168791.7</v>
      </c>
      <c r="K176" s="46">
        <f>+K177</f>
        <v>0</v>
      </c>
      <c r="L176" s="46">
        <f>+L177</f>
        <v>0</v>
      </c>
      <c r="M176" s="46">
        <f>+M177</f>
        <v>0</v>
      </c>
      <c r="N176" s="46">
        <f>+J176+K176+M176</f>
        <v>1333168791.7</v>
      </c>
      <c r="O176" s="48"/>
      <c r="P176" s="48"/>
      <c r="Q176" s="48"/>
      <c r="R176" s="48">
        <f>+R177</f>
        <v>1269937216</v>
      </c>
      <c r="S176" s="48"/>
      <c r="T176" s="48"/>
      <c r="U176" s="48">
        <f>SUM(O176:T176)</f>
        <v>1269937216</v>
      </c>
      <c r="V176" s="48"/>
      <c r="W176" s="48">
        <f>+U176+V176</f>
        <v>1269937216</v>
      </c>
      <c r="X176" s="28">
        <f>+W176-N176</f>
        <v>-63231575.700000048</v>
      </c>
      <c r="Y176" s="27">
        <f>+W176/N176</f>
        <v>0.95257046512514754</v>
      </c>
    </row>
    <row r="177" spans="1:30" s="53" customFormat="1" ht="15" hidden="1" outlineLevel="2" x14ac:dyDescent="0.25">
      <c r="A177" s="54" t="str">
        <f>+'[4]Presupuesto 2018 vs 2017'!$B$18</f>
        <v>Programa Nacional de Sanidad Porcina</v>
      </c>
      <c r="B177" s="43"/>
      <c r="C177" s="43"/>
      <c r="D177" s="43"/>
      <c r="E177" s="50">
        <v>1333168791.7</v>
      </c>
      <c r="F177" s="43"/>
      <c r="G177" s="43"/>
      <c r="H177" s="38">
        <f>+B177+C177+D177+G177+E177+F177</f>
        <v>1333168791.7</v>
      </c>
      <c r="I177" s="43"/>
      <c r="J177" s="50">
        <f>+H177+I177</f>
        <v>1333168791.7</v>
      </c>
      <c r="K177" s="50"/>
      <c r="L177" s="50"/>
      <c r="M177" s="50"/>
      <c r="N177" s="50">
        <f>+J177+K177+M177</f>
        <v>1333168791.7</v>
      </c>
      <c r="O177" s="36"/>
      <c r="P177" s="36"/>
      <c r="Q177" s="36"/>
      <c r="R177" s="36">
        <f>+[2]SAN!AE32</f>
        <v>1269937216</v>
      </c>
      <c r="S177" s="36"/>
      <c r="T177" s="36"/>
      <c r="U177" s="36">
        <f>SUM(O177:T177)</f>
        <v>1269937216</v>
      </c>
      <c r="V177" s="36"/>
      <c r="W177" s="36">
        <f>+U177+V177</f>
        <v>1269937216</v>
      </c>
      <c r="X177" s="35">
        <f>+W177-N177</f>
        <v>-63231575.700000048</v>
      </c>
      <c r="Y177" s="49">
        <f>+W177/N177</f>
        <v>0.95257046512514754</v>
      </c>
    </row>
    <row r="178" spans="1:30" s="53" customFormat="1" ht="15" collapsed="1" x14ac:dyDescent="0.25">
      <c r="A178" s="54"/>
      <c r="B178" s="38"/>
      <c r="C178" s="43"/>
      <c r="D178" s="43"/>
      <c r="E178" s="43"/>
      <c r="F178" s="43"/>
      <c r="G178" s="43"/>
      <c r="H178" s="38"/>
      <c r="I178" s="43"/>
      <c r="J178" s="50"/>
      <c r="K178" s="50"/>
      <c r="L178" s="50"/>
      <c r="M178" s="50"/>
      <c r="N178" s="50"/>
      <c r="O178" s="36"/>
      <c r="P178" s="36"/>
      <c r="Q178" s="36"/>
      <c r="R178" s="36"/>
      <c r="S178" s="36"/>
      <c r="T178" s="36"/>
      <c r="U178" s="36"/>
      <c r="V178" s="36"/>
      <c r="W178" s="36"/>
      <c r="X178" s="28"/>
      <c r="Y178" s="27"/>
    </row>
    <row r="179" spans="1:30" ht="15" x14ac:dyDescent="0.25">
      <c r="A179" s="44" t="s">
        <v>9</v>
      </c>
      <c r="B179" s="38"/>
      <c r="C179" s="38"/>
      <c r="D179" s="38"/>
      <c r="E179" s="38"/>
      <c r="F179" s="38"/>
      <c r="G179" s="38"/>
      <c r="H179" s="38"/>
      <c r="I179" s="43">
        <f>+I180+I181</f>
        <v>3978709197.8385158</v>
      </c>
      <c r="J179" s="43">
        <f>+I179+H179</f>
        <v>3978709197.8385158</v>
      </c>
      <c r="K179" s="43">
        <f>+K180+K181</f>
        <v>329240106</v>
      </c>
      <c r="L179" s="43">
        <f>+L180+L181</f>
        <v>0</v>
      </c>
      <c r="M179" s="43">
        <f>+M180+M181</f>
        <v>0</v>
      </c>
      <c r="N179" s="43">
        <f>+J179+K179+M179</f>
        <v>4307949303.8385162</v>
      </c>
      <c r="O179" s="36"/>
      <c r="P179" s="36"/>
      <c r="Q179" s="36"/>
      <c r="R179" s="36"/>
      <c r="S179" s="36"/>
      <c r="T179" s="36"/>
      <c r="U179" s="36">
        <f>SUM(O179:T179)</f>
        <v>0</v>
      </c>
      <c r="V179" s="52">
        <f>+V180+V181</f>
        <v>4253790927</v>
      </c>
      <c r="W179" s="52">
        <f>+U179+V179</f>
        <v>4253790927</v>
      </c>
      <c r="X179" s="28">
        <f>+W179-N179</f>
        <v>-54158376.838516235</v>
      </c>
      <c r="Y179" s="27">
        <f>+W179/N179</f>
        <v>0.98742826968965036</v>
      </c>
      <c r="Z179" s="26"/>
    </row>
    <row r="180" spans="1:30" ht="14.25" hidden="1" outlineLevel="1" x14ac:dyDescent="0.2">
      <c r="A180" s="51" t="s">
        <v>8</v>
      </c>
      <c r="B180" s="38"/>
      <c r="C180" s="38"/>
      <c r="D180" s="38"/>
      <c r="E180" s="38"/>
      <c r="F180" s="38"/>
      <c r="G180" s="38"/>
      <c r="H180" s="38"/>
      <c r="I180" s="50">
        <f>+('[3]Anexo 1'!B14+'[3]Anexo 1'!B18)*0.1</f>
        <v>2486693248.6490722</v>
      </c>
      <c r="J180" s="50">
        <f>+I180+H180</f>
        <v>2486693248.6490722</v>
      </c>
      <c r="K180" s="50">
        <v>205775066</v>
      </c>
      <c r="L180" s="50"/>
      <c r="M180" s="50"/>
      <c r="N180" s="50">
        <f>+J180+K180+M180</f>
        <v>2692468314.6490722</v>
      </c>
      <c r="O180" s="36"/>
      <c r="P180" s="36"/>
      <c r="Q180" s="36"/>
      <c r="R180" s="36"/>
      <c r="S180" s="36"/>
      <c r="T180" s="36"/>
      <c r="U180" s="36">
        <f>SUM(O180:T180)</f>
        <v>0</v>
      </c>
      <c r="V180" s="36">
        <f>+[2]FUN!AE51</f>
        <v>2658619329</v>
      </c>
      <c r="W180" s="36">
        <f>+U180+V180</f>
        <v>2658619329</v>
      </c>
      <c r="X180" s="35">
        <f>+W180-N180</f>
        <v>-33848985.64907217</v>
      </c>
      <c r="Y180" s="49">
        <f>+W180/N180</f>
        <v>0.98742826964205743</v>
      </c>
    </row>
    <row r="181" spans="1:30" ht="14.25" hidden="1" outlineLevel="1" x14ac:dyDescent="0.2">
      <c r="A181" s="51" t="s">
        <v>7</v>
      </c>
      <c r="B181" s="38"/>
      <c r="C181" s="38"/>
      <c r="D181" s="38"/>
      <c r="E181" s="38"/>
      <c r="F181" s="38"/>
      <c r="G181" s="38"/>
      <c r="H181" s="38"/>
      <c r="I181" s="50">
        <f>+('[3]Anexo 1'!B15+'[3]Anexo 1'!B19)*0.1</f>
        <v>1492015949.1894436</v>
      </c>
      <c r="J181" s="50">
        <f>+I181+H181</f>
        <v>1492015949.1894436</v>
      </c>
      <c r="K181" s="50">
        <v>123465040</v>
      </c>
      <c r="L181" s="50"/>
      <c r="M181" s="50"/>
      <c r="N181" s="50">
        <f>+J181+K181+M181</f>
        <v>1615480989.1894436</v>
      </c>
      <c r="O181" s="36"/>
      <c r="P181" s="36"/>
      <c r="Q181" s="36"/>
      <c r="R181" s="36"/>
      <c r="S181" s="36"/>
      <c r="T181" s="36"/>
      <c r="U181" s="36">
        <f>SUM(O181:T181)</f>
        <v>0</v>
      </c>
      <c r="V181" s="36">
        <f>+[2]FUN!AE52</f>
        <v>1595171598</v>
      </c>
      <c r="W181" s="36">
        <f>+U181+V181</f>
        <v>1595171598</v>
      </c>
      <c r="X181" s="35">
        <f>+W181-N181</f>
        <v>-20309391.189443588</v>
      </c>
      <c r="Y181" s="49">
        <f>+W181/N181</f>
        <v>0.98742826976897224</v>
      </c>
    </row>
    <row r="182" spans="1:30" ht="15" collapsed="1" x14ac:dyDescent="0.25">
      <c r="A182" s="45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48"/>
      <c r="P182" s="48"/>
      <c r="Q182" s="48"/>
      <c r="R182" s="48"/>
      <c r="S182" s="48"/>
      <c r="T182" s="48"/>
      <c r="U182" s="48"/>
      <c r="V182" s="48"/>
      <c r="W182" s="48"/>
      <c r="X182" s="28"/>
      <c r="Y182" s="27"/>
    </row>
    <row r="183" spans="1:30" ht="15" x14ac:dyDescent="0.25">
      <c r="A183" s="47" t="s">
        <v>6</v>
      </c>
      <c r="B183" s="46"/>
      <c r="C183" s="46"/>
      <c r="D183" s="46"/>
      <c r="E183" s="46"/>
      <c r="F183" s="46"/>
      <c r="G183" s="46"/>
      <c r="H183" s="46"/>
      <c r="I183" s="46">
        <v>1300000000</v>
      </c>
      <c r="J183" s="46">
        <v>1300000000</v>
      </c>
      <c r="K183" s="46"/>
      <c r="L183" s="46">
        <v>1000000000</v>
      </c>
      <c r="M183" s="46"/>
      <c r="N183" s="46">
        <f>+J183+L183+K183+M183</f>
        <v>2300000000</v>
      </c>
      <c r="O183" s="36"/>
      <c r="P183" s="36"/>
      <c r="Q183" s="36"/>
      <c r="R183" s="36"/>
      <c r="S183" s="36"/>
      <c r="T183" s="36"/>
      <c r="U183" s="36">
        <f>SUM(O183:T183)</f>
        <v>0</v>
      </c>
      <c r="V183" s="36"/>
      <c r="W183" s="36">
        <f>+U183+V183</f>
        <v>0</v>
      </c>
      <c r="X183" s="28">
        <f>+W183-N183</f>
        <v>-2300000000</v>
      </c>
      <c r="Y183" s="27">
        <f>+W183/N183</f>
        <v>0</v>
      </c>
    </row>
    <row r="184" spans="1:30" ht="15" x14ac:dyDescent="0.25">
      <c r="A184" s="47"/>
      <c r="B184" s="46"/>
      <c r="C184" s="46"/>
      <c r="D184" s="46"/>
      <c r="E184" s="46"/>
      <c r="F184" s="46"/>
      <c r="G184" s="46"/>
      <c r="H184" s="46"/>
      <c r="I184" s="46"/>
      <c r="J184" s="42"/>
      <c r="K184" s="42"/>
      <c r="L184" s="42"/>
      <c r="M184" s="42"/>
      <c r="N184" s="42"/>
      <c r="O184" s="36"/>
      <c r="P184" s="36"/>
      <c r="Q184" s="36"/>
      <c r="R184" s="36"/>
      <c r="S184" s="36"/>
      <c r="T184" s="36"/>
      <c r="U184" s="36"/>
      <c r="V184" s="36"/>
      <c r="W184" s="36"/>
      <c r="X184" s="28"/>
      <c r="Y184" s="27"/>
    </row>
    <row r="185" spans="1:30" ht="15" x14ac:dyDescent="0.25">
      <c r="A185" s="47" t="s">
        <v>5</v>
      </c>
      <c r="B185" s="46"/>
      <c r="C185" s="46"/>
      <c r="D185" s="46"/>
      <c r="E185" s="46"/>
      <c r="F185" s="46"/>
      <c r="G185" s="46"/>
      <c r="H185" s="46">
        <f>+G185</f>
        <v>0</v>
      </c>
      <c r="I185" s="46"/>
      <c r="J185" s="42">
        <f>+I185+H185</f>
        <v>0</v>
      </c>
      <c r="K185" s="42">
        <v>1000000000</v>
      </c>
      <c r="L185" s="42"/>
      <c r="M185" s="42"/>
      <c r="N185" s="42">
        <f>+J185+K185+M185</f>
        <v>1000000000</v>
      </c>
      <c r="O185" s="37"/>
      <c r="P185" s="37"/>
      <c r="Q185" s="37"/>
      <c r="R185" s="37"/>
      <c r="S185" s="37"/>
      <c r="T185" s="37"/>
      <c r="U185" s="37">
        <f>SUM(O185:T185)</f>
        <v>0</v>
      </c>
      <c r="V185" s="37"/>
      <c r="W185" s="37">
        <f>+U185+V185</f>
        <v>0</v>
      </c>
      <c r="X185" s="28">
        <f>+W185-N185</f>
        <v>-1000000000</v>
      </c>
      <c r="Y185" s="27">
        <f>+W185/N185</f>
        <v>0</v>
      </c>
    </row>
    <row r="186" spans="1:30" ht="15" x14ac:dyDescent="0.25">
      <c r="A186" s="45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42"/>
      <c r="P186" s="42"/>
      <c r="Q186" s="42"/>
      <c r="R186" s="42"/>
      <c r="S186" s="42"/>
      <c r="T186" s="42"/>
      <c r="U186" s="42"/>
      <c r="V186" s="42"/>
      <c r="W186" s="42"/>
      <c r="X186" s="28"/>
      <c r="Y186" s="27"/>
    </row>
    <row r="187" spans="1:30" ht="15" x14ac:dyDescent="0.25">
      <c r="A187" s="44" t="s">
        <v>4</v>
      </c>
      <c r="B187" s="38"/>
      <c r="C187" s="38"/>
      <c r="D187" s="38"/>
      <c r="E187" s="38"/>
      <c r="F187" s="38"/>
      <c r="G187" s="38"/>
      <c r="H187" s="43"/>
      <c r="I187" s="43">
        <f>+I188+I189</f>
        <v>1505033409.1066895</v>
      </c>
      <c r="J187" s="43">
        <f>+I187+H187</f>
        <v>1505033409.1066895</v>
      </c>
      <c r="K187" s="43">
        <f>+K188+K189</f>
        <v>2462068758</v>
      </c>
      <c r="L187" s="43">
        <f>+L188+L189</f>
        <v>-3045985420</v>
      </c>
      <c r="M187" s="43">
        <f>+M188+M189</f>
        <v>0</v>
      </c>
      <c r="N187" s="43">
        <f>+J187+L187+K187+M187</f>
        <v>921116747.10668945</v>
      </c>
      <c r="O187" s="42"/>
      <c r="P187" s="42"/>
      <c r="Q187" s="42"/>
      <c r="R187" s="42"/>
      <c r="S187" s="42"/>
      <c r="T187" s="42"/>
      <c r="U187" s="42">
        <f>SUM(O187:T187)</f>
        <v>0</v>
      </c>
      <c r="V187" s="42"/>
      <c r="W187" s="42">
        <f>+U187+V187</f>
        <v>0</v>
      </c>
      <c r="X187" s="28">
        <f>+W187-N187</f>
        <v>-921116747.10668945</v>
      </c>
      <c r="Y187" s="27">
        <f>+W187/N187</f>
        <v>0</v>
      </c>
      <c r="AA187" s="26"/>
    </row>
    <row r="188" spans="1:30" ht="15" hidden="1" outlineLevel="1" x14ac:dyDescent="0.25">
      <c r="A188" s="39" t="s">
        <v>3</v>
      </c>
      <c r="B188" s="38"/>
      <c r="C188" s="38"/>
      <c r="D188" s="38"/>
      <c r="E188" s="38"/>
      <c r="F188" s="38"/>
      <c r="G188" s="38"/>
      <c r="H188" s="38"/>
      <c r="I188" s="38">
        <v>1118933326.4612694</v>
      </c>
      <c r="J188" s="38">
        <f>+I188+H188</f>
        <v>1118933326.4612694</v>
      </c>
      <c r="K188" s="38">
        <f>2057750664+552424084-205775066-34278000-23400000-20000000-80000000-42000000</f>
        <v>2204721682</v>
      </c>
      <c r="L188" s="38">
        <f>-42259368-100000000-300000000-640000000-44000000-500000000-20000000-70000000-1000000000</f>
        <v>-2716259368</v>
      </c>
      <c r="M188" s="38"/>
      <c r="N188" s="38">
        <f>+J188+L188+K188+M188</f>
        <v>607395640.46126938</v>
      </c>
      <c r="O188" s="42"/>
      <c r="P188" s="42"/>
      <c r="Q188" s="42"/>
      <c r="R188" s="42"/>
      <c r="S188" s="42"/>
      <c r="T188" s="42"/>
      <c r="U188" s="42">
        <f>SUM(O188:T188)</f>
        <v>0</v>
      </c>
      <c r="V188" s="42"/>
      <c r="W188" s="41">
        <f>+U188+V188</f>
        <v>0</v>
      </c>
      <c r="X188" s="35">
        <f>+W188-N188</f>
        <v>-607395640.46126938</v>
      </c>
      <c r="Y188" s="27">
        <f>+W188/N188</f>
        <v>0</v>
      </c>
      <c r="Z188" s="40"/>
      <c r="AA188" s="26"/>
    </row>
    <row r="189" spans="1:30" ht="15" hidden="1" outlineLevel="1" x14ac:dyDescent="0.25">
      <c r="A189" s="39" t="s">
        <v>2</v>
      </c>
      <c r="B189" s="38"/>
      <c r="C189" s="38"/>
      <c r="D189" s="38"/>
      <c r="E189" s="38"/>
      <c r="F189" s="38"/>
      <c r="G189" s="38"/>
      <c r="H189" s="38"/>
      <c r="I189" s="38">
        <v>386100082.64542007</v>
      </c>
      <c r="J189" s="38">
        <f>+I189+H189</f>
        <v>386100082.64542007</v>
      </c>
      <c r="K189" s="38">
        <f>1234650398+146161718-123465040-1000000000</f>
        <v>257347076</v>
      </c>
      <c r="L189" s="38">
        <f>-19726052-310000000</f>
        <v>-329726052</v>
      </c>
      <c r="M189" s="38"/>
      <c r="N189" s="38">
        <f>+J189+L189+K189+M189</f>
        <v>313721106.64542007</v>
      </c>
      <c r="O189" s="37"/>
      <c r="P189" s="37"/>
      <c r="Q189" s="37"/>
      <c r="R189" s="37"/>
      <c r="S189" s="37"/>
      <c r="T189" s="37"/>
      <c r="U189" s="37">
        <f>SUM(O189:T189)</f>
        <v>0</v>
      </c>
      <c r="V189" s="37"/>
      <c r="W189" s="36">
        <f>+U189+V189</f>
        <v>0</v>
      </c>
      <c r="X189" s="35">
        <f>+W189-N189</f>
        <v>-313721106.64542007</v>
      </c>
      <c r="Y189" s="27">
        <f>+W189/N189</f>
        <v>0</v>
      </c>
      <c r="Z189" s="26"/>
    </row>
    <row r="190" spans="1:30" ht="15" collapsed="1" x14ac:dyDescent="0.25">
      <c r="A190" s="32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3"/>
      <c r="P190" s="33"/>
      <c r="Q190" s="33"/>
      <c r="R190" s="33"/>
      <c r="S190" s="33"/>
      <c r="T190" s="33"/>
      <c r="U190" s="33"/>
      <c r="V190" s="33"/>
      <c r="W190" s="33"/>
      <c r="X190" s="28"/>
      <c r="Y190" s="27"/>
    </row>
    <row r="191" spans="1:30" ht="15" x14ac:dyDescent="0.25">
      <c r="A191" s="32" t="s">
        <v>1</v>
      </c>
      <c r="B191" s="31">
        <f>+B50+B48</f>
        <v>1986004712.6646161</v>
      </c>
      <c r="C191" s="31">
        <f>+C48+C50</f>
        <v>4018608289.9038992</v>
      </c>
      <c r="D191" s="31">
        <f>+D50+D48</f>
        <v>2867028987.9899139</v>
      </c>
      <c r="E191" s="31">
        <f>+E50+E48</f>
        <v>1422884535.9744275</v>
      </c>
      <c r="F191" s="31">
        <f>+F50+F48</f>
        <v>10391331609.068197</v>
      </c>
      <c r="G191" s="31">
        <f>+G48+G50+G185</f>
        <v>16642096442.719547</v>
      </c>
      <c r="H191" s="31">
        <f>+B191+C191+D191+G191+E191+F191</f>
        <v>37327954578.320602</v>
      </c>
      <c r="I191" s="31">
        <f>+I187+I179+I48+I183</f>
        <v>9263408062.2993164</v>
      </c>
      <c r="J191" s="30">
        <f>+I191+H191</f>
        <v>46591362640.619919</v>
      </c>
      <c r="K191" s="30">
        <f>+K187+K185+K183+K179+K50+K48</f>
        <v>4118986864</v>
      </c>
      <c r="L191" s="30">
        <f>+L187+L185+L183+L179+L50+L48</f>
        <v>258927500</v>
      </c>
      <c r="M191" s="30">
        <f>+M187+M185+M183+M179+M50+M48</f>
        <v>-339851892</v>
      </c>
      <c r="N191" s="30">
        <f>+J191+L191+K191+M191</f>
        <v>50629425112.619919</v>
      </c>
      <c r="O191" s="29">
        <f>+O48+O50</f>
        <v>1790129011.5</v>
      </c>
      <c r="P191" s="29">
        <f>+P48+P50</f>
        <v>3606507641</v>
      </c>
      <c r="Q191" s="29">
        <f>+Q48+Q50</f>
        <v>3383464444</v>
      </c>
      <c r="R191" s="29">
        <f>+R48+R50</f>
        <v>1355332601</v>
      </c>
      <c r="S191" s="29">
        <f>+S48+S50</f>
        <v>11317889915</v>
      </c>
      <c r="T191" s="29">
        <f>+T48+T50</f>
        <v>16273602939</v>
      </c>
      <c r="U191" s="29">
        <f>SUM(O191:T191)</f>
        <v>37726926551.5</v>
      </c>
      <c r="V191" s="29">
        <f>+V48+V50+V179</f>
        <v>6470995193</v>
      </c>
      <c r="W191" s="29">
        <f>+U191+V191</f>
        <v>44197921744.5</v>
      </c>
      <c r="X191" s="28">
        <f>+W191-N191</f>
        <v>-6431503368.1199188</v>
      </c>
      <c r="Y191" s="27">
        <f>+W191/N192</f>
        <v>0.9523708857559694</v>
      </c>
      <c r="Z191" s="26"/>
    </row>
    <row r="192" spans="1:30" ht="15.75" thickBot="1" x14ac:dyDescent="0.3">
      <c r="A192" s="25"/>
      <c r="B192" s="24"/>
      <c r="C192" s="21"/>
      <c r="D192" s="21"/>
      <c r="E192" s="23"/>
      <c r="F192" s="21"/>
      <c r="G192" s="23"/>
      <c r="H192" s="21"/>
      <c r="I192" s="21"/>
      <c r="J192" s="22"/>
      <c r="K192" s="21"/>
      <c r="L192" s="21"/>
      <c r="M192" s="21"/>
      <c r="N192" s="20">
        <f>+N191-N183-N185-N187</f>
        <v>46408308365.513229</v>
      </c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8"/>
      <c r="Z192" s="17"/>
      <c r="AA192" s="17"/>
      <c r="AB192" s="17"/>
      <c r="AC192" s="17"/>
      <c r="AD192" s="17"/>
    </row>
    <row r="193" spans="1:25" ht="13.5" thickTop="1" x14ac:dyDescent="0.2">
      <c r="A193" s="16" t="s">
        <v>0</v>
      </c>
      <c r="B193" s="13"/>
      <c r="C193" s="13"/>
      <c r="D193" s="13"/>
      <c r="E193" s="13"/>
      <c r="F193" s="13"/>
      <c r="G193" s="15"/>
      <c r="H193" s="14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2"/>
    </row>
    <row r="194" spans="1:25" x14ac:dyDescent="0.2">
      <c r="A194" s="2"/>
      <c r="B194" s="4"/>
      <c r="C194" s="4"/>
      <c r="D194" s="4"/>
      <c r="E194" s="4"/>
      <c r="F194" s="4"/>
      <c r="G194" s="11"/>
      <c r="H194" s="4"/>
      <c r="I194" s="4"/>
      <c r="J194" s="8"/>
      <c r="K194" s="8"/>
      <c r="L194" s="8"/>
      <c r="M194" s="8"/>
      <c r="N194" s="10">
        <f>+N191-N187-N185-N183</f>
        <v>46408308365.513229</v>
      </c>
      <c r="O194" s="8"/>
      <c r="P194" s="8"/>
      <c r="Q194" s="8"/>
      <c r="R194" s="8"/>
      <c r="S194" s="8"/>
      <c r="T194" s="8"/>
      <c r="U194" s="8"/>
      <c r="V194" s="8"/>
      <c r="W194" s="7"/>
      <c r="X194" s="7"/>
      <c r="Y194" s="9"/>
    </row>
    <row r="195" spans="1:2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7"/>
      <c r="X195" s="7"/>
      <c r="Y195" s="2"/>
    </row>
    <row r="196" spans="1:25" x14ac:dyDescent="0.2">
      <c r="A196" s="2"/>
      <c r="B196" s="2"/>
      <c r="C196" s="2"/>
      <c r="D196" s="2"/>
      <c r="E196" s="2"/>
      <c r="F196" s="2"/>
      <c r="G196" s="4"/>
      <c r="H196" s="4"/>
      <c r="I196" s="4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6"/>
      <c r="X196" s="5">
        <f>+X191-'[1]Anexo 1'!AA37</f>
        <v>-6381103932.4869843</v>
      </c>
      <c r="Y196" s="2"/>
    </row>
    <row r="197" spans="1:2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4"/>
      <c r="K197" s="4"/>
      <c r="L197" s="4"/>
      <c r="M197" s="4"/>
      <c r="N197" s="4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x14ac:dyDescent="0.2">
      <c r="A199" s="2"/>
      <c r="B199" s="2"/>
      <c r="C199" s="2"/>
      <c r="D199" s="2"/>
      <c r="E199" s="2"/>
      <c r="F199" s="2"/>
      <c r="G199" s="2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</sheetData>
  <mergeCells count="4">
    <mergeCell ref="A1:Y1"/>
    <mergeCell ref="A2:Y2"/>
    <mergeCell ref="A3:Y3"/>
    <mergeCell ref="A4:Y4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</vt:lpstr>
      <vt:lpstr>'Anexo 2'!Área_de_impresión</vt:lpstr>
      <vt:lpstr>'Anexo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Jeymy Pilar</dc:creator>
  <cp:lastModifiedBy>Jeymy Pilar</cp:lastModifiedBy>
  <dcterms:created xsi:type="dcterms:W3CDTF">2020-07-21T15:13:53Z</dcterms:created>
  <dcterms:modified xsi:type="dcterms:W3CDTF">2020-07-21T15:15:43Z</dcterms:modified>
</cp:coreProperties>
</file>