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Gastos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#REF!</definedName>
    <definedName name="_xlnm._FilterDatabase" hidden="1">#REF!</definedName>
    <definedName name="ANEXO" localSheetId="0" hidden="1">'[5]Inversión total en programas'!$A$50:$IV$50,'[5]Inversión total en programas'!$A$60:$IV$63</definedName>
    <definedName name="ANEXO" hidden="1">'[6]Inversión total en programas'!$A$50:$IV$50,'[6]Inversión total en programas'!$A$60:$IV$63</definedName>
    <definedName name="_xlnm.Print_Area" localSheetId="0">'Anexo 2 '!$A$1:$U$195</definedName>
    <definedName name="_xlnm.Print_Area">#REF!</definedName>
    <definedName name="AREAS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'[7]Anexo 1 Minagricultura'!#REF!</definedName>
    <definedName name="cabezas">'[8]Anexo 1 Minagricultura'!#REF!</definedName>
    <definedName name="CABEZAS_PROYEC" localSheetId="0">'[9]Anexo 1 Minagricultura'!$C$46</definedName>
    <definedName name="CABEZAS_PROYEC">'[10]Anexo 1 Minagricultura'!#REF!</definedName>
    <definedName name="CONTRATOS">#REF!</definedName>
    <definedName name="CUOTAPPC2005" localSheetId="0">'[9]Anexo 1 Minagricultura'!#REF!</definedName>
    <definedName name="CUOTAPPC2005">'[10]Anexo 1 Minagricultura'!#REF!</definedName>
    <definedName name="CUOTAPPC2013" localSheetId="0">'[9]Anexo 1 Minagricultura'!#REF!</definedName>
    <definedName name="CUOTAPPC2013">'[11]Anexo 1 Minagricultura'!#REF!</definedName>
    <definedName name="CUOTAPPC203" localSheetId="0">'[9]Anexo 1 Minagricultura'!#REF!</definedName>
    <definedName name="CUOTAPPC203">'[11]Anexo 1 Minagricultura'!#REF!</definedName>
    <definedName name="DIAG_PPC" localSheetId="0">#REF!</definedName>
    <definedName name="DIAG_PPC">'[6]Inversión total en programas'!$B$86</definedName>
    <definedName name="DIRECCION">[12]consecutivo!$M$9:$M$13</definedName>
    <definedName name="DISTRIBUIDOR" localSheetId="0">#REF!</definedName>
    <definedName name="DISTRIBUIDOR">#REF!</definedName>
    <definedName name="Dólar" localSheetId="0">#REF!</definedName>
    <definedName name="Dólar">#REF!</definedName>
    <definedName name="eeeee" localSheetId="0">'[9]Ejecución ingresos 2014'!#REF!</definedName>
    <definedName name="eeeee">#REF!</definedName>
    <definedName name="EPPC" localSheetId="0">'[9]Anexo 1 Minagricultura'!$C$54</definedName>
    <definedName name="EPPC">'[10]Anexo 1 Minagricultura'!#REF!</definedName>
    <definedName name="Euro" localSheetId="0">#REF!</definedName>
    <definedName name="Euro">#REF!</definedName>
    <definedName name="FDGFDG" localSheetId="0">#REF!</definedName>
    <definedName name="FDGFDG">#REF!</definedName>
    <definedName name="FECHA_DE_RECIBIDO">[13]BASE!$E$3:$E$177</definedName>
    <definedName name="FOMENTO" localSheetId="0">'[9]Anexo 1 Minagricultura'!$C$53</definedName>
    <definedName name="FOMENTO">'[10]Anexo 1 Minagricultura'!#REF!</definedName>
    <definedName name="FOMENTOS" localSheetId="0">'[14]Anexo 1 Minagricultura'!$C$51</definedName>
    <definedName name="FOMENTOS">'[15]Anexo 1 Minagricultura'!$C$51</definedName>
    <definedName name="fondo">#REF!</definedName>
    <definedName name="GTOSEPPC" localSheetId="0">#REF!</definedName>
    <definedName name="GTOSEPPC">'[6]Inversión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 localSheetId="0">#REF!</definedName>
    <definedName name="JORTIZ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>#REF!</definedName>
    <definedName name="Pasajes" localSheetId="0">#REF!</definedName>
    <definedName name="Pasajes">#REF!</definedName>
    <definedName name="ppc">'[16]Inversión total en programas'!$B$86</definedName>
    <definedName name="RESERV_FUTU" localSheetId="0">#REF!</definedName>
    <definedName name="RESERV_FUTU">#REF!</definedName>
    <definedName name="saldo" localSheetId="0">'[9]Ejecución ingresos 2014'!#REF!</definedName>
    <definedName name="saldo">#REF!</definedName>
    <definedName name="saldos" localSheetId="0">'[9]Ejecución ingresos 2014'!#REF!</definedName>
    <definedName name="saldos">#REF!</definedName>
    <definedName name="SUPERA2004" localSheetId="0">'[9]Anexo 1 Minagricultura'!#REF!</definedName>
    <definedName name="SUPERA2004">'[10]Anexo 1 Minagricultura'!#REF!</definedName>
    <definedName name="SUPERA2005" localSheetId="0">'[9]Anexo 1 Minagricultura'!#REF!</definedName>
    <definedName name="SUPERA2005">'[10]Anexo 1 Minagricultura'!#REF!</definedName>
    <definedName name="SUPERA2010">'[16]Anexo 1 Minagricultura'!$C$21</definedName>
    <definedName name="SUPERA2012" localSheetId="0">'[9]Anexo 1 Minagricultura'!#REF!</definedName>
    <definedName name="SUPERA2012">'[11]Anexo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TIPOS">#REF!</definedName>
    <definedName name="_xlnm.Print_Titles" localSheetId="0">'Anexo 2 '!$1:$6</definedName>
    <definedName name="VTAS2005" localSheetId="0">'[10]Anexo 1 Minagricultura'!#REF!</definedName>
    <definedName name="VTAS2005">'[10]Anexo 1 Minagricultura'!#REF!</definedName>
    <definedName name="xx" localSheetId="0">[17]Ingresos!$C$19</definedName>
    <definedName name="xx">[18]Ingresos!$C$19</definedName>
    <definedName name="Z_4099E833_BB74_4680_85C9_A6CF399D1CE2_.wvu.Cols" localSheetId="0" hidden="1">#REF!,#REF!,#REF!,#REF!</definedName>
    <definedName name="Z_4099E833_BB74_4680_85C9_A6CF399D1CE2_.wvu.Cols" hidden="1">'[10]Nómina 2004'!$C$1:$E$65536,'[10]Nómina 2004'!$H$1:$I$65536,'[10]Nómina 2004'!$L$1:$P$65536,'[10]Nómina 2004'!$AF$1:$AH$65536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#REF!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'[10]Inversión total en programas'!$A$50:$IV$50,'[10]Inversión total en programas'!$A$60:$IV$63</definedName>
    <definedName name="ZFRONTERA" localSheetId="0">'[19]Ingresos 2014'!#REF!</definedName>
    <definedName name="ZFRONTERA">'[19]Ingresos 2014'!#REF!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2" i="1" l="1"/>
  <c r="M192" i="1"/>
  <c r="K192" i="1"/>
  <c r="J192" i="1"/>
  <c r="N192" i="1" s="1"/>
  <c r="H192" i="1"/>
  <c r="S191" i="1"/>
  <c r="M191" i="1"/>
  <c r="M190" i="1" s="1"/>
  <c r="L191" i="1"/>
  <c r="K191" i="1"/>
  <c r="K190" i="1" s="1"/>
  <c r="J191" i="1"/>
  <c r="N191" i="1" s="1"/>
  <c r="H191" i="1"/>
  <c r="S190" i="1"/>
  <c r="L190" i="1"/>
  <c r="J190" i="1"/>
  <c r="I190" i="1"/>
  <c r="H190" i="1"/>
  <c r="S188" i="1"/>
  <c r="H188" i="1"/>
  <c r="J188" i="1" s="1"/>
  <c r="N188" i="1" s="1"/>
  <c r="T188" i="1" s="1"/>
  <c r="U186" i="1"/>
  <c r="T186" i="1"/>
  <c r="S186" i="1"/>
  <c r="N186" i="1"/>
  <c r="J186" i="1"/>
  <c r="S184" i="1"/>
  <c r="J184" i="1"/>
  <c r="N184" i="1" s="1"/>
  <c r="T183" i="1"/>
  <c r="S183" i="1"/>
  <c r="J183" i="1"/>
  <c r="N183" i="1" s="1"/>
  <c r="R182" i="1"/>
  <c r="Q182" i="1"/>
  <c r="S182" i="1" s="1"/>
  <c r="P182" i="1"/>
  <c r="O182" i="1"/>
  <c r="M182" i="1"/>
  <c r="L182" i="1"/>
  <c r="K182" i="1"/>
  <c r="I182" i="1"/>
  <c r="J182" i="1" s="1"/>
  <c r="N182" i="1" s="1"/>
  <c r="T180" i="1"/>
  <c r="S180" i="1"/>
  <c r="J180" i="1"/>
  <c r="N180" i="1" s="1"/>
  <c r="H180" i="1"/>
  <c r="A180" i="1"/>
  <c r="S179" i="1"/>
  <c r="J179" i="1"/>
  <c r="N179" i="1" s="1"/>
  <c r="H179" i="1"/>
  <c r="A179" i="1"/>
  <c r="S178" i="1"/>
  <c r="H178" i="1"/>
  <c r="J178" i="1" s="1"/>
  <c r="N178" i="1" s="1"/>
  <c r="A178" i="1"/>
  <c r="S177" i="1"/>
  <c r="H177" i="1"/>
  <c r="A177" i="1"/>
  <c r="R176" i="1"/>
  <c r="Q176" i="1"/>
  <c r="P176" i="1"/>
  <c r="P175" i="1" s="1"/>
  <c r="O176" i="1"/>
  <c r="M176" i="1"/>
  <c r="M175" i="1" s="1"/>
  <c r="L176" i="1"/>
  <c r="K176" i="1"/>
  <c r="E176" i="1"/>
  <c r="R175" i="1"/>
  <c r="Q175" i="1"/>
  <c r="L175" i="1"/>
  <c r="K175" i="1"/>
  <c r="E175" i="1"/>
  <c r="E39" i="1" s="1"/>
  <c r="E194" i="1" s="1"/>
  <c r="T173" i="1"/>
  <c r="S173" i="1"/>
  <c r="H173" i="1"/>
  <c r="J173" i="1" s="1"/>
  <c r="N173" i="1" s="1"/>
  <c r="S172" i="1"/>
  <c r="H172" i="1"/>
  <c r="J172" i="1" s="1"/>
  <c r="N172" i="1" s="1"/>
  <c r="A172" i="1"/>
  <c r="S171" i="1"/>
  <c r="H171" i="1"/>
  <c r="J171" i="1" s="1"/>
  <c r="N171" i="1" s="1"/>
  <c r="A171" i="1"/>
  <c r="S170" i="1"/>
  <c r="H170" i="1"/>
  <c r="J170" i="1" s="1"/>
  <c r="N170" i="1" s="1"/>
  <c r="A170" i="1"/>
  <c r="U169" i="1"/>
  <c r="S169" i="1"/>
  <c r="T169" i="1" s="1"/>
  <c r="J169" i="1"/>
  <c r="N169" i="1" s="1"/>
  <c r="H169" i="1"/>
  <c r="A169" i="1"/>
  <c r="S168" i="1"/>
  <c r="T168" i="1" s="1"/>
  <c r="N168" i="1"/>
  <c r="H168" i="1"/>
  <c r="J168" i="1" s="1"/>
  <c r="A168" i="1"/>
  <c r="S167" i="1"/>
  <c r="M167" i="1"/>
  <c r="H167" i="1"/>
  <c r="A167" i="1"/>
  <c r="R166" i="1"/>
  <c r="Q166" i="1"/>
  <c r="P166" i="1"/>
  <c r="O166" i="1"/>
  <c r="M166" i="1"/>
  <c r="L166" i="1"/>
  <c r="K166" i="1"/>
  <c r="D166" i="1"/>
  <c r="S165" i="1"/>
  <c r="H165" i="1"/>
  <c r="J165" i="1" s="1"/>
  <c r="N165" i="1" s="1"/>
  <c r="A165" i="1"/>
  <c r="S164" i="1"/>
  <c r="H164" i="1"/>
  <c r="J164" i="1" s="1"/>
  <c r="N164" i="1" s="1"/>
  <c r="A164" i="1"/>
  <c r="U163" i="1"/>
  <c r="S163" i="1"/>
  <c r="J163" i="1"/>
  <c r="N163" i="1" s="1"/>
  <c r="H163" i="1"/>
  <c r="A163" i="1"/>
  <c r="S162" i="1"/>
  <c r="H162" i="1"/>
  <c r="A162" i="1"/>
  <c r="T161" i="1"/>
  <c r="S161" i="1"/>
  <c r="J161" i="1"/>
  <c r="N161" i="1" s="1"/>
  <c r="H161" i="1"/>
  <c r="A161" i="1"/>
  <c r="R160" i="1"/>
  <c r="R159" i="1" s="1"/>
  <c r="Q160" i="1"/>
  <c r="P160" i="1"/>
  <c r="O160" i="1"/>
  <c r="M160" i="1"/>
  <c r="L160" i="1"/>
  <c r="L159" i="1" s="1"/>
  <c r="K160" i="1"/>
  <c r="D160" i="1"/>
  <c r="Q159" i="1"/>
  <c r="P159" i="1"/>
  <c r="K159" i="1"/>
  <c r="D159" i="1"/>
  <c r="S158" i="1"/>
  <c r="H158" i="1"/>
  <c r="J158" i="1" s="1"/>
  <c r="N158" i="1" s="1"/>
  <c r="S157" i="1"/>
  <c r="M157" i="1"/>
  <c r="H157" i="1"/>
  <c r="S156" i="1"/>
  <c r="J156" i="1"/>
  <c r="H156" i="1"/>
  <c r="A156" i="1"/>
  <c r="R155" i="1"/>
  <c r="Q155" i="1"/>
  <c r="P155" i="1"/>
  <c r="S155" i="1" s="1"/>
  <c r="O155" i="1"/>
  <c r="M155" i="1"/>
  <c r="M146" i="1" s="1"/>
  <c r="L155" i="1"/>
  <c r="K155" i="1"/>
  <c r="D155" i="1"/>
  <c r="S154" i="1"/>
  <c r="N154" i="1"/>
  <c r="T154" i="1" s="1"/>
  <c r="H154" i="1"/>
  <c r="J154" i="1" s="1"/>
  <c r="A154" i="1"/>
  <c r="S153" i="1"/>
  <c r="H153" i="1"/>
  <c r="J153" i="1" s="1"/>
  <c r="N153" i="1" s="1"/>
  <c r="A153" i="1"/>
  <c r="S152" i="1"/>
  <c r="H152" i="1"/>
  <c r="J152" i="1" s="1"/>
  <c r="N152" i="1" s="1"/>
  <c r="U152" i="1" s="1"/>
  <c r="A152" i="1"/>
  <c r="T151" i="1"/>
  <c r="S151" i="1"/>
  <c r="N151" i="1"/>
  <c r="H151" i="1"/>
  <c r="J151" i="1" s="1"/>
  <c r="A151" i="1"/>
  <c r="S150" i="1"/>
  <c r="J150" i="1"/>
  <c r="N150" i="1" s="1"/>
  <c r="H150" i="1"/>
  <c r="A150" i="1"/>
  <c r="T149" i="1"/>
  <c r="S149" i="1"/>
  <c r="U149" i="1" s="1"/>
  <c r="N149" i="1"/>
  <c r="H149" i="1"/>
  <c r="J149" i="1" s="1"/>
  <c r="A149" i="1"/>
  <c r="S148" i="1"/>
  <c r="T148" i="1" s="1"/>
  <c r="J148" i="1"/>
  <c r="N148" i="1" s="1"/>
  <c r="H148" i="1"/>
  <c r="A148" i="1"/>
  <c r="R147" i="1"/>
  <c r="R146" i="1" s="1"/>
  <c r="R141" i="1" s="1"/>
  <c r="Q147" i="1"/>
  <c r="Q146" i="1" s="1"/>
  <c r="P147" i="1"/>
  <c r="O147" i="1"/>
  <c r="M147" i="1"/>
  <c r="L147" i="1"/>
  <c r="K147" i="1"/>
  <c r="H147" i="1"/>
  <c r="D147" i="1"/>
  <c r="D146" i="1" s="1"/>
  <c r="O146" i="1"/>
  <c r="L146" i="1"/>
  <c r="S145" i="1"/>
  <c r="H145" i="1"/>
  <c r="J145" i="1" s="1"/>
  <c r="N145" i="1" s="1"/>
  <c r="U144" i="1"/>
  <c r="S144" i="1"/>
  <c r="T144" i="1" s="1"/>
  <c r="H144" i="1"/>
  <c r="J144" i="1" s="1"/>
  <c r="N144" i="1" s="1"/>
  <c r="S143" i="1"/>
  <c r="H143" i="1"/>
  <c r="J143" i="1" s="1"/>
  <c r="R142" i="1"/>
  <c r="Q142" i="1"/>
  <c r="Q141" i="1" s="1"/>
  <c r="P142" i="1"/>
  <c r="O142" i="1"/>
  <c r="M142" i="1"/>
  <c r="L142" i="1"/>
  <c r="K142" i="1"/>
  <c r="H142" i="1"/>
  <c r="D142" i="1"/>
  <c r="D141" i="1"/>
  <c r="D39" i="1" s="1"/>
  <c r="D194" i="1" s="1"/>
  <c r="T139" i="1"/>
  <c r="S139" i="1"/>
  <c r="U139" i="1" s="1"/>
  <c r="H139" i="1"/>
  <c r="J139" i="1" s="1"/>
  <c r="N139" i="1" s="1"/>
  <c r="R138" i="1"/>
  <c r="Q138" i="1"/>
  <c r="Q127" i="1" s="1"/>
  <c r="P138" i="1"/>
  <c r="S138" i="1" s="1"/>
  <c r="O138" i="1"/>
  <c r="M138" i="1"/>
  <c r="L138" i="1"/>
  <c r="K138" i="1"/>
  <c r="J138" i="1"/>
  <c r="N138" i="1" s="1"/>
  <c r="H138" i="1"/>
  <c r="C138" i="1"/>
  <c r="T137" i="1"/>
  <c r="S137" i="1"/>
  <c r="N137" i="1"/>
  <c r="U137" i="1" s="1"/>
  <c r="H137" i="1"/>
  <c r="J137" i="1" s="1"/>
  <c r="T136" i="1"/>
  <c r="S136" i="1"/>
  <c r="N136" i="1"/>
  <c r="U136" i="1" s="1"/>
  <c r="H136" i="1"/>
  <c r="J136" i="1" s="1"/>
  <c r="R135" i="1"/>
  <c r="Q135" i="1"/>
  <c r="P135" i="1"/>
  <c r="S135" i="1" s="1"/>
  <c r="O135" i="1"/>
  <c r="M135" i="1"/>
  <c r="M127" i="1" s="1"/>
  <c r="L135" i="1"/>
  <c r="K135" i="1"/>
  <c r="J135" i="1"/>
  <c r="C135" i="1"/>
  <c r="H135" i="1" s="1"/>
  <c r="S134" i="1"/>
  <c r="J134" i="1"/>
  <c r="N134" i="1" s="1"/>
  <c r="H134" i="1"/>
  <c r="S133" i="1"/>
  <c r="H133" i="1"/>
  <c r="J133" i="1" s="1"/>
  <c r="R132" i="1"/>
  <c r="Q132" i="1"/>
  <c r="P132" i="1"/>
  <c r="P127" i="1" s="1"/>
  <c r="O132" i="1"/>
  <c r="M132" i="1"/>
  <c r="L132" i="1"/>
  <c r="K132" i="1"/>
  <c r="C132" i="1"/>
  <c r="H132" i="1" s="1"/>
  <c r="U131" i="1"/>
  <c r="T131" i="1"/>
  <c r="S131" i="1"/>
  <c r="N131" i="1"/>
  <c r="H131" i="1"/>
  <c r="J131" i="1" s="1"/>
  <c r="S130" i="1"/>
  <c r="H130" i="1"/>
  <c r="J130" i="1" s="1"/>
  <c r="S129" i="1"/>
  <c r="J129" i="1"/>
  <c r="N129" i="1" s="1"/>
  <c r="U129" i="1" s="1"/>
  <c r="H129" i="1"/>
  <c r="R128" i="1"/>
  <c r="R127" i="1" s="1"/>
  <c r="Q128" i="1"/>
  <c r="P128" i="1"/>
  <c r="O128" i="1"/>
  <c r="M128" i="1"/>
  <c r="L128" i="1"/>
  <c r="L127" i="1" s="1"/>
  <c r="K128" i="1"/>
  <c r="C128" i="1"/>
  <c r="H128" i="1" s="1"/>
  <c r="H127" i="1" s="1"/>
  <c r="J127" i="1" s="1"/>
  <c r="K127" i="1"/>
  <c r="C127" i="1"/>
  <c r="C39" i="1" s="1"/>
  <c r="S125" i="1"/>
  <c r="H125" i="1"/>
  <c r="J125" i="1" s="1"/>
  <c r="N125" i="1" s="1"/>
  <c r="S124" i="1"/>
  <c r="H124" i="1"/>
  <c r="R123" i="1"/>
  <c r="Q123" i="1"/>
  <c r="P123" i="1"/>
  <c r="O123" i="1"/>
  <c r="S123" i="1" s="1"/>
  <c r="M123" i="1"/>
  <c r="L123" i="1"/>
  <c r="K123" i="1"/>
  <c r="G123" i="1"/>
  <c r="S122" i="1"/>
  <c r="H122" i="1"/>
  <c r="A122" i="1"/>
  <c r="T121" i="1"/>
  <c r="S121" i="1"/>
  <c r="N121" i="1"/>
  <c r="U121" i="1" s="1"/>
  <c r="J121" i="1"/>
  <c r="H121" i="1"/>
  <c r="A121" i="1"/>
  <c r="R120" i="1"/>
  <c r="Q120" i="1"/>
  <c r="P120" i="1"/>
  <c r="S120" i="1" s="1"/>
  <c r="O120" i="1"/>
  <c r="M120" i="1"/>
  <c r="L120" i="1"/>
  <c r="L109" i="1" s="1"/>
  <c r="K120" i="1"/>
  <c r="G120" i="1"/>
  <c r="S119" i="1"/>
  <c r="H119" i="1"/>
  <c r="J119" i="1" s="1"/>
  <c r="N119" i="1" s="1"/>
  <c r="S118" i="1"/>
  <c r="H118" i="1"/>
  <c r="S117" i="1"/>
  <c r="R117" i="1"/>
  <c r="R109" i="1" s="1"/>
  <c r="Q117" i="1"/>
  <c r="P117" i="1"/>
  <c r="O117" i="1"/>
  <c r="M117" i="1"/>
  <c r="L117" i="1"/>
  <c r="K117" i="1"/>
  <c r="K109" i="1" s="1"/>
  <c r="G117" i="1"/>
  <c r="T116" i="1"/>
  <c r="S116" i="1"/>
  <c r="H116" i="1"/>
  <c r="J116" i="1" s="1"/>
  <c r="N116" i="1" s="1"/>
  <c r="S115" i="1"/>
  <c r="J115" i="1"/>
  <c r="N115" i="1" s="1"/>
  <c r="T115" i="1" s="1"/>
  <c r="H115" i="1"/>
  <c r="S114" i="1"/>
  <c r="H114" i="1"/>
  <c r="J114" i="1" s="1"/>
  <c r="N114" i="1" s="1"/>
  <c r="S113" i="1"/>
  <c r="N113" i="1"/>
  <c r="U113" i="1" s="1"/>
  <c r="H113" i="1"/>
  <c r="J113" i="1" s="1"/>
  <c r="S112" i="1"/>
  <c r="H112" i="1"/>
  <c r="J112" i="1" s="1"/>
  <c r="N112" i="1" s="1"/>
  <c r="T112" i="1" s="1"/>
  <c r="S111" i="1"/>
  <c r="M111" i="1"/>
  <c r="M110" i="1" s="1"/>
  <c r="H111" i="1"/>
  <c r="R110" i="1"/>
  <c r="Q110" i="1"/>
  <c r="P110" i="1"/>
  <c r="P109" i="1" s="1"/>
  <c r="O110" i="1"/>
  <c r="L110" i="1"/>
  <c r="K110" i="1"/>
  <c r="G110" i="1"/>
  <c r="G109" i="1" s="1"/>
  <c r="Q109" i="1"/>
  <c r="T107" i="1"/>
  <c r="S107" i="1"/>
  <c r="N107" i="1"/>
  <c r="U107" i="1" s="1"/>
  <c r="J107" i="1"/>
  <c r="H107" i="1"/>
  <c r="S106" i="1"/>
  <c r="N106" i="1"/>
  <c r="J106" i="1"/>
  <c r="H106" i="1"/>
  <c r="U105" i="1"/>
  <c r="S105" i="1"/>
  <c r="J105" i="1"/>
  <c r="N105" i="1" s="1"/>
  <c r="H105" i="1"/>
  <c r="S104" i="1"/>
  <c r="U104" i="1" s="1"/>
  <c r="J104" i="1"/>
  <c r="N104" i="1" s="1"/>
  <c r="H104" i="1"/>
  <c r="S103" i="1"/>
  <c r="J103" i="1"/>
  <c r="N103" i="1" s="1"/>
  <c r="H103" i="1"/>
  <c r="S102" i="1"/>
  <c r="H102" i="1"/>
  <c r="J102" i="1" s="1"/>
  <c r="N102" i="1" s="1"/>
  <c r="R101" i="1"/>
  <c r="Q101" i="1"/>
  <c r="P101" i="1"/>
  <c r="S101" i="1" s="1"/>
  <c r="O101" i="1"/>
  <c r="M101" i="1"/>
  <c r="N101" i="1" s="1"/>
  <c r="L101" i="1"/>
  <c r="K101" i="1"/>
  <c r="H101" i="1"/>
  <c r="J101" i="1" s="1"/>
  <c r="F101" i="1"/>
  <c r="S100" i="1"/>
  <c r="J100" i="1"/>
  <c r="N100" i="1" s="1"/>
  <c r="H100" i="1"/>
  <c r="T99" i="1"/>
  <c r="S99" i="1"/>
  <c r="N99" i="1"/>
  <c r="U99" i="1" s="1"/>
  <c r="J99" i="1"/>
  <c r="H99" i="1"/>
  <c r="S98" i="1"/>
  <c r="J98" i="1"/>
  <c r="N98" i="1" s="1"/>
  <c r="H98" i="1"/>
  <c r="S97" i="1"/>
  <c r="H97" i="1"/>
  <c r="H92" i="1" s="1"/>
  <c r="U96" i="1"/>
  <c r="S96" i="1"/>
  <c r="T96" i="1" s="1"/>
  <c r="J96" i="1"/>
  <c r="N96" i="1" s="1"/>
  <c r="H96" i="1"/>
  <c r="S95" i="1"/>
  <c r="J95" i="1"/>
  <c r="N95" i="1" s="1"/>
  <c r="H95" i="1"/>
  <c r="S94" i="1"/>
  <c r="H94" i="1"/>
  <c r="J94" i="1" s="1"/>
  <c r="N94" i="1" s="1"/>
  <c r="S93" i="1"/>
  <c r="J93" i="1"/>
  <c r="H93" i="1"/>
  <c r="R92" i="1"/>
  <c r="Q92" i="1"/>
  <c r="P92" i="1"/>
  <c r="O92" i="1"/>
  <c r="S92" i="1" s="1"/>
  <c r="M92" i="1"/>
  <c r="M72" i="1" s="1"/>
  <c r="L92" i="1"/>
  <c r="K92" i="1"/>
  <c r="F92" i="1"/>
  <c r="T91" i="1"/>
  <c r="S91" i="1"/>
  <c r="N91" i="1"/>
  <c r="U91" i="1" s="1"/>
  <c r="J91" i="1"/>
  <c r="H91" i="1"/>
  <c r="S90" i="1"/>
  <c r="J90" i="1"/>
  <c r="N90" i="1" s="1"/>
  <c r="U90" i="1" s="1"/>
  <c r="H90" i="1"/>
  <c r="U89" i="1"/>
  <c r="S89" i="1"/>
  <c r="H89" i="1"/>
  <c r="J89" i="1" s="1"/>
  <c r="N89" i="1" s="1"/>
  <c r="S88" i="1"/>
  <c r="J88" i="1"/>
  <c r="N88" i="1" s="1"/>
  <c r="H88" i="1"/>
  <c r="T87" i="1"/>
  <c r="S87" i="1"/>
  <c r="N87" i="1"/>
  <c r="J87" i="1"/>
  <c r="H87" i="1"/>
  <c r="S86" i="1"/>
  <c r="H86" i="1"/>
  <c r="H81" i="1" s="1"/>
  <c r="U85" i="1"/>
  <c r="S85" i="1"/>
  <c r="J85" i="1"/>
  <c r="N85" i="1" s="1"/>
  <c r="H85" i="1"/>
  <c r="S84" i="1"/>
  <c r="J84" i="1"/>
  <c r="N84" i="1" s="1"/>
  <c r="H84" i="1"/>
  <c r="U83" i="1"/>
  <c r="S83" i="1"/>
  <c r="N83" i="1"/>
  <c r="T83" i="1" s="1"/>
  <c r="J83" i="1"/>
  <c r="H83" i="1"/>
  <c r="S82" i="1"/>
  <c r="N82" i="1"/>
  <c r="J82" i="1"/>
  <c r="H82" i="1"/>
  <c r="R81" i="1"/>
  <c r="Q81" i="1"/>
  <c r="Q72" i="1" s="1"/>
  <c r="Q39" i="1" s="1"/>
  <c r="P81" i="1"/>
  <c r="O81" i="1"/>
  <c r="M81" i="1"/>
  <c r="L81" i="1"/>
  <c r="K81" i="1"/>
  <c r="F81" i="1"/>
  <c r="U80" i="1"/>
  <c r="S80" i="1"/>
  <c r="T80" i="1" s="1"/>
  <c r="J80" i="1"/>
  <c r="N80" i="1" s="1"/>
  <c r="H80" i="1"/>
  <c r="S79" i="1"/>
  <c r="N79" i="1"/>
  <c r="J79" i="1"/>
  <c r="H79" i="1"/>
  <c r="U78" i="1"/>
  <c r="S78" i="1"/>
  <c r="J78" i="1"/>
  <c r="N78" i="1" s="1"/>
  <c r="H78" i="1"/>
  <c r="S77" i="1"/>
  <c r="J77" i="1"/>
  <c r="N77" i="1" s="1"/>
  <c r="H77" i="1"/>
  <c r="U76" i="1"/>
  <c r="S76" i="1"/>
  <c r="J76" i="1"/>
  <c r="N76" i="1" s="1"/>
  <c r="H76" i="1"/>
  <c r="S75" i="1"/>
  <c r="N75" i="1"/>
  <c r="J75" i="1"/>
  <c r="H75" i="1"/>
  <c r="S74" i="1"/>
  <c r="H74" i="1"/>
  <c r="J74" i="1" s="1"/>
  <c r="R73" i="1"/>
  <c r="Q73" i="1"/>
  <c r="P73" i="1"/>
  <c r="O73" i="1"/>
  <c r="M73" i="1"/>
  <c r="L73" i="1"/>
  <c r="K73" i="1"/>
  <c r="H73" i="1"/>
  <c r="F73" i="1"/>
  <c r="R72" i="1"/>
  <c r="L72" i="1"/>
  <c r="K72" i="1"/>
  <c r="S70" i="1"/>
  <c r="N70" i="1"/>
  <c r="U70" i="1" s="1"/>
  <c r="J70" i="1"/>
  <c r="H70" i="1"/>
  <c r="S69" i="1"/>
  <c r="J69" i="1"/>
  <c r="H69" i="1"/>
  <c r="S68" i="1"/>
  <c r="R68" i="1"/>
  <c r="Q68" i="1"/>
  <c r="P68" i="1"/>
  <c r="O68" i="1"/>
  <c r="M68" i="1"/>
  <c r="L68" i="1"/>
  <c r="K68" i="1"/>
  <c r="H68" i="1"/>
  <c r="B68" i="1"/>
  <c r="S67" i="1"/>
  <c r="J67" i="1"/>
  <c r="N67" i="1" s="1"/>
  <c r="H67" i="1"/>
  <c r="S66" i="1"/>
  <c r="J66" i="1"/>
  <c r="N66" i="1" s="1"/>
  <c r="U66" i="1" s="1"/>
  <c r="H66" i="1"/>
  <c r="S65" i="1"/>
  <c r="N65" i="1"/>
  <c r="J65" i="1"/>
  <c r="J64" i="1" s="1"/>
  <c r="H65" i="1"/>
  <c r="R64" i="1"/>
  <c r="Q64" i="1"/>
  <c r="P64" i="1"/>
  <c r="O64" i="1"/>
  <c r="S64" i="1" s="1"/>
  <c r="N64" i="1"/>
  <c r="M64" i="1"/>
  <c r="L64" i="1"/>
  <c r="K64" i="1"/>
  <c r="H64" i="1"/>
  <c r="B64" i="1"/>
  <c r="U63" i="1"/>
  <c r="T63" i="1"/>
  <c r="S63" i="1"/>
  <c r="J63" i="1"/>
  <c r="N63" i="1" s="1"/>
  <c r="H63" i="1"/>
  <c r="S62" i="1"/>
  <c r="J62" i="1"/>
  <c r="N62" i="1" s="1"/>
  <c r="H62" i="1"/>
  <c r="S61" i="1"/>
  <c r="J61" i="1"/>
  <c r="H61" i="1"/>
  <c r="S60" i="1"/>
  <c r="R60" i="1"/>
  <c r="Q60" i="1"/>
  <c r="P60" i="1"/>
  <c r="O60" i="1"/>
  <c r="M60" i="1"/>
  <c r="L60" i="1"/>
  <c r="K60" i="1"/>
  <c r="H60" i="1"/>
  <c r="B60" i="1"/>
  <c r="U59" i="1"/>
  <c r="S59" i="1"/>
  <c r="T59" i="1" s="1"/>
  <c r="J59" i="1"/>
  <c r="N59" i="1" s="1"/>
  <c r="H59" i="1"/>
  <c r="U58" i="1"/>
  <c r="T58" i="1"/>
  <c r="S58" i="1"/>
  <c r="N58" i="1"/>
  <c r="J58" i="1"/>
  <c r="H58" i="1"/>
  <c r="S57" i="1"/>
  <c r="J57" i="1"/>
  <c r="J56" i="1" s="1"/>
  <c r="H57" i="1"/>
  <c r="H56" i="1" s="1"/>
  <c r="R56" i="1"/>
  <c r="Q56" i="1"/>
  <c r="P56" i="1"/>
  <c r="O56" i="1"/>
  <c r="S56" i="1" s="1"/>
  <c r="N56" i="1"/>
  <c r="M56" i="1"/>
  <c r="L56" i="1"/>
  <c r="K56" i="1"/>
  <c r="B56" i="1"/>
  <c r="S55" i="1"/>
  <c r="T55" i="1" s="1"/>
  <c r="J55" i="1"/>
  <c r="N55" i="1" s="1"/>
  <c r="H55" i="1"/>
  <c r="S54" i="1"/>
  <c r="B54" i="1"/>
  <c r="H54" i="1" s="1"/>
  <c r="H51" i="1" s="1"/>
  <c r="S53" i="1"/>
  <c r="J53" i="1"/>
  <c r="N53" i="1" s="1"/>
  <c r="H53" i="1"/>
  <c r="B53" i="1"/>
  <c r="S52" i="1"/>
  <c r="J52" i="1"/>
  <c r="N52" i="1" s="1"/>
  <c r="T52" i="1" s="1"/>
  <c r="H52" i="1"/>
  <c r="R51" i="1"/>
  <c r="Q51" i="1"/>
  <c r="P51" i="1"/>
  <c r="O51" i="1"/>
  <c r="S51" i="1" s="1"/>
  <c r="M51" i="1"/>
  <c r="L51" i="1"/>
  <c r="K51" i="1"/>
  <c r="B51" i="1"/>
  <c r="T50" i="1"/>
  <c r="S50" i="1"/>
  <c r="N50" i="1"/>
  <c r="B50" i="1"/>
  <c r="H50" i="1" s="1"/>
  <c r="J50" i="1" s="1"/>
  <c r="S49" i="1"/>
  <c r="B49" i="1"/>
  <c r="B48" i="1" s="1"/>
  <c r="B47" i="1" s="1"/>
  <c r="B44" i="1" s="1"/>
  <c r="B41" i="1" s="1"/>
  <c r="B39" i="1" s="1"/>
  <c r="R48" i="1"/>
  <c r="R47" i="1" s="1"/>
  <c r="Q48" i="1"/>
  <c r="Q47" i="1" s="1"/>
  <c r="Q44" i="1" s="1"/>
  <c r="Q41" i="1" s="1"/>
  <c r="P48" i="1"/>
  <c r="O48" i="1"/>
  <c r="M48" i="1"/>
  <c r="M47" i="1" s="1"/>
  <c r="M44" i="1" s="1"/>
  <c r="L48" i="1"/>
  <c r="K48" i="1"/>
  <c r="L47" i="1"/>
  <c r="L44" i="1" s="1"/>
  <c r="K47" i="1"/>
  <c r="K44" i="1" s="1"/>
  <c r="K41" i="1" s="1"/>
  <c r="S46" i="1"/>
  <c r="N46" i="1"/>
  <c r="U46" i="1" s="1"/>
  <c r="J46" i="1"/>
  <c r="H46" i="1"/>
  <c r="S45" i="1"/>
  <c r="H45" i="1"/>
  <c r="J45" i="1" s="1"/>
  <c r="N45" i="1" s="1"/>
  <c r="U45" i="1" s="1"/>
  <c r="R44" i="1"/>
  <c r="S43" i="1"/>
  <c r="J43" i="1"/>
  <c r="H43" i="1"/>
  <c r="H42" i="1" s="1"/>
  <c r="R42" i="1"/>
  <c r="Q42" i="1"/>
  <c r="P42" i="1"/>
  <c r="O42" i="1"/>
  <c r="M42" i="1"/>
  <c r="L42" i="1"/>
  <c r="L41" i="1" s="1"/>
  <c r="K42" i="1"/>
  <c r="B42" i="1"/>
  <c r="R41" i="1"/>
  <c r="R39" i="1" s="1"/>
  <c r="G39" i="1"/>
  <c r="Q37" i="1"/>
  <c r="P37" i="1"/>
  <c r="L37" i="1"/>
  <c r="F37" i="1"/>
  <c r="E37" i="1"/>
  <c r="C37" i="1"/>
  <c r="C194" i="1" s="1"/>
  <c r="R36" i="1"/>
  <c r="R37" i="1" s="1"/>
  <c r="R194" i="1" s="1"/>
  <c r="Q36" i="1"/>
  <c r="P36" i="1"/>
  <c r="O36" i="1"/>
  <c r="M36" i="1"/>
  <c r="L36" i="1"/>
  <c r="K36" i="1"/>
  <c r="I36" i="1"/>
  <c r="I37" i="1" s="1"/>
  <c r="I194" i="1" s="1"/>
  <c r="G36" i="1"/>
  <c r="F36" i="1"/>
  <c r="E36" i="1"/>
  <c r="D36" i="1"/>
  <c r="D37" i="1" s="1"/>
  <c r="C36" i="1"/>
  <c r="B36" i="1"/>
  <c r="B37" i="1" s="1"/>
  <c r="U35" i="1"/>
  <c r="T35" i="1"/>
  <c r="S35" i="1"/>
  <c r="H35" i="1"/>
  <c r="J35" i="1" s="1"/>
  <c r="N35" i="1" s="1"/>
  <c r="S34" i="1"/>
  <c r="J34" i="1"/>
  <c r="N34" i="1" s="1"/>
  <c r="H34" i="1"/>
  <c r="S33" i="1"/>
  <c r="H33" i="1"/>
  <c r="J33" i="1" s="1"/>
  <c r="N33" i="1" s="1"/>
  <c r="S32" i="1"/>
  <c r="H32" i="1"/>
  <c r="J32" i="1" s="1"/>
  <c r="N32" i="1" s="1"/>
  <c r="U32" i="1" s="1"/>
  <c r="S31" i="1"/>
  <c r="T31" i="1" s="1"/>
  <c r="H31" i="1"/>
  <c r="J31" i="1" s="1"/>
  <c r="N31" i="1" s="1"/>
  <c r="U31" i="1" s="1"/>
  <c r="S30" i="1"/>
  <c r="H30" i="1"/>
  <c r="J30" i="1" s="1"/>
  <c r="N30" i="1" s="1"/>
  <c r="U29" i="1"/>
  <c r="S29" i="1"/>
  <c r="H29" i="1"/>
  <c r="J29" i="1" s="1"/>
  <c r="N29" i="1" s="1"/>
  <c r="T29" i="1" s="1"/>
  <c r="S28" i="1"/>
  <c r="T28" i="1" s="1"/>
  <c r="H28" i="1"/>
  <c r="J28" i="1" s="1"/>
  <c r="N28" i="1" s="1"/>
  <c r="S27" i="1"/>
  <c r="J27" i="1"/>
  <c r="N27" i="1" s="1"/>
  <c r="H27" i="1"/>
  <c r="S26" i="1"/>
  <c r="H26" i="1"/>
  <c r="J26" i="1" s="1"/>
  <c r="N26" i="1" s="1"/>
  <c r="U25" i="1"/>
  <c r="T25" i="1"/>
  <c r="S25" i="1"/>
  <c r="J25" i="1"/>
  <c r="N25" i="1" s="1"/>
  <c r="H25" i="1"/>
  <c r="S24" i="1"/>
  <c r="H24" i="1"/>
  <c r="J24" i="1" s="1"/>
  <c r="N24" i="1" s="1"/>
  <c r="S23" i="1"/>
  <c r="J23" i="1"/>
  <c r="N23" i="1" s="1"/>
  <c r="H23" i="1"/>
  <c r="H36" i="1" s="1"/>
  <c r="T22" i="1"/>
  <c r="S22" i="1"/>
  <c r="J22" i="1"/>
  <c r="N22" i="1" s="1"/>
  <c r="H22" i="1"/>
  <c r="S21" i="1"/>
  <c r="N21" i="1"/>
  <c r="U21" i="1" s="1"/>
  <c r="J21" i="1"/>
  <c r="H21" i="1"/>
  <c r="R19" i="1"/>
  <c r="Q19" i="1"/>
  <c r="P19" i="1"/>
  <c r="O19" i="1"/>
  <c r="S19" i="1" s="1"/>
  <c r="M19" i="1"/>
  <c r="M37" i="1" s="1"/>
  <c r="L19" i="1"/>
  <c r="K19" i="1"/>
  <c r="K37" i="1" s="1"/>
  <c r="I19" i="1"/>
  <c r="G19" i="1"/>
  <c r="F19" i="1"/>
  <c r="E19" i="1"/>
  <c r="D19" i="1"/>
  <c r="C19" i="1"/>
  <c r="B19" i="1"/>
  <c r="H19" i="1" s="1"/>
  <c r="S18" i="1"/>
  <c r="H18" i="1"/>
  <c r="J18" i="1" s="1"/>
  <c r="N18" i="1" s="1"/>
  <c r="S17" i="1"/>
  <c r="H17" i="1"/>
  <c r="J17" i="1" s="1"/>
  <c r="N17" i="1" s="1"/>
  <c r="S16" i="1"/>
  <c r="H16" i="1"/>
  <c r="J16" i="1" s="1"/>
  <c r="N16" i="1" s="1"/>
  <c r="S15" i="1"/>
  <c r="T15" i="1" s="1"/>
  <c r="J15" i="1"/>
  <c r="N15" i="1" s="1"/>
  <c r="H15" i="1"/>
  <c r="S14" i="1"/>
  <c r="H14" i="1"/>
  <c r="J14" i="1" s="1"/>
  <c r="N14" i="1" s="1"/>
  <c r="S13" i="1"/>
  <c r="H13" i="1"/>
  <c r="J13" i="1" s="1"/>
  <c r="N13" i="1" s="1"/>
  <c r="T12" i="1"/>
  <c r="S12" i="1"/>
  <c r="H12" i="1"/>
  <c r="J12" i="1" s="1"/>
  <c r="N12" i="1" s="1"/>
  <c r="U12" i="1" s="1"/>
  <c r="S11" i="1"/>
  <c r="U11" i="1" s="1"/>
  <c r="N11" i="1"/>
  <c r="H11" i="1"/>
  <c r="J11" i="1" s="1"/>
  <c r="S10" i="1"/>
  <c r="H10" i="1"/>
  <c r="J10" i="1" s="1"/>
  <c r="N10" i="1" s="1"/>
  <c r="S9" i="1"/>
  <c r="H9" i="1"/>
  <c r="H8" i="1" s="1"/>
  <c r="R8" i="1"/>
  <c r="Q8" i="1"/>
  <c r="P8" i="1"/>
  <c r="O8" i="1"/>
  <c r="S8" i="1" s="1"/>
  <c r="M8" i="1"/>
  <c r="L8" i="1"/>
  <c r="K8" i="1"/>
  <c r="I8" i="1"/>
  <c r="G8" i="1"/>
  <c r="F8" i="1"/>
  <c r="E8" i="1"/>
  <c r="D8" i="1"/>
  <c r="C8" i="1"/>
  <c r="B8" i="1"/>
  <c r="U33" i="1" l="1"/>
  <c r="T33" i="1"/>
  <c r="J73" i="1"/>
  <c r="N74" i="1"/>
  <c r="U74" i="1" s="1"/>
  <c r="U138" i="1"/>
  <c r="T138" i="1"/>
  <c r="L39" i="1"/>
  <c r="L194" i="1" s="1"/>
  <c r="U13" i="1"/>
  <c r="T13" i="1"/>
  <c r="U17" i="1"/>
  <c r="T17" i="1"/>
  <c r="J128" i="1"/>
  <c r="N128" i="1" s="1"/>
  <c r="N130" i="1"/>
  <c r="T130" i="1" s="1"/>
  <c r="U62" i="1"/>
  <c r="T62" i="1"/>
  <c r="U119" i="1"/>
  <c r="T119" i="1"/>
  <c r="B194" i="1"/>
  <c r="H39" i="1"/>
  <c r="J39" i="1" s="1"/>
  <c r="U23" i="1"/>
  <c r="T23" i="1"/>
  <c r="T64" i="1"/>
  <c r="U64" i="1"/>
  <c r="J167" i="1"/>
  <c r="H166" i="1"/>
  <c r="J36" i="1"/>
  <c r="T77" i="1"/>
  <c r="U77" i="1"/>
  <c r="J142" i="1"/>
  <c r="N142" i="1" s="1"/>
  <c r="N143" i="1"/>
  <c r="U143" i="1" s="1"/>
  <c r="T11" i="1"/>
  <c r="T45" i="1"/>
  <c r="U27" i="1"/>
  <c r="T27" i="1"/>
  <c r="U95" i="1"/>
  <c r="U158" i="1"/>
  <c r="T158" i="1"/>
  <c r="U164" i="1"/>
  <c r="T164" i="1"/>
  <c r="J9" i="1"/>
  <c r="T56" i="1"/>
  <c r="U56" i="1"/>
  <c r="T68" i="1"/>
  <c r="U75" i="1"/>
  <c r="T95" i="1"/>
  <c r="T104" i="1"/>
  <c r="N156" i="1"/>
  <c r="J155" i="1"/>
  <c r="N155" i="1" s="1"/>
  <c r="U155" i="1" s="1"/>
  <c r="Q194" i="1"/>
  <c r="T53" i="1"/>
  <c r="U68" i="1"/>
  <c r="T70" i="1"/>
  <c r="T102" i="1"/>
  <c r="U102" i="1"/>
  <c r="U156" i="1"/>
  <c r="T156" i="1"/>
  <c r="U15" i="1"/>
  <c r="U34" i="1"/>
  <c r="U55" i="1"/>
  <c r="T82" i="1"/>
  <c r="U86" i="1"/>
  <c r="U88" i="1"/>
  <c r="T88" i="1"/>
  <c r="T98" i="1"/>
  <c r="U134" i="1"/>
  <c r="T134" i="1"/>
  <c r="U150" i="1"/>
  <c r="T150" i="1"/>
  <c r="U191" i="1"/>
  <c r="T191" i="1"/>
  <c r="U16" i="1"/>
  <c r="T16" i="1"/>
  <c r="U18" i="1"/>
  <c r="U24" i="1"/>
  <c r="U28" i="1"/>
  <c r="T34" i="1"/>
  <c r="S48" i="1"/>
  <c r="O47" i="1"/>
  <c r="J54" i="1"/>
  <c r="N54" i="1" s="1"/>
  <c r="T60" i="1"/>
  <c r="J68" i="1"/>
  <c r="N68" i="1" s="1"/>
  <c r="N69" i="1"/>
  <c r="U69" i="1" s="1"/>
  <c r="S81" i="1"/>
  <c r="U82" i="1"/>
  <c r="T84" i="1"/>
  <c r="U84" i="1"/>
  <c r="U98" i="1"/>
  <c r="T100" i="1"/>
  <c r="H123" i="1"/>
  <c r="J124" i="1"/>
  <c r="S147" i="1"/>
  <c r="P146" i="1"/>
  <c r="P141" i="1" s="1"/>
  <c r="U172" i="1"/>
  <c r="T172" i="1"/>
  <c r="U178" i="1"/>
  <c r="T178" i="1"/>
  <c r="T18" i="1"/>
  <c r="U22" i="1"/>
  <c r="T24" i="1"/>
  <c r="P47" i="1"/>
  <c r="P44" i="1" s="1"/>
  <c r="P41" i="1" s="1"/>
  <c r="U52" i="1"/>
  <c r="U60" i="1"/>
  <c r="U100" i="1"/>
  <c r="T101" i="1"/>
  <c r="U101" i="1"/>
  <c r="M109" i="1"/>
  <c r="T113" i="1"/>
  <c r="T152" i="1"/>
  <c r="U180" i="1"/>
  <c r="U182" i="1"/>
  <c r="T182" i="1"/>
  <c r="N43" i="1"/>
  <c r="U43" i="1" s="1"/>
  <c r="J42" i="1"/>
  <c r="J92" i="1"/>
  <c r="N92" i="1" s="1"/>
  <c r="T92" i="1" s="1"/>
  <c r="N93" i="1"/>
  <c r="T93" i="1" s="1"/>
  <c r="O109" i="1"/>
  <c r="S109" i="1" s="1"/>
  <c r="S110" i="1"/>
  <c r="S42" i="1"/>
  <c r="H49" i="1"/>
  <c r="J122" i="1"/>
  <c r="H120" i="1"/>
  <c r="H176" i="1"/>
  <c r="H175" i="1" s="1"/>
  <c r="J175" i="1" s="1"/>
  <c r="N175" i="1" s="1"/>
  <c r="J177" i="1"/>
  <c r="T21" i="1"/>
  <c r="T32" i="1"/>
  <c r="T66" i="1"/>
  <c r="H72" i="1"/>
  <c r="T75" i="1"/>
  <c r="J86" i="1"/>
  <c r="N86" i="1" s="1"/>
  <c r="T86" i="1" s="1"/>
  <c r="U93" i="1"/>
  <c r="U115" i="1"/>
  <c r="U148" i="1"/>
  <c r="T171" i="1"/>
  <c r="U171" i="1"/>
  <c r="J51" i="1"/>
  <c r="N51" i="1" s="1"/>
  <c r="U51" i="1" s="1"/>
  <c r="U10" i="1"/>
  <c r="T10" i="1"/>
  <c r="U14" i="1"/>
  <c r="T14" i="1"/>
  <c r="U67" i="1"/>
  <c r="T67" i="1"/>
  <c r="U114" i="1"/>
  <c r="T114" i="1"/>
  <c r="N127" i="1"/>
  <c r="J132" i="1"/>
  <c r="N132" i="1" s="1"/>
  <c r="N133" i="1"/>
  <c r="U170" i="1"/>
  <c r="T170" i="1"/>
  <c r="N190" i="1"/>
  <c r="M41" i="1"/>
  <c r="M39" i="1" s="1"/>
  <c r="M194" i="1" s="1"/>
  <c r="T46" i="1"/>
  <c r="N57" i="1"/>
  <c r="T57" i="1" s="1"/>
  <c r="T65" i="1"/>
  <c r="U65" i="1"/>
  <c r="J97" i="1"/>
  <c r="N97" i="1" s="1"/>
  <c r="U97" i="1" s="1"/>
  <c r="U145" i="1"/>
  <c r="T145" i="1"/>
  <c r="J147" i="1"/>
  <c r="U168" i="1"/>
  <c r="U173" i="1"/>
  <c r="L141" i="1"/>
  <c r="O159" i="1"/>
  <c r="S166" i="1"/>
  <c r="T184" i="1"/>
  <c r="T192" i="1"/>
  <c r="U30" i="1"/>
  <c r="J60" i="1"/>
  <c r="N60" i="1" s="1"/>
  <c r="U79" i="1"/>
  <c r="T106" i="1"/>
  <c r="T153" i="1"/>
  <c r="T165" i="1"/>
  <c r="T179" i="1"/>
  <c r="U184" i="1"/>
  <c r="U192" i="1"/>
  <c r="T30" i="1"/>
  <c r="N61" i="1"/>
  <c r="U61" i="1" s="1"/>
  <c r="T69" i="1"/>
  <c r="S73" i="1"/>
  <c r="O72" i="1"/>
  <c r="T79" i="1"/>
  <c r="T90" i="1"/>
  <c r="U106" i="1"/>
  <c r="U112" i="1"/>
  <c r="U153" i="1"/>
  <c r="H155" i="1"/>
  <c r="H146" i="1" s="1"/>
  <c r="J157" i="1"/>
  <c r="N157" i="1" s="1"/>
  <c r="U161" i="1"/>
  <c r="U165" i="1"/>
  <c r="U179" i="1"/>
  <c r="U26" i="1"/>
  <c r="T61" i="1"/>
  <c r="P72" i="1"/>
  <c r="T94" i="1"/>
  <c r="U94" i="1"/>
  <c r="U103" i="1"/>
  <c r="H110" i="1"/>
  <c r="H117" i="1"/>
  <c r="J118" i="1"/>
  <c r="N135" i="1"/>
  <c r="T135" i="1" s="1"/>
  <c r="S142" i="1"/>
  <c r="S160" i="1"/>
  <c r="T26" i="1"/>
  <c r="G37" i="1"/>
  <c r="G194" i="1" s="1"/>
  <c r="O37" i="1"/>
  <c r="S36" i="1"/>
  <c r="F72" i="1"/>
  <c r="F39" i="1" s="1"/>
  <c r="F194" i="1" s="1"/>
  <c r="T76" i="1"/>
  <c r="T78" i="1"/>
  <c r="T85" i="1"/>
  <c r="U87" i="1"/>
  <c r="T103" i="1"/>
  <c r="J111" i="1"/>
  <c r="U125" i="1"/>
  <c r="T125" i="1"/>
  <c r="T129" i="1"/>
  <c r="S132" i="1"/>
  <c r="U183" i="1"/>
  <c r="T89" i="1"/>
  <c r="T97" i="1"/>
  <c r="T105" i="1"/>
  <c r="U116" i="1"/>
  <c r="K146" i="1"/>
  <c r="K141" i="1" s="1"/>
  <c r="K39" i="1" s="1"/>
  <c r="K194" i="1" s="1"/>
  <c r="S176" i="1"/>
  <c r="O175" i="1"/>
  <c r="S175" i="1" s="1"/>
  <c r="S128" i="1"/>
  <c r="O127" i="1"/>
  <c r="S127" i="1" s="1"/>
  <c r="U154" i="1"/>
  <c r="M159" i="1"/>
  <c r="M141" i="1" s="1"/>
  <c r="H160" i="1"/>
  <c r="J162" i="1"/>
  <c r="T163" i="1"/>
  <c r="U188" i="1"/>
  <c r="U36" i="1" l="1"/>
  <c r="T175" i="1"/>
  <c r="U175" i="1"/>
  <c r="N118" i="1"/>
  <c r="J117" i="1"/>
  <c r="N117" i="1" s="1"/>
  <c r="U190" i="1"/>
  <c r="T190" i="1"/>
  <c r="N42" i="1"/>
  <c r="U81" i="1"/>
  <c r="N39" i="1"/>
  <c r="T176" i="1"/>
  <c r="J166" i="1"/>
  <c r="N166" i="1" s="1"/>
  <c r="N167" i="1"/>
  <c r="H194" i="1"/>
  <c r="J194" i="1" s="1"/>
  <c r="N194" i="1" s="1"/>
  <c r="N195" i="1" s="1"/>
  <c r="J81" i="1"/>
  <c r="N81" i="1" s="1"/>
  <c r="T81" i="1" s="1"/>
  <c r="H109" i="1"/>
  <c r="N177" i="1"/>
  <c r="J176" i="1"/>
  <c r="N176" i="1" s="1"/>
  <c r="U176" i="1" s="1"/>
  <c r="U135" i="1"/>
  <c r="H159" i="1"/>
  <c r="H141" i="1" s="1"/>
  <c r="J141" i="1" s="1"/>
  <c r="N141" i="1" s="1"/>
  <c r="S146" i="1"/>
  <c r="U133" i="1"/>
  <c r="T133" i="1"/>
  <c r="T51" i="1"/>
  <c r="T43" i="1"/>
  <c r="H37" i="1"/>
  <c r="N73" i="1"/>
  <c r="T73" i="1" s="1"/>
  <c r="U130" i="1"/>
  <c r="T143" i="1"/>
  <c r="U54" i="1"/>
  <c r="T54" i="1"/>
  <c r="U92" i="1"/>
  <c r="J8" i="1"/>
  <c r="N8" i="1" s="1"/>
  <c r="N9" i="1"/>
  <c r="J19" i="1"/>
  <c r="N19" i="1" s="1"/>
  <c r="U57" i="1"/>
  <c r="T128" i="1"/>
  <c r="U128" i="1"/>
  <c r="U73" i="1"/>
  <c r="S37" i="1"/>
  <c r="U42" i="1"/>
  <c r="T42" i="1"/>
  <c r="U147" i="1"/>
  <c r="T147" i="1"/>
  <c r="T166" i="1"/>
  <c r="U166" i="1"/>
  <c r="J123" i="1"/>
  <c r="N123" i="1" s="1"/>
  <c r="N124" i="1"/>
  <c r="N162" i="1"/>
  <c r="J160" i="1"/>
  <c r="U132" i="1"/>
  <c r="T132" i="1"/>
  <c r="S159" i="1"/>
  <c r="O141" i="1"/>
  <c r="S141" i="1" s="1"/>
  <c r="T74" i="1"/>
  <c r="J120" i="1"/>
  <c r="N120" i="1" s="1"/>
  <c r="N122" i="1"/>
  <c r="P39" i="1"/>
  <c r="P194" i="1" s="1"/>
  <c r="T155" i="1"/>
  <c r="O44" i="1"/>
  <c r="S47" i="1"/>
  <c r="T127" i="1"/>
  <c r="U127" i="1"/>
  <c r="J110" i="1"/>
  <c r="N111" i="1"/>
  <c r="U142" i="1"/>
  <c r="T142" i="1"/>
  <c r="U157" i="1"/>
  <c r="T157" i="1"/>
  <c r="S72" i="1"/>
  <c r="N147" i="1"/>
  <c r="J146" i="1"/>
  <c r="N146" i="1" s="1"/>
  <c r="H48" i="1"/>
  <c r="H47" i="1" s="1"/>
  <c r="H44" i="1" s="1"/>
  <c r="H41" i="1" s="1"/>
  <c r="J49" i="1"/>
  <c r="N36" i="1"/>
  <c r="T36" i="1" s="1"/>
  <c r="U117" i="1" l="1"/>
  <c r="T117" i="1"/>
  <c r="U177" i="1"/>
  <c r="T177" i="1"/>
  <c r="U122" i="1"/>
  <c r="T122" i="1"/>
  <c r="U19" i="1"/>
  <c r="T19" i="1"/>
  <c r="J37" i="1"/>
  <c r="N37" i="1" s="1"/>
  <c r="T120" i="1"/>
  <c r="U120" i="1"/>
  <c r="U124" i="1"/>
  <c r="T124" i="1"/>
  <c r="U37" i="1"/>
  <c r="T37" i="1"/>
  <c r="U9" i="1"/>
  <c r="T9" i="1"/>
  <c r="U123" i="1"/>
  <c r="T123" i="1"/>
  <c r="T8" i="1"/>
  <c r="U8" i="1"/>
  <c r="J48" i="1"/>
  <c r="N49" i="1"/>
  <c r="T111" i="1"/>
  <c r="U111" i="1"/>
  <c r="J109" i="1"/>
  <c r="N109" i="1" s="1"/>
  <c r="N110" i="1"/>
  <c r="J159" i="1"/>
  <c r="N159" i="1" s="1"/>
  <c r="U159" i="1" s="1"/>
  <c r="N160" i="1"/>
  <c r="T118" i="1"/>
  <c r="U118" i="1"/>
  <c r="U162" i="1"/>
  <c r="T162" i="1"/>
  <c r="S44" i="1"/>
  <c r="O41" i="1"/>
  <c r="U141" i="1"/>
  <c r="T141" i="1"/>
  <c r="J72" i="1"/>
  <c r="N72" i="1" s="1"/>
  <c r="U72" i="1" s="1"/>
  <c r="U146" i="1"/>
  <c r="T146" i="1"/>
  <c r="T167" i="1"/>
  <c r="U167" i="1"/>
  <c r="S41" i="1" l="1"/>
  <c r="O39" i="1"/>
  <c r="T109" i="1"/>
  <c r="U109" i="1"/>
  <c r="U49" i="1"/>
  <c r="T49" i="1"/>
  <c r="T72" i="1"/>
  <c r="T159" i="1"/>
  <c r="U110" i="1"/>
  <c r="T110" i="1"/>
  <c r="J47" i="1"/>
  <c r="N48" i="1"/>
  <c r="U160" i="1"/>
  <c r="T160" i="1"/>
  <c r="T48" i="1" l="1"/>
  <c r="U48" i="1"/>
  <c r="N47" i="1"/>
  <c r="J44" i="1"/>
  <c r="S39" i="1"/>
  <c r="O194" i="1"/>
  <c r="S194" i="1" s="1"/>
  <c r="T194" i="1" l="1"/>
  <c r="U194" i="1"/>
  <c r="T39" i="1"/>
  <c r="U39" i="1"/>
  <c r="N44" i="1"/>
  <c r="J41" i="1"/>
  <c r="N41" i="1" s="1"/>
  <c r="U47" i="1"/>
  <c r="T47" i="1"/>
  <c r="U41" i="1" l="1"/>
  <c r="T41" i="1"/>
  <c r="T44" i="1"/>
  <c r="U44" i="1"/>
</calcChain>
</file>

<file path=xl/comments1.xml><?xml version="1.0" encoding="utf-8"?>
<comments xmlns="http://schemas.openxmlformats.org/spreadsheetml/2006/main">
  <authors>
    <author>Oscar Rubio</author>
  </authors>
  <commentList>
    <comment ref="L120" authorId="0" shapeId="0">
      <text>
        <r>
          <rPr>
            <sz val="9"/>
            <color indexed="81"/>
            <rFont val="Tahoma"/>
            <family val="2"/>
          </rPr>
          <t xml:space="preserve">Que el periodo de pruebas de la plataforma tecnológica para la administración de la información sobre predios, vacunación e identificación de porcinos tomará al menos dos meses más posteriores a la finalización del desarrollo,  se hace necesario trasladar recurso para  la digitación de registros (RUV y RUI)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3" authorId="0" shapeId="0">
      <text>
        <r>
          <rPr>
            <sz val="9"/>
            <color indexed="81"/>
            <rFont val="Tahoma"/>
            <family val="2"/>
          </rPr>
          <t xml:space="preserve">Que el periodo de pruebas de la plataforma tecnológica para la administración de la información sobre predios, vacunación e identificación de porcinos tomará al menos dos meses más posteriores a la finalización del desarrollo,  se hace necesario trasladar recurso para  la digitación de registros (RUV y RUI)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6" authorId="0" shapeId="0">
      <text>
        <r>
          <rPr>
            <sz val="9"/>
            <color indexed="81"/>
            <rFont val="Tahoma"/>
            <family val="2"/>
          </rPr>
          <t>Adición correspondiente a gastos de alojamiento y alimentación de los 23 participantes de Gira Técnica Holanda-Alemania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9" authorId="0" shapeId="0">
      <text>
        <r>
          <rPr>
            <sz val="9"/>
            <color indexed="81"/>
            <rFont val="Tahoma"/>
            <family val="2"/>
          </rPr>
          <t>Se traslada recursos en la cuenta especial de la Carta de Entendimiento No 2, para la compra de kits, reactivos,insumos y equipos de laboratorio</t>
        </r>
      </text>
    </comment>
    <comment ref="L191" authorId="0" shapeId="0">
      <text>
        <r>
          <rPr>
            <sz val="9"/>
            <color indexed="81"/>
            <rFont val="Tahoma"/>
            <family val="2"/>
          </rPr>
          <t>Devolución recurso  no ejecutado convenio MADR 21605046 al Tesoro Nacional ($7.618.449) y Se traslada recursos en la cuenta especial de la Carta de Entendimiento No 2, para la compra de kits, reactivos,insumos y equipos de laboratorio ($100.000.000)</t>
        </r>
      </text>
    </comment>
  </commentList>
</comments>
</file>

<file path=xl/sharedStrings.xml><?xml version="1.0" encoding="utf-8"?>
<sst xmlns="http://schemas.openxmlformats.org/spreadsheetml/2006/main" count="177" uniqueCount="177">
  <si>
    <t>MINISTERIO DE AGRICULTURA  Y DESARROLLO RURAL</t>
  </si>
  <si>
    <t>DIRECCIÓN DE PLANEACIÓN Y SEGUIMIENTO PRESUPUESTAL</t>
  </si>
  <si>
    <t>PRESUPUESTO DE GASTOS DE FUNCIONAMIENTO E INVERSIÓN 2.018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</si>
  <si>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</si>
  <si>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</si>
  <si>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</si>
  <si>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</si>
  <si>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</si>
  <si>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</si>
  <si>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</si>
  <si>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</si>
  <si>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</si>
  <si>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</si>
  <si>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</si>
  <si>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ACUERDO 5/18</t>
  </si>
  <si>
    <t>ACUERDO 8/18</t>
  </si>
  <si>
    <t>ACUERDO 11/18</t>
  </si>
  <si>
    <t>PRESUPUESTO MODIFICADO</t>
  </si>
  <si>
    <t xml:space="preserve">EJECUCIÓN ENE-MAR </t>
  </si>
  <si>
    <t>EJECUCIÓN ABR-JUN</t>
  </si>
  <si>
    <t>EJECUCIÓN JUL-SEPT</t>
  </si>
  <si>
    <t>EJECUCIÓN OCT-DIC</t>
  </si>
  <si>
    <t xml:space="preserve">EJECUCIÓN ENE-DIC </t>
  </si>
  <si>
    <t>ACUERDO 2/19</t>
  </si>
  <si>
    <t>% EJECUCIÓN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</si>
  <si>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</si>
  <si>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</si>
  <si>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</si>
  <si>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</si>
  <si>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</si>
  <si>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</si>
  <si>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</si>
  <si>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</si>
  <si>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</si>
  <si>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</si>
  <si>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</si>
  <si>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</si>
  <si>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</si>
  <si>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</si>
  <si>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</si>
  <si>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</si>
  <si>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</si>
  <si>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</si>
  <si>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</si>
  <si>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</si>
  <si>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</si>
  <si>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</si>
  <si>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</si>
  <si>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</si>
  <si>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</si>
  <si>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</si>
  <si>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</si>
  <si>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</si>
  <si>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</si>
  <si>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</si>
  <si>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</si>
  <si>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</si>
  <si>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</si>
  <si>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</si>
  <si>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</si>
  <si>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>Fortalecimiento Empresarial</t>
  </si>
  <si>
    <t>Gestión de servicios</t>
  </si>
  <si>
    <t>Fortalecimiento Asociativo</t>
  </si>
  <si>
    <t>Convenios</t>
  </si>
  <si>
    <t xml:space="preserve">  Contrapartidas Gobernaciones y/o Alcaldias</t>
  </si>
  <si>
    <t xml:space="preserve">    Convenio de Pereira</t>
  </si>
  <si>
    <t xml:space="preserve">    Contrapartida Gobernación Cundinamarca</t>
  </si>
  <si>
    <t xml:space="preserve">  Contrapartidas FNP</t>
  </si>
  <si>
    <t xml:space="preserve">   Convenio Pereira FNP</t>
  </si>
  <si>
    <t xml:space="preserve">   Contrapartida Gobernación Cundinamarca FNP</t>
  </si>
  <si>
    <t xml:space="preserve">   Convenio Valle FNP</t>
  </si>
  <si>
    <t>Apoyo autorización sanitaria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</si>
  <si>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</si>
  <si>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</si>
  <si>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</si>
  <si>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</si>
  <si>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</si>
  <si>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</si>
  <si>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</si>
  <si>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</si>
  <si>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</si>
  <si>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</si>
  <si>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</si>
  <si>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</si>
  <si>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</si>
  <si>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</si>
  <si>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</si>
  <si>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</si>
  <si>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</si>
  <si>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 xml:space="preserve">Home Panel </t>
  </si>
  <si>
    <t>Brand Equity Tracking</t>
  </si>
  <si>
    <t>Monitoreo de Medios</t>
  </si>
  <si>
    <t>Evaluación Neurologica de la  Campaña Vigente/Eye Tracking</t>
  </si>
  <si>
    <t>Estudio del Consumidor</t>
  </si>
  <si>
    <t>Estudio NSOP (LSDA)</t>
  </si>
  <si>
    <t>Estudio Digital</t>
  </si>
  <si>
    <t>Campaña de fomento al consumo</t>
  </si>
  <si>
    <t>Campaña de publicidad</t>
  </si>
  <si>
    <t>Consultoría MESA</t>
  </si>
  <si>
    <t>Pauta institucional</t>
  </si>
  <si>
    <t>Seguimiento y gestion comunicación integral.</t>
  </si>
  <si>
    <t>Sostenimiento y Desarrollo Digital</t>
  </si>
  <si>
    <t>Free Press Influenciadores</t>
  </si>
  <si>
    <t>Kit Publicitario</t>
  </si>
  <si>
    <t>Desarrollo Digital (Concurso Sabor Porkcolombia)</t>
  </si>
  <si>
    <t>Pauta digital</t>
  </si>
  <si>
    <t>Producción Digital</t>
  </si>
  <si>
    <t>Activaciones de consumo</t>
  </si>
  <si>
    <t>Cocina PorkColombia</t>
  </si>
  <si>
    <t>Asesor Gastronómico Ejecutivo</t>
  </si>
  <si>
    <t>Viajes Gestión Regional</t>
  </si>
  <si>
    <t>Capacitación anual contratistas</t>
  </si>
  <si>
    <t>Material de promocion al consumo</t>
  </si>
  <si>
    <t>Festival PorkColombia</t>
  </si>
  <si>
    <t>Seguimiento gestión a eventos de sensibilización de las bondades de la carne de cerdo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</si>
  <si>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</si>
  <si>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</si>
  <si>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</si>
  <si>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</si>
  <si>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</si>
  <si>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</si>
  <si>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Cerdificado PorkColombia (Expertos de carne de cerdo)</t>
  </si>
  <si>
    <t>ChefRegionales PorkColombia</t>
  </si>
  <si>
    <t>TOTAL ÁREA ERRADICACIÓN PPC</t>
  </si>
  <si>
    <t>Vacunacion e identificacion de Porcinos</t>
  </si>
  <si>
    <t>Identificación</t>
  </si>
  <si>
    <t>Suministros clínicos y dotaciones</t>
  </si>
  <si>
    <t>Auxilios distribuidores</t>
  </si>
  <si>
    <t>Biológico</t>
  </si>
  <si>
    <t>Contratación de personal</t>
  </si>
  <si>
    <t>Disposición de residuos biológicos</t>
  </si>
  <si>
    <t>Capacitación y divulgación</t>
  </si>
  <si>
    <t>Capacitación</t>
  </si>
  <si>
    <t>Divulgación</t>
  </si>
  <si>
    <t>Vigilancia Epidemiológica</t>
  </si>
  <si>
    <t>Administración de la base de datos</t>
  </si>
  <si>
    <t>Diseño, matenimiento y actualización de la plataforma</t>
  </si>
  <si>
    <t>Entrenamiento y soporte operativo</t>
  </si>
  <si>
    <t>TOTAL ÁREA TÉCNICA</t>
  </si>
  <si>
    <t>Programa nacional de bioseguridad, sanidad y productividad-PNBSP</t>
  </si>
  <si>
    <t>Acompañamiento (Certificación en granja y transporte)</t>
  </si>
  <si>
    <t>Taller técnico de bioseguridad, sanidad y productividad</t>
  </si>
  <si>
    <t>Premios PORKS Colombia 2018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</si>
  <si>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</si>
  <si>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</si>
  <si>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</si>
  <si>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</si>
  <si>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</si>
  <si>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</si>
  <si>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Zonificación y ordenamiento productivo</t>
  </si>
  <si>
    <t>Proyecto UPRA-Porkcolombia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</si>
  <si>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</si>
  <si>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</si>
  <si>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</si>
  <si>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</si>
  <si>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</si>
  <si>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</si>
  <si>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</si>
  <si>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 xml:space="preserve">  Talleres y seminarios</t>
  </si>
  <si>
    <t>Jornada técnica</t>
  </si>
  <si>
    <t>Material de apoyo</t>
  </si>
  <si>
    <t>Diagnostico</t>
  </si>
  <si>
    <t>Diagnostico rutinario con laboratorios oficiales</t>
  </si>
  <si>
    <t>Diagnostico rutinario con laboratorios privados</t>
  </si>
  <si>
    <t>Apoyo Diagnostico lineas base (ICA)</t>
  </si>
  <si>
    <t>TOTAL ÁREA SANIDAD</t>
  </si>
  <si>
    <t>Control y monitoreo de enfermedades en granjas de Colombia</t>
  </si>
  <si>
    <t>CUOTA DE ADMINISTRACIÓN</t>
  </si>
  <si>
    <t>Cuota de administración FNP</t>
  </si>
  <si>
    <t>Cuota de administración PPC</t>
  </si>
  <si>
    <t>FONDO DE EMERGENCIA FNP</t>
  </si>
  <si>
    <t>FONDO DE EMERGENCIA PPC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</si>
  <si>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</si>
  <si>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</si>
  <si>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</si>
  <si>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</si>
  <si>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El porcentaje de ejecución corresponde al total del presupuesto menos la Reserva y los Fondos de Emergencia $39.891.909.753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</si>
</sst>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 applyFill="1" applyAlignment="1">
      <alignment horizontal="center"/>
    </xf>
    <xf numFmtId="0" fontId="1" fillId="0" borderId="0" xfId="1" applyFill="1"/>
    <xf numFmtId="0" fontId="2" fillId="2" borderId="0" xfId="1" applyFont="1" applyFill="1" applyAlignment="1">
      <alignment horizontal="center"/>
    </xf>
    <xf numFmtId="3" fontId="3" fillId="2" borderId="1" xfId="1" applyNumberFormat="1" applyFont="1" applyFill="1" applyBorder="1" applyAlignment="1">
      <alignment horizontal="centerContinuous"/>
    </xf>
    <xf numFmtId="3" fontId="2" fillId="2" borderId="1" xfId="1" applyNumberFormat="1" applyFont="1" applyFill="1" applyBorder="1" applyAlignment="1">
      <alignment horizontal="centerContinuous"/>
    </xf>
    <xf numFmtId="0" fontId="3" fillId="2" borderId="1" xfId="1" applyFont="1" applyFill="1" applyBorder="1" applyAlignment="1">
      <alignment horizontal="centerContinuous"/>
    </xf>
    <xf numFmtId="0" fontId="2" fillId="2" borderId="1" xfId="1" applyFont="1" applyFill="1" applyBorder="1" applyAlignment="1">
      <alignment horizontal="centerContinuous"/>
    </xf>
    <xf numFmtId="0" fontId="4" fillId="2" borderId="1" xfId="1" applyFont="1" applyFill="1" applyBorder="1" applyAlignment="1">
      <alignment horizontal="centerContinuous"/>
    </xf>
    <xf numFmtId="0" fontId="1" fillId="2" borderId="0" xfId="1" applyFill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/>
    <xf numFmtId="0" fontId="5" fillId="2" borderId="6" xfId="1" applyFont="1" applyFill="1" applyBorder="1"/>
    <xf numFmtId="0" fontId="5" fillId="0" borderId="6" xfId="1" applyFont="1" applyFill="1" applyBorder="1"/>
    <xf numFmtId="0" fontId="5" fillId="2" borderId="7" xfId="1" applyFont="1" applyFill="1" applyBorder="1"/>
    <xf numFmtId="3" fontId="6" fillId="2" borderId="5" xfId="1" applyNumberFormat="1" applyFont="1" applyFill="1" applyBorder="1" applyAlignment="1"/>
    <xf numFmtId="3" fontId="6" fillId="2" borderId="6" xfId="1" applyNumberFormat="1" applyFont="1" applyFill="1" applyBorder="1"/>
    <xf numFmtId="3" fontId="6" fillId="0" borderId="6" xfId="1" applyNumberFormat="1" applyFont="1" applyFill="1" applyBorder="1"/>
    <xf numFmtId="10" fontId="6" fillId="2" borderId="7" xfId="3" applyNumberFormat="1" applyFont="1" applyFill="1" applyBorder="1"/>
    <xf numFmtId="3" fontId="5" fillId="2" borderId="5" xfId="1" applyNumberFormat="1" applyFont="1" applyFill="1" applyBorder="1" applyAlignment="1"/>
    <xf numFmtId="3" fontId="5" fillId="2" borderId="6" xfId="1" applyNumberFormat="1" applyFont="1" applyFill="1" applyBorder="1"/>
    <xf numFmtId="3" fontId="7" fillId="2" borderId="6" xfId="1" applyNumberFormat="1" applyFont="1" applyFill="1" applyBorder="1"/>
    <xf numFmtId="3" fontId="5" fillId="0" borderId="6" xfId="1" applyNumberFormat="1" applyFont="1" applyFill="1" applyBorder="1"/>
    <xf numFmtId="10" fontId="7" fillId="2" borderId="7" xfId="3" applyNumberFormat="1" applyFont="1" applyFill="1" applyBorder="1"/>
    <xf numFmtId="0" fontId="1" fillId="0" borderId="0" xfId="1" applyFill="1" applyAlignment="1">
      <alignment horizontal="center"/>
    </xf>
    <xf numFmtId="3" fontId="8" fillId="2" borderId="6" xfId="1" applyNumberFormat="1" applyFont="1" applyFill="1" applyBorder="1"/>
    <xf numFmtId="3" fontId="1" fillId="0" borderId="0" xfId="1" applyNumberFormat="1" applyFill="1"/>
    <xf numFmtId="0" fontId="2" fillId="2" borderId="5" xfId="1" applyFont="1" applyFill="1" applyBorder="1" applyAlignment="1"/>
    <xf numFmtId="3" fontId="2" fillId="2" borderId="6" xfId="1" applyNumberFormat="1" applyFont="1" applyFill="1" applyBorder="1"/>
    <xf numFmtId="3" fontId="2" fillId="0" borderId="6" xfId="1" applyNumberFormat="1" applyFont="1" applyFill="1" applyBorder="1"/>
    <xf numFmtId="0" fontId="5" fillId="2" borderId="5" xfId="1" applyFont="1" applyFill="1" applyBorder="1" applyAlignment="1"/>
    <xf numFmtId="3" fontId="5" fillId="2" borderId="6" xfId="4" applyNumberFormat="1" applyFont="1" applyFill="1" applyBorder="1"/>
    <xf numFmtId="3" fontId="6" fillId="2" borderId="6" xfId="4" applyNumberFormat="1" applyFont="1" applyFill="1" applyBorder="1"/>
    <xf numFmtId="0" fontId="2" fillId="2" borderId="8" xfId="1" applyFont="1" applyFill="1" applyBorder="1" applyAlignment="1"/>
    <xf numFmtId="3" fontId="2" fillId="2" borderId="9" xfId="1" applyNumberFormat="1" applyFont="1" applyFill="1" applyBorder="1"/>
    <xf numFmtId="3" fontId="2" fillId="0" borderId="9" xfId="1" applyNumberFormat="1" applyFont="1" applyFill="1" applyBorder="1"/>
    <xf numFmtId="10" fontId="6" fillId="2" borderId="10" xfId="3" applyNumberFormat="1" applyFont="1" applyFill="1" applyBorder="1"/>
    <xf numFmtId="37" fontId="2" fillId="2" borderId="5" xfId="1" applyNumberFormat="1" applyFont="1" applyFill="1" applyBorder="1" applyAlignment="1"/>
    <xf numFmtId="0" fontId="9" fillId="0" borderId="0" xfId="1" applyFont="1" applyFill="1"/>
    <xf numFmtId="37" fontId="7" fillId="2" borderId="5" xfId="1" applyNumberFormat="1" applyFont="1" applyFill="1" applyBorder="1" applyAlignment="1">
      <alignment horizontal="left"/>
    </xf>
    <xf numFmtId="3" fontId="7" fillId="0" borderId="6" xfId="1" applyNumberFormat="1" applyFont="1" applyFill="1" applyBorder="1"/>
    <xf numFmtId="37" fontId="6" fillId="2" borderId="5" xfId="1" applyNumberFormat="1" applyFont="1" applyFill="1" applyBorder="1" applyAlignment="1">
      <alignment horizontal="left"/>
    </xf>
    <xf numFmtId="164" fontId="2" fillId="2" borderId="6" xfId="4" applyFont="1" applyFill="1" applyBorder="1"/>
    <xf numFmtId="164" fontId="7" fillId="2" borderId="6" xfId="4" applyFont="1" applyFill="1" applyBorder="1"/>
    <xf numFmtId="164" fontId="9" fillId="0" borderId="0" xfId="4" applyFont="1" applyFill="1"/>
    <xf numFmtId="37" fontId="7" fillId="2" borderId="5" xfId="1" applyNumberFormat="1" applyFont="1" applyFill="1" applyBorder="1" applyAlignment="1"/>
    <xf numFmtId="37" fontId="6" fillId="2" borderId="5" xfId="1" applyNumberFormat="1" applyFont="1" applyFill="1" applyBorder="1" applyAlignment="1"/>
    <xf numFmtId="3" fontId="6" fillId="2" borderId="6" xfId="5" applyNumberFormat="1" applyFont="1" applyFill="1" applyBorder="1"/>
    <xf numFmtId="3" fontId="6" fillId="0" borderId="6" xfId="5" applyNumberFormat="1" applyFont="1" applyFill="1" applyBorder="1"/>
    <xf numFmtId="165" fontId="1" fillId="0" borderId="0" xfId="1" applyNumberFormat="1" applyFont="1" applyFill="1"/>
    <xf numFmtId="0" fontId="1" fillId="0" borderId="0" xfId="1" applyFont="1" applyFill="1"/>
    <xf numFmtId="3" fontId="1" fillId="0" borderId="0" xfId="1" applyNumberFormat="1" applyFont="1" applyFill="1"/>
    <xf numFmtId="0" fontId="5" fillId="2" borderId="11" xfId="1" applyFont="1" applyFill="1" applyBorder="1" applyAlignment="1"/>
    <xf numFmtId="3" fontId="2" fillId="2" borderId="12" xfId="1" applyNumberFormat="1" applyFont="1" applyFill="1" applyBorder="1"/>
    <xf numFmtId="0" fontId="5" fillId="2" borderId="12" xfId="1" applyFont="1" applyFill="1" applyBorder="1"/>
    <xf numFmtId="3" fontId="5" fillId="2" borderId="12" xfId="1" applyNumberFormat="1" applyFont="1" applyFill="1" applyBorder="1"/>
    <xf numFmtId="0" fontId="5" fillId="0" borderId="12" xfId="1" applyFont="1" applyFill="1" applyBorder="1"/>
    <xf numFmtId="3" fontId="10" fillId="2" borderId="12" xfId="1" applyNumberFormat="1" applyFont="1" applyFill="1" applyBorder="1"/>
    <xf numFmtId="0" fontId="5" fillId="2" borderId="13" xfId="1" applyFont="1" applyFill="1" applyBorder="1"/>
    <xf numFmtId="10" fontId="0" fillId="0" borderId="0" xfId="3" applyNumberFormat="1" applyFont="1" applyFill="1"/>
    <xf numFmtId="0" fontId="11" fillId="0" borderId="0" xfId="1" applyFont="1" applyFill="1"/>
    <xf numFmtId="0" fontId="12" fillId="0" borderId="0" xfId="1" applyFont="1" applyFill="1"/>
    <xf numFmtId="10" fontId="12" fillId="0" borderId="0" xfId="3" applyNumberFormat="1" applyFont="1" applyFill="1"/>
  </cellXfs>
  <cellStyles count="6">
    <cellStyle name="Millares 2 2 2" xfId="5"/>
    <cellStyle name="Millares 23" xfId="4"/>
    <cellStyle name="Normal" xfId="0" builtinId="0"/>
    <cellStyle name="Normal 10 2" xfId="1"/>
    <cellStyle name="Normal 14 2" xfId="2"/>
    <cellStyle name="Porcentaje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Presupuesto%202018/Presupuesto%202018%20v.6/Anexos/presupuesto%20PPC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PRESUPUESTO%202014/PRESUPUESTO%202014%20V.4/Presupuesto%202014%20version%2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Presupuesto%202018/Presupuesto%202018%20v.6/Anexos/Presupuestos%20Investig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Presupuesto%202018/Presupuesto%202018%20v.6/Anexos/Presupuesto%20Sanida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A&#241;o%202010\MANEJO%20PTO%202010\PRESUPUESTO%20INGRESOS%20ESTIMADO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PRESUPUESTO%202015/PRESUPUESTO%202015%20V.6/Presupuesto%202015%20version%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ón "/>
      <sheetName val="Contratación personal"/>
      <sheetName val="Diagnóstico rutinario"/>
      <sheetName val="Autoridades y puestos control"/>
      <sheetName val="Sistema información"/>
    </sheetNames>
    <sheetDataSet>
      <sheetData sheetId="0">
        <row r="37">
          <cell r="B37" t="str">
            <v>Diagnóstico Rutinario</v>
          </cell>
        </row>
        <row r="40">
          <cell r="B40" t="str">
            <v>Trabajo con autoridades y puestos de control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>
        <row r="23">
          <cell r="A23" t="str">
            <v>Gira técnica</v>
          </cell>
        </row>
        <row r="24">
          <cell r="A24" t="str">
            <v>Capacitación en desposte y transformación de la carne de cerdo</v>
          </cell>
        </row>
        <row r="26">
          <cell r="A26" t="str">
            <v>Curso virtual en tecnologías ambientales para porcicultura</v>
          </cell>
        </row>
        <row r="27">
          <cell r="A27" t="str">
            <v>Curso virtual innovación en productos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  <row r="32">
          <cell r="A32" t="str">
            <v>Curso de operarios</v>
          </cell>
        </row>
        <row r="34">
          <cell r="A34" t="str">
            <v>Buenas practicas en el manejo de medicamentos veterinarios</v>
          </cell>
        </row>
        <row r="40">
          <cell r="A40" t="str">
            <v>Diagnóstico rutinario</v>
          </cell>
        </row>
        <row r="41">
          <cell r="A41" t="str">
            <v>Diagnóstico integrado</v>
          </cell>
        </row>
        <row r="42">
          <cell r="A42" t="str">
            <v>Diagnóstico PRRS (incluido IFA)</v>
          </cell>
        </row>
        <row r="43">
          <cell r="A43" t="str">
            <v>Compras de insumos</v>
          </cell>
        </row>
        <row r="44">
          <cell r="A44" t="str">
            <v>Diagnóstico importados</v>
          </cell>
        </row>
        <row r="47">
          <cell r="A47" t="str">
            <v>Rutinario</v>
          </cell>
        </row>
        <row r="48">
          <cell r="A48" t="str">
            <v>Combos</v>
          </cell>
        </row>
        <row r="49">
          <cell r="A49" t="str">
            <v>PRRS</v>
          </cell>
        </row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vs 2017"/>
      <sheetName val="Presupuesto desagregado 2018"/>
      <sheetName val="PRRS"/>
    </sheetNames>
    <sheetDataSet>
      <sheetData sheetId="0">
        <row r="16">
          <cell r="B16" t="str">
            <v>Control y monitoreo de PRRS</v>
          </cell>
        </row>
        <row r="17">
          <cell r="B17" t="str">
            <v>Vigilancia de Influenza Porcina</v>
          </cell>
        </row>
        <row r="18">
          <cell r="B18" t="str">
            <v>Programa Nacional de Sanidad Porcina</v>
          </cell>
        </row>
        <row r="19">
          <cell r="B19" t="str">
            <v>Divulgación sanitaria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 "/>
      <sheetName val="Anexo áreas"/>
      <sheetName val="superavit"/>
      <sheetName val="ECO"/>
      <sheetName val="TEC"/>
      <sheetName val="TRANSF"/>
      <sheetName val="SAN"/>
      <sheetName val="MER"/>
      <sheetName val="PPC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4"/>
  <sheetViews>
    <sheetView tabSelected="1" topLeftCell="A2" zoomScale="85" zoomScaleNormal="85" zoomScaleSheetLayoutView="85" workbookViewId="0">
      <pane xSplit="1" ySplit="5" topLeftCell="J7" activePane="bottomRight" state="frozen"/>
      <selection activeCell="A2" sqref="A2"/>
      <selection pane="topRight" activeCell="B2" sqref="B2"/>
      <selection pane="bottomLeft" activeCell="A7" sqref="A7"/>
      <selection pane="bottomRight" activeCell="A11" sqref="A11"/>
    </sheetView>
  </sheetViews>
  <sheetFormatPr baseColWidth="10" defaultRowHeight="12.75" outlineLevelRow="2" outlineLevelCol="1" x14ac:dyDescent="0.2"/>
  <cols>
    <col min="1" max="1" width="72.7109375" style="2" customWidth="1"/>
    <col min="2" max="2" width="14.5703125" style="2" hidden="1" customWidth="1" outlineLevel="1"/>
    <col min="3" max="3" width="14.7109375" style="2" hidden="1" customWidth="1" outlineLevel="1"/>
    <col min="4" max="4" width="19.85546875" style="2" hidden="1" customWidth="1" outlineLevel="1"/>
    <col min="5" max="5" width="14.42578125" style="2" hidden="1" customWidth="1" outlineLevel="1"/>
    <col min="6" max="6" width="15.42578125" style="2" hidden="1" customWidth="1" outlineLevel="1"/>
    <col min="7" max="7" width="17.5703125" style="2" hidden="1" customWidth="1" outlineLevel="1"/>
    <col min="8" max="8" width="16.140625" style="2" hidden="1" customWidth="1" outlineLevel="1"/>
    <col min="9" max="9" width="21.42578125" style="2" hidden="1" customWidth="1" outlineLevel="1"/>
    <col min="10" max="10" width="19.7109375" style="2" customWidth="1" collapsed="1"/>
    <col min="11" max="13" width="19.7109375" style="2" hidden="1" customWidth="1" outlineLevel="1"/>
    <col min="14" max="14" width="19.7109375" style="2" customWidth="1" collapsed="1"/>
    <col min="15" max="18" width="19.7109375" style="2" hidden="1" customWidth="1" outlineLevel="1"/>
    <col min="19" max="19" width="19.7109375" style="2" customWidth="1" collapsed="1"/>
    <col min="20" max="20" width="19.7109375" style="2" customWidth="1"/>
    <col min="21" max="21" width="9.42578125" style="2" customWidth="1"/>
    <col min="22" max="24" width="14.5703125" style="2" customWidth="1"/>
    <col min="25" max="16384" width="11.42578125" style="2"/>
  </cols>
  <sheetData>
    <row r="1" spans="1:2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 ht="15.75" thickBot="1" x14ac:dyDescent="0.3">
      <c r="A5" s="4"/>
      <c r="B5" s="5"/>
      <c r="C5" s="6"/>
      <c r="D5" s="6"/>
      <c r="E5" s="7"/>
      <c r="F5" s="7"/>
      <c r="G5" s="7"/>
      <c r="H5" s="8"/>
      <c r="I5" s="7"/>
      <c r="J5" s="9"/>
      <c r="K5" s="9"/>
      <c r="L5" s="9"/>
      <c r="N5" s="9"/>
      <c r="O5" s="9"/>
      <c r="P5" s="9"/>
      <c r="Q5" s="9"/>
      <c r="R5" s="9"/>
      <c r="S5" s="9"/>
      <c r="T5" s="9"/>
      <c r="U5" s="9"/>
    </row>
    <row r="6" spans="1:23" ht="73.5" customHeight="1" thickTop="1" x14ac:dyDescent="0.2">
      <c r="A6" s="10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2" t="s">
        <v>16</v>
      </c>
      <c r="N6" s="11" t="s">
        <v>17</v>
      </c>
      <c r="O6" s="11" t="s">
        <v>18</v>
      </c>
      <c r="P6" s="11" t="s">
        <v>19</v>
      </c>
      <c r="Q6" s="11" t="s">
        <v>20</v>
      </c>
      <c r="R6" s="11" t="s">
        <v>21</v>
      </c>
      <c r="S6" s="13" t="s">
        <v>22</v>
      </c>
      <c r="T6" s="13" t="s">
        <v>23</v>
      </c>
      <c r="U6" s="14" t="s">
        <v>24</v>
      </c>
    </row>
    <row r="7" spans="1:23" ht="15" x14ac:dyDescent="0.25">
      <c r="A7" s="15" t="s">
        <v>25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8"/>
    </row>
    <row r="8" spans="1:23" ht="15" x14ac:dyDescent="0.25">
      <c r="A8" s="19" t="s">
        <v>26</v>
      </c>
      <c r="B8" s="20">
        <f>SUM(B9:B18)</f>
        <v>1516643658.2551854</v>
      </c>
      <c r="C8" s="20">
        <f t="shared" ref="C8:J8" si="0">SUM(C9:C18)</f>
        <v>516873750.84804171</v>
      </c>
      <c r="D8" s="20">
        <f t="shared" si="0"/>
        <v>438967544.38385743</v>
      </c>
      <c r="E8" s="20">
        <f>SUM(E9:E18)</f>
        <v>72253417.657532051</v>
      </c>
      <c r="F8" s="20">
        <f t="shared" si="0"/>
        <v>531098106.17730635</v>
      </c>
      <c r="G8" s="20">
        <f>SUM(G9:G18)</f>
        <v>1502083619.2640374</v>
      </c>
      <c r="H8" s="20">
        <f>SUM(H9:H18)</f>
        <v>4577920096.5859613</v>
      </c>
      <c r="I8" s="20">
        <f>SUM(I9:I18)</f>
        <v>394396578.83511353</v>
      </c>
      <c r="J8" s="20">
        <f t="shared" si="0"/>
        <v>4972316675.4210749</v>
      </c>
      <c r="K8" s="20">
        <f>SUM(K9:K18)</f>
        <v>0</v>
      </c>
      <c r="L8" s="20">
        <f>SUM(L9:L18)</f>
        <v>0</v>
      </c>
      <c r="M8" s="21">
        <f>SUM(M9:M18)</f>
        <v>0</v>
      </c>
      <c r="N8" s="20">
        <f>+J8+K8+L8+M8</f>
        <v>4972316675.4210749</v>
      </c>
      <c r="O8" s="20">
        <f>SUM(O9:O18)</f>
        <v>1151769744</v>
      </c>
      <c r="P8" s="20">
        <f>SUM(P9:P18)</f>
        <v>1206777836</v>
      </c>
      <c r="Q8" s="20">
        <f>SUM(Q9:Q18)</f>
        <v>1190943078.6444659</v>
      </c>
      <c r="R8" s="20">
        <f>SUM(R9:R18)</f>
        <v>1205378625</v>
      </c>
      <c r="S8" s="20">
        <f>+O8+P8+Q8+R8</f>
        <v>4754869283.6444664</v>
      </c>
      <c r="T8" s="20">
        <f>+S8-N8</f>
        <v>-217447391.77660847</v>
      </c>
      <c r="U8" s="22">
        <f>IFERROR(S8/N8,0)</f>
        <v>0.95626839439823208</v>
      </c>
    </row>
    <row r="9" spans="1:23" ht="14.25" x14ac:dyDescent="0.2">
      <c r="A9" s="23" t="s">
        <v>27</v>
      </c>
      <c r="B9" s="24">
        <v>965070275.90901303</v>
      </c>
      <c r="C9" s="24">
        <v>358830586.5992133</v>
      </c>
      <c r="D9" s="24">
        <v>308035547.66125333</v>
      </c>
      <c r="E9" s="24">
        <v>46899256.739719994</v>
      </c>
      <c r="F9" s="24">
        <v>368616838.11105329</v>
      </c>
      <c r="G9" s="24">
        <v>995728107.83987987</v>
      </c>
      <c r="H9" s="25">
        <f t="shared" ref="H9:H19" si="1">+B9+C9+D9+G9+E9+F9</f>
        <v>3043180612.8601332</v>
      </c>
      <c r="I9" s="24">
        <v>170209125.83463997</v>
      </c>
      <c r="J9" s="24">
        <f t="shared" ref="J9:J18" si="2">+H9+I9</f>
        <v>3213389738.6947732</v>
      </c>
      <c r="K9" s="24"/>
      <c r="L9" s="24"/>
      <c r="M9" s="26"/>
      <c r="N9" s="24">
        <f>+J9+K9+L9+M9</f>
        <v>3213389738.6947732</v>
      </c>
      <c r="O9" s="24">
        <v>745162107</v>
      </c>
      <c r="P9" s="24">
        <v>780406345</v>
      </c>
      <c r="Q9" s="24">
        <v>774093420.78349996</v>
      </c>
      <c r="R9" s="24">
        <v>774277659</v>
      </c>
      <c r="S9" s="24">
        <f t="shared" ref="S9:S72" si="3">+O9+P9+Q9+R9</f>
        <v>3073939531.7834997</v>
      </c>
      <c r="T9" s="24">
        <f>+S9-N9</f>
        <v>-139450206.91127348</v>
      </c>
      <c r="U9" s="27">
        <f>+S9/N9</f>
        <v>0.95660339446782583</v>
      </c>
      <c r="W9" s="28"/>
    </row>
    <row r="10" spans="1:23" ht="14.25" x14ac:dyDescent="0.2">
      <c r="A10" s="23" t="s">
        <v>28</v>
      </c>
      <c r="B10" s="24">
        <v>47960731.514939994</v>
      </c>
      <c r="C10" s="24">
        <v>17506962.244589999</v>
      </c>
      <c r="D10" s="24">
        <v>15062440.950059997</v>
      </c>
      <c r="E10" s="24">
        <v>2229362.09296</v>
      </c>
      <c r="F10" s="24">
        <v>17643934.238609996</v>
      </c>
      <c r="G10" s="24">
        <v>49550581.530939989</v>
      </c>
      <c r="H10" s="25">
        <f t="shared" si="1"/>
        <v>149954012.57209998</v>
      </c>
      <c r="I10" s="24">
        <v>6704763.858719999</v>
      </c>
      <c r="J10" s="24">
        <f t="shared" si="2"/>
        <v>156658776.43081999</v>
      </c>
      <c r="K10" s="24"/>
      <c r="L10" s="24"/>
      <c r="M10" s="26"/>
      <c r="N10" s="24">
        <f t="shared" ref="N10:N19" si="4">+J10+K10+L10+M10</f>
        <v>156658776.43081999</v>
      </c>
      <c r="O10" s="24">
        <v>32195845</v>
      </c>
      <c r="P10" s="24">
        <v>32769090</v>
      </c>
      <c r="Q10" s="24">
        <v>32332353</v>
      </c>
      <c r="R10" s="24">
        <v>40723531</v>
      </c>
      <c r="S10" s="24">
        <f t="shared" si="3"/>
        <v>138020819</v>
      </c>
      <c r="T10" s="24">
        <f t="shared" ref="T10:T18" si="5">+S10-N10</f>
        <v>-18637957.430819988</v>
      </c>
      <c r="U10" s="27">
        <f t="shared" ref="U10:U19" si="6">+S10/N10</f>
        <v>0.88102832247607621</v>
      </c>
    </row>
    <row r="11" spans="1:23" ht="14.25" x14ac:dyDescent="0.2">
      <c r="A11" s="23" t="s">
        <v>29</v>
      </c>
      <c r="B11" s="24">
        <v>70564292.701999992</v>
      </c>
      <c r="C11" s="24">
        <v>19497604.6754</v>
      </c>
      <c r="D11" s="24">
        <v>15230151.9914</v>
      </c>
      <c r="E11" s="24">
        <v>3937242.5944999997</v>
      </c>
      <c r="F11" s="24">
        <v>20284621.5836</v>
      </c>
      <c r="G11" s="24">
        <v>73152000.487699986</v>
      </c>
      <c r="H11" s="25">
        <f t="shared" si="1"/>
        <v>202665914.03459996</v>
      </c>
      <c r="I11" s="24">
        <v>11174606.431199998</v>
      </c>
      <c r="J11" s="24">
        <f t="shared" si="2"/>
        <v>213840520.46579996</v>
      </c>
      <c r="K11" s="24"/>
      <c r="L11" s="24"/>
      <c r="M11" s="26"/>
      <c r="N11" s="24">
        <f t="shared" si="4"/>
        <v>213840520.46579996</v>
      </c>
      <c r="O11" s="24">
        <v>50507509</v>
      </c>
      <c r="P11" s="24">
        <v>53181862</v>
      </c>
      <c r="Q11" s="24">
        <v>51728041.898625001</v>
      </c>
      <c r="R11" s="24">
        <v>52213316</v>
      </c>
      <c r="S11" s="24">
        <f t="shared" si="3"/>
        <v>207630728.89862502</v>
      </c>
      <c r="T11" s="24">
        <f t="shared" si="5"/>
        <v>-6209791.5671749413</v>
      </c>
      <c r="U11" s="27">
        <f t="shared" si="6"/>
        <v>0.9709606413524976</v>
      </c>
    </row>
    <row r="12" spans="1:23" ht="14.25" x14ac:dyDescent="0.2">
      <c r="A12" s="23" t="s">
        <v>30</v>
      </c>
      <c r="B12" s="29">
        <v>63699188.074899994</v>
      </c>
      <c r="C12" s="29">
        <v>0</v>
      </c>
      <c r="D12" s="29">
        <v>0</v>
      </c>
      <c r="E12" s="24">
        <v>0</v>
      </c>
      <c r="F12" s="25">
        <v>0</v>
      </c>
      <c r="G12" s="25"/>
      <c r="H12" s="25">
        <f t="shared" si="1"/>
        <v>63699188.074899994</v>
      </c>
      <c r="I12" s="24">
        <v>147754797.19999999</v>
      </c>
      <c r="J12" s="24">
        <f>+H12+I12</f>
        <v>211453985.27489999</v>
      </c>
      <c r="K12" s="24"/>
      <c r="L12" s="24"/>
      <c r="M12" s="26"/>
      <c r="N12" s="24">
        <f t="shared" si="4"/>
        <v>211453985.27489999</v>
      </c>
      <c r="O12" s="24">
        <v>50842608</v>
      </c>
      <c r="P12" s="24">
        <v>53622926</v>
      </c>
      <c r="Q12" s="24">
        <v>52778376</v>
      </c>
      <c r="R12" s="24">
        <v>51752064</v>
      </c>
      <c r="S12" s="24">
        <f t="shared" si="3"/>
        <v>208995974</v>
      </c>
      <c r="T12" s="24">
        <f t="shared" si="5"/>
        <v>-2458011.2748999894</v>
      </c>
      <c r="U12" s="27">
        <f t="shared" si="6"/>
        <v>0.98837566824903078</v>
      </c>
    </row>
    <row r="13" spans="1:23" ht="14.25" x14ac:dyDescent="0.2">
      <c r="A13" s="23" t="s">
        <v>31</v>
      </c>
      <c r="B13" s="24">
        <v>2820659.9651999995</v>
      </c>
      <c r="C13" s="24">
        <v>705164.99129999988</v>
      </c>
      <c r="D13" s="24">
        <v>705164.99129999988</v>
      </c>
      <c r="E13" s="24">
        <v>705164.99129999988</v>
      </c>
      <c r="F13" s="24">
        <v>705164.99129999988</v>
      </c>
      <c r="G13" s="24">
        <v>2820659.9651999995</v>
      </c>
      <c r="H13" s="25">
        <f t="shared" si="1"/>
        <v>8461979.8955999985</v>
      </c>
      <c r="I13" s="24"/>
      <c r="J13" s="24">
        <f t="shared" si="2"/>
        <v>8461979.8955999985</v>
      </c>
      <c r="K13" s="24"/>
      <c r="L13" s="24"/>
      <c r="M13" s="26"/>
      <c r="N13" s="24">
        <f t="shared" si="4"/>
        <v>8461979.8955999985</v>
      </c>
      <c r="O13" s="24">
        <v>0</v>
      </c>
      <c r="P13" s="24">
        <v>2820660</v>
      </c>
      <c r="Q13" s="24">
        <v>2820659.9390999996</v>
      </c>
      <c r="R13" s="24">
        <v>2820660</v>
      </c>
      <c r="S13" s="24">
        <f t="shared" si="3"/>
        <v>8461979.9390999991</v>
      </c>
      <c r="T13" s="24">
        <f t="shared" si="5"/>
        <v>4.3500000610947609E-2</v>
      </c>
      <c r="U13" s="27">
        <f t="shared" si="6"/>
        <v>1.000000005140641</v>
      </c>
    </row>
    <row r="14" spans="1:23" ht="14.25" x14ac:dyDescent="0.2">
      <c r="A14" s="23" t="s">
        <v>32</v>
      </c>
      <c r="B14" s="24">
        <v>70564292.701999992</v>
      </c>
      <c r="C14" s="24">
        <v>19497604.6754</v>
      </c>
      <c r="D14" s="24">
        <v>15230151.9914</v>
      </c>
      <c r="E14" s="24">
        <v>3937242.5944999997</v>
      </c>
      <c r="F14" s="24">
        <v>20284621.5836</v>
      </c>
      <c r="G14" s="24">
        <v>73152000.487699986</v>
      </c>
      <c r="H14" s="25">
        <f t="shared" si="1"/>
        <v>202665914.03459996</v>
      </c>
      <c r="I14" s="24">
        <v>11174606.431199998</v>
      </c>
      <c r="J14" s="24">
        <f t="shared" si="2"/>
        <v>213840520.46579996</v>
      </c>
      <c r="K14" s="24"/>
      <c r="L14" s="24"/>
      <c r="M14" s="26"/>
      <c r="N14" s="24">
        <f t="shared" si="4"/>
        <v>213840520.46579996</v>
      </c>
      <c r="O14" s="24">
        <v>50507509</v>
      </c>
      <c r="P14" s="24">
        <v>53181862</v>
      </c>
      <c r="Q14" s="24">
        <v>51693411.898625001</v>
      </c>
      <c r="R14" s="24">
        <v>52325423</v>
      </c>
      <c r="S14" s="24">
        <f t="shared" si="3"/>
        <v>207708205.89862502</v>
      </c>
      <c r="T14" s="24">
        <f t="shared" si="5"/>
        <v>-6132314.5671749413</v>
      </c>
      <c r="U14" s="27">
        <f t="shared" si="6"/>
        <v>0.97132295341492259</v>
      </c>
      <c r="V14" s="30"/>
      <c r="W14" s="30"/>
    </row>
    <row r="15" spans="1:23" ht="14.25" x14ac:dyDescent="0.2">
      <c r="A15" s="23" t="s">
        <v>33</v>
      </c>
      <c r="B15" s="24">
        <v>8467715.1242399998</v>
      </c>
      <c r="C15" s="24">
        <v>2339712.5610479997</v>
      </c>
      <c r="D15" s="24">
        <v>1827618.2389679996</v>
      </c>
      <c r="E15" s="24">
        <v>472469.11133999994</v>
      </c>
      <c r="F15" s="24">
        <v>2434154.5900319992</v>
      </c>
      <c r="G15" s="24">
        <v>8778240.0585239977</v>
      </c>
      <c r="H15" s="25">
        <f t="shared" si="1"/>
        <v>24319909.684151996</v>
      </c>
      <c r="I15" s="24">
        <v>1340952.7717439998</v>
      </c>
      <c r="J15" s="24">
        <f t="shared" si="2"/>
        <v>25660862.455895998</v>
      </c>
      <c r="K15" s="24"/>
      <c r="L15" s="24"/>
      <c r="M15" s="26"/>
      <c r="N15" s="24">
        <f t="shared" si="4"/>
        <v>25660862.455895998</v>
      </c>
      <c r="O15" s="24">
        <v>5995008</v>
      </c>
      <c r="P15" s="24">
        <v>6313509</v>
      </c>
      <c r="Q15" s="24">
        <v>5776705.114767001</v>
      </c>
      <c r="R15" s="24">
        <v>5800230</v>
      </c>
      <c r="S15" s="24">
        <f t="shared" si="3"/>
        <v>23885452.114767</v>
      </c>
      <c r="T15" s="24">
        <f t="shared" si="5"/>
        <v>-1775410.3411289975</v>
      </c>
      <c r="U15" s="27">
        <f t="shared" si="6"/>
        <v>0.93081252260400671</v>
      </c>
      <c r="V15" s="30"/>
      <c r="W15" s="30"/>
    </row>
    <row r="16" spans="1:23" ht="14.25" x14ac:dyDescent="0.2">
      <c r="A16" s="23" t="s">
        <v>34</v>
      </c>
      <c r="B16" s="24">
        <v>198568629.00185677</v>
      </c>
      <c r="C16" s="24">
        <v>67958113.877858579</v>
      </c>
      <c r="D16" s="24">
        <v>57171088.600785881</v>
      </c>
      <c r="E16" s="24">
        <v>9727992.038240863</v>
      </c>
      <c r="F16" s="24">
        <v>69925497.846280903</v>
      </c>
      <c r="G16" s="24">
        <v>206959962.82383406</v>
      </c>
      <c r="H16" s="25">
        <f t="shared" si="1"/>
        <v>610311284.18885708</v>
      </c>
      <c r="I16" s="24">
        <v>33164579.698867165</v>
      </c>
      <c r="J16" s="24">
        <f t="shared" si="2"/>
        <v>643475863.88772428</v>
      </c>
      <c r="K16" s="24"/>
      <c r="L16" s="24"/>
      <c r="M16" s="26"/>
      <c r="N16" s="24">
        <f t="shared" si="4"/>
        <v>643475863.88772428</v>
      </c>
      <c r="O16" s="24">
        <v>152277158</v>
      </c>
      <c r="P16" s="24">
        <v>157376382</v>
      </c>
      <c r="Q16" s="24">
        <v>154681009.9657529</v>
      </c>
      <c r="R16" s="24">
        <v>156458442</v>
      </c>
      <c r="S16" s="24">
        <f t="shared" si="3"/>
        <v>620792991.96575284</v>
      </c>
      <c r="T16" s="24">
        <f t="shared" si="5"/>
        <v>-22682871.92197144</v>
      </c>
      <c r="U16" s="27">
        <f t="shared" si="6"/>
        <v>0.96474945962242153</v>
      </c>
    </row>
    <row r="17" spans="1:21" ht="14.25" x14ac:dyDescent="0.2">
      <c r="A17" s="23" t="s">
        <v>35</v>
      </c>
      <c r="B17" s="24">
        <v>39523499.22712703</v>
      </c>
      <c r="C17" s="24">
        <v>13572444.988103038</v>
      </c>
      <c r="D17" s="24">
        <v>11424613.31497344</v>
      </c>
      <c r="E17" s="24">
        <v>1930972.2199871999</v>
      </c>
      <c r="F17" s="24">
        <v>13868121.436813436</v>
      </c>
      <c r="G17" s="24">
        <v>40863140.475671031</v>
      </c>
      <c r="H17" s="25">
        <f t="shared" si="1"/>
        <v>121182791.66267517</v>
      </c>
      <c r="I17" s="24">
        <v>5721398.4927743999</v>
      </c>
      <c r="J17" s="24">
        <f t="shared" si="2"/>
        <v>126904190.15544957</v>
      </c>
      <c r="K17" s="24"/>
      <c r="L17" s="24"/>
      <c r="M17" s="26"/>
      <c r="N17" s="24">
        <f t="shared" si="4"/>
        <v>126904190.15544957</v>
      </c>
      <c r="O17" s="24">
        <v>28561900</v>
      </c>
      <c r="P17" s="24">
        <v>29818600</v>
      </c>
      <c r="Q17" s="24">
        <v>28898900.044096</v>
      </c>
      <c r="R17" s="24">
        <v>30662100</v>
      </c>
      <c r="S17" s="24">
        <f t="shared" si="3"/>
        <v>117941500.04409599</v>
      </c>
      <c r="T17" s="24">
        <f t="shared" si="5"/>
        <v>-8962690.1113535762</v>
      </c>
      <c r="U17" s="27">
        <f t="shared" si="6"/>
        <v>0.92937435635202548</v>
      </c>
    </row>
    <row r="18" spans="1:21" ht="14.25" x14ac:dyDescent="0.2">
      <c r="A18" s="23" t="s">
        <v>36</v>
      </c>
      <c r="B18" s="24">
        <v>49404374.033908792</v>
      </c>
      <c r="C18" s="24">
        <v>16965556.235128798</v>
      </c>
      <c r="D18" s="24">
        <v>14280766.643716799</v>
      </c>
      <c r="E18" s="24">
        <v>2413715.2749839998</v>
      </c>
      <c r="F18" s="24">
        <v>17335151.796016797</v>
      </c>
      <c r="G18" s="24">
        <v>51078925.594588786</v>
      </c>
      <c r="H18" s="25">
        <f t="shared" si="1"/>
        <v>151478489.57834399</v>
      </c>
      <c r="I18" s="24">
        <v>7151748.1159679992</v>
      </c>
      <c r="J18" s="24">
        <f t="shared" si="2"/>
        <v>158630237.69431198</v>
      </c>
      <c r="K18" s="24"/>
      <c r="L18" s="24"/>
      <c r="M18" s="26"/>
      <c r="N18" s="24">
        <f t="shared" si="4"/>
        <v>158630237.69431198</v>
      </c>
      <c r="O18" s="24">
        <v>35720100</v>
      </c>
      <c r="P18" s="24">
        <v>37286600</v>
      </c>
      <c r="Q18" s="24">
        <v>36140200</v>
      </c>
      <c r="R18" s="24">
        <v>38345200</v>
      </c>
      <c r="S18" s="24">
        <f t="shared" si="3"/>
        <v>147492100</v>
      </c>
      <c r="T18" s="24">
        <f t="shared" si="5"/>
        <v>-11138137.694311976</v>
      </c>
      <c r="U18" s="27">
        <f t="shared" si="6"/>
        <v>0.92978553234109318</v>
      </c>
    </row>
    <row r="19" spans="1:21" ht="15" x14ac:dyDescent="0.25">
      <c r="A19" s="31" t="s">
        <v>37</v>
      </c>
      <c r="B19" s="32">
        <f t="shared" ref="B19:G19" si="7">SUM(B9:B18)</f>
        <v>1516643658.2551854</v>
      </c>
      <c r="C19" s="32">
        <f t="shared" si="7"/>
        <v>516873750.84804171</v>
      </c>
      <c r="D19" s="32">
        <f t="shared" si="7"/>
        <v>438967544.38385743</v>
      </c>
      <c r="E19" s="32">
        <f t="shared" si="7"/>
        <v>72253417.657532051</v>
      </c>
      <c r="F19" s="32">
        <f t="shared" si="7"/>
        <v>531098106.17730635</v>
      </c>
      <c r="G19" s="32">
        <f t="shared" si="7"/>
        <v>1502083619.2640374</v>
      </c>
      <c r="H19" s="32">
        <f t="shared" si="1"/>
        <v>4577920096.5859604</v>
      </c>
      <c r="I19" s="32">
        <f>SUM(I9:I18)</f>
        <v>394396578.83511353</v>
      </c>
      <c r="J19" s="32">
        <f>SUM(J9:J18)</f>
        <v>4972316675.4210749</v>
      </c>
      <c r="K19" s="32">
        <f>SUM(K9:K18)</f>
        <v>0</v>
      </c>
      <c r="L19" s="32">
        <f>SUM(L9:L18)</f>
        <v>0</v>
      </c>
      <c r="M19" s="33">
        <f>SUM(M9:M18)</f>
        <v>0</v>
      </c>
      <c r="N19" s="32">
        <f t="shared" si="4"/>
        <v>4972316675.4210749</v>
      </c>
      <c r="O19" s="32">
        <f>SUM(O9:O18)</f>
        <v>1151769744</v>
      </c>
      <c r="P19" s="32">
        <f>SUM(P9:P18)</f>
        <v>1206777836</v>
      </c>
      <c r="Q19" s="32">
        <f>SUM(Q9:Q18)</f>
        <v>1190943078.6444659</v>
      </c>
      <c r="R19" s="32">
        <f>SUM(R9:R18)</f>
        <v>1205378625</v>
      </c>
      <c r="S19" s="32">
        <f t="shared" si="3"/>
        <v>4754869283.6444664</v>
      </c>
      <c r="T19" s="32">
        <f>+S19-N19</f>
        <v>-217447391.77660847</v>
      </c>
      <c r="U19" s="22">
        <f t="shared" si="6"/>
        <v>0.95626839439823208</v>
      </c>
    </row>
    <row r="20" spans="1:21" ht="15" x14ac:dyDescent="0.25">
      <c r="A20" s="15" t="s">
        <v>38</v>
      </c>
      <c r="B20" s="24"/>
      <c r="C20" s="24"/>
      <c r="D20" s="24"/>
      <c r="E20" s="24"/>
      <c r="F20" s="24"/>
      <c r="G20" s="24"/>
      <c r="H20" s="24"/>
      <c r="I20" s="32"/>
      <c r="J20" s="24"/>
      <c r="K20" s="24"/>
      <c r="L20" s="24"/>
      <c r="M20" s="26"/>
      <c r="N20" s="24"/>
      <c r="O20" s="24"/>
      <c r="P20" s="24"/>
      <c r="Q20" s="24"/>
      <c r="R20" s="24"/>
      <c r="S20" s="24"/>
      <c r="T20" s="24"/>
      <c r="U20" s="22"/>
    </row>
    <row r="21" spans="1:21" ht="14.25" x14ac:dyDescent="0.2">
      <c r="A21" s="34" t="s">
        <v>39</v>
      </c>
      <c r="B21" s="35">
        <v>142336698</v>
      </c>
      <c r="C21" s="35">
        <v>0</v>
      </c>
      <c r="D21" s="35">
        <v>0</v>
      </c>
      <c r="E21" s="35">
        <v>0</v>
      </c>
      <c r="F21" s="35">
        <v>0</v>
      </c>
      <c r="G21" s="35">
        <v>35000000</v>
      </c>
      <c r="H21" s="35">
        <f t="shared" ref="H21:H35" si="8">+B21+C21+D21+G21+E21+F21</f>
        <v>177336698</v>
      </c>
      <c r="I21" s="24">
        <v>111851323.0422</v>
      </c>
      <c r="J21" s="24">
        <f>+I21+H21</f>
        <v>289188021.04219997</v>
      </c>
      <c r="K21" s="24"/>
      <c r="L21" s="24"/>
      <c r="M21" s="26"/>
      <c r="N21" s="24">
        <f t="shared" ref="N21:N37" si="9">+J21+K21+L21+M21</f>
        <v>289188021.04219997</v>
      </c>
      <c r="O21" s="24">
        <v>65280465</v>
      </c>
      <c r="P21" s="24">
        <v>93066118</v>
      </c>
      <c r="Q21" s="24">
        <v>53272752</v>
      </c>
      <c r="R21" s="24">
        <v>69996463</v>
      </c>
      <c r="S21" s="24">
        <f t="shared" si="3"/>
        <v>281615798</v>
      </c>
      <c r="T21" s="24">
        <f t="shared" ref="T21:T37" si="10">+S21-N21</f>
        <v>-7572223.0421999693</v>
      </c>
      <c r="U21" s="27">
        <f t="shared" ref="U21:U37" si="11">+S21/N21</f>
        <v>0.9738155715616762</v>
      </c>
    </row>
    <row r="22" spans="1:21" ht="14.25" x14ac:dyDescent="0.2">
      <c r="A22" s="34" t="s">
        <v>40</v>
      </c>
      <c r="B22" s="24">
        <v>32022395</v>
      </c>
      <c r="C22" s="35">
        <v>4721095.6310000001</v>
      </c>
      <c r="D22" s="35">
        <v>0</v>
      </c>
      <c r="E22" s="24">
        <v>0</v>
      </c>
      <c r="F22" s="35">
        <v>0</v>
      </c>
      <c r="G22" s="24">
        <v>15613500</v>
      </c>
      <c r="H22" s="35">
        <f t="shared" si="8"/>
        <v>52356990.630999997</v>
      </c>
      <c r="I22" s="24">
        <v>13312926.7607</v>
      </c>
      <c r="J22" s="24">
        <f t="shared" ref="J22:J35" si="12">+H22+I22</f>
        <v>65669917.3917</v>
      </c>
      <c r="K22" s="24"/>
      <c r="L22" s="24"/>
      <c r="M22" s="26"/>
      <c r="N22" s="24">
        <f t="shared" si="9"/>
        <v>65669917.3917</v>
      </c>
      <c r="O22" s="24">
        <v>6782900</v>
      </c>
      <c r="P22" s="24">
        <v>3819473</v>
      </c>
      <c r="Q22" s="24">
        <v>8335005</v>
      </c>
      <c r="R22" s="24">
        <v>21586521</v>
      </c>
      <c r="S22" s="24">
        <f t="shared" si="3"/>
        <v>40523899</v>
      </c>
      <c r="T22" s="24">
        <f t="shared" si="10"/>
        <v>-25146018.3917</v>
      </c>
      <c r="U22" s="27">
        <f t="shared" si="11"/>
        <v>0.61708466539234297</v>
      </c>
    </row>
    <row r="23" spans="1:21" ht="14.25" x14ac:dyDescent="0.2">
      <c r="A23" s="34" t="s">
        <v>41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13739880</v>
      </c>
      <c r="H23" s="35">
        <f t="shared" si="8"/>
        <v>13739880</v>
      </c>
      <c r="I23" s="24">
        <v>22480735.741799999</v>
      </c>
      <c r="J23" s="24">
        <f t="shared" si="12"/>
        <v>36220615.741799995</v>
      </c>
      <c r="K23" s="24"/>
      <c r="L23" s="24"/>
      <c r="M23" s="26"/>
      <c r="N23" s="24">
        <f t="shared" si="9"/>
        <v>36220615.741799995</v>
      </c>
      <c r="O23" s="24">
        <v>5899443</v>
      </c>
      <c r="P23" s="24">
        <v>7118179</v>
      </c>
      <c r="Q23" s="24">
        <v>8662520</v>
      </c>
      <c r="R23" s="24">
        <v>4846596</v>
      </c>
      <c r="S23" s="24">
        <f t="shared" si="3"/>
        <v>26526738</v>
      </c>
      <c r="T23" s="24">
        <f t="shared" si="10"/>
        <v>-9693877.7417999953</v>
      </c>
      <c r="U23" s="27">
        <f t="shared" si="11"/>
        <v>0.73236573859198961</v>
      </c>
    </row>
    <row r="24" spans="1:21" ht="14.25" x14ac:dyDescent="0.2">
      <c r="A24" s="34" t="s">
        <v>42</v>
      </c>
      <c r="B24" s="24">
        <v>19000000</v>
      </c>
      <c r="C24" s="35">
        <v>12478976.4169</v>
      </c>
      <c r="D24" s="35">
        <v>7455929.2275999999</v>
      </c>
      <c r="E24" s="35">
        <v>3920000</v>
      </c>
      <c r="F24" s="35">
        <v>11751107.3148</v>
      </c>
      <c r="G24" s="35">
        <v>252000000</v>
      </c>
      <c r="H24" s="35">
        <f t="shared" si="8"/>
        <v>306606012.95930004</v>
      </c>
      <c r="I24" s="24">
        <v>33957357.271599993</v>
      </c>
      <c r="J24" s="24">
        <f t="shared" si="12"/>
        <v>340563370.23090005</v>
      </c>
      <c r="K24" s="24"/>
      <c r="L24" s="24"/>
      <c r="M24" s="26"/>
      <c r="N24" s="24">
        <f>+J24+K24+L24+M24-7706795</f>
        <v>332856575.23090005</v>
      </c>
      <c r="O24" s="24">
        <v>55559017</v>
      </c>
      <c r="P24" s="24">
        <v>76222977</v>
      </c>
      <c r="Q24" s="24">
        <v>71300393</v>
      </c>
      <c r="R24" s="24">
        <v>115343552</v>
      </c>
      <c r="S24" s="24">
        <f t="shared" si="3"/>
        <v>318425939</v>
      </c>
      <c r="T24" s="24">
        <f t="shared" si="10"/>
        <v>-14430636.230900049</v>
      </c>
      <c r="U24" s="27">
        <f t="shared" si="11"/>
        <v>0.95664608331414325</v>
      </c>
    </row>
    <row r="25" spans="1:21" ht="14.25" x14ac:dyDescent="0.2">
      <c r="A25" s="34" t="s">
        <v>43</v>
      </c>
      <c r="B25" s="35">
        <v>2000000</v>
      </c>
      <c r="C25" s="35">
        <v>2709297</v>
      </c>
      <c r="D25" s="35">
        <v>2201503.5</v>
      </c>
      <c r="E25" s="35">
        <v>0</v>
      </c>
      <c r="F25" s="35">
        <v>2394070</v>
      </c>
      <c r="G25" s="35">
        <v>3124000</v>
      </c>
      <c r="H25" s="35">
        <f t="shared" si="8"/>
        <v>12428870.5</v>
      </c>
      <c r="I25" s="24">
        <v>5331442.9594999999</v>
      </c>
      <c r="J25" s="24">
        <f t="shared" si="12"/>
        <v>17760313.4595</v>
      </c>
      <c r="K25" s="24"/>
      <c r="L25" s="24"/>
      <c r="M25" s="26"/>
      <c r="N25" s="24">
        <f t="shared" si="9"/>
        <v>17760313.4595</v>
      </c>
      <c r="O25" s="24">
        <v>2454400</v>
      </c>
      <c r="P25" s="24">
        <v>2785800</v>
      </c>
      <c r="Q25" s="24">
        <v>2345600</v>
      </c>
      <c r="R25" s="24">
        <v>2083800</v>
      </c>
      <c r="S25" s="24">
        <f t="shared" si="3"/>
        <v>9669600</v>
      </c>
      <c r="T25" s="24">
        <f t="shared" si="10"/>
        <v>-8090713.4594999999</v>
      </c>
      <c r="U25" s="27">
        <f t="shared" si="11"/>
        <v>0.54444985005755775</v>
      </c>
    </row>
    <row r="26" spans="1:21" ht="14.25" x14ac:dyDescent="0.2">
      <c r="A26" s="23" t="s">
        <v>44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/>
      <c r="H26" s="35">
        <f t="shared" si="8"/>
        <v>0</v>
      </c>
      <c r="I26" s="24">
        <v>26022500</v>
      </c>
      <c r="J26" s="24">
        <f t="shared" si="12"/>
        <v>26022500</v>
      </c>
      <c r="K26" s="24"/>
      <c r="L26" s="24"/>
      <c r="M26" s="26"/>
      <c r="N26" s="24">
        <f t="shared" si="9"/>
        <v>26022500</v>
      </c>
      <c r="O26" s="24">
        <v>12130291</v>
      </c>
      <c r="P26" s="24">
        <v>3127395</v>
      </c>
      <c r="Q26" s="24">
        <v>7617904</v>
      </c>
      <c r="R26" s="24">
        <v>3145170</v>
      </c>
      <c r="S26" s="24">
        <f t="shared" si="3"/>
        <v>26020760</v>
      </c>
      <c r="T26" s="24">
        <f t="shared" si="10"/>
        <v>-1740</v>
      </c>
      <c r="U26" s="27">
        <f t="shared" si="11"/>
        <v>0.99993313478720336</v>
      </c>
    </row>
    <row r="27" spans="1:21" ht="14.25" x14ac:dyDescent="0.2">
      <c r="A27" s="34" t="s">
        <v>45</v>
      </c>
      <c r="B27" s="35">
        <v>10049724</v>
      </c>
      <c r="C27" s="35">
        <v>10049724</v>
      </c>
      <c r="D27" s="35">
        <v>10049724</v>
      </c>
      <c r="E27" s="35">
        <v>10049724</v>
      </c>
      <c r="F27" s="35">
        <v>10049724</v>
      </c>
      <c r="G27" s="35">
        <v>10049724</v>
      </c>
      <c r="H27" s="35">
        <f t="shared" si="8"/>
        <v>60298344</v>
      </c>
      <c r="I27" s="24">
        <v>25301947.387099996</v>
      </c>
      <c r="J27" s="24">
        <f t="shared" si="12"/>
        <v>85600291.387099996</v>
      </c>
      <c r="K27" s="24"/>
      <c r="L27" s="24"/>
      <c r="M27" s="26"/>
      <c r="N27" s="24">
        <f t="shared" si="9"/>
        <v>85600291.387099996</v>
      </c>
      <c r="O27" s="24">
        <v>14929536</v>
      </c>
      <c r="P27" s="24">
        <v>17586999</v>
      </c>
      <c r="Q27" s="24">
        <v>17896399</v>
      </c>
      <c r="R27" s="24">
        <v>18672923</v>
      </c>
      <c r="S27" s="24">
        <f t="shared" si="3"/>
        <v>69085857</v>
      </c>
      <c r="T27" s="24">
        <f t="shared" si="10"/>
        <v>-16514434.387099996</v>
      </c>
      <c r="U27" s="27">
        <f t="shared" si="11"/>
        <v>0.80707502136390241</v>
      </c>
    </row>
    <row r="28" spans="1:21" ht="14.25" x14ac:dyDescent="0.2">
      <c r="A28" s="34" t="s">
        <v>46</v>
      </c>
      <c r="B28" s="35">
        <v>5780340.2999999998</v>
      </c>
      <c r="C28" s="35">
        <v>590137.21409999998</v>
      </c>
      <c r="D28" s="35">
        <v>5503758.75</v>
      </c>
      <c r="E28" s="35">
        <v>0</v>
      </c>
      <c r="F28" s="35">
        <v>0</v>
      </c>
      <c r="G28" s="35">
        <v>41636000</v>
      </c>
      <c r="H28" s="35">
        <f t="shared" si="8"/>
        <v>53510236.2641</v>
      </c>
      <c r="I28" s="24">
        <v>10039963.477600001</v>
      </c>
      <c r="J28" s="24">
        <f t="shared" si="12"/>
        <v>63550199.741700001</v>
      </c>
      <c r="K28" s="24"/>
      <c r="L28" s="24"/>
      <c r="M28" s="26"/>
      <c r="N28" s="24">
        <f t="shared" si="9"/>
        <v>63550199.741700001</v>
      </c>
      <c r="O28" s="24">
        <v>4766136</v>
      </c>
      <c r="P28" s="24">
        <v>14316007</v>
      </c>
      <c r="Q28" s="24">
        <v>12382454</v>
      </c>
      <c r="R28" s="24">
        <v>20567624</v>
      </c>
      <c r="S28" s="24">
        <f t="shared" si="3"/>
        <v>52032221</v>
      </c>
      <c r="T28" s="24">
        <f t="shared" si="10"/>
        <v>-11517978.741700001</v>
      </c>
      <c r="U28" s="27">
        <f t="shared" si="11"/>
        <v>0.81875778851184</v>
      </c>
    </row>
    <row r="29" spans="1:21" ht="14.25" x14ac:dyDescent="0.2">
      <c r="A29" s="34" t="s">
        <v>47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72863000</v>
      </c>
      <c r="H29" s="35">
        <f t="shared" si="8"/>
        <v>72863000</v>
      </c>
      <c r="I29" s="24">
        <v>124234349.29709999</v>
      </c>
      <c r="J29" s="24">
        <f t="shared" si="12"/>
        <v>197097349.29710001</v>
      </c>
      <c r="K29" s="24"/>
      <c r="L29" s="24"/>
      <c r="M29" s="26"/>
      <c r="N29" s="24">
        <f t="shared" si="9"/>
        <v>197097349.29710001</v>
      </c>
      <c r="O29" s="24">
        <v>29065166</v>
      </c>
      <c r="P29" s="24">
        <v>36646532</v>
      </c>
      <c r="Q29" s="24">
        <v>44461077</v>
      </c>
      <c r="R29" s="24">
        <v>40719754</v>
      </c>
      <c r="S29" s="24">
        <f t="shared" si="3"/>
        <v>150892529</v>
      </c>
      <c r="T29" s="24">
        <f t="shared" si="10"/>
        <v>-46204820.297100008</v>
      </c>
      <c r="U29" s="27">
        <f t="shared" si="11"/>
        <v>0.76557360886953418</v>
      </c>
    </row>
    <row r="30" spans="1:21" ht="14.25" x14ac:dyDescent="0.2">
      <c r="A30" s="34" t="s">
        <v>48</v>
      </c>
      <c r="B30" s="24">
        <v>15613499.999999998</v>
      </c>
      <c r="C30" s="24">
        <v>18421745</v>
      </c>
      <c r="D30" s="24">
        <v>9071282.1604999993</v>
      </c>
      <c r="E30" s="24">
        <v>0</v>
      </c>
      <c r="F30" s="35">
        <v>24852197.791658003</v>
      </c>
      <c r="G30" s="24">
        <v>344596739.99519998</v>
      </c>
      <c r="H30" s="35">
        <f t="shared" si="8"/>
        <v>412555464.94735795</v>
      </c>
      <c r="I30" s="24">
        <v>26692500</v>
      </c>
      <c r="J30" s="24">
        <f t="shared" si="12"/>
        <v>439247964.94735795</v>
      </c>
      <c r="K30" s="24"/>
      <c r="L30" s="24"/>
      <c r="M30" s="26"/>
      <c r="N30" s="24">
        <f>+J30+K30+L30+M30-3000000</f>
        <v>436247964.94735795</v>
      </c>
      <c r="O30" s="24">
        <v>77445100</v>
      </c>
      <c r="P30" s="24">
        <v>92989366</v>
      </c>
      <c r="Q30" s="24">
        <v>92454723</v>
      </c>
      <c r="R30" s="24">
        <v>104402145</v>
      </c>
      <c r="S30" s="24">
        <f t="shared" si="3"/>
        <v>367291334</v>
      </c>
      <c r="T30" s="24">
        <f t="shared" si="10"/>
        <v>-68956630.947357953</v>
      </c>
      <c r="U30" s="27">
        <f t="shared" si="11"/>
        <v>0.84193248682391231</v>
      </c>
    </row>
    <row r="31" spans="1:21" ht="14.25" x14ac:dyDescent="0.2">
      <c r="A31" s="34" t="s">
        <v>49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/>
      <c r="H31" s="35">
        <f t="shared" si="8"/>
        <v>0</v>
      </c>
      <c r="I31" s="24">
        <v>11197316.2469</v>
      </c>
      <c r="J31" s="24">
        <f t="shared" si="12"/>
        <v>11197316.2469</v>
      </c>
      <c r="K31" s="24"/>
      <c r="L31" s="24"/>
      <c r="M31" s="26"/>
      <c r="N31" s="24">
        <f t="shared" si="9"/>
        <v>11197316.2469</v>
      </c>
      <c r="O31" s="24">
        <v>3756840</v>
      </c>
      <c r="P31" s="24">
        <v>2786100</v>
      </c>
      <c r="Q31" s="24">
        <v>0</v>
      </c>
      <c r="R31" s="24">
        <v>3962337</v>
      </c>
      <c r="S31" s="24">
        <f t="shared" si="3"/>
        <v>10505277</v>
      </c>
      <c r="T31" s="24">
        <f t="shared" si="10"/>
        <v>-692039.24689999968</v>
      </c>
      <c r="U31" s="27">
        <f t="shared" si="11"/>
        <v>0.93819597199537952</v>
      </c>
    </row>
    <row r="32" spans="1:21" ht="14.25" x14ac:dyDescent="0.2">
      <c r="A32" s="34" t="s">
        <v>50</v>
      </c>
      <c r="B32" s="24">
        <v>14544540</v>
      </c>
      <c r="C32" s="24">
        <v>4471736.5861</v>
      </c>
      <c r="D32" s="24">
        <v>1908341.3012999999</v>
      </c>
      <c r="E32" s="24">
        <v>0</v>
      </c>
      <c r="F32" s="24">
        <v>11450027.913787154</v>
      </c>
      <c r="G32" s="24">
        <v>31565649.655999996</v>
      </c>
      <c r="H32" s="35">
        <f t="shared" si="8"/>
        <v>63940295.457187153</v>
      </c>
      <c r="I32" s="24">
        <v>31888342.060399998</v>
      </c>
      <c r="J32" s="24">
        <f t="shared" si="12"/>
        <v>95828637.517587155</v>
      </c>
      <c r="K32" s="24"/>
      <c r="L32" s="24"/>
      <c r="M32" s="26"/>
      <c r="N32" s="24">
        <f t="shared" si="9"/>
        <v>95828637.517587155</v>
      </c>
      <c r="O32" s="24">
        <v>17147746</v>
      </c>
      <c r="P32" s="24">
        <v>23197050</v>
      </c>
      <c r="Q32" s="24">
        <v>23652359</v>
      </c>
      <c r="R32" s="24">
        <v>30347912</v>
      </c>
      <c r="S32" s="24">
        <f t="shared" si="3"/>
        <v>94345067</v>
      </c>
      <c r="T32" s="24">
        <f t="shared" si="10"/>
        <v>-1483570.5175871551</v>
      </c>
      <c r="U32" s="27">
        <f t="shared" si="11"/>
        <v>0.98451850557392218</v>
      </c>
    </row>
    <row r="33" spans="1:21" ht="14.25" x14ac:dyDescent="0.2">
      <c r="A33" s="34" t="s">
        <v>51</v>
      </c>
      <c r="B33" s="35">
        <v>17562704</v>
      </c>
      <c r="C33" s="35">
        <v>0</v>
      </c>
      <c r="D33" s="35">
        <v>0</v>
      </c>
      <c r="E33" s="35">
        <v>0</v>
      </c>
      <c r="F33" s="35">
        <v>0</v>
      </c>
      <c r="G33" s="35">
        <v>9724934</v>
      </c>
      <c r="H33" s="35">
        <f t="shared" si="8"/>
        <v>27287638</v>
      </c>
      <c r="I33" s="24">
        <v>20000000</v>
      </c>
      <c r="J33" s="24">
        <f>+H33+I33</f>
        <v>47287638</v>
      </c>
      <c r="K33" s="24"/>
      <c r="L33" s="24"/>
      <c r="M33" s="26"/>
      <c r="N33" s="24">
        <f t="shared" si="9"/>
        <v>47287638</v>
      </c>
      <c r="O33" s="24">
        <v>3051882</v>
      </c>
      <c r="P33" s="24">
        <v>3161516</v>
      </c>
      <c r="Q33" s="24">
        <v>3265794</v>
      </c>
      <c r="R33" s="24">
        <v>22539011</v>
      </c>
      <c r="S33" s="24">
        <f t="shared" si="3"/>
        <v>32018203</v>
      </c>
      <c r="T33" s="24">
        <f t="shared" si="10"/>
        <v>-15269435</v>
      </c>
      <c r="U33" s="27">
        <f t="shared" si="11"/>
        <v>0.67709457173564047</v>
      </c>
    </row>
    <row r="34" spans="1:21" ht="14.25" x14ac:dyDescent="0.2">
      <c r="A34" s="34" t="s">
        <v>52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f t="shared" si="8"/>
        <v>0</v>
      </c>
      <c r="I34" s="24">
        <v>58492184.096299998</v>
      </c>
      <c r="J34" s="24">
        <f t="shared" si="12"/>
        <v>58492184.096299998</v>
      </c>
      <c r="K34" s="24"/>
      <c r="L34" s="24"/>
      <c r="M34" s="26"/>
      <c r="N34" s="24">
        <f>+J34+K34+L34+M34+10706795</f>
        <v>69198979.096300006</v>
      </c>
      <c r="O34" s="24">
        <v>0</v>
      </c>
      <c r="P34" s="24">
        <v>0</v>
      </c>
      <c r="Q34" s="24">
        <v>0</v>
      </c>
      <c r="R34" s="24">
        <v>69198979</v>
      </c>
      <c r="S34" s="24">
        <f t="shared" si="3"/>
        <v>69198979</v>
      </c>
      <c r="T34" s="24">
        <f t="shared" si="10"/>
        <v>-9.6300005912780762E-2</v>
      </c>
      <c r="U34" s="27">
        <f t="shared" si="11"/>
        <v>0.99999999860836086</v>
      </c>
    </row>
    <row r="35" spans="1:21" ht="14.25" x14ac:dyDescent="0.2">
      <c r="A35" s="34" t="s">
        <v>53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f t="shared" si="8"/>
        <v>0</v>
      </c>
      <c r="I35" s="24">
        <v>24665777.408299997</v>
      </c>
      <c r="J35" s="24">
        <f t="shared" si="12"/>
        <v>24665777.408299997</v>
      </c>
      <c r="K35" s="24"/>
      <c r="L35" s="24"/>
      <c r="M35" s="26"/>
      <c r="N35" s="24">
        <f t="shared" si="9"/>
        <v>24665777.408299997</v>
      </c>
      <c r="O35" s="24">
        <v>1597860</v>
      </c>
      <c r="P35" s="24">
        <v>1804940</v>
      </c>
      <c r="Q35" s="24">
        <v>2886449.9999999995</v>
      </c>
      <c r="R35" s="24">
        <v>3974681</v>
      </c>
      <c r="S35" s="24">
        <f t="shared" si="3"/>
        <v>10263931</v>
      </c>
      <c r="T35" s="24">
        <f t="shared" si="10"/>
        <v>-14401846.408299997</v>
      </c>
      <c r="U35" s="27">
        <f t="shared" si="11"/>
        <v>0.41612031237037767</v>
      </c>
    </row>
    <row r="36" spans="1:21" ht="15" x14ac:dyDescent="0.25">
      <c r="A36" s="31" t="s">
        <v>54</v>
      </c>
      <c r="B36" s="32">
        <f t="shared" ref="B36:J36" si="13">SUM(B21:B35)</f>
        <v>258909901.30000001</v>
      </c>
      <c r="C36" s="32">
        <f t="shared" si="13"/>
        <v>53442711.848099992</v>
      </c>
      <c r="D36" s="32">
        <f t="shared" si="13"/>
        <v>36190538.939399995</v>
      </c>
      <c r="E36" s="32">
        <f t="shared" si="13"/>
        <v>13969724</v>
      </c>
      <c r="F36" s="32">
        <f t="shared" si="13"/>
        <v>60497127.020245165</v>
      </c>
      <c r="G36" s="32">
        <f t="shared" si="13"/>
        <v>829913427.65119994</v>
      </c>
      <c r="H36" s="36">
        <f t="shared" si="13"/>
        <v>1252923430.7589452</v>
      </c>
      <c r="I36" s="32">
        <f t="shared" si="13"/>
        <v>545468665.74950004</v>
      </c>
      <c r="J36" s="32">
        <f t="shared" si="13"/>
        <v>1798392096.508445</v>
      </c>
      <c r="K36" s="32">
        <f>SUM(K21:K35)</f>
        <v>0</v>
      </c>
      <c r="L36" s="32">
        <f>SUM(L21:L35)</f>
        <v>0</v>
      </c>
      <c r="M36" s="33">
        <f>SUM(M21:M35)</f>
        <v>0</v>
      </c>
      <c r="N36" s="32">
        <f t="shared" si="9"/>
        <v>1798392096.508445</v>
      </c>
      <c r="O36" s="32">
        <f>SUM(O21:O35)</f>
        <v>299866782</v>
      </c>
      <c r="P36" s="32">
        <f>SUM(P21:P35)</f>
        <v>378628452</v>
      </c>
      <c r="Q36" s="32">
        <f>SUM(Q21:Q35)</f>
        <v>348533430</v>
      </c>
      <c r="R36" s="32">
        <f>SUM(R21:R35)</f>
        <v>531387468</v>
      </c>
      <c r="S36" s="32">
        <f t="shared" si="3"/>
        <v>1558416132</v>
      </c>
      <c r="T36" s="32">
        <f t="shared" si="10"/>
        <v>-239975964.50844502</v>
      </c>
      <c r="U36" s="22">
        <f t="shared" si="11"/>
        <v>0.86656082120558953</v>
      </c>
    </row>
    <row r="37" spans="1:21" ht="15" x14ac:dyDescent="0.25">
      <c r="A37" s="31" t="s">
        <v>55</v>
      </c>
      <c r="B37" s="32">
        <f t="shared" ref="B37:G37" si="14">+B36+B19</f>
        <v>1775553559.5551853</v>
      </c>
      <c r="C37" s="32">
        <f t="shared" si="14"/>
        <v>570316462.69614172</v>
      </c>
      <c r="D37" s="32">
        <f t="shared" si="14"/>
        <v>475158083.32325745</v>
      </c>
      <c r="E37" s="32">
        <f t="shared" si="14"/>
        <v>86223141.657532051</v>
      </c>
      <c r="F37" s="32">
        <f t="shared" si="14"/>
        <v>591595233.19755149</v>
      </c>
      <c r="G37" s="32">
        <f t="shared" si="14"/>
        <v>2331997046.9152374</v>
      </c>
      <c r="H37" s="36">
        <f>+B37+C37+D37+G37+E37+F37</f>
        <v>5830843527.3449059</v>
      </c>
      <c r="I37" s="32">
        <f>+I36+I19</f>
        <v>939865244.58461356</v>
      </c>
      <c r="J37" s="32">
        <f>+J36+J19</f>
        <v>6770708771.9295197</v>
      </c>
      <c r="K37" s="32">
        <f>+K36+K19</f>
        <v>0</v>
      </c>
      <c r="L37" s="32">
        <f>+L36+L19</f>
        <v>0</v>
      </c>
      <c r="M37" s="33">
        <f>+M36+M19</f>
        <v>0</v>
      </c>
      <c r="N37" s="32">
        <f t="shared" si="9"/>
        <v>6770708771.9295197</v>
      </c>
      <c r="O37" s="32">
        <f>+O36+O19</f>
        <v>1451636526</v>
      </c>
      <c r="P37" s="32">
        <f>+P36+P19</f>
        <v>1585406288</v>
      </c>
      <c r="Q37" s="32">
        <f>+Q36+Q19</f>
        <v>1539476508.6444659</v>
      </c>
      <c r="R37" s="32">
        <f>+R36+R19</f>
        <v>1736766093</v>
      </c>
      <c r="S37" s="32">
        <f t="shared" si="3"/>
        <v>6313285415.6444664</v>
      </c>
      <c r="T37" s="32">
        <f t="shared" si="10"/>
        <v>-457423356.28505325</v>
      </c>
      <c r="U37" s="22">
        <f t="shared" si="11"/>
        <v>0.93244084604827915</v>
      </c>
    </row>
    <row r="38" spans="1:21" ht="15" x14ac:dyDescent="0.25">
      <c r="A38" s="31"/>
      <c r="B38" s="32"/>
      <c r="C38" s="32"/>
      <c r="D38" s="32"/>
      <c r="E38" s="32"/>
      <c r="F38" s="32"/>
      <c r="G38" s="32"/>
      <c r="H38" s="36"/>
      <c r="I38" s="32"/>
      <c r="J38" s="32"/>
      <c r="K38" s="32"/>
      <c r="L38" s="32"/>
      <c r="M38" s="33"/>
      <c r="N38" s="32"/>
      <c r="O38" s="32"/>
      <c r="P38" s="32"/>
      <c r="Q38" s="32"/>
      <c r="R38" s="32"/>
      <c r="S38" s="32"/>
      <c r="T38" s="32"/>
      <c r="U38" s="22"/>
    </row>
    <row r="39" spans="1:21" ht="15" x14ac:dyDescent="0.25">
      <c r="A39" s="37" t="s">
        <v>56</v>
      </c>
      <c r="B39" s="38">
        <f>+B41</f>
        <v>3144748609.2727909</v>
      </c>
      <c r="C39" s="38">
        <f>+C127</f>
        <v>1725311246.817461</v>
      </c>
      <c r="D39" s="38">
        <f>+D141</f>
        <v>1810561218.3908</v>
      </c>
      <c r="E39" s="38">
        <f>+E175</f>
        <v>1448966299.3499999</v>
      </c>
      <c r="F39" s="38">
        <f>+F72</f>
        <v>8473628019.1639109</v>
      </c>
      <c r="G39" s="38">
        <f>+G109</f>
        <v>12163601168.256559</v>
      </c>
      <c r="H39" s="38">
        <f>+B39+C39+D39+G39+E39+F39</f>
        <v>28766816561.251518</v>
      </c>
      <c r="I39" s="38">
        <v>0</v>
      </c>
      <c r="J39" s="38">
        <f>+I39+H39</f>
        <v>28766816561.251518</v>
      </c>
      <c r="K39" s="38">
        <f>+K41+K72+K109+K127+K141+K175</f>
        <v>245440845</v>
      </c>
      <c r="L39" s="38">
        <f>+L41+L72+L109+L127+L141+L175</f>
        <v>311312500</v>
      </c>
      <c r="M39" s="39">
        <f>+M41+M72+M109+M127+M141+M175</f>
        <v>116882377.10788</v>
      </c>
      <c r="N39" s="38">
        <f>+J39+K39+L39+M39</f>
        <v>29440452283.359398</v>
      </c>
      <c r="O39" s="38">
        <f>+O41+O72+O109+O127+O141+O175</f>
        <v>4342711466.96</v>
      </c>
      <c r="P39" s="38">
        <f>+P41+P72+P109+P127+P141+P175</f>
        <v>8651037714</v>
      </c>
      <c r="Q39" s="38">
        <f>+Q41+Q72+Q109+Q127+Q141+Q175</f>
        <v>7196659564.3000002</v>
      </c>
      <c r="R39" s="38">
        <f>+R41+R72+R109+R127+R141+R175</f>
        <v>8386124074</v>
      </c>
      <c r="S39" s="38">
        <f t="shared" si="3"/>
        <v>28576532819.259998</v>
      </c>
      <c r="T39" s="38">
        <f>+S39-N39</f>
        <v>-863919464.09939957</v>
      </c>
      <c r="U39" s="40">
        <f>+S39/N39</f>
        <v>0.97065536032584276</v>
      </c>
    </row>
    <row r="40" spans="1:21" ht="15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  <c r="N40" s="38"/>
      <c r="O40" s="38"/>
      <c r="P40" s="38"/>
      <c r="Q40" s="38"/>
      <c r="R40" s="38"/>
      <c r="S40" s="38"/>
      <c r="T40" s="38"/>
      <c r="U40" s="40"/>
    </row>
    <row r="41" spans="1:21" ht="15" x14ac:dyDescent="0.25">
      <c r="A41" s="37" t="s">
        <v>57</v>
      </c>
      <c r="B41" s="38">
        <f>+B42+B44+B56+B60+B64+B68</f>
        <v>3144748609.2727909</v>
      </c>
      <c r="C41" s="38"/>
      <c r="D41" s="38"/>
      <c r="E41" s="38"/>
      <c r="F41" s="38"/>
      <c r="G41" s="38"/>
      <c r="H41" s="38">
        <f>+H42+H44+H56+H60+H64+H68</f>
        <v>3144748609.2727909</v>
      </c>
      <c r="I41" s="38"/>
      <c r="J41" s="38">
        <f>+J42+J44+J56+J60+J64+J68</f>
        <v>3144748609.2727909</v>
      </c>
      <c r="K41" s="38">
        <f>+K42+K44+K56+K60+K64+K68</f>
        <v>107440845</v>
      </c>
      <c r="L41" s="38">
        <f>+L42+L44+L56+L60+L64+L68</f>
        <v>0</v>
      </c>
      <c r="M41" s="39">
        <f>+M42+M44+M56+M60+M64+M68</f>
        <v>-188747048</v>
      </c>
      <c r="N41" s="38">
        <f t="shared" ref="N41:N70" si="15">+J41+K41+L41+M41</f>
        <v>3063442406.2727909</v>
      </c>
      <c r="O41" s="38">
        <f>+O42+O44+O56+O60+O64+O68</f>
        <v>520762242.96000004</v>
      </c>
      <c r="P41" s="38">
        <f>+P42+P44+P56+P60+P64+P68</f>
        <v>819009188</v>
      </c>
      <c r="Q41" s="38">
        <f>+Q42+Q44+Q56+Q60+Q64+Q68</f>
        <v>669580245.29999995</v>
      </c>
      <c r="R41" s="38">
        <f>+R42+R44+R56+R60+R64+R68</f>
        <v>859348533</v>
      </c>
      <c r="S41" s="38">
        <f t="shared" si="3"/>
        <v>2868700209.2600002</v>
      </c>
      <c r="T41" s="38">
        <f t="shared" ref="T41:T70" si="16">+S41-N41</f>
        <v>-194742197.01279068</v>
      </c>
      <c r="U41" s="22">
        <f>+S41/N41</f>
        <v>0.93643027314173388</v>
      </c>
    </row>
    <row r="42" spans="1:21" s="42" customFormat="1" ht="15" x14ac:dyDescent="0.25">
      <c r="A42" s="41" t="s">
        <v>58</v>
      </c>
      <c r="B42" s="32">
        <f>+SUM(B43:B43)</f>
        <v>303447281.35965002</v>
      </c>
      <c r="C42" s="32"/>
      <c r="D42" s="32"/>
      <c r="E42" s="32"/>
      <c r="F42" s="32"/>
      <c r="G42" s="32"/>
      <c r="H42" s="32">
        <f>+SUM(H43:H43)</f>
        <v>303447281.35965002</v>
      </c>
      <c r="I42" s="32"/>
      <c r="J42" s="32">
        <f>+SUM(J43:J43)</f>
        <v>303447281.35965002</v>
      </c>
      <c r="K42" s="32">
        <f>+SUM(K43:K43)</f>
        <v>107440845</v>
      </c>
      <c r="L42" s="32">
        <f>+SUM(L43:L43)</f>
        <v>0</v>
      </c>
      <c r="M42" s="33">
        <f>+SUM(M43:M43)</f>
        <v>-30000000</v>
      </c>
      <c r="N42" s="32">
        <f t="shared" si="15"/>
        <v>380888126.35965002</v>
      </c>
      <c r="O42" s="32">
        <f>+SUM(O43:O43)</f>
        <v>27026265</v>
      </c>
      <c r="P42" s="32">
        <f>+SUM(P43:P43)</f>
        <v>80808261</v>
      </c>
      <c r="Q42" s="32">
        <f>+SUM(Q43:Q43)</f>
        <v>81084548.999999985</v>
      </c>
      <c r="R42" s="32">
        <f>+SUM(R43:R43)</f>
        <v>69749428</v>
      </c>
      <c r="S42" s="32">
        <f t="shared" si="3"/>
        <v>258668503</v>
      </c>
      <c r="T42" s="32">
        <f t="shared" si="16"/>
        <v>-122219623.35965002</v>
      </c>
      <c r="U42" s="22">
        <f t="shared" ref="U42:U70" si="17">+S42/N42</f>
        <v>0.67911936628802838</v>
      </c>
    </row>
    <row r="43" spans="1:21" s="42" customFormat="1" ht="15" hidden="1" outlineLevel="1" x14ac:dyDescent="0.25">
      <c r="A43" s="43" t="s">
        <v>59</v>
      </c>
      <c r="B43" s="24">
        <v>303447281.35965002</v>
      </c>
      <c r="C43" s="32"/>
      <c r="D43" s="32"/>
      <c r="E43" s="32"/>
      <c r="F43" s="32"/>
      <c r="G43" s="32"/>
      <c r="H43" s="24">
        <f>+B43+C43+D43+G43+E43+F43</f>
        <v>303447281.35965002</v>
      </c>
      <c r="I43" s="32"/>
      <c r="J43" s="25">
        <f>+H43+I43</f>
        <v>303447281.35965002</v>
      </c>
      <c r="K43" s="25">
        <v>107440845</v>
      </c>
      <c r="L43" s="25"/>
      <c r="M43" s="44">
        <v>-30000000</v>
      </c>
      <c r="N43" s="25">
        <f t="shared" si="15"/>
        <v>380888126.35965002</v>
      </c>
      <c r="O43" s="25">
        <v>27026265</v>
      </c>
      <c r="P43" s="25">
        <v>80808261</v>
      </c>
      <c r="Q43" s="25">
        <v>81084548.999999985</v>
      </c>
      <c r="R43" s="25">
        <v>69749428</v>
      </c>
      <c r="S43" s="25">
        <f t="shared" si="3"/>
        <v>258668503</v>
      </c>
      <c r="T43" s="25">
        <f t="shared" si="16"/>
        <v>-122219623.35965002</v>
      </c>
      <c r="U43" s="27">
        <f t="shared" si="17"/>
        <v>0.67911936628802838</v>
      </c>
    </row>
    <row r="44" spans="1:21" s="42" customFormat="1" ht="15" collapsed="1" x14ac:dyDescent="0.25">
      <c r="A44" s="45" t="s">
        <v>60</v>
      </c>
      <c r="B44" s="20">
        <f>+B45+B46+B47+B55</f>
        <v>1230608686.675</v>
      </c>
      <c r="C44" s="32"/>
      <c r="D44" s="32"/>
      <c r="E44" s="32"/>
      <c r="F44" s="32"/>
      <c r="G44" s="32"/>
      <c r="H44" s="20">
        <f>+H45+H46+H47+H55</f>
        <v>1230608686.675</v>
      </c>
      <c r="I44" s="32"/>
      <c r="J44" s="20">
        <f>+J45+J47+J55+J46</f>
        <v>1230608686.675</v>
      </c>
      <c r="K44" s="20">
        <f>+K45+K47+K55+K46</f>
        <v>0</v>
      </c>
      <c r="L44" s="20">
        <f>+L45+L47+L55+L46</f>
        <v>0</v>
      </c>
      <c r="M44" s="21">
        <f>+M45+M47+M55+M46</f>
        <v>-14747048</v>
      </c>
      <c r="N44" s="20">
        <f t="shared" si="15"/>
        <v>1215861638.675</v>
      </c>
      <c r="O44" s="20">
        <f>+O45+O47+O55+O46</f>
        <v>205933879</v>
      </c>
      <c r="P44" s="20">
        <f>+P45+P47+P55+P46</f>
        <v>383942268</v>
      </c>
      <c r="Q44" s="20">
        <f>+Q45+Q47+Q55+Q46</f>
        <v>286324597</v>
      </c>
      <c r="R44" s="20">
        <f>+R45+R47+R55+R46</f>
        <v>328095591</v>
      </c>
      <c r="S44" s="20">
        <f t="shared" si="3"/>
        <v>1204296335</v>
      </c>
      <c r="T44" s="20">
        <f t="shared" si="16"/>
        <v>-11565303.674999952</v>
      </c>
      <c r="U44" s="22">
        <f t="shared" si="17"/>
        <v>0.99048797716193815</v>
      </c>
    </row>
    <row r="45" spans="1:21" s="42" customFormat="1" ht="15" hidden="1" outlineLevel="1" x14ac:dyDescent="0.25">
      <c r="A45" s="43" t="s">
        <v>61</v>
      </c>
      <c r="B45" s="24">
        <v>222024182.255</v>
      </c>
      <c r="C45" s="32"/>
      <c r="D45" s="32"/>
      <c r="E45" s="32"/>
      <c r="F45" s="32"/>
      <c r="G45" s="32"/>
      <c r="H45" s="24">
        <f t="shared" ref="H45:H55" si="18">+B45+C45+D45+G45+E45+F45</f>
        <v>222024182.255</v>
      </c>
      <c r="I45" s="32"/>
      <c r="J45" s="25">
        <f t="shared" ref="J45:J55" si="19">+H45+I45</f>
        <v>222024182.255</v>
      </c>
      <c r="K45" s="25"/>
      <c r="L45" s="25"/>
      <c r="M45" s="44"/>
      <c r="N45" s="25">
        <f t="shared" si="15"/>
        <v>222024182.255</v>
      </c>
      <c r="O45" s="25">
        <v>24136236</v>
      </c>
      <c r="P45" s="25">
        <v>92823767</v>
      </c>
      <c r="Q45" s="25">
        <v>41157715</v>
      </c>
      <c r="R45" s="25">
        <v>63857478</v>
      </c>
      <c r="S45" s="25">
        <f t="shared" si="3"/>
        <v>221975196</v>
      </c>
      <c r="T45" s="25">
        <f t="shared" si="16"/>
        <v>-48986.254999995232</v>
      </c>
      <c r="U45" s="27">
        <f t="shared" si="17"/>
        <v>0.99977936522723576</v>
      </c>
    </row>
    <row r="46" spans="1:21" s="42" customFormat="1" ht="15" hidden="1" outlineLevel="1" x14ac:dyDescent="0.25">
      <c r="A46" s="43" t="s">
        <v>62</v>
      </c>
      <c r="B46" s="24">
        <v>93873370.38499999</v>
      </c>
      <c r="C46" s="32"/>
      <c r="D46" s="32"/>
      <c r="E46" s="32"/>
      <c r="F46" s="32"/>
      <c r="G46" s="32"/>
      <c r="H46" s="24">
        <f t="shared" si="18"/>
        <v>93873370.38499999</v>
      </c>
      <c r="I46" s="32"/>
      <c r="J46" s="25">
        <f t="shared" si="19"/>
        <v>93873370.38499999</v>
      </c>
      <c r="K46" s="25"/>
      <c r="L46" s="25"/>
      <c r="M46" s="44"/>
      <c r="N46" s="25">
        <f t="shared" si="15"/>
        <v>93873370.38499999</v>
      </c>
      <c r="O46" s="25">
        <v>4304603</v>
      </c>
      <c r="P46" s="25">
        <v>26403824</v>
      </c>
      <c r="Q46" s="25">
        <v>18044296</v>
      </c>
      <c r="R46" s="25">
        <v>39922573</v>
      </c>
      <c r="S46" s="25">
        <f t="shared" si="3"/>
        <v>88675296</v>
      </c>
      <c r="T46" s="25">
        <f t="shared" si="16"/>
        <v>-5198074.3849999905</v>
      </c>
      <c r="U46" s="27">
        <f t="shared" si="17"/>
        <v>0.94462674170873717</v>
      </c>
    </row>
    <row r="47" spans="1:21" s="42" customFormat="1" ht="15" hidden="1" outlineLevel="1" x14ac:dyDescent="0.25">
      <c r="A47" s="45" t="s">
        <v>63</v>
      </c>
      <c r="B47" s="20">
        <f>+B48+B51</f>
        <v>382400000</v>
      </c>
      <c r="C47" s="20"/>
      <c r="D47" s="20"/>
      <c r="E47" s="20"/>
      <c r="F47" s="20"/>
      <c r="G47" s="20"/>
      <c r="H47" s="20">
        <f>+H48+H51</f>
        <v>382400000</v>
      </c>
      <c r="I47" s="20"/>
      <c r="J47" s="20">
        <f>+J48+J51</f>
        <v>382400000</v>
      </c>
      <c r="K47" s="20">
        <f>+K48+K51</f>
        <v>0</v>
      </c>
      <c r="L47" s="20">
        <f>+L48+L51</f>
        <v>0</v>
      </c>
      <c r="M47" s="21">
        <f>+M48+M51</f>
        <v>-14747048</v>
      </c>
      <c r="N47" s="20">
        <f t="shared" si="15"/>
        <v>367652952</v>
      </c>
      <c r="O47" s="20">
        <f>+O48+O51</f>
        <v>51425805</v>
      </c>
      <c r="P47" s="20">
        <f>+P48+P51</f>
        <v>113848955</v>
      </c>
      <c r="Q47" s="20">
        <f>+Q48+Q51</f>
        <v>91310673</v>
      </c>
      <c r="R47" s="20">
        <f>+R48+R51</f>
        <v>105717268</v>
      </c>
      <c r="S47" s="20">
        <f t="shared" si="3"/>
        <v>362302701</v>
      </c>
      <c r="T47" s="20">
        <f t="shared" si="16"/>
        <v>-5350251</v>
      </c>
      <c r="U47" s="22">
        <f t="shared" si="17"/>
        <v>0.98544755054761535</v>
      </c>
    </row>
    <row r="48" spans="1:21" s="42" customFormat="1" ht="15" hidden="1" outlineLevel="2" x14ac:dyDescent="0.25">
      <c r="A48" s="45" t="s">
        <v>64</v>
      </c>
      <c r="B48" s="20">
        <f>SUM(B49:B50)</f>
        <v>250000000</v>
      </c>
      <c r="C48" s="20"/>
      <c r="D48" s="20"/>
      <c r="E48" s="20"/>
      <c r="F48" s="20"/>
      <c r="G48" s="20"/>
      <c r="H48" s="20">
        <f>SUM(H49:H50)</f>
        <v>250000000</v>
      </c>
      <c r="I48" s="20"/>
      <c r="J48" s="20">
        <f>SUM(J49:J50)</f>
        <v>250000000</v>
      </c>
      <c r="K48" s="20">
        <f>SUM(K49:K50)</f>
        <v>0</v>
      </c>
      <c r="L48" s="20">
        <f>SUM(L49:L50)</f>
        <v>0</v>
      </c>
      <c r="M48" s="21">
        <f>SUM(M49:M50)</f>
        <v>-14747048</v>
      </c>
      <c r="N48" s="20">
        <f t="shared" si="15"/>
        <v>235252952</v>
      </c>
      <c r="O48" s="20">
        <f>SUM(O49:O50)</f>
        <v>35923048</v>
      </c>
      <c r="P48" s="20">
        <f>SUM(P49:P50)</f>
        <v>60559896</v>
      </c>
      <c r="Q48" s="20">
        <f>SUM(Q49:Q50)</f>
        <v>64839686</v>
      </c>
      <c r="R48" s="20">
        <f>SUM(R49:R50)</f>
        <v>68732655</v>
      </c>
      <c r="S48" s="20">
        <f t="shared" si="3"/>
        <v>230055285</v>
      </c>
      <c r="T48" s="20">
        <f t="shared" si="16"/>
        <v>-5197667</v>
      </c>
      <c r="U48" s="22">
        <f t="shared" si="17"/>
        <v>0.97790604982504103</v>
      </c>
    </row>
    <row r="49" spans="1:21" s="42" customFormat="1" ht="15" hidden="1" outlineLevel="2" x14ac:dyDescent="0.25">
      <c r="A49" s="43" t="s">
        <v>65</v>
      </c>
      <c r="B49" s="24">
        <f>235252952+14747048</f>
        <v>250000000</v>
      </c>
      <c r="C49" s="32"/>
      <c r="D49" s="32"/>
      <c r="E49" s="32"/>
      <c r="F49" s="32"/>
      <c r="G49" s="32"/>
      <c r="H49" s="24">
        <f t="shared" si="18"/>
        <v>250000000</v>
      </c>
      <c r="I49" s="32"/>
      <c r="J49" s="25">
        <f t="shared" si="19"/>
        <v>250000000</v>
      </c>
      <c r="K49" s="25"/>
      <c r="L49" s="25"/>
      <c r="M49" s="44">
        <v>-14747048</v>
      </c>
      <c r="N49" s="25">
        <f t="shared" si="15"/>
        <v>235252952</v>
      </c>
      <c r="O49" s="25">
        <v>35923048</v>
      </c>
      <c r="P49" s="25">
        <v>60559896</v>
      </c>
      <c r="Q49" s="25">
        <v>64839686</v>
      </c>
      <c r="R49" s="25">
        <v>68732655</v>
      </c>
      <c r="S49" s="25">
        <f t="shared" si="3"/>
        <v>230055285</v>
      </c>
      <c r="T49" s="25">
        <f t="shared" si="16"/>
        <v>-5197667</v>
      </c>
      <c r="U49" s="27">
        <f t="shared" si="17"/>
        <v>0.97790604982504103</v>
      </c>
    </row>
    <row r="50" spans="1:21" s="42" customFormat="1" ht="15" hidden="1" outlineLevel="2" x14ac:dyDescent="0.25">
      <c r="A50" s="43" t="s">
        <v>66</v>
      </c>
      <c r="B50" s="24">
        <f>14747048-14747048</f>
        <v>0</v>
      </c>
      <c r="C50" s="32"/>
      <c r="D50" s="32"/>
      <c r="E50" s="32"/>
      <c r="F50" s="32"/>
      <c r="G50" s="32"/>
      <c r="H50" s="24">
        <f>+B50+C50+D50+G50+E50+F50</f>
        <v>0</v>
      </c>
      <c r="I50" s="32"/>
      <c r="J50" s="25">
        <f>+H50+I50</f>
        <v>0</v>
      </c>
      <c r="K50" s="25"/>
      <c r="L50" s="25"/>
      <c r="M50" s="44"/>
      <c r="N50" s="25">
        <f t="shared" si="15"/>
        <v>0</v>
      </c>
      <c r="O50" s="25"/>
      <c r="P50" s="25"/>
      <c r="Q50" s="25"/>
      <c r="R50" s="25"/>
      <c r="S50" s="25">
        <f t="shared" si="3"/>
        <v>0</v>
      </c>
      <c r="T50" s="25">
        <f t="shared" si="16"/>
        <v>0</v>
      </c>
      <c r="U50" s="27">
        <v>0</v>
      </c>
    </row>
    <row r="51" spans="1:21" s="42" customFormat="1" ht="15" hidden="1" outlineLevel="2" x14ac:dyDescent="0.25">
      <c r="A51" s="45" t="s">
        <v>67</v>
      </c>
      <c r="B51" s="20">
        <f>SUM(B52:B54)</f>
        <v>132400000</v>
      </c>
      <c r="C51" s="20"/>
      <c r="D51" s="20"/>
      <c r="E51" s="20"/>
      <c r="F51" s="20"/>
      <c r="G51" s="20"/>
      <c r="H51" s="20">
        <f>SUM(H52:H54)</f>
        <v>132400000</v>
      </c>
      <c r="I51" s="20"/>
      <c r="J51" s="20">
        <f>SUM(J52:J54)</f>
        <v>132400000</v>
      </c>
      <c r="K51" s="20">
        <f>SUM(K52:K54)</f>
        <v>0</v>
      </c>
      <c r="L51" s="20">
        <f>SUM(L52:L54)</f>
        <v>0</v>
      </c>
      <c r="M51" s="21">
        <f>SUM(M52:M54)</f>
        <v>0</v>
      </c>
      <c r="N51" s="20">
        <f t="shared" si="15"/>
        <v>132400000</v>
      </c>
      <c r="O51" s="20">
        <f>SUM(O52:O54)</f>
        <v>15502757</v>
      </c>
      <c r="P51" s="20">
        <f>SUM(P52:P54)</f>
        <v>53289059</v>
      </c>
      <c r="Q51" s="20">
        <f>SUM(Q52:Q54)</f>
        <v>26470987</v>
      </c>
      <c r="R51" s="20">
        <f>SUM(R52:R54)</f>
        <v>36984613</v>
      </c>
      <c r="S51" s="20">
        <f t="shared" si="3"/>
        <v>132247416</v>
      </c>
      <c r="T51" s="20">
        <f t="shared" si="16"/>
        <v>-152584</v>
      </c>
      <c r="U51" s="22">
        <f t="shared" si="17"/>
        <v>0.99884755287009064</v>
      </c>
    </row>
    <row r="52" spans="1:21" s="42" customFormat="1" ht="15" hidden="1" outlineLevel="2" x14ac:dyDescent="0.25">
      <c r="A52" s="43" t="s">
        <v>68</v>
      </c>
      <c r="B52" s="24">
        <v>100822707</v>
      </c>
      <c r="C52" s="32"/>
      <c r="D52" s="32"/>
      <c r="E52" s="32"/>
      <c r="F52" s="32"/>
      <c r="G52" s="32"/>
      <c r="H52" s="24">
        <f>+B52+C52+D52+G52+E52+F52</f>
        <v>100822707</v>
      </c>
      <c r="I52" s="32"/>
      <c r="J52" s="25">
        <f>+H52+I52</f>
        <v>100822707</v>
      </c>
      <c r="K52" s="25"/>
      <c r="L52" s="25"/>
      <c r="M52" s="44"/>
      <c r="N52" s="25">
        <f t="shared" si="15"/>
        <v>100822707</v>
      </c>
      <c r="O52" s="25">
        <v>11720257</v>
      </c>
      <c r="P52" s="25">
        <v>39412209</v>
      </c>
      <c r="Q52" s="25">
        <v>20908487</v>
      </c>
      <c r="R52" s="25">
        <v>28640873</v>
      </c>
      <c r="S52" s="25">
        <f t="shared" si="3"/>
        <v>100681826</v>
      </c>
      <c r="T52" s="25">
        <f t="shared" si="16"/>
        <v>-140881</v>
      </c>
      <c r="U52" s="27">
        <f t="shared" si="17"/>
        <v>0.99860268580172118</v>
      </c>
    </row>
    <row r="53" spans="1:21" s="42" customFormat="1" ht="15" hidden="1" outlineLevel="2" x14ac:dyDescent="0.25">
      <c r="A53" s="43" t="s">
        <v>69</v>
      </c>
      <c r="B53" s="24">
        <f>28000000-28000000</f>
        <v>0</v>
      </c>
      <c r="C53" s="32"/>
      <c r="D53" s="32"/>
      <c r="E53" s="32"/>
      <c r="F53" s="32"/>
      <c r="G53" s="32"/>
      <c r="H53" s="24">
        <f>+B53+C53+D53+G53+E53+F53</f>
        <v>0</v>
      </c>
      <c r="I53" s="32"/>
      <c r="J53" s="25">
        <f>+H53+I53</f>
        <v>0</v>
      </c>
      <c r="K53" s="25"/>
      <c r="L53" s="25"/>
      <c r="M53" s="44"/>
      <c r="N53" s="25">
        <f t="shared" si="15"/>
        <v>0</v>
      </c>
      <c r="O53" s="25"/>
      <c r="P53" s="25"/>
      <c r="Q53" s="25"/>
      <c r="R53" s="25"/>
      <c r="S53" s="25">
        <f t="shared" si="3"/>
        <v>0</v>
      </c>
      <c r="T53" s="25">
        <f t="shared" si="16"/>
        <v>0</v>
      </c>
      <c r="U53" s="27">
        <v>0</v>
      </c>
    </row>
    <row r="54" spans="1:21" s="42" customFormat="1" ht="15" hidden="1" outlineLevel="2" x14ac:dyDescent="0.25">
      <c r="A54" s="43" t="s">
        <v>70</v>
      </c>
      <c r="B54" s="24">
        <f>21177293+15000000-4600000</f>
        <v>31577293</v>
      </c>
      <c r="C54" s="32"/>
      <c r="D54" s="32"/>
      <c r="E54" s="32"/>
      <c r="F54" s="32"/>
      <c r="G54" s="32"/>
      <c r="H54" s="24">
        <f t="shared" si="18"/>
        <v>31577293</v>
      </c>
      <c r="I54" s="32"/>
      <c r="J54" s="25">
        <f t="shared" si="19"/>
        <v>31577293</v>
      </c>
      <c r="K54" s="25"/>
      <c r="L54" s="25"/>
      <c r="M54" s="44"/>
      <c r="N54" s="25">
        <f t="shared" si="15"/>
        <v>31577293</v>
      </c>
      <c r="O54" s="25">
        <v>3782500</v>
      </c>
      <c r="P54" s="25">
        <v>13876850</v>
      </c>
      <c r="Q54" s="25">
        <v>5562500</v>
      </c>
      <c r="R54" s="25">
        <v>8343740</v>
      </c>
      <c r="S54" s="25">
        <f t="shared" si="3"/>
        <v>31565590</v>
      </c>
      <c r="T54" s="25">
        <f t="shared" si="16"/>
        <v>-11703</v>
      </c>
      <c r="U54" s="27">
        <f t="shared" si="17"/>
        <v>0.99962938558412839</v>
      </c>
    </row>
    <row r="55" spans="1:21" s="42" customFormat="1" ht="15" hidden="1" outlineLevel="1" x14ac:dyDescent="0.25">
      <c r="A55" s="43" t="s">
        <v>71</v>
      </c>
      <c r="B55" s="25">
        <v>532311134.03500003</v>
      </c>
      <c r="C55" s="32"/>
      <c r="D55" s="32"/>
      <c r="E55" s="32"/>
      <c r="F55" s="32"/>
      <c r="G55" s="32"/>
      <c r="H55" s="24">
        <f t="shared" si="18"/>
        <v>532311134.03500003</v>
      </c>
      <c r="I55" s="32"/>
      <c r="J55" s="25">
        <f t="shared" si="19"/>
        <v>532311134.03500003</v>
      </c>
      <c r="K55" s="25"/>
      <c r="L55" s="25"/>
      <c r="M55" s="44"/>
      <c r="N55" s="25">
        <f t="shared" si="15"/>
        <v>532311134.03500003</v>
      </c>
      <c r="O55" s="25">
        <v>126067235</v>
      </c>
      <c r="P55" s="25">
        <v>150865722</v>
      </c>
      <c r="Q55" s="25">
        <v>135811913</v>
      </c>
      <c r="R55" s="25">
        <v>118598272</v>
      </c>
      <c r="S55" s="25">
        <f t="shared" si="3"/>
        <v>531343142</v>
      </c>
      <c r="T55" s="25">
        <f t="shared" si="16"/>
        <v>-967992.03500002623</v>
      </c>
      <c r="U55" s="27">
        <f t="shared" si="17"/>
        <v>0.99818152961095796</v>
      </c>
    </row>
    <row r="56" spans="1:21" s="42" customFormat="1" ht="15" collapsed="1" x14ac:dyDescent="0.25">
      <c r="A56" s="45" t="s">
        <v>72</v>
      </c>
      <c r="B56" s="20">
        <f>SUM(B57:B59)</f>
        <v>281443043.87</v>
      </c>
      <c r="C56" s="32"/>
      <c r="D56" s="32"/>
      <c r="E56" s="32"/>
      <c r="F56" s="32"/>
      <c r="G56" s="32"/>
      <c r="H56" s="20">
        <f>SUM(H57:H59)</f>
        <v>281443043.87</v>
      </c>
      <c r="I56" s="32"/>
      <c r="J56" s="20">
        <f>SUM(J57:J59)</f>
        <v>281443043.87</v>
      </c>
      <c r="K56" s="20">
        <f>SUM(K57:K59)</f>
        <v>0</v>
      </c>
      <c r="L56" s="20">
        <f>SUM(L57:L59)</f>
        <v>0</v>
      </c>
      <c r="M56" s="21">
        <f>SUM(M57:M59)</f>
        <v>0</v>
      </c>
      <c r="N56" s="20">
        <f t="shared" si="15"/>
        <v>281443043.87</v>
      </c>
      <c r="O56" s="20">
        <f>SUM(O57:O59)</f>
        <v>78382828.960000008</v>
      </c>
      <c r="P56" s="20">
        <f>SUM(P57:P59)</f>
        <v>59906977</v>
      </c>
      <c r="Q56" s="20">
        <f>SUM(Q57:Q59)</f>
        <v>38494155</v>
      </c>
      <c r="R56" s="20">
        <f>SUM(R57:R59)</f>
        <v>100244545</v>
      </c>
      <c r="S56" s="20">
        <f t="shared" si="3"/>
        <v>277028505.96000004</v>
      </c>
      <c r="T56" s="20">
        <f t="shared" si="16"/>
        <v>-4414537.9099999666</v>
      </c>
      <c r="U56" s="22">
        <f>+S56/N56</f>
        <v>0.98431463130409058</v>
      </c>
    </row>
    <row r="57" spans="1:21" s="42" customFormat="1" ht="15" hidden="1" outlineLevel="1" x14ac:dyDescent="0.25">
      <c r="A57" s="43" t="s">
        <v>73</v>
      </c>
      <c r="B57" s="24">
        <v>194992024.41</v>
      </c>
      <c r="C57" s="32"/>
      <c r="D57" s="32"/>
      <c r="E57" s="32"/>
      <c r="F57" s="32"/>
      <c r="G57" s="32"/>
      <c r="H57" s="24">
        <f>+B57+C57+D57+G57+E57+F57</f>
        <v>194992024.41</v>
      </c>
      <c r="I57" s="32"/>
      <c r="J57" s="25">
        <f>+H57+I57</f>
        <v>194992024.41</v>
      </c>
      <c r="K57" s="25"/>
      <c r="L57" s="25"/>
      <c r="M57" s="44"/>
      <c r="N57" s="25">
        <f t="shared" si="15"/>
        <v>194992024.41</v>
      </c>
      <c r="O57" s="25">
        <v>46066412</v>
      </c>
      <c r="P57" s="25">
        <v>55064029</v>
      </c>
      <c r="Q57" s="25">
        <v>33546364.999999996</v>
      </c>
      <c r="R57" s="25">
        <v>57457697</v>
      </c>
      <c r="S57" s="25">
        <f t="shared" si="3"/>
        <v>192134503</v>
      </c>
      <c r="T57" s="25">
        <f t="shared" si="16"/>
        <v>-2857521.4099999964</v>
      </c>
      <c r="U57" s="27">
        <f t="shared" si="17"/>
        <v>0.98534544467320562</v>
      </c>
    </row>
    <row r="58" spans="1:21" s="42" customFormat="1" ht="15" hidden="1" outlineLevel="1" x14ac:dyDescent="0.25">
      <c r="A58" s="43" t="s">
        <v>74</v>
      </c>
      <c r="B58" s="24">
        <v>36719364.460000001</v>
      </c>
      <c r="C58" s="32"/>
      <c r="D58" s="32"/>
      <c r="E58" s="32"/>
      <c r="F58" s="32"/>
      <c r="G58" s="32"/>
      <c r="H58" s="24">
        <f>+B58+C58+D58+G58+E58+F58</f>
        <v>36719364.460000001</v>
      </c>
      <c r="I58" s="32"/>
      <c r="J58" s="25">
        <f>+H58+I58</f>
        <v>36719364.460000001</v>
      </c>
      <c r="K58" s="25"/>
      <c r="L58" s="25"/>
      <c r="M58" s="44"/>
      <c r="N58" s="25">
        <f t="shared" si="15"/>
        <v>36719364.460000001</v>
      </c>
      <c r="O58" s="25">
        <v>10034836</v>
      </c>
      <c r="P58" s="25">
        <v>4971590</v>
      </c>
      <c r="Q58" s="25">
        <v>4947790</v>
      </c>
      <c r="R58" s="25">
        <v>16628190</v>
      </c>
      <c r="S58" s="25">
        <f t="shared" si="3"/>
        <v>36582406</v>
      </c>
      <c r="T58" s="25">
        <f t="shared" si="16"/>
        <v>-136958.46000000089</v>
      </c>
      <c r="U58" s="27">
        <f t="shared" si="17"/>
        <v>0.99627012988884389</v>
      </c>
    </row>
    <row r="59" spans="1:21" s="42" customFormat="1" ht="15" hidden="1" outlineLevel="1" x14ac:dyDescent="0.25">
      <c r="A59" s="43" t="s">
        <v>75</v>
      </c>
      <c r="B59" s="24">
        <v>49731655</v>
      </c>
      <c r="C59" s="32"/>
      <c r="D59" s="32"/>
      <c r="E59" s="32"/>
      <c r="F59" s="32"/>
      <c r="G59" s="32"/>
      <c r="H59" s="24">
        <f>+B59+C59+D59+G59+E59+F59</f>
        <v>49731655</v>
      </c>
      <c r="I59" s="32"/>
      <c r="J59" s="25">
        <f>+H59+I59</f>
        <v>49731655</v>
      </c>
      <c r="K59" s="25"/>
      <c r="L59" s="25"/>
      <c r="M59" s="44"/>
      <c r="N59" s="25">
        <f t="shared" si="15"/>
        <v>49731655</v>
      </c>
      <c r="O59" s="25">
        <v>22281580.960000001</v>
      </c>
      <c r="P59" s="25">
        <v>-128642</v>
      </c>
      <c r="Q59" s="25"/>
      <c r="R59" s="25">
        <v>26158658</v>
      </c>
      <c r="S59" s="25">
        <f t="shared" si="3"/>
        <v>48311596.960000001</v>
      </c>
      <c r="T59" s="25">
        <f t="shared" si="16"/>
        <v>-1420058.0399999991</v>
      </c>
      <c r="U59" s="27">
        <f t="shared" si="17"/>
        <v>0.97144559053986845</v>
      </c>
    </row>
    <row r="60" spans="1:21" s="42" customFormat="1" ht="15" collapsed="1" x14ac:dyDescent="0.25">
      <c r="A60" s="45" t="s">
        <v>76</v>
      </c>
      <c r="B60" s="20">
        <f>SUM(B61:B63)</f>
        <v>351489344.52314097</v>
      </c>
      <c r="C60" s="32"/>
      <c r="D60" s="32"/>
      <c r="E60" s="32"/>
      <c r="F60" s="32"/>
      <c r="G60" s="32"/>
      <c r="H60" s="20">
        <f>SUM(H61:H63)</f>
        <v>351489344.52314097</v>
      </c>
      <c r="I60" s="32"/>
      <c r="J60" s="20">
        <f>SUM(J61:J63)</f>
        <v>351489344.52314097</v>
      </c>
      <c r="K60" s="20">
        <f>SUM(K61:K63)</f>
        <v>0</v>
      </c>
      <c r="L60" s="20">
        <f>SUM(L61:L63)</f>
        <v>0</v>
      </c>
      <c r="M60" s="21">
        <f>SUM(M61:M63)</f>
        <v>0</v>
      </c>
      <c r="N60" s="20">
        <f t="shared" si="15"/>
        <v>351489344.52314097</v>
      </c>
      <c r="O60" s="20">
        <f>SUM(O61:O63)</f>
        <v>89459507</v>
      </c>
      <c r="P60" s="20">
        <f>SUM(P61:P63)</f>
        <v>80871863</v>
      </c>
      <c r="Q60" s="20">
        <f>SUM(Q61:Q63)</f>
        <v>77071496</v>
      </c>
      <c r="R60" s="20">
        <f>SUM(R61:R63)</f>
        <v>90761770</v>
      </c>
      <c r="S60" s="20">
        <f t="shared" si="3"/>
        <v>338164636</v>
      </c>
      <c r="T60" s="20">
        <f t="shared" si="16"/>
        <v>-13324708.523140967</v>
      </c>
      <c r="U60" s="22">
        <f t="shared" si="17"/>
        <v>0.96209071845060234</v>
      </c>
    </row>
    <row r="61" spans="1:21" s="42" customFormat="1" ht="15" hidden="1" outlineLevel="1" x14ac:dyDescent="0.25">
      <c r="A61" s="43" t="s">
        <v>77</v>
      </c>
      <c r="B61" s="24">
        <v>134773174.315911</v>
      </c>
      <c r="C61" s="32"/>
      <c r="D61" s="32"/>
      <c r="E61" s="32"/>
      <c r="F61" s="32"/>
      <c r="G61" s="32"/>
      <c r="H61" s="24">
        <f>+B61+C61+D61+G61+E61+F61</f>
        <v>134773174.315911</v>
      </c>
      <c r="I61" s="32"/>
      <c r="J61" s="25">
        <f>+H61+I61</f>
        <v>134773174.315911</v>
      </c>
      <c r="K61" s="25"/>
      <c r="L61" s="25"/>
      <c r="M61" s="44"/>
      <c r="N61" s="25">
        <f t="shared" si="15"/>
        <v>134773174.315911</v>
      </c>
      <c r="O61" s="25">
        <v>30412219</v>
      </c>
      <c r="P61" s="25">
        <v>35909318</v>
      </c>
      <c r="Q61" s="25">
        <v>32090373.000000004</v>
      </c>
      <c r="R61" s="25">
        <v>36321106</v>
      </c>
      <c r="S61" s="25">
        <f t="shared" si="3"/>
        <v>134733016</v>
      </c>
      <c r="T61" s="25">
        <f t="shared" si="16"/>
        <v>-40158.315910995007</v>
      </c>
      <c r="U61" s="27">
        <f t="shared" si="17"/>
        <v>0.99970203034754634</v>
      </c>
    </row>
    <row r="62" spans="1:21" s="42" customFormat="1" ht="15" hidden="1" outlineLevel="1" x14ac:dyDescent="0.25">
      <c r="A62" s="43" t="s">
        <v>78</v>
      </c>
      <c r="B62" s="24">
        <v>184174323.70722997</v>
      </c>
      <c r="C62" s="32"/>
      <c r="D62" s="32"/>
      <c r="E62" s="32"/>
      <c r="F62" s="32"/>
      <c r="G62" s="32"/>
      <c r="H62" s="24">
        <f>+B62+C62+D62+G62+E62+F62</f>
        <v>184174323.70722997</v>
      </c>
      <c r="I62" s="32"/>
      <c r="J62" s="25">
        <f>+H62+I62</f>
        <v>184174323.70722997</v>
      </c>
      <c r="K62" s="25"/>
      <c r="L62" s="25"/>
      <c r="M62" s="44"/>
      <c r="N62" s="25">
        <f t="shared" si="15"/>
        <v>184174323.70722997</v>
      </c>
      <c r="O62" s="25">
        <v>40919236</v>
      </c>
      <c r="P62" s="25">
        <v>44962545</v>
      </c>
      <c r="Q62" s="25">
        <v>44981123</v>
      </c>
      <c r="R62" s="25">
        <v>46869804</v>
      </c>
      <c r="S62" s="25">
        <f t="shared" si="3"/>
        <v>177732708</v>
      </c>
      <c r="T62" s="25">
        <f t="shared" si="16"/>
        <v>-6441615.7072299719</v>
      </c>
      <c r="U62" s="27">
        <f t="shared" si="17"/>
        <v>0.96502435530877917</v>
      </c>
    </row>
    <row r="63" spans="1:21" s="42" customFormat="1" ht="15" hidden="1" outlineLevel="1" x14ac:dyDescent="0.25">
      <c r="A63" s="43" t="s">
        <v>79</v>
      </c>
      <c r="B63" s="24">
        <v>32541846.499999996</v>
      </c>
      <c r="C63" s="32"/>
      <c r="D63" s="32"/>
      <c r="E63" s="32"/>
      <c r="F63" s="32"/>
      <c r="G63" s="32"/>
      <c r="H63" s="24">
        <f>+B63+C63+D63+G63+E63+F63</f>
        <v>32541846.499999996</v>
      </c>
      <c r="I63" s="32"/>
      <c r="J63" s="25">
        <f>+H63+I63</f>
        <v>32541846.499999996</v>
      </c>
      <c r="K63" s="25"/>
      <c r="L63" s="25"/>
      <c r="M63" s="44"/>
      <c r="N63" s="25">
        <f t="shared" si="15"/>
        <v>32541846.499999996</v>
      </c>
      <c r="O63" s="25">
        <v>18128052</v>
      </c>
      <c r="P63" s="25">
        <v>0</v>
      </c>
      <c r="Q63" s="25"/>
      <c r="R63" s="25">
        <v>7570860</v>
      </c>
      <c r="S63" s="25">
        <f t="shared" si="3"/>
        <v>25698912</v>
      </c>
      <c r="T63" s="25">
        <f t="shared" si="16"/>
        <v>-6842934.4999999963</v>
      </c>
      <c r="U63" s="27">
        <f t="shared" si="17"/>
        <v>0.78971892390925025</v>
      </c>
    </row>
    <row r="64" spans="1:21" s="42" customFormat="1" ht="15" collapsed="1" x14ac:dyDescent="0.25">
      <c r="A64" s="45" t="s">
        <v>80</v>
      </c>
      <c r="B64" s="20">
        <f>SUM(B65:B67)</f>
        <v>217008883.15000001</v>
      </c>
      <c r="C64" s="32"/>
      <c r="D64" s="32"/>
      <c r="E64" s="32"/>
      <c r="F64" s="32"/>
      <c r="G64" s="32"/>
      <c r="H64" s="20">
        <f>SUM(H65:H67)</f>
        <v>217008883.15000001</v>
      </c>
      <c r="I64" s="32"/>
      <c r="J64" s="20">
        <f>SUM(J65:J67)</f>
        <v>217008883.15000001</v>
      </c>
      <c r="K64" s="20">
        <f>SUM(K65:K67)</f>
        <v>0</v>
      </c>
      <c r="L64" s="20">
        <f>SUM(L65:L67)</f>
        <v>0</v>
      </c>
      <c r="M64" s="21">
        <f>SUM(M65:M67)</f>
        <v>0</v>
      </c>
      <c r="N64" s="20">
        <f t="shared" si="15"/>
        <v>217008883.15000001</v>
      </c>
      <c r="O64" s="20">
        <f>SUM(O65:O67)</f>
        <v>31078536</v>
      </c>
      <c r="P64" s="20">
        <f>SUM(P65:P67)</f>
        <v>50414595</v>
      </c>
      <c r="Q64" s="20">
        <f>SUM(Q65:Q67)</f>
        <v>52930046.299999997</v>
      </c>
      <c r="R64" s="20">
        <f>SUM(R65:R67)</f>
        <v>70248735</v>
      </c>
      <c r="S64" s="20">
        <f t="shared" si="3"/>
        <v>204671912.30000001</v>
      </c>
      <c r="T64" s="20">
        <f t="shared" si="16"/>
        <v>-12336970.849999994</v>
      </c>
      <c r="U64" s="22">
        <f t="shared" si="17"/>
        <v>0.94314992699412914</v>
      </c>
    </row>
    <row r="65" spans="1:21" s="42" customFormat="1" ht="15" hidden="1" outlineLevel="1" x14ac:dyDescent="0.25">
      <c r="A65" s="43" t="s">
        <v>81</v>
      </c>
      <c r="B65" s="24">
        <v>17639722.25</v>
      </c>
      <c r="C65" s="32"/>
      <c r="D65" s="32"/>
      <c r="E65" s="32"/>
      <c r="F65" s="32"/>
      <c r="G65" s="32"/>
      <c r="H65" s="24">
        <f>+B65+C65+D65+G65+E65+F65</f>
        <v>17639722.25</v>
      </c>
      <c r="I65" s="32"/>
      <c r="J65" s="25">
        <f>+H65+I65</f>
        <v>17639722.25</v>
      </c>
      <c r="K65" s="25"/>
      <c r="L65" s="25"/>
      <c r="M65" s="44"/>
      <c r="N65" s="25">
        <f t="shared" si="15"/>
        <v>17639722.25</v>
      </c>
      <c r="O65" s="25">
        <v>3485078</v>
      </c>
      <c r="P65" s="25">
        <v>5454460</v>
      </c>
      <c r="Q65" s="25">
        <v>4883830</v>
      </c>
      <c r="R65" s="25">
        <v>3780734</v>
      </c>
      <c r="S65" s="25">
        <f t="shared" si="3"/>
        <v>17604102</v>
      </c>
      <c r="T65" s="25">
        <f t="shared" si="16"/>
        <v>-35620.25</v>
      </c>
      <c r="U65" s="27">
        <f t="shared" si="17"/>
        <v>0.9979806796561097</v>
      </c>
    </row>
    <row r="66" spans="1:21" s="42" customFormat="1" ht="15" hidden="1" outlineLevel="1" x14ac:dyDescent="0.25">
      <c r="A66" s="43" t="s">
        <v>82</v>
      </c>
      <c r="B66" s="24">
        <v>174017955.59999999</v>
      </c>
      <c r="C66" s="32"/>
      <c r="D66" s="32"/>
      <c r="E66" s="32"/>
      <c r="F66" s="32"/>
      <c r="G66" s="32"/>
      <c r="H66" s="24">
        <f>+B66+C66+D66+G66+E66+F66</f>
        <v>174017955.59999999</v>
      </c>
      <c r="I66" s="32"/>
      <c r="J66" s="25">
        <f>+H66+I66</f>
        <v>174017955.59999999</v>
      </c>
      <c r="K66" s="25"/>
      <c r="L66" s="25"/>
      <c r="M66" s="44"/>
      <c r="N66" s="25">
        <f t="shared" si="15"/>
        <v>174017955.59999999</v>
      </c>
      <c r="O66" s="25">
        <v>19893459</v>
      </c>
      <c r="P66" s="25">
        <v>39860305</v>
      </c>
      <c r="Q66" s="25">
        <v>36476464</v>
      </c>
      <c r="R66" s="25">
        <v>66468001</v>
      </c>
      <c r="S66" s="25">
        <f t="shared" si="3"/>
        <v>162698229</v>
      </c>
      <c r="T66" s="25">
        <f t="shared" si="16"/>
        <v>-11319726.599999994</v>
      </c>
      <c r="U66" s="27">
        <f t="shared" si="17"/>
        <v>0.93495081262752178</v>
      </c>
    </row>
    <row r="67" spans="1:21" s="42" customFormat="1" ht="15" hidden="1" outlineLevel="1" x14ac:dyDescent="0.25">
      <c r="A67" s="43" t="s">
        <v>83</v>
      </c>
      <c r="B67" s="24">
        <v>25351205.300000001</v>
      </c>
      <c r="C67" s="32"/>
      <c r="D67" s="32"/>
      <c r="E67" s="32"/>
      <c r="F67" s="32"/>
      <c r="G67" s="32"/>
      <c r="H67" s="24">
        <f>+B67+C67+D67+G67+E67+F67</f>
        <v>25351205.300000001</v>
      </c>
      <c r="I67" s="32"/>
      <c r="J67" s="25">
        <f>+H67+I67</f>
        <v>25351205.300000001</v>
      </c>
      <c r="K67" s="25"/>
      <c r="L67" s="25"/>
      <c r="M67" s="44"/>
      <c r="N67" s="25">
        <f t="shared" si="15"/>
        <v>25351205.300000001</v>
      </c>
      <c r="O67" s="25">
        <v>7699999</v>
      </c>
      <c r="P67" s="25">
        <v>5099830</v>
      </c>
      <c r="Q67" s="25">
        <v>11569752.300000001</v>
      </c>
      <c r="R67" s="25">
        <v>0</v>
      </c>
      <c r="S67" s="25">
        <f t="shared" si="3"/>
        <v>24369581.300000001</v>
      </c>
      <c r="T67" s="25">
        <f t="shared" si="16"/>
        <v>-981624</v>
      </c>
      <c r="U67" s="27">
        <f t="shared" si="17"/>
        <v>0.96127900080553563</v>
      </c>
    </row>
    <row r="68" spans="1:21" s="42" customFormat="1" ht="15" collapsed="1" x14ac:dyDescent="0.25">
      <c r="A68" s="45" t="s">
        <v>84</v>
      </c>
      <c r="B68" s="20">
        <f>SUM(B69:B70)</f>
        <v>760751369.69499993</v>
      </c>
      <c r="C68" s="32"/>
      <c r="D68" s="32"/>
      <c r="E68" s="32"/>
      <c r="F68" s="32"/>
      <c r="G68" s="32"/>
      <c r="H68" s="20">
        <f>SUM(H69:H70)</f>
        <v>760751369.69499993</v>
      </c>
      <c r="I68" s="32"/>
      <c r="J68" s="20">
        <f>SUM(J69:J70)</f>
        <v>760751369.69499993</v>
      </c>
      <c r="K68" s="20">
        <f>SUM(K69:K70)</f>
        <v>0</v>
      </c>
      <c r="L68" s="20">
        <f>SUM(L69:L70)</f>
        <v>0</v>
      </c>
      <c r="M68" s="21">
        <f>SUM(M69:M70)</f>
        <v>-144000000</v>
      </c>
      <c r="N68" s="20">
        <f t="shared" si="15"/>
        <v>616751369.69499993</v>
      </c>
      <c r="O68" s="20">
        <f>SUM(O69:O70)</f>
        <v>88881227</v>
      </c>
      <c r="P68" s="20">
        <f>SUM(P69:P70)</f>
        <v>163065224</v>
      </c>
      <c r="Q68" s="20">
        <f>SUM(Q69:Q70)</f>
        <v>133675402</v>
      </c>
      <c r="R68" s="20">
        <f>SUM(R69:R70)</f>
        <v>200248464</v>
      </c>
      <c r="S68" s="20">
        <f t="shared" si="3"/>
        <v>585870317</v>
      </c>
      <c r="T68" s="20">
        <f t="shared" si="16"/>
        <v>-30881052.694999933</v>
      </c>
      <c r="U68" s="22">
        <f t="shared" si="17"/>
        <v>0.94992949474879729</v>
      </c>
    </row>
    <row r="69" spans="1:21" s="42" customFormat="1" ht="15" hidden="1" outlineLevel="1" x14ac:dyDescent="0.25">
      <c r="A69" s="43" t="s">
        <v>85</v>
      </c>
      <c r="B69" s="24">
        <v>652526571.30999994</v>
      </c>
      <c r="C69" s="32"/>
      <c r="D69" s="32"/>
      <c r="E69" s="32"/>
      <c r="F69" s="32"/>
      <c r="G69" s="32"/>
      <c r="H69" s="24">
        <f>+B69+C69+D69+G69+E69+F69</f>
        <v>652526571.30999994</v>
      </c>
      <c r="I69" s="32"/>
      <c r="J69" s="25">
        <f>+H69+I69</f>
        <v>652526571.30999994</v>
      </c>
      <c r="K69" s="25"/>
      <c r="L69" s="25"/>
      <c r="M69" s="44">
        <v>-128000000</v>
      </c>
      <c r="N69" s="25">
        <f t="shared" si="15"/>
        <v>524526571.30999994</v>
      </c>
      <c r="O69" s="25">
        <v>72526473</v>
      </c>
      <c r="P69" s="25">
        <v>147049160</v>
      </c>
      <c r="Q69" s="25">
        <v>115689399</v>
      </c>
      <c r="R69" s="25">
        <v>166542882</v>
      </c>
      <c r="S69" s="25">
        <f t="shared" si="3"/>
        <v>501807914</v>
      </c>
      <c r="T69" s="25">
        <f t="shared" si="16"/>
        <v>-22718657.309999943</v>
      </c>
      <c r="U69" s="27">
        <f t="shared" si="17"/>
        <v>0.95668730898939913</v>
      </c>
    </row>
    <row r="70" spans="1:21" s="42" customFormat="1" ht="15" hidden="1" outlineLevel="1" x14ac:dyDescent="0.25">
      <c r="A70" s="43" t="s">
        <v>86</v>
      </c>
      <c r="B70" s="24">
        <v>108224798.38500001</v>
      </c>
      <c r="C70" s="32"/>
      <c r="D70" s="32"/>
      <c r="E70" s="32"/>
      <c r="F70" s="32"/>
      <c r="G70" s="32"/>
      <c r="H70" s="24">
        <f>+B70+C70+D70+G70+E70+F70</f>
        <v>108224798.38500001</v>
      </c>
      <c r="I70" s="32"/>
      <c r="J70" s="25">
        <f>+H70+I70</f>
        <v>108224798.38500001</v>
      </c>
      <c r="K70" s="25"/>
      <c r="L70" s="25"/>
      <c r="M70" s="44">
        <v>-16000000</v>
      </c>
      <c r="N70" s="25">
        <f t="shared" si="15"/>
        <v>92224798.385000005</v>
      </c>
      <c r="O70" s="25">
        <v>16354754</v>
      </c>
      <c r="P70" s="25">
        <v>16016064</v>
      </c>
      <c r="Q70" s="25">
        <v>17986003</v>
      </c>
      <c r="R70" s="25">
        <v>33705582</v>
      </c>
      <c r="S70" s="25">
        <f t="shared" si="3"/>
        <v>84062403</v>
      </c>
      <c r="T70" s="25">
        <f t="shared" si="16"/>
        <v>-8162395.3850000054</v>
      </c>
      <c r="U70" s="27">
        <f t="shared" si="17"/>
        <v>0.91149457057173044</v>
      </c>
    </row>
    <row r="71" spans="1:21" s="42" customFormat="1" ht="15" collapsed="1" x14ac:dyDescent="0.25">
      <c r="A71" s="43"/>
      <c r="B71" s="24"/>
      <c r="C71" s="32"/>
      <c r="D71" s="32"/>
      <c r="E71" s="32"/>
      <c r="F71" s="32"/>
      <c r="G71" s="32"/>
      <c r="H71" s="24"/>
      <c r="I71" s="32"/>
      <c r="J71" s="25"/>
      <c r="K71" s="25"/>
      <c r="L71" s="25"/>
      <c r="M71" s="44"/>
      <c r="N71" s="25"/>
      <c r="O71" s="25"/>
      <c r="P71" s="25"/>
      <c r="Q71" s="25"/>
      <c r="R71" s="25"/>
      <c r="S71" s="25"/>
      <c r="T71" s="25"/>
      <c r="U71" s="27"/>
    </row>
    <row r="72" spans="1:21" s="42" customFormat="1" ht="15" x14ac:dyDescent="0.25">
      <c r="A72" s="45" t="s">
        <v>87</v>
      </c>
      <c r="B72" s="24"/>
      <c r="C72" s="32"/>
      <c r="D72" s="32"/>
      <c r="E72" s="32"/>
      <c r="F72" s="32">
        <f>+F73+F81+F92+F101</f>
        <v>8473628019.1639109</v>
      </c>
      <c r="G72" s="32"/>
      <c r="H72" s="32">
        <f>+H73+H81+H92+H101</f>
        <v>8473628019.1639109</v>
      </c>
      <c r="I72" s="32"/>
      <c r="J72" s="32">
        <f>+J73+J81+J92+J101</f>
        <v>8473628019.1639109</v>
      </c>
      <c r="K72" s="32">
        <f>+K73+K81+K92+K101</f>
        <v>100000000</v>
      </c>
      <c r="L72" s="32">
        <f>+L73+L81+L92+L101</f>
        <v>0</v>
      </c>
      <c r="M72" s="33">
        <f>+M73+M81+M92+M101</f>
        <v>105629424.77587999</v>
      </c>
      <c r="N72" s="32">
        <f t="shared" ref="N72:N107" si="20">+J72+K72+L72+M72</f>
        <v>8679257443.9397907</v>
      </c>
      <c r="O72" s="32">
        <f>+O73+O81+O92+O101</f>
        <v>842860816</v>
      </c>
      <c r="P72" s="32">
        <f>+P73+P81+P92+P101</f>
        <v>3322856785</v>
      </c>
      <c r="Q72" s="32">
        <f>+Q73+Q81+Q92+Q101</f>
        <v>2597156493</v>
      </c>
      <c r="R72" s="32">
        <f>+R73+R81+R92+R101</f>
        <v>1849196355</v>
      </c>
      <c r="S72" s="32">
        <f t="shared" si="3"/>
        <v>8612070449</v>
      </c>
      <c r="T72" s="32">
        <f t="shared" ref="T72:T107" si="21">+S72-N72</f>
        <v>-67186994.939790726</v>
      </c>
      <c r="U72" s="22">
        <f t="shared" ref="U72:U107" si="22">+S72/N72</f>
        <v>0.99225890055989718</v>
      </c>
    </row>
    <row r="73" spans="1:21" s="42" customFormat="1" ht="15" x14ac:dyDescent="0.25">
      <c r="A73" s="45" t="s">
        <v>88</v>
      </c>
      <c r="B73" s="24"/>
      <c r="C73" s="32"/>
      <c r="D73" s="32"/>
      <c r="E73" s="32"/>
      <c r="F73" s="32">
        <f>SUM(F74:F80)</f>
        <v>446101756.38267177</v>
      </c>
      <c r="G73" s="32"/>
      <c r="H73" s="32">
        <f>SUM(H74:H80)</f>
        <v>446101756.38267177</v>
      </c>
      <c r="I73" s="32"/>
      <c r="J73" s="32">
        <f>SUM(J74:J80)</f>
        <v>446101756.38267177</v>
      </c>
      <c r="K73" s="32">
        <f>SUM(K74:K80)</f>
        <v>0</v>
      </c>
      <c r="L73" s="32">
        <f>SUM(L74:L80)</f>
        <v>0</v>
      </c>
      <c r="M73" s="33">
        <f>SUM(M74:M80)</f>
        <v>0</v>
      </c>
      <c r="N73" s="32">
        <f t="shared" si="20"/>
        <v>446101756.38267177</v>
      </c>
      <c r="O73" s="32">
        <f>SUM(O74:O80)</f>
        <v>2637040</v>
      </c>
      <c r="P73" s="32">
        <f>SUM(P74:P80)</f>
        <v>150069820</v>
      </c>
      <c r="Q73" s="32">
        <f>SUM(Q74:Q80)</f>
        <v>6009500</v>
      </c>
      <c r="R73" s="32">
        <f>SUM(R74:R80)</f>
        <v>279654106</v>
      </c>
      <c r="S73" s="32">
        <f t="shared" ref="S73:S136" si="23">+O73+P73+Q73+R73</f>
        <v>438370466</v>
      </c>
      <c r="T73" s="32">
        <f t="shared" si="21"/>
        <v>-7731290.3826717734</v>
      </c>
      <c r="U73" s="22">
        <f t="shared" si="22"/>
        <v>0.98266922227483955</v>
      </c>
    </row>
    <row r="74" spans="1:21" s="42" customFormat="1" ht="15" hidden="1" outlineLevel="1" x14ac:dyDescent="0.25">
      <c r="A74" s="43" t="s">
        <v>89</v>
      </c>
      <c r="B74" s="24"/>
      <c r="C74" s="32"/>
      <c r="D74" s="32"/>
      <c r="E74" s="32"/>
      <c r="F74" s="25">
        <v>50163529.309187174</v>
      </c>
      <c r="G74" s="32"/>
      <c r="H74" s="24">
        <f t="shared" ref="H74:H80" si="24">+B74+C74+D74+G74+E74+F74</f>
        <v>50163529.309187174</v>
      </c>
      <c r="I74" s="32"/>
      <c r="J74" s="25">
        <f t="shared" ref="J74:J80" si="25">+H74+I74</f>
        <v>50163529.309187174</v>
      </c>
      <c r="K74" s="25"/>
      <c r="L74" s="25"/>
      <c r="M74" s="44"/>
      <c r="N74" s="25">
        <f t="shared" si="20"/>
        <v>50163529.309187174</v>
      </c>
      <c r="O74" s="25"/>
      <c r="P74" s="25"/>
      <c r="Q74" s="25"/>
      <c r="R74" s="25">
        <v>50160960</v>
      </c>
      <c r="S74" s="25">
        <f t="shared" si="23"/>
        <v>50160960</v>
      </c>
      <c r="T74" s="25">
        <f t="shared" si="21"/>
        <v>-2569.3091871738434</v>
      </c>
      <c r="U74" s="27">
        <f t="shared" si="22"/>
        <v>0.99994878133132659</v>
      </c>
    </row>
    <row r="75" spans="1:21" s="42" customFormat="1" ht="15" hidden="1" outlineLevel="1" x14ac:dyDescent="0.25">
      <c r="A75" s="43" t="s">
        <v>90</v>
      </c>
      <c r="B75" s="24"/>
      <c r="C75" s="32"/>
      <c r="D75" s="32"/>
      <c r="E75" s="32"/>
      <c r="F75" s="25">
        <v>91958583.972534299</v>
      </c>
      <c r="G75" s="32"/>
      <c r="H75" s="24">
        <f t="shared" si="24"/>
        <v>91958583.972534299</v>
      </c>
      <c r="I75" s="32"/>
      <c r="J75" s="25">
        <f t="shared" si="25"/>
        <v>91958583.972534299</v>
      </c>
      <c r="K75" s="25"/>
      <c r="L75" s="25"/>
      <c r="M75" s="44"/>
      <c r="N75" s="25">
        <f t="shared" si="20"/>
        <v>91958583.972534299</v>
      </c>
      <c r="O75" s="25"/>
      <c r="P75" s="25"/>
      <c r="Q75" s="25"/>
      <c r="R75" s="25">
        <v>91958500</v>
      </c>
      <c r="S75" s="25">
        <f t="shared" si="23"/>
        <v>91958500</v>
      </c>
      <c r="T75" s="25">
        <f t="shared" si="21"/>
        <v>-83.97253429889679</v>
      </c>
      <c r="U75" s="27">
        <f t="shared" si="22"/>
        <v>0.99999908684398264</v>
      </c>
    </row>
    <row r="76" spans="1:21" s="42" customFormat="1" ht="15" hidden="1" outlineLevel="1" x14ac:dyDescent="0.25">
      <c r="A76" s="43" t="s">
        <v>91</v>
      </c>
      <c r="B76" s="24"/>
      <c r="C76" s="32"/>
      <c r="D76" s="32"/>
      <c r="E76" s="32"/>
      <c r="F76" s="25">
        <v>28087659.942821324</v>
      </c>
      <c r="G76" s="32"/>
      <c r="H76" s="24">
        <f t="shared" si="24"/>
        <v>28087659.942821324</v>
      </c>
      <c r="I76" s="32"/>
      <c r="J76" s="25">
        <f t="shared" si="25"/>
        <v>28087659.942821324</v>
      </c>
      <c r="K76" s="25"/>
      <c r="L76" s="25"/>
      <c r="M76" s="44"/>
      <c r="N76" s="25">
        <f t="shared" si="20"/>
        <v>28087659.942821324</v>
      </c>
      <c r="O76" s="25">
        <v>2637040</v>
      </c>
      <c r="P76" s="25">
        <v>6188000</v>
      </c>
      <c r="Q76" s="25">
        <v>6009500</v>
      </c>
      <c r="R76" s="25">
        <v>6069000</v>
      </c>
      <c r="S76" s="25">
        <f t="shared" si="23"/>
        <v>20903540</v>
      </c>
      <c r="T76" s="25">
        <f t="shared" si="21"/>
        <v>-7184119.9428213239</v>
      </c>
      <c r="U76" s="27">
        <f t="shared" si="22"/>
        <v>0.74422504553792668</v>
      </c>
    </row>
    <row r="77" spans="1:21" s="42" customFormat="1" ht="15" hidden="1" outlineLevel="1" x14ac:dyDescent="0.25">
      <c r="A77" s="43" t="s">
        <v>92</v>
      </c>
      <c r="B77" s="24"/>
      <c r="C77" s="32"/>
      <c r="D77" s="32"/>
      <c r="E77" s="32"/>
      <c r="F77" s="25">
        <v>103945902.29001877</v>
      </c>
      <c r="G77" s="32"/>
      <c r="H77" s="24">
        <f t="shared" si="24"/>
        <v>103945902.29001877</v>
      </c>
      <c r="I77" s="32"/>
      <c r="J77" s="25">
        <f t="shared" si="25"/>
        <v>103945902.29001877</v>
      </c>
      <c r="K77" s="25"/>
      <c r="L77" s="25"/>
      <c r="M77" s="44"/>
      <c r="N77" s="25">
        <f t="shared" si="20"/>
        <v>103945902.29001877</v>
      </c>
      <c r="O77" s="25"/>
      <c r="P77" s="25">
        <v>103881820</v>
      </c>
      <c r="Q77" s="25"/>
      <c r="R77" s="25">
        <v>0</v>
      </c>
      <c r="S77" s="25">
        <f t="shared" si="23"/>
        <v>103881820</v>
      </c>
      <c r="T77" s="25">
        <f t="shared" si="21"/>
        <v>-64082.290018767118</v>
      </c>
      <c r="U77" s="27">
        <f t="shared" si="22"/>
        <v>0.99938350345124749</v>
      </c>
    </row>
    <row r="78" spans="1:21" s="42" customFormat="1" ht="15" hidden="1" outlineLevel="1" x14ac:dyDescent="0.25">
      <c r="A78" s="43" t="s">
        <v>93</v>
      </c>
      <c r="B78" s="24"/>
      <c r="C78" s="32"/>
      <c r="D78" s="32"/>
      <c r="E78" s="32"/>
      <c r="F78" s="25">
        <v>87916010.868110254</v>
      </c>
      <c r="G78" s="32"/>
      <c r="H78" s="24">
        <f t="shared" si="24"/>
        <v>87916010.868110254</v>
      </c>
      <c r="I78" s="32"/>
      <c r="J78" s="25">
        <f t="shared" si="25"/>
        <v>87916010.868110254</v>
      </c>
      <c r="K78" s="25"/>
      <c r="L78" s="25"/>
      <c r="M78" s="44"/>
      <c r="N78" s="25">
        <f t="shared" si="20"/>
        <v>87916010.868110254</v>
      </c>
      <c r="O78" s="25"/>
      <c r="P78" s="25"/>
      <c r="Q78" s="25"/>
      <c r="R78" s="25">
        <v>87435576</v>
      </c>
      <c r="S78" s="25">
        <f t="shared" si="23"/>
        <v>87435576</v>
      </c>
      <c r="T78" s="25">
        <f t="shared" si="21"/>
        <v>-480434.86811025441</v>
      </c>
      <c r="U78" s="27">
        <f t="shared" si="22"/>
        <v>0.99453529723009171</v>
      </c>
    </row>
    <row r="79" spans="1:21" s="42" customFormat="1" ht="15" hidden="1" outlineLevel="1" x14ac:dyDescent="0.25">
      <c r="A79" s="43" t="s">
        <v>94</v>
      </c>
      <c r="B79" s="24"/>
      <c r="C79" s="32"/>
      <c r="D79" s="32"/>
      <c r="E79" s="32"/>
      <c r="F79" s="25">
        <v>44030070</v>
      </c>
      <c r="G79" s="32"/>
      <c r="H79" s="24">
        <f t="shared" si="24"/>
        <v>44030070</v>
      </c>
      <c r="I79" s="32"/>
      <c r="J79" s="25">
        <f t="shared" si="25"/>
        <v>44030070</v>
      </c>
      <c r="K79" s="25"/>
      <c r="L79" s="25"/>
      <c r="M79" s="44"/>
      <c r="N79" s="25">
        <f t="shared" si="20"/>
        <v>44030070</v>
      </c>
      <c r="O79" s="25"/>
      <c r="P79" s="25"/>
      <c r="Q79" s="25"/>
      <c r="R79" s="25">
        <v>44030070</v>
      </c>
      <c r="S79" s="25">
        <f t="shared" si="23"/>
        <v>44030070</v>
      </c>
      <c r="T79" s="25">
        <f t="shared" si="21"/>
        <v>0</v>
      </c>
      <c r="U79" s="27">
        <f t="shared" si="22"/>
        <v>1</v>
      </c>
    </row>
    <row r="80" spans="1:21" s="42" customFormat="1" ht="15" hidden="1" outlineLevel="1" x14ac:dyDescent="0.25">
      <c r="A80" s="43" t="s">
        <v>95</v>
      </c>
      <c r="B80" s="24"/>
      <c r="C80" s="32"/>
      <c r="D80" s="32"/>
      <c r="E80" s="32"/>
      <c r="F80" s="25">
        <v>40000000</v>
      </c>
      <c r="G80" s="32"/>
      <c r="H80" s="24">
        <f t="shared" si="24"/>
        <v>40000000</v>
      </c>
      <c r="I80" s="32"/>
      <c r="J80" s="25">
        <f t="shared" si="25"/>
        <v>40000000</v>
      </c>
      <c r="K80" s="25"/>
      <c r="L80" s="25"/>
      <c r="M80" s="44"/>
      <c r="N80" s="25">
        <f t="shared" si="20"/>
        <v>40000000</v>
      </c>
      <c r="O80" s="25"/>
      <c r="P80" s="25">
        <v>40000000</v>
      </c>
      <c r="Q80" s="25"/>
      <c r="R80" s="25">
        <v>0</v>
      </c>
      <c r="S80" s="25">
        <f t="shared" si="23"/>
        <v>40000000</v>
      </c>
      <c r="T80" s="25">
        <f t="shared" si="21"/>
        <v>0</v>
      </c>
      <c r="U80" s="27">
        <f t="shared" si="22"/>
        <v>1</v>
      </c>
    </row>
    <row r="81" spans="1:21" s="42" customFormat="1" ht="15" collapsed="1" x14ac:dyDescent="0.25">
      <c r="A81" s="45" t="s">
        <v>96</v>
      </c>
      <c r="B81" s="24"/>
      <c r="C81" s="32"/>
      <c r="D81" s="32"/>
      <c r="E81" s="32"/>
      <c r="F81" s="32">
        <f>SUM(F82:F91)</f>
        <v>6114228091.4942875</v>
      </c>
      <c r="G81" s="32"/>
      <c r="H81" s="32">
        <f>SUM(H82:H91)</f>
        <v>6114228091.4942875</v>
      </c>
      <c r="I81" s="32"/>
      <c r="J81" s="32">
        <f>SUM(J82:J91)</f>
        <v>6114228091.4942875</v>
      </c>
      <c r="K81" s="32">
        <f>SUM(K82:K91)</f>
        <v>100000000</v>
      </c>
      <c r="L81" s="32">
        <f>SUM(L82:L91)</f>
        <v>0</v>
      </c>
      <c r="M81" s="33">
        <f>SUM(M82:M91)</f>
        <v>120000000</v>
      </c>
      <c r="N81" s="32">
        <f t="shared" si="20"/>
        <v>6334228091.4942875</v>
      </c>
      <c r="O81" s="32">
        <f>SUM(O82:O91)</f>
        <v>642213970</v>
      </c>
      <c r="P81" s="32">
        <f>SUM(P82:P91)</f>
        <v>2918333433</v>
      </c>
      <c r="Q81" s="32">
        <f>SUM(Q82:Q91)</f>
        <v>1493751622</v>
      </c>
      <c r="R81" s="32">
        <f>SUM(R82:R91)</f>
        <v>1246848761</v>
      </c>
      <c r="S81" s="32">
        <f t="shared" si="23"/>
        <v>6301147786</v>
      </c>
      <c r="T81" s="32">
        <f t="shared" si="21"/>
        <v>-33080305.494287491</v>
      </c>
      <c r="U81" s="22">
        <f t="shared" si="22"/>
        <v>0.99477753168713512</v>
      </c>
    </row>
    <row r="82" spans="1:21" s="42" customFormat="1" ht="15" hidden="1" outlineLevel="1" x14ac:dyDescent="0.25">
      <c r="A82" s="43" t="s">
        <v>97</v>
      </c>
      <c r="B82" s="24"/>
      <c r="C82" s="32"/>
      <c r="D82" s="32"/>
      <c r="E82" s="32"/>
      <c r="F82" s="25">
        <v>4934106079.2438402</v>
      </c>
      <c r="G82" s="32"/>
      <c r="H82" s="24">
        <f>+B82+C82+D82+G82+E82+F82</f>
        <v>4934106079.2438402</v>
      </c>
      <c r="I82" s="32"/>
      <c r="J82" s="25">
        <f>+H82+I82</f>
        <v>4934106079.2438402</v>
      </c>
      <c r="K82" s="25">
        <v>100000000</v>
      </c>
      <c r="L82" s="25"/>
      <c r="M82" s="44">
        <v>120000000</v>
      </c>
      <c r="N82" s="25">
        <f t="shared" si="20"/>
        <v>5154106079.2438402</v>
      </c>
      <c r="O82" s="25">
        <v>583024855</v>
      </c>
      <c r="P82" s="25">
        <v>2655073338</v>
      </c>
      <c r="Q82" s="25">
        <v>941186208</v>
      </c>
      <c r="R82" s="25">
        <v>950958023</v>
      </c>
      <c r="S82" s="25">
        <f t="shared" si="23"/>
        <v>5130242424</v>
      </c>
      <c r="T82" s="25">
        <f t="shared" si="21"/>
        <v>-23863655.243840218</v>
      </c>
      <c r="U82" s="27">
        <f t="shared" si="22"/>
        <v>0.99536997204230204</v>
      </c>
    </row>
    <row r="83" spans="1:21" s="42" customFormat="1" ht="15" hidden="1" outlineLevel="1" x14ac:dyDescent="0.25">
      <c r="A83" s="43" t="s">
        <v>98</v>
      </c>
      <c r="B83" s="24"/>
      <c r="C83" s="32"/>
      <c r="D83" s="32"/>
      <c r="E83" s="32"/>
      <c r="F83" s="25">
        <v>51483302.839700691</v>
      </c>
      <c r="G83" s="32"/>
      <c r="H83" s="24">
        <f>+B83+C83+D83+G83+E83+F83</f>
        <v>51483302.839700691</v>
      </c>
      <c r="I83" s="32"/>
      <c r="J83" s="25">
        <f>+H83+I83</f>
        <v>51483302.839700691</v>
      </c>
      <c r="K83" s="25"/>
      <c r="L83" s="25"/>
      <c r="M83" s="44"/>
      <c r="N83" s="25">
        <f t="shared" si="20"/>
        <v>51483302.839700691</v>
      </c>
      <c r="O83" s="25">
        <v>9115584</v>
      </c>
      <c r="P83" s="25">
        <v>14519536</v>
      </c>
      <c r="Q83" s="25">
        <v>13108406</v>
      </c>
      <c r="R83" s="25">
        <v>13065966</v>
      </c>
      <c r="S83" s="25">
        <f t="shared" si="23"/>
        <v>49809492</v>
      </c>
      <c r="T83" s="25">
        <f t="shared" si="21"/>
        <v>-1673810.8397006914</v>
      </c>
      <c r="U83" s="27">
        <f t="shared" si="22"/>
        <v>0.96748827780314917</v>
      </c>
    </row>
    <row r="84" spans="1:21" s="42" customFormat="1" ht="15" hidden="1" outlineLevel="1" x14ac:dyDescent="0.25">
      <c r="A84" s="43" t="s">
        <v>99</v>
      </c>
      <c r="B84" s="24"/>
      <c r="C84" s="32"/>
      <c r="D84" s="32"/>
      <c r="E84" s="32"/>
      <c r="F84" s="25">
        <v>37265695.00345809</v>
      </c>
      <c r="G84" s="32"/>
      <c r="H84" s="24">
        <f>+B84+C84+D84+G84+E84+F84</f>
        <v>37265695.00345809</v>
      </c>
      <c r="I84" s="32"/>
      <c r="J84" s="25">
        <f>+H84+I84</f>
        <v>37265695.00345809</v>
      </c>
      <c r="K84" s="25"/>
      <c r="L84" s="25"/>
      <c r="M84" s="44"/>
      <c r="N84" s="25">
        <f t="shared" si="20"/>
        <v>37265695.00345809</v>
      </c>
      <c r="O84" s="25">
        <v>9305326</v>
      </c>
      <c r="P84" s="25">
        <v>9305325</v>
      </c>
      <c r="Q84" s="25">
        <v>9305325</v>
      </c>
      <c r="R84" s="25">
        <v>8810084</v>
      </c>
      <c r="S84" s="25">
        <f t="shared" si="23"/>
        <v>36726060</v>
      </c>
      <c r="T84" s="25">
        <f t="shared" si="21"/>
        <v>-539635.00345809013</v>
      </c>
      <c r="U84" s="27">
        <f t="shared" si="22"/>
        <v>0.98551925562080578</v>
      </c>
    </row>
    <row r="85" spans="1:21" s="42" customFormat="1" ht="15" hidden="1" outlineLevel="1" x14ac:dyDescent="0.25">
      <c r="A85" s="43" t="s">
        <v>100</v>
      </c>
      <c r="B85" s="24"/>
      <c r="C85" s="32"/>
      <c r="D85" s="32"/>
      <c r="E85" s="32"/>
      <c r="F85" s="25">
        <v>63101950.608606666</v>
      </c>
      <c r="G85" s="32"/>
      <c r="H85" s="24">
        <f t="shared" ref="H85:H91" si="26">+B85+C85+D85+G85+E85+F85</f>
        <v>63101950.608606666</v>
      </c>
      <c r="I85" s="32"/>
      <c r="J85" s="25">
        <f t="shared" ref="J85:J91" si="27">+H85+I85</f>
        <v>63101950.608606666</v>
      </c>
      <c r="K85" s="25"/>
      <c r="L85" s="25"/>
      <c r="M85" s="44"/>
      <c r="N85" s="25">
        <f t="shared" si="20"/>
        <v>63101950.608606666</v>
      </c>
      <c r="O85" s="25">
        <v>15040719</v>
      </c>
      <c r="P85" s="25">
        <v>14706369</v>
      </c>
      <c r="Q85" s="25">
        <v>19081619</v>
      </c>
      <c r="R85" s="25">
        <v>14203561</v>
      </c>
      <c r="S85" s="25">
        <f t="shared" si="23"/>
        <v>63032268</v>
      </c>
      <c r="T85" s="25">
        <f t="shared" si="21"/>
        <v>-69682.608606666327</v>
      </c>
      <c r="U85" s="27">
        <f t="shared" si="22"/>
        <v>0.99889571387358722</v>
      </c>
    </row>
    <row r="86" spans="1:21" s="42" customFormat="1" ht="15" hidden="1" outlineLevel="1" x14ac:dyDescent="0.25">
      <c r="A86" s="43" t="s">
        <v>101</v>
      </c>
      <c r="B86" s="24"/>
      <c r="C86" s="32"/>
      <c r="D86" s="32"/>
      <c r="E86" s="32"/>
      <c r="F86" s="25">
        <v>229714414.39075002</v>
      </c>
      <c r="G86" s="32"/>
      <c r="H86" s="24">
        <f t="shared" si="26"/>
        <v>229714414.39075002</v>
      </c>
      <c r="I86" s="32"/>
      <c r="J86" s="25">
        <f t="shared" si="27"/>
        <v>229714414.39075002</v>
      </c>
      <c r="K86" s="25"/>
      <c r="L86" s="25"/>
      <c r="M86" s="44"/>
      <c r="N86" s="25">
        <f t="shared" si="20"/>
        <v>229714414.39075002</v>
      </c>
      <c r="O86" s="25">
        <v>13605666</v>
      </c>
      <c r="P86" s="25">
        <v>70677074</v>
      </c>
      <c r="Q86" s="25">
        <v>64005000</v>
      </c>
      <c r="R86" s="25">
        <v>76421731</v>
      </c>
      <c r="S86" s="25">
        <f t="shared" si="23"/>
        <v>224709471</v>
      </c>
      <c r="T86" s="25">
        <f t="shared" si="21"/>
        <v>-5004943.3907500207</v>
      </c>
      <c r="U86" s="27">
        <f t="shared" si="22"/>
        <v>0.9782123233144765</v>
      </c>
    </row>
    <row r="87" spans="1:21" s="42" customFormat="1" ht="15" hidden="1" outlineLevel="1" x14ac:dyDescent="0.25">
      <c r="A87" s="43" t="s">
        <v>102</v>
      </c>
      <c r="B87" s="24"/>
      <c r="C87" s="32"/>
      <c r="D87" s="32"/>
      <c r="E87" s="32"/>
      <c r="F87" s="25">
        <v>72936906.156499997</v>
      </c>
      <c r="G87" s="32"/>
      <c r="H87" s="24">
        <f t="shared" si="26"/>
        <v>72936906.156499997</v>
      </c>
      <c r="I87" s="32"/>
      <c r="J87" s="25">
        <f t="shared" si="27"/>
        <v>72936906.156499997</v>
      </c>
      <c r="K87" s="25"/>
      <c r="L87" s="25"/>
      <c r="M87" s="44"/>
      <c r="N87" s="25">
        <f t="shared" si="20"/>
        <v>72936906.156499997</v>
      </c>
      <c r="O87" s="25">
        <v>9371250</v>
      </c>
      <c r="P87" s="25">
        <v>30000000</v>
      </c>
      <c r="Q87" s="25">
        <v>28000000</v>
      </c>
      <c r="R87" s="25">
        <v>4071300</v>
      </c>
      <c r="S87" s="25">
        <f t="shared" si="23"/>
        <v>71442550</v>
      </c>
      <c r="T87" s="25">
        <f t="shared" si="21"/>
        <v>-1494356.1564999968</v>
      </c>
      <c r="U87" s="27">
        <f t="shared" si="22"/>
        <v>0.97951165966248177</v>
      </c>
    </row>
    <row r="88" spans="1:21" s="42" customFormat="1" ht="15" hidden="1" outlineLevel="1" x14ac:dyDescent="0.25">
      <c r="A88" s="43" t="s">
        <v>103</v>
      </c>
      <c r="B88" s="24"/>
      <c r="C88" s="32"/>
      <c r="D88" s="32"/>
      <c r="E88" s="32"/>
      <c r="F88" s="25">
        <v>64915059.201299995</v>
      </c>
      <c r="G88" s="32"/>
      <c r="H88" s="24">
        <f t="shared" si="26"/>
        <v>64915059.201299995</v>
      </c>
      <c r="I88" s="32"/>
      <c r="J88" s="25">
        <f t="shared" si="27"/>
        <v>64915059.201299995</v>
      </c>
      <c r="K88" s="25"/>
      <c r="L88" s="25"/>
      <c r="M88" s="44"/>
      <c r="N88" s="25">
        <f t="shared" si="20"/>
        <v>64915059.201299995</v>
      </c>
      <c r="O88" s="25"/>
      <c r="P88" s="25">
        <v>0</v>
      </c>
      <c r="Q88" s="25">
        <v>0</v>
      </c>
      <c r="R88" s="25">
        <v>64915059</v>
      </c>
      <c r="S88" s="25">
        <f t="shared" si="23"/>
        <v>64915059</v>
      </c>
      <c r="T88" s="25">
        <f t="shared" si="21"/>
        <v>-0.2012999951839447</v>
      </c>
      <c r="U88" s="27">
        <f t="shared" si="22"/>
        <v>0.99999999689902475</v>
      </c>
    </row>
    <row r="89" spans="1:21" s="42" customFormat="1" ht="15" hidden="1" outlineLevel="1" x14ac:dyDescent="0.25">
      <c r="A89" s="43" t="s">
        <v>104</v>
      </c>
      <c r="B89" s="24"/>
      <c r="C89" s="32"/>
      <c r="D89" s="32"/>
      <c r="E89" s="32"/>
      <c r="F89" s="25">
        <v>130962809.05013248</v>
      </c>
      <c r="G89" s="32"/>
      <c r="H89" s="24">
        <f t="shared" si="26"/>
        <v>130962809.05013248</v>
      </c>
      <c r="I89" s="32"/>
      <c r="J89" s="25">
        <f t="shared" si="27"/>
        <v>130962809.05013248</v>
      </c>
      <c r="K89" s="25"/>
      <c r="L89" s="25"/>
      <c r="M89" s="44"/>
      <c r="N89" s="25">
        <f t="shared" si="20"/>
        <v>130962809.05013248</v>
      </c>
      <c r="O89" s="25"/>
      <c r="P89" s="25">
        <v>45000000</v>
      </c>
      <c r="Q89" s="25">
        <v>19741864</v>
      </c>
      <c r="R89" s="25">
        <v>66205398</v>
      </c>
      <c r="S89" s="25">
        <f t="shared" si="23"/>
        <v>130947262</v>
      </c>
      <c r="T89" s="25">
        <f t="shared" si="21"/>
        <v>-15547.050132483244</v>
      </c>
      <c r="U89" s="27">
        <f t="shared" si="22"/>
        <v>0.99988128652519559</v>
      </c>
    </row>
    <row r="90" spans="1:21" s="42" customFormat="1" ht="15" hidden="1" outlineLevel="1" x14ac:dyDescent="0.25">
      <c r="A90" s="43" t="s">
        <v>105</v>
      </c>
      <c r="B90" s="24"/>
      <c r="C90" s="32"/>
      <c r="D90" s="32"/>
      <c r="E90" s="32"/>
      <c r="F90" s="25">
        <v>279741875</v>
      </c>
      <c r="G90" s="32"/>
      <c r="H90" s="24">
        <f>+B90+C90+D90+G90+E90+F90</f>
        <v>279741875</v>
      </c>
      <c r="I90" s="32"/>
      <c r="J90" s="25">
        <f>+H90+I90</f>
        <v>279741875</v>
      </c>
      <c r="K90" s="25"/>
      <c r="L90" s="25"/>
      <c r="M90" s="44"/>
      <c r="N90" s="25">
        <f t="shared" si="20"/>
        <v>279741875</v>
      </c>
      <c r="O90" s="25">
        <v>2750570</v>
      </c>
      <c r="P90" s="25">
        <v>79051791</v>
      </c>
      <c r="Q90" s="25">
        <v>149741875</v>
      </c>
      <c r="R90" s="25">
        <v>48197639</v>
      </c>
      <c r="S90" s="25">
        <f t="shared" si="23"/>
        <v>279741875</v>
      </c>
      <c r="T90" s="25">
        <f t="shared" si="21"/>
        <v>0</v>
      </c>
      <c r="U90" s="27">
        <f t="shared" si="22"/>
        <v>1</v>
      </c>
    </row>
    <row r="91" spans="1:21" s="42" customFormat="1" ht="15" hidden="1" outlineLevel="1" x14ac:dyDescent="0.25">
      <c r="A91" s="43" t="s">
        <v>106</v>
      </c>
      <c r="B91" s="24"/>
      <c r="C91" s="32"/>
      <c r="D91" s="32"/>
      <c r="E91" s="32"/>
      <c r="F91" s="25">
        <v>250000000</v>
      </c>
      <c r="G91" s="32"/>
      <c r="H91" s="24">
        <f t="shared" si="26"/>
        <v>250000000</v>
      </c>
      <c r="I91" s="32"/>
      <c r="J91" s="25">
        <f t="shared" si="27"/>
        <v>250000000</v>
      </c>
      <c r="K91" s="25"/>
      <c r="L91" s="25"/>
      <c r="M91" s="44"/>
      <c r="N91" s="25">
        <f t="shared" si="20"/>
        <v>250000000</v>
      </c>
      <c r="O91" s="25"/>
      <c r="P91" s="25">
        <v>0</v>
      </c>
      <c r="Q91" s="25">
        <v>249581325</v>
      </c>
      <c r="R91" s="25">
        <v>0</v>
      </c>
      <c r="S91" s="25">
        <f t="shared" si="23"/>
        <v>249581325</v>
      </c>
      <c r="T91" s="25">
        <f t="shared" si="21"/>
        <v>-418675</v>
      </c>
      <c r="U91" s="27">
        <f t="shared" si="22"/>
        <v>0.99832529999999997</v>
      </c>
    </row>
    <row r="92" spans="1:21" s="42" customFormat="1" ht="15" collapsed="1" x14ac:dyDescent="0.25">
      <c r="A92" s="45" t="s">
        <v>107</v>
      </c>
      <c r="B92" s="24"/>
      <c r="C92" s="32"/>
      <c r="D92" s="32"/>
      <c r="E92" s="32"/>
      <c r="F92" s="32">
        <f>SUM(F93:F100)</f>
        <v>1179466951.4562316</v>
      </c>
      <c r="G92" s="32"/>
      <c r="H92" s="32">
        <f>SUM(H93:H100)</f>
        <v>1179466951.4562316</v>
      </c>
      <c r="I92" s="32"/>
      <c r="J92" s="32">
        <f>SUM(J93:J100)</f>
        <v>1179466951.4562316</v>
      </c>
      <c r="K92" s="32">
        <f>SUM(K93:K100)</f>
        <v>0</v>
      </c>
      <c r="L92" s="32">
        <f>SUM(L93:L100)</f>
        <v>0</v>
      </c>
      <c r="M92" s="33">
        <f>SUM(M93:M100)</f>
        <v>0</v>
      </c>
      <c r="N92" s="32">
        <f t="shared" si="20"/>
        <v>1179466951.4562316</v>
      </c>
      <c r="O92" s="32">
        <f>SUM(O93:O100)</f>
        <v>103155512</v>
      </c>
      <c r="P92" s="32">
        <f>SUM(P93:P100)</f>
        <v>98415238</v>
      </c>
      <c r="Q92" s="32">
        <f>SUM(Q93:Q100)</f>
        <v>846830093</v>
      </c>
      <c r="R92" s="32">
        <f>SUM(R93:R100)</f>
        <v>122476926</v>
      </c>
      <c r="S92" s="32">
        <f t="shared" si="23"/>
        <v>1170877769</v>
      </c>
      <c r="T92" s="32">
        <f t="shared" si="21"/>
        <v>-8589182.4562315941</v>
      </c>
      <c r="U92" s="22">
        <f t="shared" si="22"/>
        <v>0.99271774215833097</v>
      </c>
    </row>
    <row r="93" spans="1:21" s="42" customFormat="1" ht="15" hidden="1" outlineLevel="1" x14ac:dyDescent="0.25">
      <c r="A93" s="43" t="s">
        <v>108</v>
      </c>
      <c r="B93" s="24"/>
      <c r="C93" s="32"/>
      <c r="D93" s="32"/>
      <c r="E93" s="32"/>
      <c r="F93" s="25">
        <v>185624779.53599998</v>
      </c>
      <c r="G93" s="32"/>
      <c r="H93" s="24">
        <f>+B93+C93+D93+G93+E93+F93</f>
        <v>185624779.53599998</v>
      </c>
      <c r="I93" s="32"/>
      <c r="J93" s="25">
        <f>+H93+I93</f>
        <v>185624779.53599998</v>
      </c>
      <c r="K93" s="25"/>
      <c r="L93" s="25"/>
      <c r="M93" s="44"/>
      <c r="N93" s="25">
        <f t="shared" si="20"/>
        <v>185624779.53599998</v>
      </c>
      <c r="O93" s="25">
        <v>5896093</v>
      </c>
      <c r="P93" s="25">
        <v>16312661</v>
      </c>
      <c r="Q93" s="25">
        <v>143347569</v>
      </c>
      <c r="R93" s="25">
        <v>17504149</v>
      </c>
      <c r="S93" s="25">
        <f t="shared" si="23"/>
        <v>183060472</v>
      </c>
      <c r="T93" s="25">
        <f t="shared" si="21"/>
        <v>-2564307.5359999835</v>
      </c>
      <c r="U93" s="27">
        <f t="shared" si="22"/>
        <v>0.98618553222037542</v>
      </c>
    </row>
    <row r="94" spans="1:21" s="42" customFormat="1" ht="15" hidden="1" outlineLevel="1" x14ac:dyDescent="0.25">
      <c r="A94" s="43" t="s">
        <v>109</v>
      </c>
      <c r="B94" s="24"/>
      <c r="C94" s="32"/>
      <c r="D94" s="32"/>
      <c r="E94" s="32"/>
      <c r="F94" s="25">
        <v>42589737.046406657</v>
      </c>
      <c r="G94" s="32"/>
      <c r="H94" s="24">
        <f>+B94+C94+D94+G94+E94+F94</f>
        <v>42589737.046406657</v>
      </c>
      <c r="I94" s="32"/>
      <c r="J94" s="25">
        <f>+H94+I94</f>
        <v>42589737.046406657</v>
      </c>
      <c r="K94" s="25"/>
      <c r="L94" s="25"/>
      <c r="M94" s="44"/>
      <c r="N94" s="25">
        <f t="shared" si="20"/>
        <v>42589737.046406657</v>
      </c>
      <c r="O94" s="25">
        <v>8138166</v>
      </c>
      <c r="P94" s="25">
        <v>12207249</v>
      </c>
      <c r="Q94" s="25">
        <v>12207249</v>
      </c>
      <c r="R94" s="25">
        <v>10037037</v>
      </c>
      <c r="S94" s="25">
        <f t="shared" si="23"/>
        <v>42589701</v>
      </c>
      <c r="T94" s="25">
        <f t="shared" si="21"/>
        <v>-36.046406656503677</v>
      </c>
      <c r="U94" s="27">
        <f t="shared" si="22"/>
        <v>0.99999915363631808</v>
      </c>
    </row>
    <row r="95" spans="1:21" s="42" customFormat="1" ht="15" hidden="1" outlineLevel="1" x14ac:dyDescent="0.25">
      <c r="A95" s="43" t="s">
        <v>110</v>
      </c>
      <c r="B95" s="24"/>
      <c r="C95" s="32"/>
      <c r="D95" s="32"/>
      <c r="E95" s="32"/>
      <c r="F95" s="25">
        <v>35224056</v>
      </c>
      <c r="G95" s="32"/>
      <c r="H95" s="24">
        <f>+B95+C95+D95+G95+E95+F95</f>
        <v>35224056</v>
      </c>
      <c r="I95" s="32"/>
      <c r="J95" s="25">
        <f>+H95+I95</f>
        <v>35224056</v>
      </c>
      <c r="K95" s="25"/>
      <c r="L95" s="25"/>
      <c r="M95" s="44"/>
      <c r="N95" s="25">
        <f t="shared" si="20"/>
        <v>35224056</v>
      </c>
      <c r="O95" s="25">
        <v>4844938</v>
      </c>
      <c r="P95" s="25">
        <v>7757473</v>
      </c>
      <c r="Q95" s="25">
        <v>8422278</v>
      </c>
      <c r="R95" s="25">
        <v>9596820</v>
      </c>
      <c r="S95" s="25">
        <f t="shared" si="23"/>
        <v>30621509</v>
      </c>
      <c r="T95" s="25">
        <f t="shared" si="21"/>
        <v>-4602547</v>
      </c>
      <c r="U95" s="27">
        <f t="shared" si="22"/>
        <v>0.86933512142951397</v>
      </c>
    </row>
    <row r="96" spans="1:21" s="42" customFormat="1" ht="15" hidden="1" outlineLevel="1" x14ac:dyDescent="0.25">
      <c r="A96" s="43" t="s">
        <v>111</v>
      </c>
      <c r="B96" s="24"/>
      <c r="C96" s="32"/>
      <c r="D96" s="32"/>
      <c r="E96" s="32"/>
      <c r="F96" s="25">
        <v>29344878.873824999</v>
      </c>
      <c r="G96" s="32"/>
      <c r="H96" s="24">
        <f>+B96+C96+D96+G96+E96+F96</f>
        <v>29344878.873824999</v>
      </c>
      <c r="I96" s="32"/>
      <c r="J96" s="25">
        <f>+H96+I96</f>
        <v>29344878.873824999</v>
      </c>
      <c r="K96" s="25"/>
      <c r="L96" s="25"/>
      <c r="M96" s="44"/>
      <c r="N96" s="25">
        <f t="shared" si="20"/>
        <v>29344878.873824999</v>
      </c>
      <c r="O96" s="25">
        <v>24370348</v>
      </c>
      <c r="P96" s="25">
        <v>2973700</v>
      </c>
      <c r="Q96" s="25">
        <v>1124968</v>
      </c>
      <c r="R96" s="25">
        <v>0</v>
      </c>
      <c r="S96" s="25">
        <f t="shared" si="23"/>
        <v>28469016</v>
      </c>
      <c r="T96" s="25">
        <f t="shared" si="21"/>
        <v>-875862.87382499874</v>
      </c>
      <c r="U96" s="27">
        <f t="shared" si="22"/>
        <v>0.97015278619513234</v>
      </c>
    </row>
    <row r="97" spans="1:21" s="42" customFormat="1" ht="15" hidden="1" outlineLevel="1" x14ac:dyDescent="0.25">
      <c r="A97" s="43" t="s">
        <v>112</v>
      </c>
      <c r="B97" s="24"/>
      <c r="C97" s="32"/>
      <c r="D97" s="32"/>
      <c r="E97" s="32"/>
      <c r="F97" s="25">
        <v>88476500</v>
      </c>
      <c r="G97" s="32"/>
      <c r="H97" s="24">
        <f>+B97+C97+D97+G97+E97+F97</f>
        <v>88476500</v>
      </c>
      <c r="I97" s="32"/>
      <c r="J97" s="25">
        <f>+H97+I97</f>
        <v>88476500</v>
      </c>
      <c r="K97" s="25"/>
      <c r="L97" s="25"/>
      <c r="M97" s="44"/>
      <c r="N97" s="25">
        <f t="shared" si="20"/>
        <v>88476500</v>
      </c>
      <c r="O97" s="25">
        <v>19960734</v>
      </c>
      <c r="P97" s="25">
        <v>27625915</v>
      </c>
      <c r="Q97" s="25">
        <v>24999265</v>
      </c>
      <c r="R97" s="25">
        <v>15887334</v>
      </c>
      <c r="S97" s="25">
        <f t="shared" si="23"/>
        <v>88473248</v>
      </c>
      <c r="T97" s="25">
        <f t="shared" si="21"/>
        <v>-3252</v>
      </c>
      <c r="U97" s="27">
        <f t="shared" si="22"/>
        <v>0.99996324447734708</v>
      </c>
    </row>
    <row r="98" spans="1:21" s="42" customFormat="1" ht="15" hidden="1" outlineLevel="1" x14ac:dyDescent="0.25">
      <c r="A98" s="43" t="s">
        <v>113</v>
      </c>
      <c r="B98" s="24"/>
      <c r="C98" s="32"/>
      <c r="D98" s="32"/>
      <c r="E98" s="32"/>
      <c r="F98" s="25">
        <v>572495000</v>
      </c>
      <c r="G98" s="32"/>
      <c r="H98" s="24">
        <f t="shared" ref="H98:H107" si="28">+B98+C98+D98+G98+E98+F98</f>
        <v>572495000</v>
      </c>
      <c r="I98" s="32"/>
      <c r="J98" s="25">
        <f t="shared" ref="J98:J107" si="29">+H98+I98</f>
        <v>572495000</v>
      </c>
      <c r="K98" s="25"/>
      <c r="L98" s="25"/>
      <c r="M98" s="44"/>
      <c r="N98" s="25">
        <f t="shared" si="20"/>
        <v>572495000</v>
      </c>
      <c r="O98" s="25"/>
      <c r="P98" s="25">
        <v>0</v>
      </c>
      <c r="Q98" s="25">
        <v>572260013</v>
      </c>
      <c r="R98" s="25">
        <v>0</v>
      </c>
      <c r="S98" s="25">
        <f t="shared" si="23"/>
        <v>572260013</v>
      </c>
      <c r="T98" s="25">
        <f t="shared" si="21"/>
        <v>-234987</v>
      </c>
      <c r="U98" s="27">
        <f t="shared" si="22"/>
        <v>0.9995895387732644</v>
      </c>
    </row>
    <row r="99" spans="1:21" s="42" customFormat="1" ht="15" hidden="1" outlineLevel="1" x14ac:dyDescent="0.25">
      <c r="A99" s="43" t="s">
        <v>114</v>
      </c>
      <c r="B99" s="24"/>
      <c r="C99" s="32"/>
      <c r="D99" s="32"/>
      <c r="E99" s="32"/>
      <c r="F99" s="25">
        <v>7500000</v>
      </c>
      <c r="G99" s="32"/>
      <c r="H99" s="24">
        <f>+B99+C99+D99+G99+E99+F99</f>
        <v>7500000</v>
      </c>
      <c r="I99" s="32"/>
      <c r="J99" s="25">
        <f t="shared" si="29"/>
        <v>7500000</v>
      </c>
      <c r="K99" s="25"/>
      <c r="L99" s="25"/>
      <c r="M99" s="44"/>
      <c r="N99" s="25">
        <f t="shared" si="20"/>
        <v>7500000</v>
      </c>
      <c r="O99" s="25">
        <v>451233</v>
      </c>
      <c r="P99" s="25">
        <v>2588240</v>
      </c>
      <c r="Q99" s="25">
        <v>2631410</v>
      </c>
      <c r="R99" s="25">
        <v>1539370</v>
      </c>
      <c r="S99" s="25">
        <f t="shared" si="23"/>
        <v>7210253</v>
      </c>
      <c r="T99" s="25">
        <f t="shared" si="21"/>
        <v>-289747</v>
      </c>
      <c r="U99" s="27">
        <f t="shared" si="22"/>
        <v>0.96136706666666671</v>
      </c>
    </row>
    <row r="100" spans="1:21" s="42" customFormat="1" ht="15" hidden="1" outlineLevel="1" x14ac:dyDescent="0.25">
      <c r="A100" s="43" t="s">
        <v>115</v>
      </c>
      <c r="B100" s="24"/>
      <c r="C100" s="32"/>
      <c r="D100" s="32"/>
      <c r="E100" s="32"/>
      <c r="F100" s="25">
        <v>218212000</v>
      </c>
      <c r="G100" s="32"/>
      <c r="H100" s="24">
        <f>+B100+C100+D100+G100+E100+F100</f>
        <v>218212000</v>
      </c>
      <c r="I100" s="32"/>
      <c r="J100" s="25">
        <f t="shared" si="29"/>
        <v>218212000</v>
      </c>
      <c r="K100" s="25"/>
      <c r="L100" s="25"/>
      <c r="M100" s="44"/>
      <c r="N100" s="25">
        <f t="shared" si="20"/>
        <v>218212000</v>
      </c>
      <c r="O100" s="25">
        <v>39494000</v>
      </c>
      <c r="P100" s="25">
        <v>28950000</v>
      </c>
      <c r="Q100" s="25">
        <v>81837341</v>
      </c>
      <c r="R100" s="25">
        <v>67912216</v>
      </c>
      <c r="S100" s="25">
        <f t="shared" si="23"/>
        <v>218193557</v>
      </c>
      <c r="T100" s="25">
        <f t="shared" si="21"/>
        <v>-18443</v>
      </c>
      <c r="U100" s="27">
        <f t="shared" si="22"/>
        <v>0.99991548127509033</v>
      </c>
    </row>
    <row r="101" spans="1:21" s="42" customFormat="1" ht="15" collapsed="1" x14ac:dyDescent="0.25">
      <c r="A101" s="45" t="s">
        <v>116</v>
      </c>
      <c r="B101" s="20"/>
      <c r="C101" s="20"/>
      <c r="D101" s="20"/>
      <c r="E101" s="20"/>
      <c r="F101" s="20">
        <f>SUM(F102:F107)</f>
        <v>733831219.83071995</v>
      </c>
      <c r="G101" s="20"/>
      <c r="H101" s="20">
        <f t="shared" si="28"/>
        <v>733831219.83071995</v>
      </c>
      <c r="I101" s="20"/>
      <c r="J101" s="20">
        <f t="shared" si="29"/>
        <v>733831219.83071995</v>
      </c>
      <c r="K101" s="20">
        <f>SUM(K102:K107)</f>
        <v>0</v>
      </c>
      <c r="L101" s="20">
        <f>SUM(L102:L107)</f>
        <v>0</v>
      </c>
      <c r="M101" s="21">
        <f>SUM(M102:M107)</f>
        <v>-14370575.224120006</v>
      </c>
      <c r="N101" s="20">
        <f t="shared" si="20"/>
        <v>719460644.60659993</v>
      </c>
      <c r="O101" s="20">
        <f>SUM(O102:O107)</f>
        <v>94854294</v>
      </c>
      <c r="P101" s="20">
        <f>SUM(P102:P107)</f>
        <v>156038294</v>
      </c>
      <c r="Q101" s="20">
        <f>SUM(Q102:Q107)</f>
        <v>250565278</v>
      </c>
      <c r="R101" s="20">
        <f>SUM(R102:R107)</f>
        <v>200216562</v>
      </c>
      <c r="S101" s="20">
        <f t="shared" si="23"/>
        <v>701674428</v>
      </c>
      <c r="T101" s="20">
        <f t="shared" si="21"/>
        <v>-17786216.606599927</v>
      </c>
      <c r="U101" s="22">
        <f t="shared" si="22"/>
        <v>0.97527840231438179</v>
      </c>
    </row>
    <row r="102" spans="1:21" s="42" customFormat="1" ht="15" hidden="1" outlineLevel="1" x14ac:dyDescent="0.25">
      <c r="A102" s="43" t="s">
        <v>117</v>
      </c>
      <c r="B102" s="24"/>
      <c r="C102" s="32"/>
      <c r="D102" s="32"/>
      <c r="E102" s="32"/>
      <c r="F102" s="25">
        <v>14400000</v>
      </c>
      <c r="G102" s="32"/>
      <c r="H102" s="24">
        <f t="shared" si="28"/>
        <v>14400000</v>
      </c>
      <c r="I102" s="32"/>
      <c r="J102" s="25">
        <f t="shared" si="29"/>
        <v>14400000</v>
      </c>
      <c r="K102" s="25"/>
      <c r="L102" s="25"/>
      <c r="M102" s="44">
        <v>-4704060</v>
      </c>
      <c r="N102" s="25">
        <f t="shared" si="20"/>
        <v>9695940</v>
      </c>
      <c r="O102" s="25">
        <v>223400</v>
      </c>
      <c r="P102" s="25">
        <v>2328740</v>
      </c>
      <c r="Q102" s="25">
        <v>1516910</v>
      </c>
      <c r="R102" s="25">
        <v>2750230</v>
      </c>
      <c r="S102" s="25">
        <f t="shared" si="23"/>
        <v>6819280</v>
      </c>
      <c r="T102" s="25">
        <f t="shared" si="21"/>
        <v>-2876660</v>
      </c>
      <c r="U102" s="27">
        <f t="shared" si="22"/>
        <v>0.70331293304207743</v>
      </c>
    </row>
    <row r="103" spans="1:21" s="42" customFormat="1" ht="15" hidden="1" outlineLevel="1" x14ac:dyDescent="0.25">
      <c r="A103" s="43" t="s">
        <v>118</v>
      </c>
      <c r="B103" s="24"/>
      <c r="C103" s="32"/>
      <c r="D103" s="32"/>
      <c r="E103" s="32"/>
      <c r="F103" s="25">
        <v>170901492.60659999</v>
      </c>
      <c r="G103" s="32"/>
      <c r="H103" s="24">
        <f t="shared" si="28"/>
        <v>170901492.60659999</v>
      </c>
      <c r="I103" s="32"/>
      <c r="J103" s="25">
        <f t="shared" si="29"/>
        <v>170901492.60659999</v>
      </c>
      <c r="K103" s="25"/>
      <c r="L103" s="25"/>
      <c r="M103" s="44"/>
      <c r="N103" s="25">
        <f t="shared" si="20"/>
        <v>170901492.60659999</v>
      </c>
      <c r="O103" s="25">
        <v>32552664</v>
      </c>
      <c r="P103" s="25">
        <v>48828998</v>
      </c>
      <c r="Q103" s="25">
        <v>48828996</v>
      </c>
      <c r="R103" s="25">
        <v>40148288</v>
      </c>
      <c r="S103" s="25">
        <f t="shared" si="23"/>
        <v>170358946</v>
      </c>
      <c r="T103" s="25">
        <f t="shared" si="21"/>
        <v>-542546.60659998655</v>
      </c>
      <c r="U103" s="27">
        <f t="shared" si="22"/>
        <v>0.99682538403658716</v>
      </c>
    </row>
    <row r="104" spans="1:21" s="42" customFormat="1" ht="15" hidden="1" outlineLevel="1" x14ac:dyDescent="0.25">
      <c r="A104" s="43" t="s">
        <v>119</v>
      </c>
      <c r="B104" s="24"/>
      <c r="C104" s="32"/>
      <c r="D104" s="32"/>
      <c r="E104" s="32"/>
      <c r="F104" s="25">
        <v>107454000</v>
      </c>
      <c r="G104" s="32"/>
      <c r="H104" s="24">
        <f t="shared" si="28"/>
        <v>107454000</v>
      </c>
      <c r="I104" s="32"/>
      <c r="J104" s="25">
        <f t="shared" si="29"/>
        <v>107454000</v>
      </c>
      <c r="K104" s="25"/>
      <c r="L104" s="25"/>
      <c r="M104" s="44">
        <v>-18110</v>
      </c>
      <c r="N104" s="25">
        <f t="shared" si="20"/>
        <v>107435890</v>
      </c>
      <c r="O104" s="25">
        <v>18254600</v>
      </c>
      <c r="P104" s="25">
        <v>4864958</v>
      </c>
      <c r="Q104" s="25">
        <v>63482332</v>
      </c>
      <c r="R104" s="25">
        <v>18361461</v>
      </c>
      <c r="S104" s="25">
        <f t="shared" si="23"/>
        <v>104963351</v>
      </c>
      <c r="T104" s="25">
        <f t="shared" si="21"/>
        <v>-2472539</v>
      </c>
      <c r="U104" s="27">
        <f t="shared" si="22"/>
        <v>0.97698591224962161</v>
      </c>
    </row>
    <row r="105" spans="1:21" s="42" customFormat="1" ht="15" hidden="1" outlineLevel="1" x14ac:dyDescent="0.25">
      <c r="A105" s="43" t="s">
        <v>120</v>
      </c>
      <c r="B105" s="24"/>
      <c r="C105" s="32"/>
      <c r="D105" s="32"/>
      <c r="E105" s="32"/>
      <c r="F105" s="25">
        <v>132038134.99999999</v>
      </c>
      <c r="G105" s="32"/>
      <c r="H105" s="24">
        <f>+B105+C105+D105+G105+E105+F105</f>
        <v>132038134.99999999</v>
      </c>
      <c r="I105" s="32"/>
      <c r="J105" s="25">
        <f>+H105+I105</f>
        <v>132038134.99999999</v>
      </c>
      <c r="K105" s="25"/>
      <c r="L105" s="25"/>
      <c r="M105" s="44">
        <v>-523779.99999998498</v>
      </c>
      <c r="N105" s="25">
        <f t="shared" si="20"/>
        <v>131514355</v>
      </c>
      <c r="O105" s="25">
        <v>7351102</v>
      </c>
      <c r="P105" s="25">
        <v>12995283</v>
      </c>
      <c r="Q105" s="25">
        <v>52145162</v>
      </c>
      <c r="R105" s="25">
        <v>54755025</v>
      </c>
      <c r="S105" s="25">
        <f t="shared" si="23"/>
        <v>127246572</v>
      </c>
      <c r="T105" s="25">
        <f t="shared" si="21"/>
        <v>-4267783</v>
      </c>
      <c r="U105" s="27">
        <f t="shared" si="22"/>
        <v>0.96754891889938555</v>
      </c>
    </row>
    <row r="106" spans="1:21" s="42" customFormat="1" ht="15" hidden="1" outlineLevel="1" x14ac:dyDescent="0.25">
      <c r="A106" s="43" t="s">
        <v>121</v>
      </c>
      <c r="B106" s="24"/>
      <c r="C106" s="32"/>
      <c r="D106" s="32"/>
      <c r="E106" s="32"/>
      <c r="F106" s="25">
        <v>137639276.36000001</v>
      </c>
      <c r="G106" s="32"/>
      <c r="H106" s="24">
        <f>+B106+C106+D106+G106+E106+F106</f>
        <v>137639276.36000001</v>
      </c>
      <c r="I106" s="32"/>
      <c r="J106" s="25">
        <f>+H106+I106</f>
        <v>137639276.36000001</v>
      </c>
      <c r="K106" s="25"/>
      <c r="L106" s="25"/>
      <c r="M106" s="44">
        <v>-1209705.3600000101</v>
      </c>
      <c r="N106" s="25">
        <f t="shared" si="20"/>
        <v>136429571</v>
      </c>
      <c r="O106" s="25">
        <v>4631021</v>
      </c>
      <c r="P106" s="25">
        <v>44898550</v>
      </c>
      <c r="Q106" s="25">
        <v>35464982</v>
      </c>
      <c r="R106" s="25">
        <v>43808332</v>
      </c>
      <c r="S106" s="25">
        <f t="shared" si="23"/>
        <v>128802885</v>
      </c>
      <c r="T106" s="25">
        <f t="shared" si="21"/>
        <v>-7626686</v>
      </c>
      <c r="U106" s="27">
        <f t="shared" si="22"/>
        <v>0.94409799910607362</v>
      </c>
    </row>
    <row r="107" spans="1:21" s="42" customFormat="1" ht="15" hidden="1" outlineLevel="1" x14ac:dyDescent="0.25">
      <c r="A107" s="43" t="s">
        <v>122</v>
      </c>
      <c r="B107" s="24"/>
      <c r="C107" s="32"/>
      <c r="D107" s="32"/>
      <c r="E107" s="32"/>
      <c r="F107" s="25">
        <v>171398315.86412001</v>
      </c>
      <c r="G107" s="32"/>
      <c r="H107" s="24">
        <f t="shared" si="28"/>
        <v>171398315.86412001</v>
      </c>
      <c r="I107" s="32"/>
      <c r="J107" s="25">
        <f t="shared" si="29"/>
        <v>171398315.86412001</v>
      </c>
      <c r="K107" s="25"/>
      <c r="L107" s="25"/>
      <c r="M107" s="44">
        <v>-7914919.8641200103</v>
      </c>
      <c r="N107" s="25">
        <f t="shared" si="20"/>
        <v>163483396</v>
      </c>
      <c r="O107" s="25">
        <v>31841507</v>
      </c>
      <c r="P107" s="25">
        <v>42121765</v>
      </c>
      <c r="Q107" s="25">
        <v>49126896</v>
      </c>
      <c r="R107" s="25">
        <v>40393226</v>
      </c>
      <c r="S107" s="25">
        <f t="shared" si="23"/>
        <v>163483394</v>
      </c>
      <c r="T107" s="25">
        <f t="shared" si="21"/>
        <v>-2</v>
      </c>
      <c r="U107" s="27">
        <f t="shared" si="22"/>
        <v>0.99999998776634169</v>
      </c>
    </row>
    <row r="108" spans="1:21" s="42" customFormat="1" ht="15" collapsed="1" x14ac:dyDescent="0.25">
      <c r="A108" s="43"/>
      <c r="B108" s="24"/>
      <c r="C108" s="32"/>
      <c r="D108" s="32"/>
      <c r="E108" s="32"/>
      <c r="F108" s="25"/>
      <c r="G108" s="32"/>
      <c r="H108" s="24"/>
      <c r="I108" s="32"/>
      <c r="J108" s="25"/>
      <c r="K108" s="25"/>
      <c r="L108" s="25"/>
      <c r="M108" s="44"/>
      <c r="N108" s="25"/>
      <c r="O108" s="25"/>
      <c r="P108" s="25"/>
      <c r="Q108" s="25"/>
      <c r="R108" s="25"/>
      <c r="S108" s="25"/>
      <c r="T108" s="25"/>
      <c r="U108" s="27"/>
    </row>
    <row r="109" spans="1:21" s="42" customFormat="1" ht="15" x14ac:dyDescent="0.25">
      <c r="A109" s="45" t="s">
        <v>123</v>
      </c>
      <c r="B109" s="32"/>
      <c r="C109" s="32"/>
      <c r="D109" s="32"/>
      <c r="E109" s="32"/>
      <c r="F109" s="32"/>
      <c r="G109" s="32">
        <f>+G110+G117+G120+G123</f>
        <v>12163601168.256559</v>
      </c>
      <c r="H109" s="32">
        <f>+H110+H117+H120+H123</f>
        <v>12163601168.256559</v>
      </c>
      <c r="I109" s="32"/>
      <c r="J109" s="32">
        <f>+J110+J117+J120+J123</f>
        <v>12163601168.256559</v>
      </c>
      <c r="K109" s="32">
        <f>+K110+K117+K120+K123</f>
        <v>0</v>
      </c>
      <c r="L109" s="32">
        <f>+L110+L117+L120+L123</f>
        <v>0</v>
      </c>
      <c r="M109" s="33">
        <f>+M110+M117+M120+M123</f>
        <v>0.3320000022649765</v>
      </c>
      <c r="N109" s="32">
        <f t="shared" ref="N109:N125" si="30">+J109+K109+L109+M109</f>
        <v>12163601168.58856</v>
      </c>
      <c r="O109" s="32">
        <f>+O110+O117+O120+O123</f>
        <v>2401187293</v>
      </c>
      <c r="P109" s="32">
        <f>+P110+P117+P120+P123</f>
        <v>3305543360</v>
      </c>
      <c r="Q109" s="32">
        <f>+Q110+Q117+Q120+Q123</f>
        <v>2915673015</v>
      </c>
      <c r="R109" s="32">
        <f>+R110+R117+R120+R123</f>
        <v>3467034592</v>
      </c>
      <c r="S109" s="32">
        <f t="shared" si="23"/>
        <v>12089438260</v>
      </c>
      <c r="T109" s="32">
        <f t="shared" ref="T109:T125" si="31">+S109-N109</f>
        <v>-74162908.588560104</v>
      </c>
      <c r="U109" s="22">
        <f t="shared" ref="U109:U125" si="32">+S109/N109</f>
        <v>0.99390288225002976</v>
      </c>
    </row>
    <row r="110" spans="1:21" s="42" customFormat="1" ht="15" x14ac:dyDescent="0.25">
      <c r="A110" s="45" t="s">
        <v>124</v>
      </c>
      <c r="B110" s="32"/>
      <c r="C110" s="32"/>
      <c r="D110" s="32"/>
      <c r="E110" s="20"/>
      <c r="F110" s="32"/>
      <c r="G110" s="20">
        <f>SUM(G111:G116)</f>
        <v>10490021208.781759</v>
      </c>
      <c r="H110" s="20">
        <f>SUM(H111:H116)</f>
        <v>10490021208.781759</v>
      </c>
      <c r="I110" s="32"/>
      <c r="J110" s="20">
        <f>SUM(J111:J116)</f>
        <v>10490021208.781759</v>
      </c>
      <c r="K110" s="20">
        <f>SUM(K111:K116)</f>
        <v>0</v>
      </c>
      <c r="L110" s="20">
        <f>SUM(L111:L116)</f>
        <v>0</v>
      </c>
      <c r="M110" s="21">
        <f>SUM(M111:M116)</f>
        <v>300000000</v>
      </c>
      <c r="N110" s="20">
        <f t="shared" si="30"/>
        <v>10790021208.781759</v>
      </c>
      <c r="O110" s="20">
        <f>SUM(O111:O116)</f>
        <v>2118773429</v>
      </c>
      <c r="P110" s="20">
        <f>SUM(P111:P116)</f>
        <v>2883038359</v>
      </c>
      <c r="Q110" s="20">
        <f>SUM(Q111:Q116)</f>
        <v>2625865526</v>
      </c>
      <c r="R110" s="20">
        <f>SUM(R111:R116)</f>
        <v>3141712199</v>
      </c>
      <c r="S110" s="20">
        <f t="shared" si="23"/>
        <v>10769389513</v>
      </c>
      <c r="T110" s="20">
        <f t="shared" si="31"/>
        <v>-20631695.781759262</v>
      </c>
      <c r="U110" s="22">
        <f t="shared" si="32"/>
        <v>0.99808789108171836</v>
      </c>
    </row>
    <row r="111" spans="1:21" s="42" customFormat="1" ht="15" hidden="1" outlineLevel="1" x14ac:dyDescent="0.25">
      <c r="A111" s="43" t="s">
        <v>125</v>
      </c>
      <c r="B111" s="32"/>
      <c r="C111" s="32"/>
      <c r="D111" s="32"/>
      <c r="E111" s="24"/>
      <c r="F111" s="32"/>
      <c r="G111" s="24">
        <v>2051747992</v>
      </c>
      <c r="H111" s="24">
        <f t="shared" ref="H111:H116" si="33">+B111+C111+D111+G111+E111+F111</f>
        <v>2051747992</v>
      </c>
      <c r="I111" s="32"/>
      <c r="J111" s="25">
        <f t="shared" ref="J111:J116" si="34">+H111+I111</f>
        <v>2051747992</v>
      </c>
      <c r="K111" s="25"/>
      <c r="L111" s="25"/>
      <c r="M111" s="44">
        <f>170000000+130000000</f>
        <v>300000000</v>
      </c>
      <c r="N111" s="25">
        <f>+J111+K111+L111+M111</f>
        <v>2351747992</v>
      </c>
      <c r="O111" s="25">
        <v>110989278</v>
      </c>
      <c r="P111" s="25">
        <v>398886538</v>
      </c>
      <c r="Q111" s="25">
        <v>996395705</v>
      </c>
      <c r="R111" s="25">
        <v>837375293</v>
      </c>
      <c r="S111" s="25">
        <f t="shared" si="23"/>
        <v>2343646814</v>
      </c>
      <c r="T111" s="25">
        <f t="shared" si="31"/>
        <v>-8101178</v>
      </c>
      <c r="U111" s="27">
        <f t="shared" si="32"/>
        <v>0.99655525250683408</v>
      </c>
    </row>
    <row r="112" spans="1:21" s="42" customFormat="1" ht="15" hidden="1" outlineLevel="1" x14ac:dyDescent="0.25">
      <c r="A112" s="43" t="s">
        <v>126</v>
      </c>
      <c r="B112" s="32"/>
      <c r="C112" s="32"/>
      <c r="D112" s="32"/>
      <c r="E112" s="24"/>
      <c r="F112" s="32"/>
      <c r="G112" s="24">
        <v>347288853</v>
      </c>
      <c r="H112" s="24">
        <f t="shared" si="33"/>
        <v>347288853</v>
      </c>
      <c r="I112" s="32"/>
      <c r="J112" s="25">
        <f t="shared" si="34"/>
        <v>347288853</v>
      </c>
      <c r="K112" s="25"/>
      <c r="L112" s="25"/>
      <c r="M112" s="44"/>
      <c r="N112" s="25">
        <f t="shared" si="30"/>
        <v>347288853</v>
      </c>
      <c r="O112" s="25">
        <v>59909500</v>
      </c>
      <c r="P112" s="25">
        <v>106858525</v>
      </c>
      <c r="Q112" s="25">
        <v>99926345</v>
      </c>
      <c r="R112" s="25">
        <v>74643090</v>
      </c>
      <c r="S112" s="25">
        <f t="shared" si="23"/>
        <v>341337460</v>
      </c>
      <c r="T112" s="25">
        <f t="shared" si="31"/>
        <v>-5951393</v>
      </c>
      <c r="U112" s="27">
        <f t="shared" si="32"/>
        <v>0.98286327663963347</v>
      </c>
    </row>
    <row r="113" spans="1:21" s="42" customFormat="1" ht="15" hidden="1" outlineLevel="1" x14ac:dyDescent="0.25">
      <c r="A113" s="43" t="s">
        <v>127</v>
      </c>
      <c r="B113" s="32"/>
      <c r="C113" s="32"/>
      <c r="D113" s="32"/>
      <c r="E113" s="24"/>
      <c r="F113" s="32"/>
      <c r="G113" s="24">
        <v>172814863.41480002</v>
      </c>
      <c r="H113" s="24">
        <f t="shared" si="33"/>
        <v>172814863.41480002</v>
      </c>
      <c r="I113" s="32"/>
      <c r="J113" s="25">
        <f t="shared" si="34"/>
        <v>172814863.41480002</v>
      </c>
      <c r="K113" s="25"/>
      <c r="L113" s="25"/>
      <c r="M113" s="44"/>
      <c r="N113" s="25">
        <f t="shared" si="30"/>
        <v>172814863.41480002</v>
      </c>
      <c r="O113" s="25">
        <v>27335606</v>
      </c>
      <c r="P113" s="25">
        <v>47581957</v>
      </c>
      <c r="Q113" s="25">
        <v>47712680</v>
      </c>
      <c r="R113" s="25">
        <v>48274182</v>
      </c>
      <c r="S113" s="25">
        <f t="shared" si="23"/>
        <v>170904425</v>
      </c>
      <c r="T113" s="25">
        <f t="shared" si="31"/>
        <v>-1910438.4148000181</v>
      </c>
      <c r="U113" s="27">
        <f t="shared" si="32"/>
        <v>0.98894517301897533</v>
      </c>
    </row>
    <row r="114" spans="1:21" s="42" customFormat="1" ht="15" hidden="1" outlineLevel="1" x14ac:dyDescent="0.25">
      <c r="A114" s="43" t="s">
        <v>128</v>
      </c>
      <c r="B114" s="32"/>
      <c r="C114" s="32"/>
      <c r="D114" s="32"/>
      <c r="E114" s="24"/>
      <c r="F114" s="32"/>
      <c r="G114" s="24">
        <v>1385616220</v>
      </c>
      <c r="H114" s="24">
        <f t="shared" si="33"/>
        <v>1385616220</v>
      </c>
      <c r="I114" s="32"/>
      <c r="J114" s="25">
        <f t="shared" si="34"/>
        <v>1385616220</v>
      </c>
      <c r="K114" s="25"/>
      <c r="L114" s="25"/>
      <c r="M114" s="44"/>
      <c r="N114" s="25">
        <f t="shared" si="30"/>
        <v>1385616220</v>
      </c>
      <c r="O114" s="25">
        <v>522786168</v>
      </c>
      <c r="P114" s="25">
        <v>232308740</v>
      </c>
      <c r="Q114" s="25">
        <v>0</v>
      </c>
      <c r="R114" s="25">
        <v>629930000</v>
      </c>
      <c r="S114" s="25">
        <f t="shared" si="23"/>
        <v>1385024908</v>
      </c>
      <c r="T114" s="25">
        <f t="shared" si="31"/>
        <v>-591312</v>
      </c>
      <c r="U114" s="27">
        <f t="shared" si="32"/>
        <v>0.9995732497992843</v>
      </c>
    </row>
    <row r="115" spans="1:21" s="42" customFormat="1" ht="15" hidden="1" outlineLevel="1" x14ac:dyDescent="0.25">
      <c r="A115" s="43" t="s">
        <v>129</v>
      </c>
      <c r="B115" s="32"/>
      <c r="C115" s="32"/>
      <c r="D115" s="32"/>
      <c r="E115" s="24"/>
      <c r="F115" s="32"/>
      <c r="G115" s="24">
        <v>6500453280.3669596</v>
      </c>
      <c r="H115" s="24">
        <f t="shared" si="33"/>
        <v>6500453280.3669596</v>
      </c>
      <c r="I115" s="32"/>
      <c r="J115" s="25">
        <f t="shared" si="34"/>
        <v>6500453280.3669596</v>
      </c>
      <c r="K115" s="25"/>
      <c r="L115" s="25"/>
      <c r="M115" s="44"/>
      <c r="N115" s="25">
        <f t="shared" si="30"/>
        <v>6500453280.3669596</v>
      </c>
      <c r="O115" s="25">
        <v>1392544147</v>
      </c>
      <c r="P115" s="25">
        <v>2087251979</v>
      </c>
      <c r="Q115" s="25">
        <v>1475925083</v>
      </c>
      <c r="R115" s="25">
        <v>1544209424</v>
      </c>
      <c r="S115" s="25">
        <f t="shared" si="23"/>
        <v>6499930633</v>
      </c>
      <c r="T115" s="25">
        <f t="shared" si="31"/>
        <v>-522647.36695957184</v>
      </c>
      <c r="U115" s="27">
        <f t="shared" si="32"/>
        <v>0.99991959831962207</v>
      </c>
    </row>
    <row r="116" spans="1:21" s="42" customFormat="1" ht="15" hidden="1" outlineLevel="1" x14ac:dyDescent="0.25">
      <c r="A116" s="43" t="s">
        <v>130</v>
      </c>
      <c r="B116" s="32"/>
      <c r="C116" s="32"/>
      <c r="D116" s="32"/>
      <c r="E116" s="24"/>
      <c r="F116" s="32"/>
      <c r="G116" s="24">
        <v>32100000</v>
      </c>
      <c r="H116" s="24">
        <f t="shared" si="33"/>
        <v>32100000</v>
      </c>
      <c r="I116" s="32"/>
      <c r="J116" s="25">
        <f t="shared" si="34"/>
        <v>32100000</v>
      </c>
      <c r="K116" s="25"/>
      <c r="L116" s="25"/>
      <c r="M116" s="44"/>
      <c r="N116" s="25">
        <f t="shared" si="30"/>
        <v>32100000</v>
      </c>
      <c r="O116" s="25">
        <v>5208730</v>
      </c>
      <c r="P116" s="25">
        <v>10150620</v>
      </c>
      <c r="Q116" s="25">
        <v>5905713</v>
      </c>
      <c r="R116" s="25">
        <v>7280210</v>
      </c>
      <c r="S116" s="25">
        <f t="shared" si="23"/>
        <v>28545273</v>
      </c>
      <c r="T116" s="25">
        <f t="shared" si="31"/>
        <v>-3554727</v>
      </c>
      <c r="U116" s="27">
        <f t="shared" si="32"/>
        <v>0.88926084112149528</v>
      </c>
    </row>
    <row r="117" spans="1:21" s="42" customFormat="1" ht="15" collapsed="1" x14ac:dyDescent="0.25">
      <c r="A117" s="45" t="s">
        <v>131</v>
      </c>
      <c r="B117" s="32"/>
      <c r="C117" s="32"/>
      <c r="D117" s="32"/>
      <c r="E117" s="20"/>
      <c r="F117" s="32"/>
      <c r="G117" s="20">
        <f>SUM(G118:G119)</f>
        <v>570125800</v>
      </c>
      <c r="H117" s="20">
        <f>SUM(H118:H119)</f>
        <v>570125800</v>
      </c>
      <c r="I117" s="32"/>
      <c r="J117" s="20">
        <f>SUM(J118:J119)</f>
        <v>570125800</v>
      </c>
      <c r="K117" s="20">
        <f>SUM(K118:K119)</f>
        <v>0</v>
      </c>
      <c r="L117" s="20">
        <f>SUM(L118:L119)</f>
        <v>0</v>
      </c>
      <c r="M117" s="21">
        <f>SUM(M118:M119)</f>
        <v>-170000000</v>
      </c>
      <c r="N117" s="20">
        <f t="shared" si="30"/>
        <v>400125800</v>
      </c>
      <c r="O117" s="20">
        <f>SUM(O118:O119)</f>
        <v>117742257</v>
      </c>
      <c r="P117" s="20">
        <f>SUM(P118:P119)</f>
        <v>83629770</v>
      </c>
      <c r="Q117" s="20">
        <f>SUM(Q118:Q119)</f>
        <v>131412549</v>
      </c>
      <c r="R117" s="20">
        <f>SUM(R118:R119)</f>
        <v>50847576</v>
      </c>
      <c r="S117" s="20">
        <f t="shared" si="23"/>
        <v>383632152</v>
      </c>
      <c r="T117" s="20">
        <f t="shared" si="31"/>
        <v>-16493648</v>
      </c>
      <c r="U117" s="22">
        <f t="shared" si="32"/>
        <v>0.95877884405354519</v>
      </c>
    </row>
    <row r="118" spans="1:21" s="42" customFormat="1" ht="15" hidden="1" outlineLevel="1" x14ac:dyDescent="0.25">
      <c r="A118" s="43" t="s">
        <v>132</v>
      </c>
      <c r="B118" s="32"/>
      <c r="C118" s="32"/>
      <c r="D118" s="32"/>
      <c r="E118" s="24"/>
      <c r="F118" s="32"/>
      <c r="G118" s="24">
        <v>320125800</v>
      </c>
      <c r="H118" s="24">
        <f>+B118+C118+D118+G118+E118+F118</f>
        <v>320125800</v>
      </c>
      <c r="I118" s="32"/>
      <c r="J118" s="25">
        <f>+H118+I118</f>
        <v>320125800</v>
      </c>
      <c r="K118" s="25"/>
      <c r="L118" s="25"/>
      <c r="M118" s="44">
        <v>-101260330</v>
      </c>
      <c r="N118" s="25">
        <f t="shared" si="30"/>
        <v>218865470</v>
      </c>
      <c r="O118" s="25">
        <v>98825627</v>
      </c>
      <c r="P118" s="25">
        <v>49679510</v>
      </c>
      <c r="Q118" s="25">
        <v>61423409</v>
      </c>
      <c r="R118" s="25">
        <v>5135003</v>
      </c>
      <c r="S118" s="25">
        <f t="shared" si="23"/>
        <v>215063549</v>
      </c>
      <c r="T118" s="25">
        <f t="shared" si="31"/>
        <v>-3801921</v>
      </c>
      <c r="U118" s="27">
        <f t="shared" si="32"/>
        <v>0.98262895924149207</v>
      </c>
    </row>
    <row r="119" spans="1:21" s="42" customFormat="1" ht="15" hidden="1" outlineLevel="1" x14ac:dyDescent="0.25">
      <c r="A119" s="43" t="s">
        <v>133</v>
      </c>
      <c r="B119" s="32"/>
      <c r="C119" s="32"/>
      <c r="D119" s="32"/>
      <c r="E119" s="24"/>
      <c r="F119" s="32"/>
      <c r="G119" s="24">
        <v>250000000</v>
      </c>
      <c r="H119" s="24">
        <f>+B119+C119+D119+G119+E119+F119</f>
        <v>250000000</v>
      </c>
      <c r="I119" s="32"/>
      <c r="J119" s="25">
        <f>+H119+I119</f>
        <v>250000000</v>
      </c>
      <c r="K119" s="25"/>
      <c r="L119" s="25"/>
      <c r="M119" s="44">
        <v>-68739670</v>
      </c>
      <c r="N119" s="25">
        <f t="shared" si="30"/>
        <v>181260330</v>
      </c>
      <c r="O119" s="25">
        <v>18916630</v>
      </c>
      <c r="P119" s="25">
        <v>33950260</v>
      </c>
      <c r="Q119" s="25">
        <v>69989140</v>
      </c>
      <c r="R119" s="25">
        <v>45712573</v>
      </c>
      <c r="S119" s="25">
        <f t="shared" si="23"/>
        <v>168568603</v>
      </c>
      <c r="T119" s="25">
        <f t="shared" si="31"/>
        <v>-12691727</v>
      </c>
      <c r="U119" s="27">
        <f t="shared" si="32"/>
        <v>0.92998066923965106</v>
      </c>
    </row>
    <row r="120" spans="1:21" s="42" customFormat="1" ht="15" collapsed="1" x14ac:dyDescent="0.25">
      <c r="A120" s="45" t="s">
        <v>134</v>
      </c>
      <c r="B120" s="32"/>
      <c r="C120" s="32"/>
      <c r="D120" s="32"/>
      <c r="E120" s="20"/>
      <c r="F120" s="32"/>
      <c r="G120" s="20">
        <f>SUM(G121:G122)</f>
        <v>574459733.66799998</v>
      </c>
      <c r="H120" s="20">
        <f>SUM(H121:H122)</f>
        <v>574459733.66799998</v>
      </c>
      <c r="I120" s="32"/>
      <c r="J120" s="20">
        <f>SUM(J121:J122)</f>
        <v>574459733.66799998</v>
      </c>
      <c r="K120" s="20">
        <f>SUM(K121:K122)</f>
        <v>0</v>
      </c>
      <c r="L120" s="20">
        <f>SUM(L121:L122)</f>
        <v>-60000000</v>
      </c>
      <c r="M120" s="21">
        <f>SUM(M121:M122)</f>
        <v>-129999999.668</v>
      </c>
      <c r="N120" s="20">
        <f t="shared" si="30"/>
        <v>384459734</v>
      </c>
      <c r="O120" s="20">
        <f>SUM(O121:O122)</f>
        <v>61914026</v>
      </c>
      <c r="P120" s="20">
        <f>SUM(P121:P122)</f>
        <v>166387146</v>
      </c>
      <c r="Q120" s="20">
        <f>SUM(Q121:Q122)</f>
        <v>84057118</v>
      </c>
      <c r="R120" s="20">
        <f>SUM(R121:R122)</f>
        <v>60348611</v>
      </c>
      <c r="S120" s="20">
        <f t="shared" si="23"/>
        <v>372706901</v>
      </c>
      <c r="T120" s="20">
        <f t="shared" si="31"/>
        <v>-11752833</v>
      </c>
      <c r="U120" s="22">
        <f t="shared" si="32"/>
        <v>0.969430262884175</v>
      </c>
    </row>
    <row r="121" spans="1:21" s="42" customFormat="1" ht="15" hidden="1" outlineLevel="1" x14ac:dyDescent="0.25">
      <c r="A121" s="43" t="str">
        <f>+'[1]Presupuesto 2017 vs 2018'!$B$37</f>
        <v>Diagnóstico Rutinario</v>
      </c>
      <c r="B121" s="32"/>
      <c r="C121" s="32"/>
      <c r="D121" s="32"/>
      <c r="E121" s="24"/>
      <c r="F121" s="32"/>
      <c r="G121" s="24">
        <v>289000000</v>
      </c>
      <c r="H121" s="24">
        <f>+B121+C121+D121+G121+E121+F121</f>
        <v>289000000</v>
      </c>
      <c r="I121" s="32"/>
      <c r="J121" s="25">
        <f>+H121+I121</f>
        <v>289000000</v>
      </c>
      <c r="K121" s="25"/>
      <c r="L121" s="25"/>
      <c r="M121" s="44">
        <v>-55137138</v>
      </c>
      <c r="N121" s="25">
        <f t="shared" si="30"/>
        <v>233862862</v>
      </c>
      <c r="O121" s="25">
        <v>38484951</v>
      </c>
      <c r="P121" s="25">
        <v>119072468</v>
      </c>
      <c r="Q121" s="25">
        <v>44523176</v>
      </c>
      <c r="R121" s="25">
        <v>29899937</v>
      </c>
      <c r="S121" s="25">
        <f t="shared" si="23"/>
        <v>231980532</v>
      </c>
      <c r="T121" s="25">
        <f t="shared" si="31"/>
        <v>-1882330</v>
      </c>
      <c r="U121" s="27">
        <f t="shared" si="32"/>
        <v>0.99195113758592424</v>
      </c>
    </row>
    <row r="122" spans="1:21" s="42" customFormat="1" ht="15" hidden="1" outlineLevel="1" x14ac:dyDescent="0.25">
      <c r="A122" s="43" t="str">
        <f>+'[1]Presupuesto 2017 vs 2018'!$B$40</f>
        <v>Trabajo con autoridades y puestos de control</v>
      </c>
      <c r="B122" s="32"/>
      <c r="C122" s="32"/>
      <c r="D122" s="32"/>
      <c r="E122" s="24"/>
      <c r="F122" s="32"/>
      <c r="G122" s="24">
        <v>285459733.66799998</v>
      </c>
      <c r="H122" s="24">
        <f>+B122+C122+D122+G122+E122+F122</f>
        <v>285459733.66799998</v>
      </c>
      <c r="I122" s="32"/>
      <c r="J122" s="25">
        <f>+H122+I122</f>
        <v>285459733.66799998</v>
      </c>
      <c r="K122" s="25"/>
      <c r="L122" s="25">
        <v>-60000000</v>
      </c>
      <c r="M122" s="44">
        <v>-74862861.667999998</v>
      </c>
      <c r="N122" s="25">
        <f t="shared" si="30"/>
        <v>150596872</v>
      </c>
      <c r="O122" s="25">
        <v>23429075</v>
      </c>
      <c r="P122" s="25">
        <v>47314678</v>
      </c>
      <c r="Q122" s="25">
        <v>39533942</v>
      </c>
      <c r="R122" s="25">
        <v>30448674</v>
      </c>
      <c r="S122" s="25">
        <f t="shared" si="23"/>
        <v>140726369</v>
      </c>
      <c r="T122" s="25">
        <f t="shared" si="31"/>
        <v>-9870503</v>
      </c>
      <c r="U122" s="27">
        <f t="shared" si="32"/>
        <v>0.93445745008568304</v>
      </c>
    </row>
    <row r="123" spans="1:21" s="42" customFormat="1" ht="15" collapsed="1" x14ac:dyDescent="0.25">
      <c r="A123" s="45" t="s">
        <v>135</v>
      </c>
      <c r="B123" s="32"/>
      <c r="C123" s="32"/>
      <c r="D123" s="32"/>
      <c r="E123" s="20"/>
      <c r="F123" s="32"/>
      <c r="G123" s="20">
        <f>SUM(G124:G125)</f>
        <v>528994425.80680001</v>
      </c>
      <c r="H123" s="20">
        <f>SUM(H124:H125)</f>
        <v>528994425.80680001</v>
      </c>
      <c r="I123" s="20"/>
      <c r="J123" s="20">
        <f>SUM(J124:J125)</f>
        <v>528994425.80680001</v>
      </c>
      <c r="K123" s="20">
        <f>SUM(K124:K125)</f>
        <v>0</v>
      </c>
      <c r="L123" s="20">
        <f>SUM(L124:L125)</f>
        <v>60000000</v>
      </c>
      <c r="M123" s="21">
        <f>SUM(M124:M125)</f>
        <v>0</v>
      </c>
      <c r="N123" s="20">
        <f t="shared" si="30"/>
        <v>588994425.80680001</v>
      </c>
      <c r="O123" s="20">
        <f>SUM(O124:O125)</f>
        <v>102757581</v>
      </c>
      <c r="P123" s="20">
        <f>SUM(P124:P125)</f>
        <v>172488085</v>
      </c>
      <c r="Q123" s="20">
        <f>SUM(Q124:Q125)</f>
        <v>74337822</v>
      </c>
      <c r="R123" s="20">
        <f>SUM(R124:R125)</f>
        <v>214126206</v>
      </c>
      <c r="S123" s="20">
        <f t="shared" si="23"/>
        <v>563709694</v>
      </c>
      <c r="T123" s="20">
        <f t="shared" si="31"/>
        <v>-25284731.806800008</v>
      </c>
      <c r="U123" s="22">
        <f t="shared" si="32"/>
        <v>0.95707135636782104</v>
      </c>
    </row>
    <row r="124" spans="1:21" s="42" customFormat="1" ht="15" hidden="1" outlineLevel="1" x14ac:dyDescent="0.25">
      <c r="A124" s="43" t="s">
        <v>136</v>
      </c>
      <c r="B124" s="32"/>
      <c r="C124" s="32"/>
      <c r="D124" s="32"/>
      <c r="E124" s="24"/>
      <c r="F124" s="32"/>
      <c r="G124" s="24">
        <v>363000000</v>
      </c>
      <c r="H124" s="24">
        <f>+B124+C124+D124+G124+E124+F124</f>
        <v>363000000</v>
      </c>
      <c r="I124" s="32"/>
      <c r="J124" s="25">
        <f>+H124+I124</f>
        <v>363000000</v>
      </c>
      <c r="K124" s="25"/>
      <c r="L124" s="25"/>
      <c r="M124" s="44"/>
      <c r="N124" s="25">
        <f t="shared" si="30"/>
        <v>363000000</v>
      </c>
      <c r="O124" s="25">
        <v>58831980</v>
      </c>
      <c r="P124" s="25">
        <v>124565667</v>
      </c>
      <c r="Q124" s="25">
        <v>9698415</v>
      </c>
      <c r="R124" s="25">
        <v>147259913</v>
      </c>
      <c r="S124" s="25">
        <f t="shared" si="23"/>
        <v>340355975</v>
      </c>
      <c r="T124" s="25">
        <f t="shared" si="31"/>
        <v>-22644025</v>
      </c>
      <c r="U124" s="27">
        <f t="shared" si="32"/>
        <v>0.93761976584022033</v>
      </c>
    </row>
    <row r="125" spans="1:21" s="42" customFormat="1" ht="15" hidden="1" outlineLevel="1" x14ac:dyDescent="0.25">
      <c r="A125" s="43" t="s">
        <v>137</v>
      </c>
      <c r="B125" s="32"/>
      <c r="C125" s="32"/>
      <c r="D125" s="32"/>
      <c r="E125" s="24"/>
      <c r="F125" s="32"/>
      <c r="G125" s="24">
        <v>165994425.80680001</v>
      </c>
      <c r="H125" s="24">
        <f>+B125+C125+D125+G125+E125+F125</f>
        <v>165994425.80680001</v>
      </c>
      <c r="I125" s="32"/>
      <c r="J125" s="25">
        <f>+H125+I125</f>
        <v>165994425.80680001</v>
      </c>
      <c r="K125" s="25"/>
      <c r="L125" s="25">
        <v>60000000</v>
      </c>
      <c r="M125" s="44"/>
      <c r="N125" s="25">
        <f t="shared" si="30"/>
        <v>225994425.80680001</v>
      </c>
      <c r="O125" s="25">
        <v>43925601</v>
      </c>
      <c r="P125" s="25">
        <v>47922418</v>
      </c>
      <c r="Q125" s="25">
        <v>64639407</v>
      </c>
      <c r="R125" s="25">
        <v>66866293</v>
      </c>
      <c r="S125" s="25">
        <f t="shared" si="23"/>
        <v>223353719</v>
      </c>
      <c r="T125" s="25">
        <f t="shared" si="31"/>
        <v>-2640706.8068000078</v>
      </c>
      <c r="U125" s="27">
        <f t="shared" si="32"/>
        <v>0.98831516840571321</v>
      </c>
    </row>
    <row r="126" spans="1:21" s="42" customFormat="1" ht="15" collapsed="1" x14ac:dyDescent="0.25">
      <c r="A126" s="43"/>
      <c r="B126" s="32"/>
      <c r="C126" s="32"/>
      <c r="D126" s="32"/>
      <c r="E126" s="25"/>
      <c r="F126" s="32"/>
      <c r="G126" s="25"/>
      <c r="H126" s="24"/>
      <c r="I126" s="32"/>
      <c r="J126" s="25"/>
      <c r="K126" s="25"/>
      <c r="L126" s="25"/>
      <c r="M126" s="44"/>
      <c r="N126" s="25"/>
      <c r="O126" s="25"/>
      <c r="P126" s="25"/>
      <c r="Q126" s="25"/>
      <c r="R126" s="25"/>
      <c r="S126" s="25"/>
      <c r="T126" s="25"/>
      <c r="U126" s="27"/>
    </row>
    <row r="127" spans="1:21" s="48" customFormat="1" ht="15" x14ac:dyDescent="0.25">
      <c r="A127" s="45" t="s">
        <v>138</v>
      </c>
      <c r="B127" s="46"/>
      <c r="C127" s="20">
        <f>+C128+C132+C135+C138</f>
        <v>1725311246.817461</v>
      </c>
      <c r="D127" s="46"/>
      <c r="E127" s="47"/>
      <c r="F127" s="46"/>
      <c r="G127" s="47"/>
      <c r="H127" s="20">
        <f>+H128+H132+H135+H138</f>
        <v>1725311246.817461</v>
      </c>
      <c r="I127" s="46"/>
      <c r="J127" s="20">
        <f>+H127+I127</f>
        <v>1725311246.817461</v>
      </c>
      <c r="K127" s="20">
        <f>+K128+K132+K135+K138</f>
        <v>38000000</v>
      </c>
      <c r="L127" s="20">
        <f>+L128+L132+L135+L138</f>
        <v>0</v>
      </c>
      <c r="M127" s="21">
        <f>+M128+M132+M135+M138</f>
        <v>0</v>
      </c>
      <c r="N127" s="20">
        <f t="shared" ref="N127:N139" si="35">+J127+K127+L127+M127</f>
        <v>1763311246.817461</v>
      </c>
      <c r="O127" s="20">
        <f>+O128+O132+O135+O138</f>
        <v>363140382</v>
      </c>
      <c r="P127" s="20">
        <f>+P128+P132+P135+P138</f>
        <v>400097529</v>
      </c>
      <c r="Q127" s="20">
        <f>+Q128+Q132+Q135+Q138</f>
        <v>404393032</v>
      </c>
      <c r="R127" s="20">
        <f>+R128+R132+R135+R138</f>
        <v>518065476</v>
      </c>
      <c r="S127" s="20">
        <f t="shared" si="23"/>
        <v>1685696419</v>
      </c>
      <c r="T127" s="20">
        <f t="shared" ref="T127:T139" si="36">+S127-N127</f>
        <v>-77614827.817461014</v>
      </c>
      <c r="U127" s="22">
        <f t="shared" ref="U127:U139" si="37">+S127/N127</f>
        <v>0.95598347826706975</v>
      </c>
    </row>
    <row r="128" spans="1:21" s="42" customFormat="1" ht="15" x14ac:dyDescent="0.25">
      <c r="A128" s="45" t="s">
        <v>139</v>
      </c>
      <c r="B128" s="46"/>
      <c r="C128" s="32">
        <f>SUM(C129:C131)</f>
        <v>545749366.33704996</v>
      </c>
      <c r="D128" s="32"/>
      <c r="E128" s="32"/>
      <c r="F128" s="32"/>
      <c r="G128" s="32"/>
      <c r="H128" s="20">
        <f>+B128+C128+D128+G128+E128+F128</f>
        <v>545749366.33704996</v>
      </c>
      <c r="I128" s="20"/>
      <c r="J128" s="32">
        <f>SUM(J129:J131)</f>
        <v>545749366.33704996</v>
      </c>
      <c r="K128" s="32">
        <f>SUM(K129:K131)</f>
        <v>38000000</v>
      </c>
      <c r="L128" s="32">
        <f>SUM(L129:L131)</f>
        <v>0</v>
      </c>
      <c r="M128" s="33">
        <f>SUM(M129:M131)</f>
        <v>0</v>
      </c>
      <c r="N128" s="32">
        <f t="shared" si="35"/>
        <v>583749366.33704996</v>
      </c>
      <c r="O128" s="32">
        <f>SUM(O129:O131)</f>
        <v>121260049</v>
      </c>
      <c r="P128" s="32">
        <f>SUM(P129:P131)</f>
        <v>106980110</v>
      </c>
      <c r="Q128" s="32">
        <f>SUM(Q129:Q131)</f>
        <v>142722352</v>
      </c>
      <c r="R128" s="32">
        <f>SUM(R129:R131)</f>
        <v>194094609</v>
      </c>
      <c r="S128" s="32">
        <f t="shared" si="23"/>
        <v>565057120</v>
      </c>
      <c r="T128" s="32">
        <f t="shared" si="36"/>
        <v>-18692246.337049961</v>
      </c>
      <c r="U128" s="22">
        <f t="shared" si="37"/>
        <v>0.96797898650521652</v>
      </c>
    </row>
    <row r="129" spans="1:21" s="42" customFormat="1" ht="15" hidden="1" outlineLevel="1" x14ac:dyDescent="0.25">
      <c r="A129" s="43" t="s">
        <v>140</v>
      </c>
      <c r="B129" s="46"/>
      <c r="C129" s="25">
        <v>298718575.33704996</v>
      </c>
      <c r="D129" s="32"/>
      <c r="E129" s="32"/>
      <c r="F129" s="32"/>
      <c r="G129" s="32"/>
      <c r="H129" s="25">
        <f>+B129+C129+D129+G129+E129+F129</f>
        <v>298718575.33704996</v>
      </c>
      <c r="I129" s="20"/>
      <c r="J129" s="25">
        <f t="shared" ref="J129:J136" si="38">+H129+I129</f>
        <v>298718575.33704996</v>
      </c>
      <c r="K129" s="25">
        <v>38000000</v>
      </c>
      <c r="L129" s="25"/>
      <c r="M129" s="44"/>
      <c r="N129" s="25">
        <f t="shared" si="35"/>
        <v>336718575.33704996</v>
      </c>
      <c r="O129" s="25">
        <v>67686717</v>
      </c>
      <c r="P129" s="25">
        <v>78835815</v>
      </c>
      <c r="Q129" s="25">
        <v>73846532</v>
      </c>
      <c r="R129" s="25">
        <v>101781445</v>
      </c>
      <c r="S129" s="25">
        <f t="shared" si="23"/>
        <v>322150509</v>
      </c>
      <c r="T129" s="25">
        <f t="shared" si="36"/>
        <v>-14568066.337049961</v>
      </c>
      <c r="U129" s="27">
        <f t="shared" si="37"/>
        <v>0.95673518657986845</v>
      </c>
    </row>
    <row r="130" spans="1:21" s="42" customFormat="1" ht="15" hidden="1" outlineLevel="1" x14ac:dyDescent="0.25">
      <c r="A130" s="43" t="s">
        <v>141</v>
      </c>
      <c r="B130" s="46"/>
      <c r="C130" s="25">
        <v>46620115</v>
      </c>
      <c r="D130" s="32"/>
      <c r="E130" s="32"/>
      <c r="F130" s="32"/>
      <c r="G130" s="32"/>
      <c r="H130" s="25">
        <f t="shared" ref="H130:H136" si="39">+B130+C130+D130+G130+E130+F130</f>
        <v>46620115</v>
      </c>
      <c r="I130" s="20"/>
      <c r="J130" s="25">
        <f t="shared" si="38"/>
        <v>46620115</v>
      </c>
      <c r="K130" s="25"/>
      <c r="L130" s="25"/>
      <c r="M130" s="44"/>
      <c r="N130" s="25">
        <f t="shared" si="35"/>
        <v>46620115</v>
      </c>
      <c r="O130" s="25"/>
      <c r="P130" s="25">
        <v>0</v>
      </c>
      <c r="Q130" s="25">
        <v>0</v>
      </c>
      <c r="R130" s="25">
        <v>46620115</v>
      </c>
      <c r="S130" s="25">
        <f t="shared" si="23"/>
        <v>46620115</v>
      </c>
      <c r="T130" s="25">
        <f t="shared" si="36"/>
        <v>0</v>
      </c>
      <c r="U130" s="27">
        <f t="shared" si="37"/>
        <v>1</v>
      </c>
    </row>
    <row r="131" spans="1:21" s="42" customFormat="1" ht="15" hidden="1" outlineLevel="1" x14ac:dyDescent="0.25">
      <c r="A131" s="43" t="s">
        <v>142</v>
      </c>
      <c r="B131" s="46"/>
      <c r="C131" s="25">
        <v>200410676</v>
      </c>
      <c r="D131" s="32"/>
      <c r="E131" s="32"/>
      <c r="F131" s="32"/>
      <c r="G131" s="32"/>
      <c r="H131" s="25">
        <f t="shared" si="39"/>
        <v>200410676</v>
      </c>
      <c r="I131" s="20"/>
      <c r="J131" s="25">
        <f t="shared" si="38"/>
        <v>200410676</v>
      </c>
      <c r="K131" s="25"/>
      <c r="L131" s="25"/>
      <c r="M131" s="44"/>
      <c r="N131" s="25">
        <f t="shared" si="35"/>
        <v>200410676</v>
      </c>
      <c r="O131" s="25">
        <v>53573332</v>
      </c>
      <c r="P131" s="25">
        <v>28144295</v>
      </c>
      <c r="Q131" s="25">
        <v>68875820</v>
      </c>
      <c r="R131" s="25">
        <v>45693049</v>
      </c>
      <c r="S131" s="25">
        <f t="shared" si="23"/>
        <v>196286496</v>
      </c>
      <c r="T131" s="25">
        <f t="shared" si="36"/>
        <v>-4124180</v>
      </c>
      <c r="U131" s="27">
        <f t="shared" si="37"/>
        <v>0.97942135577647571</v>
      </c>
    </row>
    <row r="132" spans="1:21" s="42" customFormat="1" ht="15" collapsed="1" x14ac:dyDescent="0.25">
      <c r="A132" s="45" t="s">
        <v>143</v>
      </c>
      <c r="B132" s="46"/>
      <c r="C132" s="32">
        <f>SUM(C133:C134)</f>
        <v>1017775821.4213259</v>
      </c>
      <c r="D132" s="32"/>
      <c r="E132" s="32"/>
      <c r="F132" s="32"/>
      <c r="G132" s="32"/>
      <c r="H132" s="20">
        <f>+B132+C132+D132+G132+E132+F132</f>
        <v>1017775821.4213259</v>
      </c>
      <c r="I132" s="20"/>
      <c r="J132" s="32">
        <f>SUM(J133:J134)</f>
        <v>1017775821.4213259</v>
      </c>
      <c r="K132" s="32">
        <f>SUM(K133:K134)</f>
        <v>0</v>
      </c>
      <c r="L132" s="32">
        <f>SUM(L133:L134)</f>
        <v>0</v>
      </c>
      <c r="M132" s="33">
        <f>SUM(M133:M134)</f>
        <v>0</v>
      </c>
      <c r="N132" s="32">
        <f t="shared" si="35"/>
        <v>1017775821.4213259</v>
      </c>
      <c r="O132" s="32">
        <f>SUM(O133:O134)</f>
        <v>195199951</v>
      </c>
      <c r="P132" s="32">
        <f>SUM(P133:P134)</f>
        <v>265846357</v>
      </c>
      <c r="Q132" s="32">
        <f>SUM(Q133:Q134)</f>
        <v>242030656</v>
      </c>
      <c r="R132" s="32">
        <f>SUM(R133:R134)</f>
        <v>274043129</v>
      </c>
      <c r="S132" s="32">
        <f t="shared" si="23"/>
        <v>977120093</v>
      </c>
      <c r="T132" s="32">
        <f t="shared" si="36"/>
        <v>-40655728.421325922</v>
      </c>
      <c r="U132" s="22">
        <f t="shared" si="37"/>
        <v>0.96005433852363464</v>
      </c>
    </row>
    <row r="133" spans="1:21" s="42" customFormat="1" ht="15" hidden="1" outlineLevel="1" x14ac:dyDescent="0.25">
      <c r="A133" s="43" t="s">
        <v>144</v>
      </c>
      <c r="B133" s="46"/>
      <c r="C133" s="25">
        <v>739738124.42132592</v>
      </c>
      <c r="D133" s="32"/>
      <c r="E133" s="32"/>
      <c r="F133" s="32"/>
      <c r="G133" s="32"/>
      <c r="H133" s="25">
        <f t="shared" si="39"/>
        <v>739738124.42132592</v>
      </c>
      <c r="I133" s="20"/>
      <c r="J133" s="25">
        <f t="shared" si="38"/>
        <v>739738124.42132592</v>
      </c>
      <c r="K133" s="25"/>
      <c r="L133" s="25"/>
      <c r="M133" s="44"/>
      <c r="N133" s="25">
        <f t="shared" si="35"/>
        <v>739738124.42132592</v>
      </c>
      <c r="O133" s="25">
        <v>167005061</v>
      </c>
      <c r="P133" s="25">
        <v>187226800</v>
      </c>
      <c r="Q133" s="25">
        <v>186828045</v>
      </c>
      <c r="R133" s="25">
        <v>177676169</v>
      </c>
      <c r="S133" s="25">
        <f t="shared" si="23"/>
        <v>718736075</v>
      </c>
      <c r="T133" s="25">
        <f t="shared" si="36"/>
        <v>-21002049.421325922</v>
      </c>
      <c r="U133" s="27">
        <f t="shared" si="37"/>
        <v>0.97160880488922319</v>
      </c>
    </row>
    <row r="134" spans="1:21" s="42" customFormat="1" ht="15" hidden="1" outlineLevel="1" x14ac:dyDescent="0.25">
      <c r="A134" s="43" t="s">
        <v>145</v>
      </c>
      <c r="B134" s="46"/>
      <c r="C134" s="25">
        <v>278037697</v>
      </c>
      <c r="D134" s="32"/>
      <c r="E134" s="32"/>
      <c r="F134" s="32"/>
      <c r="G134" s="32"/>
      <c r="H134" s="25">
        <f t="shared" si="39"/>
        <v>278037697</v>
      </c>
      <c r="I134" s="20"/>
      <c r="J134" s="25">
        <f t="shared" si="38"/>
        <v>278037697</v>
      </c>
      <c r="K134" s="25"/>
      <c r="L134" s="25"/>
      <c r="M134" s="44"/>
      <c r="N134" s="25">
        <f t="shared" si="35"/>
        <v>278037697</v>
      </c>
      <c r="O134" s="25">
        <v>28194890</v>
      </c>
      <c r="P134" s="25">
        <v>78619557</v>
      </c>
      <c r="Q134" s="25">
        <v>55202611</v>
      </c>
      <c r="R134" s="25">
        <v>96366960</v>
      </c>
      <c r="S134" s="25">
        <f t="shared" si="23"/>
        <v>258384018</v>
      </c>
      <c r="T134" s="25">
        <f t="shared" si="36"/>
        <v>-19653679</v>
      </c>
      <c r="U134" s="27">
        <f t="shared" si="37"/>
        <v>0.92931289817150231</v>
      </c>
    </row>
    <row r="135" spans="1:21" s="42" customFormat="1" ht="15" collapsed="1" x14ac:dyDescent="0.25">
      <c r="A135" s="45" t="s">
        <v>146</v>
      </c>
      <c r="B135" s="46"/>
      <c r="C135" s="32">
        <f>SUM(C136:C137)</f>
        <v>112674980.10350001</v>
      </c>
      <c r="D135" s="32"/>
      <c r="E135" s="32"/>
      <c r="F135" s="32"/>
      <c r="G135" s="32"/>
      <c r="H135" s="20">
        <f>+B135+C135+D135+G135+E135+F135</f>
        <v>112674980.10350001</v>
      </c>
      <c r="I135" s="20"/>
      <c r="J135" s="32">
        <f>SUM(J136:J137)</f>
        <v>112674980.10350001</v>
      </c>
      <c r="K135" s="32">
        <f>SUM(K136:K137)</f>
        <v>0</v>
      </c>
      <c r="L135" s="32">
        <f>SUM(L136:L137)</f>
        <v>0</v>
      </c>
      <c r="M135" s="33">
        <f>SUM(M136:M137)</f>
        <v>0</v>
      </c>
      <c r="N135" s="32">
        <f t="shared" si="35"/>
        <v>112674980.10350001</v>
      </c>
      <c r="O135" s="32">
        <f>SUM(O136:O137)</f>
        <v>22352730</v>
      </c>
      <c r="P135" s="32">
        <f>SUM(P136:P137)</f>
        <v>13729444</v>
      </c>
      <c r="Q135" s="32">
        <f>SUM(Q136:Q137)</f>
        <v>19640024</v>
      </c>
      <c r="R135" s="32">
        <f>SUM(R136:R137)</f>
        <v>49927738</v>
      </c>
      <c r="S135" s="32">
        <f t="shared" si="23"/>
        <v>105649936</v>
      </c>
      <c r="T135" s="32">
        <f t="shared" si="36"/>
        <v>-7025044.1035000086</v>
      </c>
      <c r="U135" s="22">
        <f t="shared" si="37"/>
        <v>0.93765213806075665</v>
      </c>
    </row>
    <row r="136" spans="1:21" s="42" customFormat="1" ht="15" hidden="1" outlineLevel="1" x14ac:dyDescent="0.25">
      <c r="A136" s="43" t="s">
        <v>147</v>
      </c>
      <c r="B136" s="46"/>
      <c r="C136" s="25">
        <v>14284460</v>
      </c>
      <c r="D136" s="32"/>
      <c r="E136" s="32"/>
      <c r="F136" s="32"/>
      <c r="G136" s="32"/>
      <c r="H136" s="25">
        <f t="shared" si="39"/>
        <v>14284460</v>
      </c>
      <c r="I136" s="20"/>
      <c r="J136" s="25">
        <f t="shared" si="38"/>
        <v>14284460</v>
      </c>
      <c r="K136" s="25"/>
      <c r="L136" s="25"/>
      <c r="M136" s="44"/>
      <c r="N136" s="25">
        <f t="shared" si="35"/>
        <v>14284460</v>
      </c>
      <c r="O136" s="25">
        <v>2389159</v>
      </c>
      <c r="P136" s="25">
        <v>4254693</v>
      </c>
      <c r="Q136" s="25">
        <v>5226312</v>
      </c>
      <c r="R136" s="25">
        <v>2414296</v>
      </c>
      <c r="S136" s="25">
        <f t="shared" si="23"/>
        <v>14284460</v>
      </c>
      <c r="T136" s="25">
        <f t="shared" si="36"/>
        <v>0</v>
      </c>
      <c r="U136" s="27">
        <f t="shared" si="37"/>
        <v>1</v>
      </c>
    </row>
    <row r="137" spans="1:21" s="42" customFormat="1" ht="15" hidden="1" outlineLevel="1" x14ac:dyDescent="0.25">
      <c r="A137" s="43" t="s">
        <v>148</v>
      </c>
      <c r="B137" s="46"/>
      <c r="C137" s="25">
        <v>98390520.103500009</v>
      </c>
      <c r="D137" s="32"/>
      <c r="E137" s="32"/>
      <c r="F137" s="32"/>
      <c r="G137" s="32"/>
      <c r="H137" s="25">
        <f>+B137+C137+D137+G137+E137+F137</f>
        <v>98390520.103500009</v>
      </c>
      <c r="I137" s="20"/>
      <c r="J137" s="25">
        <f>+H137+I137</f>
        <v>98390520.103500009</v>
      </c>
      <c r="K137" s="25"/>
      <c r="L137" s="25"/>
      <c r="M137" s="44"/>
      <c r="N137" s="25">
        <f t="shared" si="35"/>
        <v>98390520.103500009</v>
      </c>
      <c r="O137" s="25">
        <v>19963571</v>
      </c>
      <c r="P137" s="25">
        <v>9474751</v>
      </c>
      <c r="Q137" s="25">
        <v>14413712</v>
      </c>
      <c r="R137" s="25">
        <v>47513442</v>
      </c>
      <c r="S137" s="25">
        <f>+O137+P137+Q137+R137</f>
        <v>91365476</v>
      </c>
      <c r="T137" s="25">
        <f t="shared" si="36"/>
        <v>-7025044.1035000086</v>
      </c>
      <c r="U137" s="27">
        <f t="shared" si="37"/>
        <v>0.92860039670376626</v>
      </c>
    </row>
    <row r="138" spans="1:21" s="42" customFormat="1" ht="15" collapsed="1" x14ac:dyDescent="0.25">
      <c r="A138" s="45" t="s">
        <v>149</v>
      </c>
      <c r="B138" s="46"/>
      <c r="C138" s="32">
        <f>SUM(C139)</f>
        <v>49111078.955584995</v>
      </c>
      <c r="D138" s="32"/>
      <c r="E138" s="32"/>
      <c r="F138" s="32"/>
      <c r="G138" s="32"/>
      <c r="H138" s="20">
        <f>+B138+C138+D138+G138+E138+F138</f>
        <v>49111078.955584995</v>
      </c>
      <c r="I138" s="20"/>
      <c r="J138" s="32">
        <f>SUM(J139)</f>
        <v>49111078.955584995</v>
      </c>
      <c r="K138" s="32">
        <f>SUM(K139)</f>
        <v>0</v>
      </c>
      <c r="L138" s="32">
        <f>SUM(L139)</f>
        <v>0</v>
      </c>
      <c r="M138" s="33">
        <f>SUM(M139)</f>
        <v>0</v>
      </c>
      <c r="N138" s="32">
        <f t="shared" si="35"/>
        <v>49111078.955584995</v>
      </c>
      <c r="O138" s="32">
        <f>SUM(O139)</f>
        <v>24327652</v>
      </c>
      <c r="P138" s="32">
        <f>SUM(P139)</f>
        <v>13541618</v>
      </c>
      <c r="Q138" s="32">
        <f>SUM(Q139)</f>
        <v>0</v>
      </c>
      <c r="R138" s="32">
        <f>SUM(R139)</f>
        <v>0</v>
      </c>
      <c r="S138" s="32">
        <f>+O138+P138+Q138+R138</f>
        <v>37869270</v>
      </c>
      <c r="T138" s="32">
        <f t="shared" si="36"/>
        <v>-11241808.955584995</v>
      </c>
      <c r="U138" s="22">
        <f t="shared" si="37"/>
        <v>0.77109423790603648</v>
      </c>
    </row>
    <row r="139" spans="1:21" s="42" customFormat="1" ht="15" hidden="1" outlineLevel="1" x14ac:dyDescent="0.25">
      <c r="A139" s="43" t="s">
        <v>150</v>
      </c>
      <c r="B139" s="46"/>
      <c r="C139" s="25">
        <v>49111078.955584995</v>
      </c>
      <c r="D139" s="32"/>
      <c r="E139" s="32"/>
      <c r="F139" s="32"/>
      <c r="G139" s="32"/>
      <c r="H139" s="25">
        <f>+B139+C139+D139+G139+E139+F139</f>
        <v>49111078.955584995</v>
      </c>
      <c r="I139" s="20"/>
      <c r="J139" s="25">
        <f>+H139+I139</f>
        <v>49111078.955584995</v>
      </c>
      <c r="K139" s="25"/>
      <c r="L139" s="25"/>
      <c r="M139" s="44"/>
      <c r="N139" s="25">
        <f t="shared" si="35"/>
        <v>49111078.955584995</v>
      </c>
      <c r="O139" s="25">
        <v>24327652</v>
      </c>
      <c r="P139" s="25">
        <v>13541618</v>
      </c>
      <c r="Q139" s="25"/>
      <c r="R139" s="25"/>
      <c r="S139" s="25">
        <f>+O139+P139+Q139+R139</f>
        <v>37869270</v>
      </c>
      <c r="T139" s="25">
        <f t="shared" si="36"/>
        <v>-11241808.955584995</v>
      </c>
      <c r="U139" s="27">
        <f t="shared" si="37"/>
        <v>0.77109423790603648</v>
      </c>
    </row>
    <row r="140" spans="1:21" s="42" customFormat="1" ht="15" collapsed="1" x14ac:dyDescent="0.25">
      <c r="A140" s="43"/>
      <c r="B140" s="46"/>
      <c r="C140" s="32"/>
      <c r="D140" s="32"/>
      <c r="E140" s="32"/>
      <c r="F140" s="32"/>
      <c r="G140" s="32"/>
      <c r="H140" s="25"/>
      <c r="I140" s="32"/>
      <c r="J140" s="25"/>
      <c r="K140" s="25"/>
      <c r="L140" s="25"/>
      <c r="M140" s="44"/>
      <c r="N140" s="25"/>
      <c r="O140" s="25"/>
      <c r="P140" s="25"/>
      <c r="Q140" s="25"/>
      <c r="R140" s="25"/>
      <c r="S140" s="25"/>
      <c r="T140" s="25"/>
      <c r="U140" s="27"/>
    </row>
    <row r="141" spans="1:21" s="42" customFormat="1" ht="15" x14ac:dyDescent="0.25">
      <c r="A141" s="45" t="s">
        <v>151</v>
      </c>
      <c r="B141" s="46"/>
      <c r="C141" s="32"/>
      <c r="D141" s="32">
        <f>+D142+D146+D159</f>
        <v>1810561218.3908</v>
      </c>
      <c r="E141" s="32"/>
      <c r="F141" s="32"/>
      <c r="G141" s="32"/>
      <c r="H141" s="32">
        <f>+H142+H146+H159</f>
        <v>1810561218.3908</v>
      </c>
      <c r="I141" s="32"/>
      <c r="J141" s="20">
        <f>+H141+I141</f>
        <v>1810561218.3908</v>
      </c>
      <c r="K141" s="20">
        <f>+K142+K146+K159</f>
        <v>0</v>
      </c>
      <c r="L141" s="20">
        <f>+L142+L146+L159</f>
        <v>311312500</v>
      </c>
      <c r="M141" s="21">
        <f>+M142+M146+M159</f>
        <v>200000000</v>
      </c>
      <c r="N141" s="20">
        <f t="shared" ref="N141:N173" si="40">+J141+K141+L141+M141</f>
        <v>2321873718.3908</v>
      </c>
      <c r="O141" s="20">
        <f>+O142+O146+O159</f>
        <v>170617033</v>
      </c>
      <c r="P141" s="20">
        <f>+P142+P146+P159</f>
        <v>482928779</v>
      </c>
      <c r="Q141" s="20">
        <f>+Q142+Q146+Q159</f>
        <v>480834367</v>
      </c>
      <c r="R141" s="20">
        <f>+R142+R146+R159</f>
        <v>1060636161</v>
      </c>
      <c r="S141" s="20">
        <f t="shared" ref="S141:S173" si="41">+O141+P141+Q141+R141</f>
        <v>2195016340</v>
      </c>
      <c r="T141" s="20">
        <f t="shared" ref="T141:T173" si="42">+S141-N141</f>
        <v>-126857378.3908</v>
      </c>
      <c r="U141" s="22">
        <f t="shared" ref="U141:U173" si="43">+S141/N141</f>
        <v>0.94536422141049092</v>
      </c>
    </row>
    <row r="142" spans="1:21" s="42" customFormat="1" ht="15" x14ac:dyDescent="0.25">
      <c r="A142" s="45" t="s">
        <v>152</v>
      </c>
      <c r="B142" s="32"/>
      <c r="C142" s="32"/>
      <c r="D142" s="32">
        <f>SUM(D143:D145)</f>
        <v>376316641.03600001</v>
      </c>
      <c r="E142" s="32"/>
      <c r="F142" s="32"/>
      <c r="G142" s="32"/>
      <c r="H142" s="32">
        <f>SUM(H143:H145)</f>
        <v>376316641.03600001</v>
      </c>
      <c r="I142" s="32"/>
      <c r="J142" s="32">
        <f>SUM(J143:J145)</f>
        <v>376316641.03600001</v>
      </c>
      <c r="K142" s="32">
        <f>SUM(K143:K145)</f>
        <v>0</v>
      </c>
      <c r="L142" s="32">
        <f>SUM(L143:L145)</f>
        <v>0</v>
      </c>
      <c r="M142" s="33">
        <f>SUM(M143:M145)</f>
        <v>10257002</v>
      </c>
      <c r="N142" s="32">
        <f t="shared" si="40"/>
        <v>386573643.03600001</v>
      </c>
      <c r="O142" s="32">
        <f>SUM(O143:O145)</f>
        <v>31661454</v>
      </c>
      <c r="P142" s="32">
        <f>SUM(P143:P145)</f>
        <v>81497620</v>
      </c>
      <c r="Q142" s="32">
        <f>SUM(Q143:Q145)</f>
        <v>82060042</v>
      </c>
      <c r="R142" s="32">
        <f>SUM(R143:R145)</f>
        <v>140865736</v>
      </c>
      <c r="S142" s="32">
        <f t="shared" si="41"/>
        <v>336084852</v>
      </c>
      <c r="T142" s="32">
        <f t="shared" si="42"/>
        <v>-50488791.036000013</v>
      </c>
      <c r="U142" s="22">
        <f t="shared" si="43"/>
        <v>0.86939411947622569</v>
      </c>
    </row>
    <row r="143" spans="1:21" s="42" customFormat="1" ht="15" hidden="1" outlineLevel="1" x14ac:dyDescent="0.25">
      <c r="A143" s="43" t="s">
        <v>153</v>
      </c>
      <c r="B143" s="32"/>
      <c r="C143" s="32"/>
      <c r="D143" s="25">
        <v>344798000</v>
      </c>
      <c r="E143" s="32"/>
      <c r="F143" s="32"/>
      <c r="G143" s="32"/>
      <c r="H143" s="24">
        <f>+B143+C143+D143+G143+E143+F143</f>
        <v>344798000</v>
      </c>
      <c r="I143" s="32"/>
      <c r="J143" s="25">
        <f>+H143+I143</f>
        <v>344798000</v>
      </c>
      <c r="K143" s="25"/>
      <c r="L143" s="25"/>
      <c r="M143" s="44"/>
      <c r="N143" s="25">
        <f t="shared" si="40"/>
        <v>344798000</v>
      </c>
      <c r="O143" s="25">
        <v>28979871</v>
      </c>
      <c r="P143" s="25">
        <v>77535501</v>
      </c>
      <c r="Q143" s="25">
        <v>75719718</v>
      </c>
      <c r="R143" s="25">
        <v>115833278</v>
      </c>
      <c r="S143" s="25">
        <f t="shared" si="41"/>
        <v>298068368</v>
      </c>
      <c r="T143" s="25">
        <f t="shared" si="42"/>
        <v>-46729632</v>
      </c>
      <c r="U143" s="27">
        <f t="shared" si="43"/>
        <v>0.8644724389352606</v>
      </c>
    </row>
    <row r="144" spans="1:21" s="42" customFormat="1" ht="15" hidden="1" outlineLevel="1" x14ac:dyDescent="0.25">
      <c r="A144" s="43" t="s">
        <v>154</v>
      </c>
      <c r="B144" s="32"/>
      <c r="C144" s="32"/>
      <c r="D144" s="25">
        <v>11518641.036</v>
      </c>
      <c r="E144" s="32"/>
      <c r="F144" s="32"/>
      <c r="G144" s="32"/>
      <c r="H144" s="24">
        <f>+B144+C144+D144+G144+E144+F144</f>
        <v>11518641.036</v>
      </c>
      <c r="I144" s="32"/>
      <c r="J144" s="25">
        <f>+H144+I144</f>
        <v>11518641.036</v>
      </c>
      <c r="K144" s="25"/>
      <c r="L144" s="25"/>
      <c r="M144" s="44"/>
      <c r="N144" s="25">
        <f t="shared" si="40"/>
        <v>11518641.036</v>
      </c>
      <c r="O144" s="25">
        <v>2681583</v>
      </c>
      <c r="P144" s="25">
        <v>3962119</v>
      </c>
      <c r="Q144" s="25">
        <v>1739944</v>
      </c>
      <c r="R144" s="25">
        <v>2182800</v>
      </c>
      <c r="S144" s="25">
        <f t="shared" si="41"/>
        <v>10566446</v>
      </c>
      <c r="T144" s="25">
        <f t="shared" si="42"/>
        <v>-952195.03600000031</v>
      </c>
      <c r="U144" s="27">
        <f t="shared" si="43"/>
        <v>0.91733442920705321</v>
      </c>
    </row>
    <row r="145" spans="1:21" s="42" customFormat="1" ht="15" hidden="1" outlineLevel="1" x14ac:dyDescent="0.25">
      <c r="A145" s="43" t="s">
        <v>155</v>
      </c>
      <c r="B145" s="32"/>
      <c r="C145" s="32"/>
      <c r="D145" s="25">
        <v>20000000</v>
      </c>
      <c r="E145" s="32"/>
      <c r="F145" s="32"/>
      <c r="G145" s="32"/>
      <c r="H145" s="24">
        <f>+B145+C145+D145+G145+E145+F145</f>
        <v>20000000</v>
      </c>
      <c r="I145" s="32"/>
      <c r="J145" s="25">
        <f>+H145+I145</f>
        <v>20000000</v>
      </c>
      <c r="K145" s="25"/>
      <c r="L145" s="25"/>
      <c r="M145" s="44">
        <v>10257002</v>
      </c>
      <c r="N145" s="25">
        <f t="shared" si="40"/>
        <v>30257002</v>
      </c>
      <c r="O145" s="25"/>
      <c r="P145" s="25"/>
      <c r="Q145" s="25">
        <v>4600380</v>
      </c>
      <c r="R145" s="25">
        <v>22849658</v>
      </c>
      <c r="S145" s="25">
        <f t="shared" si="41"/>
        <v>27450038</v>
      </c>
      <c r="T145" s="25">
        <f t="shared" si="42"/>
        <v>-2806964</v>
      </c>
      <c r="U145" s="27">
        <f t="shared" si="43"/>
        <v>0.90722927539218856</v>
      </c>
    </row>
    <row r="146" spans="1:21" s="42" customFormat="1" ht="15" collapsed="1" x14ac:dyDescent="0.25">
      <c r="A146" s="45" t="s">
        <v>156</v>
      </c>
      <c r="B146" s="32"/>
      <c r="C146" s="32"/>
      <c r="D146" s="32">
        <f>+D147+D155</f>
        <v>789000000</v>
      </c>
      <c r="E146" s="32"/>
      <c r="F146" s="32"/>
      <c r="G146" s="32"/>
      <c r="H146" s="32">
        <f>+H147+H155</f>
        <v>789000000</v>
      </c>
      <c r="I146" s="32"/>
      <c r="J146" s="32">
        <f>+J147+J155</f>
        <v>789000000</v>
      </c>
      <c r="K146" s="32">
        <f>+K147+K155</f>
        <v>0</v>
      </c>
      <c r="L146" s="32">
        <f>+L147+L155</f>
        <v>211312500</v>
      </c>
      <c r="M146" s="33">
        <f>+M147+M155</f>
        <v>-61158782</v>
      </c>
      <c r="N146" s="32">
        <f t="shared" si="40"/>
        <v>939153718</v>
      </c>
      <c r="O146" s="32">
        <f>+O147+O155</f>
        <v>48535057</v>
      </c>
      <c r="P146" s="32">
        <f>+P147+P155</f>
        <v>189130917</v>
      </c>
      <c r="Q146" s="32">
        <f>+Q147+Q155</f>
        <v>215751933</v>
      </c>
      <c r="R146" s="32">
        <f>+R147+R155</f>
        <v>422470144</v>
      </c>
      <c r="S146" s="32">
        <f t="shared" si="41"/>
        <v>875888051</v>
      </c>
      <c r="T146" s="32">
        <f t="shared" si="42"/>
        <v>-63265667</v>
      </c>
      <c r="U146" s="22">
        <f t="shared" si="43"/>
        <v>0.93263545063237452</v>
      </c>
    </row>
    <row r="147" spans="1:21" s="42" customFormat="1" ht="15" hidden="1" outlineLevel="1" x14ac:dyDescent="0.25">
      <c r="A147" s="45" t="s">
        <v>157</v>
      </c>
      <c r="B147" s="32"/>
      <c r="C147" s="32"/>
      <c r="D147" s="32">
        <f>SUM(D148:D154)</f>
        <v>442400000</v>
      </c>
      <c r="E147" s="32"/>
      <c r="F147" s="32"/>
      <c r="G147" s="32"/>
      <c r="H147" s="32">
        <f>SUM(H148:H154)</f>
        <v>442400000</v>
      </c>
      <c r="I147" s="32"/>
      <c r="J147" s="32">
        <f>SUM(J148:J154)</f>
        <v>442400000</v>
      </c>
      <c r="K147" s="32">
        <f>SUM(K148:K154)</f>
        <v>0</v>
      </c>
      <c r="L147" s="32">
        <f>SUM(L148:L154)</f>
        <v>211312500</v>
      </c>
      <c r="M147" s="33">
        <f>SUM(M148:M154)</f>
        <v>-39000000</v>
      </c>
      <c r="N147" s="32">
        <f t="shared" si="40"/>
        <v>614712500</v>
      </c>
      <c r="O147" s="32">
        <f>SUM(O148:O154)</f>
        <v>23482951</v>
      </c>
      <c r="P147" s="32">
        <f>SUM(P148:P154)</f>
        <v>105318060</v>
      </c>
      <c r="Q147" s="32">
        <f>SUM(Q148:Q154)</f>
        <v>118891528</v>
      </c>
      <c r="R147" s="32">
        <f>SUM(R148:R154)</f>
        <v>314796961</v>
      </c>
      <c r="S147" s="32">
        <f t="shared" si="41"/>
        <v>562489500</v>
      </c>
      <c r="T147" s="32">
        <f t="shared" si="42"/>
        <v>-52223000</v>
      </c>
      <c r="U147" s="22">
        <f t="shared" si="43"/>
        <v>0.91504483803404035</v>
      </c>
    </row>
    <row r="148" spans="1:21" s="42" customFormat="1" ht="15" hidden="1" outlineLevel="2" x14ac:dyDescent="0.25">
      <c r="A148" s="43" t="str">
        <f>+[2]Hoja1!$A$23</f>
        <v>Gira técnica</v>
      </c>
      <c r="B148" s="32"/>
      <c r="C148" s="32"/>
      <c r="D148" s="25">
        <v>33000000</v>
      </c>
      <c r="E148" s="32"/>
      <c r="F148" s="32"/>
      <c r="G148" s="32"/>
      <c r="H148" s="24">
        <f t="shared" ref="H148:H154" si="44">+B148+C148+D148+G148+E148+F148</f>
        <v>33000000</v>
      </c>
      <c r="I148" s="32"/>
      <c r="J148" s="25">
        <f t="shared" ref="J148:J154" si="45">+H148+I148</f>
        <v>33000000</v>
      </c>
      <c r="K148" s="25"/>
      <c r="L148" s="25">
        <v>211312500</v>
      </c>
      <c r="M148" s="44"/>
      <c r="N148" s="25">
        <f t="shared" si="40"/>
        <v>244312500</v>
      </c>
      <c r="O148" s="25"/>
      <c r="P148" s="25">
        <v>2208520</v>
      </c>
      <c r="Q148" s="25">
        <v>46565312</v>
      </c>
      <c r="R148" s="25">
        <v>162720076</v>
      </c>
      <c r="S148" s="25">
        <f t="shared" si="41"/>
        <v>211493908</v>
      </c>
      <c r="T148" s="25">
        <f t="shared" si="42"/>
        <v>-32818592</v>
      </c>
      <c r="U148" s="27">
        <f t="shared" si="43"/>
        <v>0.86566961575850598</v>
      </c>
    </row>
    <row r="149" spans="1:21" s="42" customFormat="1" ht="15" hidden="1" outlineLevel="2" x14ac:dyDescent="0.25">
      <c r="A149" s="43" t="str">
        <f>+[2]Hoja1!$A$24</f>
        <v>Capacitación en desposte y transformación de la carne de cerdo</v>
      </c>
      <c r="B149" s="32"/>
      <c r="C149" s="32"/>
      <c r="D149" s="25">
        <v>35000000</v>
      </c>
      <c r="E149" s="32"/>
      <c r="F149" s="32"/>
      <c r="G149" s="32"/>
      <c r="H149" s="24">
        <f t="shared" si="44"/>
        <v>35000000</v>
      </c>
      <c r="I149" s="32"/>
      <c r="J149" s="25">
        <f t="shared" si="45"/>
        <v>35000000</v>
      </c>
      <c r="K149" s="25"/>
      <c r="L149" s="25"/>
      <c r="M149" s="44"/>
      <c r="N149" s="25">
        <f t="shared" si="40"/>
        <v>35000000</v>
      </c>
      <c r="O149" s="25">
        <v>2201000</v>
      </c>
      <c r="P149" s="25">
        <v>13690140</v>
      </c>
      <c r="Q149" s="25">
        <v>9518468</v>
      </c>
      <c r="R149" s="25">
        <v>8996400</v>
      </c>
      <c r="S149" s="25">
        <f t="shared" si="41"/>
        <v>34406008</v>
      </c>
      <c r="T149" s="25">
        <f t="shared" si="42"/>
        <v>-593992</v>
      </c>
      <c r="U149" s="27">
        <f t="shared" si="43"/>
        <v>0.98302880000000004</v>
      </c>
    </row>
    <row r="150" spans="1:21" s="42" customFormat="1" ht="15" hidden="1" outlineLevel="2" x14ac:dyDescent="0.25">
      <c r="A150" s="43" t="str">
        <f>+[2]Hoja1!$A$26</f>
        <v>Curso virtual en tecnologías ambientales para porcicultura</v>
      </c>
      <c r="B150" s="32"/>
      <c r="C150" s="32"/>
      <c r="D150" s="25">
        <v>83000000</v>
      </c>
      <c r="E150" s="32"/>
      <c r="F150" s="32"/>
      <c r="G150" s="32"/>
      <c r="H150" s="24">
        <f t="shared" si="44"/>
        <v>83000000</v>
      </c>
      <c r="I150" s="32"/>
      <c r="J150" s="25">
        <f t="shared" si="45"/>
        <v>83000000</v>
      </c>
      <c r="K150" s="25"/>
      <c r="L150" s="25"/>
      <c r="M150" s="44"/>
      <c r="N150" s="25">
        <f t="shared" si="40"/>
        <v>83000000</v>
      </c>
      <c r="O150" s="25">
        <v>3303492</v>
      </c>
      <c r="P150" s="25">
        <v>16247500</v>
      </c>
      <c r="Q150" s="25">
        <v>0</v>
      </c>
      <c r="R150" s="25">
        <v>63150000</v>
      </c>
      <c r="S150" s="25">
        <f t="shared" si="41"/>
        <v>82700992</v>
      </c>
      <c r="T150" s="25">
        <f t="shared" si="42"/>
        <v>-299008</v>
      </c>
      <c r="U150" s="27">
        <f t="shared" si="43"/>
        <v>0.9963974939759036</v>
      </c>
    </row>
    <row r="151" spans="1:21" s="42" customFormat="1" ht="15" hidden="1" outlineLevel="2" x14ac:dyDescent="0.25">
      <c r="A151" s="43" t="str">
        <f>+[2]Hoja1!$A$27</f>
        <v>Curso virtual innovación en productos</v>
      </c>
      <c r="B151" s="32"/>
      <c r="C151" s="32"/>
      <c r="D151" s="25">
        <v>0</v>
      </c>
      <c r="E151" s="32"/>
      <c r="F151" s="32"/>
      <c r="G151" s="32"/>
      <c r="H151" s="24">
        <f>+B151+C151+D151+G151+E151+F151</f>
        <v>0</v>
      </c>
      <c r="I151" s="32"/>
      <c r="J151" s="25">
        <f>+H151+I151</f>
        <v>0</v>
      </c>
      <c r="K151" s="25"/>
      <c r="L151" s="25"/>
      <c r="M151" s="44"/>
      <c r="N151" s="25">
        <f t="shared" si="40"/>
        <v>0</v>
      </c>
      <c r="O151" s="25"/>
      <c r="P151" s="25">
        <v>0</v>
      </c>
      <c r="Q151" s="25">
        <v>0</v>
      </c>
      <c r="R151" s="25">
        <v>0</v>
      </c>
      <c r="S151" s="25">
        <f t="shared" si="41"/>
        <v>0</v>
      </c>
      <c r="T151" s="25">
        <f t="shared" si="42"/>
        <v>0</v>
      </c>
      <c r="U151" s="27">
        <v>0</v>
      </c>
    </row>
    <row r="152" spans="1:21" s="42" customFormat="1" ht="15" hidden="1" outlineLevel="2" x14ac:dyDescent="0.25">
      <c r="A152" s="43" t="str">
        <f>+[2]Hoja1!$A$28</f>
        <v>Campus virtual</v>
      </c>
      <c r="B152" s="32"/>
      <c r="C152" s="32"/>
      <c r="D152" s="25">
        <v>67000000</v>
      </c>
      <c r="E152" s="32"/>
      <c r="F152" s="32"/>
      <c r="G152" s="32"/>
      <c r="H152" s="24">
        <f t="shared" si="44"/>
        <v>67000000</v>
      </c>
      <c r="I152" s="32"/>
      <c r="J152" s="25">
        <f t="shared" si="45"/>
        <v>67000000</v>
      </c>
      <c r="K152" s="25"/>
      <c r="L152" s="25"/>
      <c r="M152" s="44">
        <v>-9000000</v>
      </c>
      <c r="N152" s="25">
        <f t="shared" si="40"/>
        <v>58000000</v>
      </c>
      <c r="O152" s="25"/>
      <c r="P152" s="25">
        <v>17999940</v>
      </c>
      <c r="Q152" s="25">
        <v>9847500</v>
      </c>
      <c r="R152" s="25">
        <v>20875562</v>
      </c>
      <c r="S152" s="25">
        <f t="shared" si="41"/>
        <v>48723002</v>
      </c>
      <c r="T152" s="25">
        <f t="shared" si="42"/>
        <v>-9276998</v>
      </c>
      <c r="U152" s="27">
        <f t="shared" si="43"/>
        <v>0.8400517586206897</v>
      </c>
    </row>
    <row r="153" spans="1:21" s="42" customFormat="1" ht="15" hidden="1" outlineLevel="2" x14ac:dyDescent="0.25">
      <c r="A153" s="43" t="str">
        <f>+[2]Hoja1!$A$30</f>
        <v>Encuentros regionales porcicolas</v>
      </c>
      <c r="B153" s="32"/>
      <c r="C153" s="32"/>
      <c r="D153" s="25">
        <v>117474000</v>
      </c>
      <c r="E153" s="32"/>
      <c r="F153" s="32"/>
      <c r="G153" s="32"/>
      <c r="H153" s="24">
        <f t="shared" si="44"/>
        <v>117474000</v>
      </c>
      <c r="I153" s="32"/>
      <c r="J153" s="25">
        <f t="shared" si="45"/>
        <v>117474000</v>
      </c>
      <c r="K153" s="25"/>
      <c r="L153" s="25"/>
      <c r="M153" s="44"/>
      <c r="N153" s="25">
        <f t="shared" si="40"/>
        <v>117474000</v>
      </c>
      <c r="O153" s="25">
        <v>13267969</v>
      </c>
      <c r="P153" s="25">
        <v>30918084</v>
      </c>
      <c r="Q153" s="25">
        <v>28981918</v>
      </c>
      <c r="R153" s="25">
        <v>38992123</v>
      </c>
      <c r="S153" s="25">
        <f t="shared" si="41"/>
        <v>112160094</v>
      </c>
      <c r="T153" s="25">
        <f t="shared" si="42"/>
        <v>-5313906</v>
      </c>
      <c r="U153" s="27">
        <f t="shared" si="43"/>
        <v>0.95476525869554119</v>
      </c>
    </row>
    <row r="154" spans="1:21" s="42" customFormat="1" ht="15" hidden="1" outlineLevel="2" x14ac:dyDescent="0.25">
      <c r="A154" s="43" t="str">
        <f>+[2]Hoja1!$A$32</f>
        <v>Curso de operarios</v>
      </c>
      <c r="B154" s="32"/>
      <c r="C154" s="32"/>
      <c r="D154" s="25">
        <v>106926000</v>
      </c>
      <c r="E154" s="32"/>
      <c r="F154" s="32"/>
      <c r="G154" s="32"/>
      <c r="H154" s="24">
        <f t="shared" si="44"/>
        <v>106926000</v>
      </c>
      <c r="I154" s="32"/>
      <c r="J154" s="25">
        <f t="shared" si="45"/>
        <v>106926000</v>
      </c>
      <c r="K154" s="25"/>
      <c r="L154" s="25"/>
      <c r="M154" s="44">
        <v>-30000000</v>
      </c>
      <c r="N154" s="25">
        <f t="shared" si="40"/>
        <v>76926000</v>
      </c>
      <c r="O154" s="25">
        <v>4710490</v>
      </c>
      <c r="P154" s="25">
        <v>24253876</v>
      </c>
      <c r="Q154" s="25">
        <v>23978330</v>
      </c>
      <c r="R154" s="25">
        <v>20062800</v>
      </c>
      <c r="S154" s="25">
        <f t="shared" si="41"/>
        <v>73005496</v>
      </c>
      <c r="T154" s="25">
        <f t="shared" si="42"/>
        <v>-3920504</v>
      </c>
      <c r="U154" s="27">
        <f t="shared" si="43"/>
        <v>0.94903538465538306</v>
      </c>
    </row>
    <row r="155" spans="1:21" s="42" customFormat="1" ht="15" hidden="1" outlineLevel="1" x14ac:dyDescent="0.25">
      <c r="A155" s="45" t="s">
        <v>158</v>
      </c>
      <c r="B155" s="32"/>
      <c r="C155" s="32"/>
      <c r="D155" s="32">
        <f>SUM(D156:D158)</f>
        <v>346600000</v>
      </c>
      <c r="E155" s="32"/>
      <c r="F155" s="32"/>
      <c r="G155" s="32"/>
      <c r="H155" s="32">
        <f>SUM(H156:H158)</f>
        <v>346600000</v>
      </c>
      <c r="I155" s="32"/>
      <c r="J155" s="32">
        <f>SUM(J156:J158)</f>
        <v>346600000</v>
      </c>
      <c r="K155" s="32">
        <f>SUM(K156:K158)</f>
        <v>0</v>
      </c>
      <c r="L155" s="32">
        <f>SUM(L156:L158)</f>
        <v>0</v>
      </c>
      <c r="M155" s="33">
        <f>SUM(M156:M158)</f>
        <v>-22158782</v>
      </c>
      <c r="N155" s="32">
        <f t="shared" si="40"/>
        <v>324441218</v>
      </c>
      <c r="O155" s="32">
        <f>SUM(O156:O158)</f>
        <v>25052106</v>
      </c>
      <c r="P155" s="32">
        <f>SUM(P156:P158)</f>
        <v>83812857</v>
      </c>
      <c r="Q155" s="32">
        <f>SUM(Q156:Q158)</f>
        <v>96860405</v>
      </c>
      <c r="R155" s="32">
        <f>SUM(R156:R158)</f>
        <v>107673183</v>
      </c>
      <c r="S155" s="32">
        <f t="shared" si="41"/>
        <v>313398551</v>
      </c>
      <c r="T155" s="32">
        <f t="shared" si="42"/>
        <v>-11042667</v>
      </c>
      <c r="U155" s="22">
        <f t="shared" si="43"/>
        <v>0.96596404406298342</v>
      </c>
    </row>
    <row r="156" spans="1:21" s="42" customFormat="1" ht="15" hidden="1" outlineLevel="2" x14ac:dyDescent="0.25">
      <c r="A156" s="43" t="str">
        <f>+[2]Hoja1!$A$34</f>
        <v>Buenas practicas en el manejo de medicamentos veterinarios</v>
      </c>
      <c r="B156" s="32"/>
      <c r="C156" s="32"/>
      <c r="D156" s="25">
        <v>29500000</v>
      </c>
      <c r="E156" s="32"/>
      <c r="F156" s="32"/>
      <c r="G156" s="32"/>
      <c r="H156" s="24">
        <f>+B156+C156+D156+G156+E156+F156</f>
        <v>29500000</v>
      </c>
      <c r="I156" s="32"/>
      <c r="J156" s="25">
        <f>+H156+I156</f>
        <v>29500000</v>
      </c>
      <c r="K156" s="25"/>
      <c r="L156" s="25"/>
      <c r="M156" s="44">
        <v>-1800000</v>
      </c>
      <c r="N156" s="25">
        <f t="shared" si="40"/>
        <v>27700000</v>
      </c>
      <c r="O156" s="25"/>
      <c r="P156" s="25">
        <v>8840757</v>
      </c>
      <c r="Q156" s="25">
        <v>4743168</v>
      </c>
      <c r="R156" s="25">
        <v>13926873</v>
      </c>
      <c r="S156" s="25">
        <f t="shared" si="41"/>
        <v>27510798</v>
      </c>
      <c r="T156" s="25">
        <f t="shared" si="42"/>
        <v>-189202</v>
      </c>
      <c r="U156" s="27">
        <f t="shared" si="43"/>
        <v>0.99316960288808664</v>
      </c>
    </row>
    <row r="157" spans="1:21" s="42" customFormat="1" ht="15" hidden="1" outlineLevel="2" x14ac:dyDescent="0.25">
      <c r="A157" s="43" t="s">
        <v>159</v>
      </c>
      <c r="B157" s="32"/>
      <c r="C157" s="32"/>
      <c r="D157" s="25">
        <v>100000000</v>
      </c>
      <c r="E157" s="32"/>
      <c r="F157" s="32"/>
      <c r="G157" s="32"/>
      <c r="H157" s="24">
        <f>+B157+C157+D157+G157+E157+F157</f>
        <v>100000000</v>
      </c>
      <c r="I157" s="32"/>
      <c r="J157" s="25">
        <f>+H157+I157</f>
        <v>100000000</v>
      </c>
      <c r="K157" s="25"/>
      <c r="L157" s="25"/>
      <c r="M157" s="44">
        <f>-10257002-10101780</f>
        <v>-20358782</v>
      </c>
      <c r="N157" s="25">
        <f t="shared" si="40"/>
        <v>79641218</v>
      </c>
      <c r="O157" s="25">
        <v>3288000</v>
      </c>
      <c r="P157" s="25">
        <v>23610220</v>
      </c>
      <c r="Q157" s="25">
        <v>52156068</v>
      </c>
      <c r="R157" s="25">
        <v>0</v>
      </c>
      <c r="S157" s="25">
        <f t="shared" si="41"/>
        <v>79054288</v>
      </c>
      <c r="T157" s="25">
        <f t="shared" si="42"/>
        <v>-586930</v>
      </c>
      <c r="U157" s="27">
        <f t="shared" si="43"/>
        <v>0.99263032365979131</v>
      </c>
    </row>
    <row r="158" spans="1:21" s="42" customFormat="1" ht="15" hidden="1" outlineLevel="2" x14ac:dyDescent="0.25">
      <c r="A158" s="43" t="s">
        <v>160</v>
      </c>
      <c r="B158" s="32"/>
      <c r="C158" s="32"/>
      <c r="D158" s="25">
        <v>217100000</v>
      </c>
      <c r="E158" s="32"/>
      <c r="F158" s="32"/>
      <c r="G158" s="32"/>
      <c r="H158" s="24">
        <f>+B158+C158+D158+G158+E158+F158</f>
        <v>217100000</v>
      </c>
      <c r="I158" s="32"/>
      <c r="J158" s="25">
        <f>+H158+I158</f>
        <v>217100000</v>
      </c>
      <c r="K158" s="25"/>
      <c r="L158" s="25"/>
      <c r="M158" s="44"/>
      <c r="N158" s="25">
        <f t="shared" si="40"/>
        <v>217100000</v>
      </c>
      <c r="O158" s="25">
        <v>21764106</v>
      </c>
      <c r="P158" s="25">
        <v>51361880</v>
      </c>
      <c r="Q158" s="25">
        <v>39961169</v>
      </c>
      <c r="R158" s="25">
        <v>93746310</v>
      </c>
      <c r="S158" s="25">
        <f t="shared" si="41"/>
        <v>206833465</v>
      </c>
      <c r="T158" s="25">
        <f t="shared" si="42"/>
        <v>-10266535</v>
      </c>
      <c r="U158" s="27">
        <f t="shared" si="43"/>
        <v>0.95271057116536162</v>
      </c>
    </row>
    <row r="159" spans="1:21" s="42" customFormat="1" ht="15" collapsed="1" x14ac:dyDescent="0.25">
      <c r="A159" s="45" t="s">
        <v>161</v>
      </c>
      <c r="B159" s="32"/>
      <c r="C159" s="32"/>
      <c r="D159" s="32">
        <f>+D160+D166+D172+D173</f>
        <v>645244577.35479999</v>
      </c>
      <c r="E159" s="32"/>
      <c r="F159" s="32"/>
      <c r="G159" s="32"/>
      <c r="H159" s="32">
        <f>+H160+H166+H172+H173</f>
        <v>645244577.35479999</v>
      </c>
      <c r="I159" s="32"/>
      <c r="J159" s="32">
        <f>+J160+J166+J172+J173</f>
        <v>645244577.35479999</v>
      </c>
      <c r="K159" s="32">
        <f>+K160+K166+K172+K173</f>
        <v>0</v>
      </c>
      <c r="L159" s="20">
        <f>+L160+L166+L172+L173</f>
        <v>100000000</v>
      </c>
      <c r="M159" s="21">
        <f>+M160+M166+M172+M173</f>
        <v>250901780</v>
      </c>
      <c r="N159" s="32">
        <f t="shared" si="40"/>
        <v>996146357.35479999</v>
      </c>
      <c r="O159" s="32">
        <f>+O160+O166+O172+O173</f>
        <v>90420522</v>
      </c>
      <c r="P159" s="32">
        <f>+P160+P166+P172+P173</f>
        <v>212300242</v>
      </c>
      <c r="Q159" s="32">
        <f>+Q160+Q166+Q172+Q173</f>
        <v>183022392</v>
      </c>
      <c r="R159" s="32">
        <f>+R160+R166+R172+R173</f>
        <v>497300281</v>
      </c>
      <c r="S159" s="32">
        <f t="shared" si="41"/>
        <v>983043437</v>
      </c>
      <c r="T159" s="32">
        <f t="shared" si="42"/>
        <v>-13102920.354799986</v>
      </c>
      <c r="U159" s="22">
        <f t="shared" si="43"/>
        <v>0.98684639033405297</v>
      </c>
    </row>
    <row r="160" spans="1:21" s="42" customFormat="1" ht="15" hidden="1" outlineLevel="1" x14ac:dyDescent="0.25">
      <c r="A160" s="45" t="s">
        <v>162</v>
      </c>
      <c r="B160" s="32"/>
      <c r="C160" s="32"/>
      <c r="D160" s="32">
        <f>SUM(D161:D165)</f>
        <v>192400876.31709999</v>
      </c>
      <c r="E160" s="32"/>
      <c r="F160" s="32"/>
      <c r="G160" s="32"/>
      <c r="H160" s="32">
        <f>SUM(H161:H165)</f>
        <v>192400876.31709999</v>
      </c>
      <c r="I160" s="32"/>
      <c r="J160" s="32">
        <f>SUM(J161:J165)</f>
        <v>192400876.31709999</v>
      </c>
      <c r="K160" s="32">
        <f>SUM(K161:K165)</f>
        <v>0</v>
      </c>
      <c r="L160" s="32">
        <f>SUM(L161:L165)</f>
        <v>100000000</v>
      </c>
      <c r="M160" s="33">
        <f>SUM(M161:M165)</f>
        <v>200000000</v>
      </c>
      <c r="N160" s="32">
        <f t="shared" si="40"/>
        <v>492400876.31709999</v>
      </c>
      <c r="O160" s="32">
        <f>SUM(O161:O165)</f>
        <v>42805508</v>
      </c>
      <c r="P160" s="32">
        <f>SUM(P161:P165)</f>
        <v>63046008</v>
      </c>
      <c r="Q160" s="32">
        <f>SUM(Q161:Q165)</f>
        <v>63083527</v>
      </c>
      <c r="R160" s="32">
        <f>SUM(R161:R165)</f>
        <v>311448615</v>
      </c>
      <c r="S160" s="32">
        <f t="shared" si="41"/>
        <v>480383658</v>
      </c>
      <c r="T160" s="32">
        <f t="shared" si="42"/>
        <v>-12017218.317099988</v>
      </c>
      <c r="U160" s="22">
        <f t="shared" si="43"/>
        <v>0.97559464473950075</v>
      </c>
    </row>
    <row r="161" spans="1:21" s="42" customFormat="1" ht="15" hidden="1" outlineLevel="2" x14ac:dyDescent="0.25">
      <c r="A161" s="43" t="str">
        <f>+[2]Hoja1!$A$40</f>
        <v>Diagnóstico rutinario</v>
      </c>
      <c r="B161" s="32"/>
      <c r="C161" s="32"/>
      <c r="D161" s="24">
        <v>26902513.050099999</v>
      </c>
      <c r="E161" s="32"/>
      <c r="F161" s="32"/>
      <c r="G161" s="32"/>
      <c r="H161" s="24">
        <f>+B161+C161+D161+G161+E161+F161</f>
        <v>26902513.050099999</v>
      </c>
      <c r="I161" s="32"/>
      <c r="J161" s="25">
        <f>+H161+I161</f>
        <v>26902513.050099999</v>
      </c>
      <c r="K161" s="25"/>
      <c r="L161" s="25"/>
      <c r="M161" s="44"/>
      <c r="N161" s="25">
        <f t="shared" si="40"/>
        <v>26902513.050099999</v>
      </c>
      <c r="O161" s="25">
        <v>3891196</v>
      </c>
      <c r="P161" s="25">
        <v>6681888</v>
      </c>
      <c r="Q161" s="25">
        <v>7189107</v>
      </c>
      <c r="R161" s="25">
        <v>8639687</v>
      </c>
      <c r="S161" s="25">
        <f t="shared" si="41"/>
        <v>26401878</v>
      </c>
      <c r="T161" s="25">
        <f t="shared" si="42"/>
        <v>-500635.05009999871</v>
      </c>
      <c r="U161" s="27">
        <f t="shared" si="43"/>
        <v>0.98139077010509479</v>
      </c>
    </row>
    <row r="162" spans="1:21" s="42" customFormat="1" ht="15" hidden="1" outlineLevel="2" x14ac:dyDescent="0.25">
      <c r="A162" s="43" t="str">
        <f>+[2]Hoja1!$A$41</f>
        <v>Diagnóstico integrado</v>
      </c>
      <c r="B162" s="32"/>
      <c r="C162" s="32"/>
      <c r="D162" s="24">
        <v>7546530.9671000019</v>
      </c>
      <c r="E162" s="32"/>
      <c r="F162" s="32"/>
      <c r="G162" s="32"/>
      <c r="H162" s="24">
        <f>+B162+C162+D162+G162+E162+F162</f>
        <v>7546530.9671000019</v>
      </c>
      <c r="I162" s="32"/>
      <c r="J162" s="25">
        <f>+H162+I162</f>
        <v>7546530.9671000019</v>
      </c>
      <c r="K162" s="25"/>
      <c r="L162" s="25"/>
      <c r="M162" s="44"/>
      <c r="N162" s="25">
        <f t="shared" si="40"/>
        <v>7546530.9671000019</v>
      </c>
      <c r="O162" s="25">
        <v>4429250</v>
      </c>
      <c r="P162" s="25">
        <v>525724</v>
      </c>
      <c r="Q162" s="25">
        <v>2504358</v>
      </c>
      <c r="R162" s="25">
        <v>0</v>
      </c>
      <c r="S162" s="25">
        <f t="shared" si="41"/>
        <v>7459332</v>
      </c>
      <c r="T162" s="25">
        <f t="shared" si="42"/>
        <v>-87198.967100001872</v>
      </c>
      <c r="U162" s="27">
        <f t="shared" si="43"/>
        <v>0.98844515877823125</v>
      </c>
    </row>
    <row r="163" spans="1:21" s="42" customFormat="1" ht="15" hidden="1" outlineLevel="2" x14ac:dyDescent="0.25">
      <c r="A163" s="43" t="str">
        <f>+[2]Hoja1!$A$42</f>
        <v>Diagnóstico PRRS (incluido IFA)</v>
      </c>
      <c r="B163" s="32"/>
      <c r="C163" s="32"/>
      <c r="D163" s="24">
        <v>26528984.925900001</v>
      </c>
      <c r="E163" s="32"/>
      <c r="F163" s="32"/>
      <c r="G163" s="32"/>
      <c r="H163" s="24">
        <f>+B163+C163+D163+G163+E163+F163</f>
        <v>26528984.925900001</v>
      </c>
      <c r="I163" s="32"/>
      <c r="J163" s="25">
        <f>+H163+I163</f>
        <v>26528984.925900001</v>
      </c>
      <c r="K163" s="25"/>
      <c r="L163" s="25"/>
      <c r="M163" s="44"/>
      <c r="N163" s="25">
        <f t="shared" si="40"/>
        <v>26528984.925900001</v>
      </c>
      <c r="O163" s="25">
        <v>5621262</v>
      </c>
      <c r="P163" s="25">
        <v>10913958</v>
      </c>
      <c r="Q163" s="25">
        <v>4602460</v>
      </c>
      <c r="R163" s="25">
        <v>5304995</v>
      </c>
      <c r="S163" s="25">
        <f t="shared" si="41"/>
        <v>26442675</v>
      </c>
      <c r="T163" s="25">
        <f t="shared" si="42"/>
        <v>-86309.925900001079</v>
      </c>
      <c r="U163" s="27">
        <f t="shared" si="43"/>
        <v>0.9967465801597355</v>
      </c>
    </row>
    <row r="164" spans="1:21" s="42" customFormat="1" ht="15" hidden="1" outlineLevel="2" x14ac:dyDescent="0.25">
      <c r="A164" s="43" t="str">
        <f>+[2]Hoja1!$A$43</f>
        <v>Compras de insumos</v>
      </c>
      <c r="B164" s="32"/>
      <c r="C164" s="32"/>
      <c r="D164" s="24">
        <v>84582347.373999998</v>
      </c>
      <c r="E164" s="32"/>
      <c r="F164" s="32"/>
      <c r="G164" s="32"/>
      <c r="H164" s="24">
        <f>+B164+C164+D164+G164+E164+F164</f>
        <v>84582347.373999998</v>
      </c>
      <c r="I164" s="32"/>
      <c r="J164" s="25">
        <f>+H164+I164</f>
        <v>84582347.373999998</v>
      </c>
      <c r="K164" s="25"/>
      <c r="L164" s="25">
        <v>100000000</v>
      </c>
      <c r="M164" s="44">
        <v>200000000</v>
      </c>
      <c r="N164" s="25">
        <f t="shared" si="40"/>
        <v>384582347.37400001</v>
      </c>
      <c r="O164" s="25">
        <v>18000000</v>
      </c>
      <c r="P164" s="25">
        <v>29938738</v>
      </c>
      <c r="Q164" s="25">
        <v>39098064</v>
      </c>
      <c r="R164" s="25">
        <v>287692245</v>
      </c>
      <c r="S164" s="25">
        <f t="shared" si="41"/>
        <v>374729047</v>
      </c>
      <c r="T164" s="25">
        <f t="shared" si="42"/>
        <v>-9853300.3740000129</v>
      </c>
      <c r="U164" s="27">
        <f t="shared" si="43"/>
        <v>0.97437921828372986</v>
      </c>
    </row>
    <row r="165" spans="1:21" s="42" customFormat="1" ht="15" hidden="1" outlineLevel="2" x14ac:dyDescent="0.25">
      <c r="A165" s="43" t="str">
        <f>+[2]Hoja1!$A$44</f>
        <v>Diagnóstico importados</v>
      </c>
      <c r="B165" s="32"/>
      <c r="C165" s="32"/>
      <c r="D165" s="24">
        <v>46840500</v>
      </c>
      <c r="E165" s="32"/>
      <c r="F165" s="32"/>
      <c r="G165" s="32"/>
      <c r="H165" s="24">
        <f>+B165+C165+D165+G165+E165+F165</f>
        <v>46840500</v>
      </c>
      <c r="I165" s="32"/>
      <c r="J165" s="25">
        <f>+H165+I165</f>
        <v>46840500</v>
      </c>
      <c r="K165" s="25"/>
      <c r="L165" s="25"/>
      <c r="M165" s="44"/>
      <c r="N165" s="25">
        <f t="shared" si="40"/>
        <v>46840500</v>
      </c>
      <c r="O165" s="25">
        <v>10863800</v>
      </c>
      <c r="P165" s="25">
        <v>14985700</v>
      </c>
      <c r="Q165" s="25">
        <v>9689538</v>
      </c>
      <c r="R165" s="25">
        <v>9811688</v>
      </c>
      <c r="S165" s="25">
        <f t="shared" si="41"/>
        <v>45350726</v>
      </c>
      <c r="T165" s="25">
        <f t="shared" si="42"/>
        <v>-1489774</v>
      </c>
      <c r="U165" s="27">
        <f t="shared" si="43"/>
        <v>0.96819474599972244</v>
      </c>
    </row>
    <row r="166" spans="1:21" s="42" customFormat="1" ht="15" hidden="1" outlineLevel="1" x14ac:dyDescent="0.25">
      <c r="A166" s="45" t="s">
        <v>163</v>
      </c>
      <c r="B166" s="32"/>
      <c r="C166" s="32"/>
      <c r="D166" s="32">
        <f>SUM(D167:D171)</f>
        <v>306972148.5377</v>
      </c>
      <c r="E166" s="32"/>
      <c r="F166" s="32"/>
      <c r="G166" s="32"/>
      <c r="H166" s="32">
        <f>SUM(H167:H171)</f>
        <v>306972148.5377</v>
      </c>
      <c r="I166" s="32"/>
      <c r="J166" s="32">
        <f>SUM(J167:J171)</f>
        <v>306972148.5377</v>
      </c>
      <c r="K166" s="32">
        <f>SUM(K167:K171)</f>
        <v>0</v>
      </c>
      <c r="L166" s="32">
        <f>SUM(L167:L171)</f>
        <v>0</v>
      </c>
      <c r="M166" s="33">
        <f>SUM(M167:M171)</f>
        <v>50901780</v>
      </c>
      <c r="N166" s="32">
        <f t="shared" si="40"/>
        <v>357873928.5377</v>
      </c>
      <c r="O166" s="32">
        <f>SUM(O167:O171)</f>
        <v>46368907</v>
      </c>
      <c r="P166" s="32">
        <f>SUM(P167:P171)</f>
        <v>88158821</v>
      </c>
      <c r="Q166" s="32">
        <f>SUM(Q167:Q171)</f>
        <v>88762477</v>
      </c>
      <c r="R166" s="32">
        <f>SUM(R167:R171)</f>
        <v>134019722</v>
      </c>
      <c r="S166" s="32">
        <f t="shared" si="41"/>
        <v>357309927</v>
      </c>
      <c r="T166" s="32">
        <f t="shared" si="42"/>
        <v>-564001.53769999743</v>
      </c>
      <c r="U166" s="22">
        <f t="shared" si="43"/>
        <v>0.99842402172182654</v>
      </c>
    </row>
    <row r="167" spans="1:21" s="42" customFormat="1" ht="15" hidden="1" outlineLevel="2" x14ac:dyDescent="0.25">
      <c r="A167" s="43" t="str">
        <f>+[2]Hoja1!$A$47</f>
        <v>Rutinario</v>
      </c>
      <c r="B167" s="32"/>
      <c r="C167" s="32"/>
      <c r="D167" s="24">
        <v>188113913.74110001</v>
      </c>
      <c r="E167" s="32"/>
      <c r="F167" s="32"/>
      <c r="G167" s="32"/>
      <c r="H167" s="24">
        <f t="shared" ref="H167:H173" si="46">+B167+C167+D167+G167+E167+F167</f>
        <v>188113913.74110001</v>
      </c>
      <c r="I167" s="32"/>
      <c r="J167" s="25">
        <f t="shared" ref="J167:J173" si="47">+H167+I167</f>
        <v>188113913.74110001</v>
      </c>
      <c r="K167" s="25"/>
      <c r="L167" s="25"/>
      <c r="M167" s="44">
        <f>39000000+10101780+1800000</f>
        <v>50901780</v>
      </c>
      <c r="N167" s="25">
        <f t="shared" si="40"/>
        <v>239015693.74110001</v>
      </c>
      <c r="O167" s="25">
        <v>36912896</v>
      </c>
      <c r="P167" s="25">
        <v>41599954</v>
      </c>
      <c r="Q167" s="25">
        <v>64900992</v>
      </c>
      <c r="R167" s="25">
        <v>95175549</v>
      </c>
      <c r="S167" s="25">
        <f t="shared" si="41"/>
        <v>238589391</v>
      </c>
      <c r="T167" s="25">
        <f t="shared" si="42"/>
        <v>-426302.74110001326</v>
      </c>
      <c r="U167" s="27">
        <f t="shared" si="43"/>
        <v>0.99821642363968877</v>
      </c>
    </row>
    <row r="168" spans="1:21" s="42" customFormat="1" ht="15" hidden="1" outlineLevel="2" x14ac:dyDescent="0.25">
      <c r="A168" s="43" t="str">
        <f>+[2]Hoja1!$A$48</f>
        <v>Combos</v>
      </c>
      <c r="B168" s="32"/>
      <c r="C168" s="32"/>
      <c r="D168" s="24">
        <v>10884303.702200003</v>
      </c>
      <c r="E168" s="32"/>
      <c r="F168" s="32"/>
      <c r="G168" s="32"/>
      <c r="H168" s="24">
        <f t="shared" si="46"/>
        <v>10884303.702200003</v>
      </c>
      <c r="I168" s="32"/>
      <c r="J168" s="25">
        <f t="shared" si="47"/>
        <v>10884303.702200003</v>
      </c>
      <c r="K168" s="25"/>
      <c r="L168" s="25"/>
      <c r="M168" s="44"/>
      <c r="N168" s="25">
        <f t="shared" si="40"/>
        <v>10884303.702200003</v>
      </c>
      <c r="O168" s="25">
        <v>1143047</v>
      </c>
      <c r="P168" s="25">
        <v>2147849</v>
      </c>
      <c r="Q168" s="25">
        <v>1232645</v>
      </c>
      <c r="R168" s="25">
        <v>6360763</v>
      </c>
      <c r="S168" s="25">
        <f t="shared" si="41"/>
        <v>10884304</v>
      </c>
      <c r="T168" s="25">
        <f t="shared" si="42"/>
        <v>0.29779999703168869</v>
      </c>
      <c r="U168" s="27">
        <f t="shared" si="43"/>
        <v>1.0000000273605005</v>
      </c>
    </row>
    <row r="169" spans="1:21" s="42" customFormat="1" ht="15" hidden="1" outlineLevel="2" x14ac:dyDescent="0.25">
      <c r="A169" s="43" t="str">
        <f>+[2]Hoja1!$A$49</f>
        <v>PRRS</v>
      </c>
      <c r="B169" s="32"/>
      <c r="C169" s="32"/>
      <c r="D169" s="24">
        <v>100779387.09439999</v>
      </c>
      <c r="E169" s="32"/>
      <c r="F169" s="32"/>
      <c r="G169" s="32"/>
      <c r="H169" s="24">
        <f t="shared" si="46"/>
        <v>100779387.09439999</v>
      </c>
      <c r="I169" s="32"/>
      <c r="J169" s="25">
        <f t="shared" si="47"/>
        <v>100779387.09439999</v>
      </c>
      <c r="K169" s="25"/>
      <c r="L169" s="25"/>
      <c r="M169" s="44"/>
      <c r="N169" s="25">
        <f t="shared" si="40"/>
        <v>100779387.09439999</v>
      </c>
      <c r="O169" s="25">
        <v>8312964</v>
      </c>
      <c r="P169" s="25">
        <v>38528040</v>
      </c>
      <c r="Q169" s="25">
        <v>22206960</v>
      </c>
      <c r="R169" s="25">
        <v>31611844</v>
      </c>
      <c r="S169" s="25">
        <f t="shared" si="41"/>
        <v>100659808</v>
      </c>
      <c r="T169" s="25">
        <f t="shared" si="42"/>
        <v>-119579.09439998865</v>
      </c>
      <c r="U169" s="27">
        <f t="shared" si="43"/>
        <v>0.99881345682041134</v>
      </c>
    </row>
    <row r="170" spans="1:21" s="42" customFormat="1" ht="15" hidden="1" outlineLevel="1" x14ac:dyDescent="0.25">
      <c r="A170" s="43" t="str">
        <f>+[2]Hoja1!$A$50</f>
        <v>Pruebas interlaboratorios</v>
      </c>
      <c r="B170" s="32"/>
      <c r="C170" s="32"/>
      <c r="D170" s="25">
        <v>243666</v>
      </c>
      <c r="E170" s="25"/>
      <c r="F170" s="25"/>
      <c r="G170" s="25"/>
      <c r="H170" s="25">
        <f t="shared" si="46"/>
        <v>243666</v>
      </c>
      <c r="I170" s="25"/>
      <c r="J170" s="25">
        <f t="shared" si="47"/>
        <v>243666</v>
      </c>
      <c r="K170" s="25"/>
      <c r="L170" s="25"/>
      <c r="M170" s="44"/>
      <c r="N170" s="25">
        <f t="shared" si="40"/>
        <v>243666</v>
      </c>
      <c r="O170" s="25"/>
      <c r="P170" s="25">
        <v>0</v>
      </c>
      <c r="Q170" s="25">
        <v>0</v>
      </c>
      <c r="R170" s="25">
        <v>243666</v>
      </c>
      <c r="S170" s="25">
        <f t="shared" si="41"/>
        <v>243666</v>
      </c>
      <c r="T170" s="25">
        <f t="shared" si="42"/>
        <v>0</v>
      </c>
      <c r="U170" s="27">
        <f t="shared" si="43"/>
        <v>1</v>
      </c>
    </row>
    <row r="171" spans="1:21" s="42" customFormat="1" ht="15" hidden="1" outlineLevel="1" x14ac:dyDescent="0.25">
      <c r="A171" s="43" t="str">
        <f>+[2]Hoja1!$A$51</f>
        <v>Promoción al diagnóstico</v>
      </c>
      <c r="B171" s="32"/>
      <c r="C171" s="32"/>
      <c r="D171" s="25">
        <v>6950878</v>
      </c>
      <c r="E171" s="25"/>
      <c r="F171" s="25"/>
      <c r="G171" s="25"/>
      <c r="H171" s="25">
        <f t="shared" si="46"/>
        <v>6950878</v>
      </c>
      <c r="I171" s="25"/>
      <c r="J171" s="25">
        <f t="shared" si="47"/>
        <v>6950878</v>
      </c>
      <c r="K171" s="25"/>
      <c r="L171" s="25"/>
      <c r="M171" s="44"/>
      <c r="N171" s="25">
        <f t="shared" si="40"/>
        <v>6950878</v>
      </c>
      <c r="O171" s="25"/>
      <c r="P171" s="25">
        <v>5882978</v>
      </c>
      <c r="Q171" s="25">
        <v>421880</v>
      </c>
      <c r="R171" s="25">
        <v>627900</v>
      </c>
      <c r="S171" s="25">
        <f t="shared" si="41"/>
        <v>6932758</v>
      </c>
      <c r="T171" s="25">
        <f t="shared" si="42"/>
        <v>-18120</v>
      </c>
      <c r="U171" s="27">
        <f t="shared" si="43"/>
        <v>0.9973931350830787</v>
      </c>
    </row>
    <row r="172" spans="1:21" s="42" customFormat="1" ht="15" hidden="1" outlineLevel="1" x14ac:dyDescent="0.25">
      <c r="A172" s="45" t="str">
        <f>+[2]Hoja1!$A$52</f>
        <v>Inocuidad y ambiente</v>
      </c>
      <c r="B172" s="32"/>
      <c r="C172" s="32"/>
      <c r="D172" s="32">
        <v>8271552.5</v>
      </c>
      <c r="E172" s="32"/>
      <c r="F172" s="32"/>
      <c r="G172" s="32"/>
      <c r="H172" s="20">
        <f t="shared" si="46"/>
        <v>8271552.5</v>
      </c>
      <c r="I172" s="20"/>
      <c r="J172" s="20">
        <f t="shared" si="47"/>
        <v>8271552.5</v>
      </c>
      <c r="K172" s="20"/>
      <c r="L172" s="20"/>
      <c r="M172" s="21"/>
      <c r="N172" s="20">
        <f t="shared" si="40"/>
        <v>8271552.5</v>
      </c>
      <c r="O172" s="20">
        <v>1246107</v>
      </c>
      <c r="P172" s="20">
        <v>3496743</v>
      </c>
      <c r="Q172" s="20">
        <v>1233030</v>
      </c>
      <c r="R172" s="20">
        <v>2033550</v>
      </c>
      <c r="S172" s="20">
        <f t="shared" si="41"/>
        <v>8009430</v>
      </c>
      <c r="T172" s="20">
        <f t="shared" si="42"/>
        <v>-262122.5</v>
      </c>
      <c r="U172" s="22">
        <f t="shared" si="43"/>
        <v>0.96831036253472369</v>
      </c>
    </row>
    <row r="173" spans="1:21" s="42" customFormat="1" ht="15" hidden="1" outlineLevel="1" x14ac:dyDescent="0.25">
      <c r="A173" s="45" t="s">
        <v>164</v>
      </c>
      <c r="B173" s="32"/>
      <c r="C173" s="32"/>
      <c r="D173" s="32">
        <v>137600000</v>
      </c>
      <c r="E173" s="32"/>
      <c r="F173" s="32"/>
      <c r="G173" s="32"/>
      <c r="H173" s="20">
        <f t="shared" si="46"/>
        <v>137600000</v>
      </c>
      <c r="I173" s="20"/>
      <c r="J173" s="20">
        <f t="shared" si="47"/>
        <v>137600000</v>
      </c>
      <c r="K173" s="20"/>
      <c r="L173" s="20"/>
      <c r="M173" s="21"/>
      <c r="N173" s="20">
        <f t="shared" si="40"/>
        <v>137600000</v>
      </c>
      <c r="O173" s="20">
        <v>0</v>
      </c>
      <c r="P173" s="20">
        <v>57598670</v>
      </c>
      <c r="Q173" s="20">
        <v>29943358</v>
      </c>
      <c r="R173" s="20">
        <v>49798394</v>
      </c>
      <c r="S173" s="20">
        <f t="shared" si="41"/>
        <v>137340422</v>
      </c>
      <c r="T173" s="20">
        <f t="shared" si="42"/>
        <v>-259578</v>
      </c>
      <c r="U173" s="22">
        <f t="shared" si="43"/>
        <v>0.99811353197674424</v>
      </c>
    </row>
    <row r="174" spans="1:21" s="42" customFormat="1" ht="15" collapsed="1" x14ac:dyDescent="0.25">
      <c r="A174" s="43"/>
      <c r="B174" s="32"/>
      <c r="C174" s="32"/>
      <c r="D174" s="32"/>
      <c r="E174" s="32"/>
      <c r="F174" s="32"/>
      <c r="G174" s="32"/>
      <c r="H174" s="24"/>
      <c r="I174" s="32"/>
      <c r="J174" s="25"/>
      <c r="K174" s="25"/>
      <c r="L174" s="25"/>
      <c r="M174" s="44"/>
      <c r="N174" s="25"/>
      <c r="O174" s="25"/>
      <c r="P174" s="25"/>
      <c r="Q174" s="25"/>
      <c r="R174" s="25"/>
      <c r="S174" s="25"/>
      <c r="T174" s="25"/>
      <c r="U174" s="27"/>
    </row>
    <row r="175" spans="1:21" s="42" customFormat="1" ht="15" x14ac:dyDescent="0.25">
      <c r="A175" s="45" t="s">
        <v>165</v>
      </c>
      <c r="B175" s="32"/>
      <c r="C175" s="32"/>
      <c r="D175" s="32"/>
      <c r="E175" s="20">
        <f>+E176</f>
        <v>1448966299.3499999</v>
      </c>
      <c r="F175" s="20"/>
      <c r="G175" s="20"/>
      <c r="H175" s="20">
        <f>+H176</f>
        <v>1448966299.3499999</v>
      </c>
      <c r="I175" s="20"/>
      <c r="J175" s="20">
        <f>+H175+I175</f>
        <v>1448966299.3499999</v>
      </c>
      <c r="K175" s="20">
        <f>+K176</f>
        <v>0</v>
      </c>
      <c r="L175" s="20">
        <f>+L176</f>
        <v>0</v>
      </c>
      <c r="M175" s="21">
        <f>+M176</f>
        <v>0</v>
      </c>
      <c r="N175" s="20">
        <f t="shared" ref="N175:N180" si="48">+J175+K175+L175+M175</f>
        <v>1448966299.3499999</v>
      </c>
      <c r="O175" s="20">
        <f>+O176</f>
        <v>44143700</v>
      </c>
      <c r="P175" s="20">
        <f>+P176</f>
        <v>320602073</v>
      </c>
      <c r="Q175" s="20">
        <f>+Q176</f>
        <v>129022412</v>
      </c>
      <c r="R175" s="20">
        <f>+R176</f>
        <v>631842957</v>
      </c>
      <c r="S175" s="20">
        <f t="shared" ref="S175:S180" si="49">+O175+P175+Q175+R175</f>
        <v>1125611142</v>
      </c>
      <c r="T175" s="20">
        <f t="shared" ref="T175:T180" si="50">+S175-N175</f>
        <v>-323355157.3499999</v>
      </c>
      <c r="U175" s="22">
        <f t="shared" ref="U175:U180" si="51">+S175/N175</f>
        <v>0.77683735122407216</v>
      </c>
    </row>
    <row r="176" spans="1:21" s="42" customFormat="1" ht="15" x14ac:dyDescent="0.25">
      <c r="A176" s="45" t="s">
        <v>166</v>
      </c>
      <c r="B176" s="32"/>
      <c r="C176" s="32"/>
      <c r="D176" s="32"/>
      <c r="E176" s="32">
        <f>SUM(E177:E180)</f>
        <v>1448966299.3499999</v>
      </c>
      <c r="F176" s="32"/>
      <c r="G176" s="32"/>
      <c r="H176" s="32">
        <f>SUM(H177:H180)</f>
        <v>1448966299.3499999</v>
      </c>
      <c r="I176" s="32"/>
      <c r="J176" s="32">
        <f>SUM(J177:J180)</f>
        <v>1448966299.3499999</v>
      </c>
      <c r="K176" s="32">
        <f>SUM(K177:K180)</f>
        <v>0</v>
      </c>
      <c r="L176" s="32">
        <f>SUM(L177:L180)</f>
        <v>0</v>
      </c>
      <c r="M176" s="33">
        <f>SUM(M177:M180)</f>
        <v>0</v>
      </c>
      <c r="N176" s="32">
        <f t="shared" si="48"/>
        <v>1448966299.3499999</v>
      </c>
      <c r="O176" s="32">
        <f>SUM(O177:O180)</f>
        <v>44143700</v>
      </c>
      <c r="P176" s="32">
        <f>SUM(P177:P180)</f>
        <v>320602073</v>
      </c>
      <c r="Q176" s="32">
        <f>SUM(Q177:Q180)</f>
        <v>129022412</v>
      </c>
      <c r="R176" s="32">
        <f>SUM(R177:R180)</f>
        <v>631842957</v>
      </c>
      <c r="S176" s="32">
        <f t="shared" si="49"/>
        <v>1125611142</v>
      </c>
      <c r="T176" s="32">
        <f t="shared" si="50"/>
        <v>-323355157.3499999</v>
      </c>
      <c r="U176" s="22">
        <f t="shared" si="51"/>
        <v>0.77683735122407216</v>
      </c>
    </row>
    <row r="177" spans="1:22" s="42" customFormat="1" ht="15" hidden="1" outlineLevel="2" x14ac:dyDescent="0.25">
      <c r="A177" s="43" t="str">
        <f>+'[3]Presupuesto 2018 vs 2017'!$B$16</f>
        <v>Control y monitoreo de PRRS</v>
      </c>
      <c r="B177" s="32"/>
      <c r="C177" s="32"/>
      <c r="D177" s="32"/>
      <c r="E177" s="25">
        <v>182800000</v>
      </c>
      <c r="F177" s="32"/>
      <c r="G177" s="32"/>
      <c r="H177" s="24">
        <f>+B177+C177+D177+G177+E177+F177</f>
        <v>182800000</v>
      </c>
      <c r="I177" s="32"/>
      <c r="J177" s="25">
        <f>+H177+I177</f>
        <v>182800000</v>
      </c>
      <c r="K177" s="25"/>
      <c r="L177" s="25"/>
      <c r="M177" s="44"/>
      <c r="N177" s="25">
        <f t="shared" si="48"/>
        <v>182800000</v>
      </c>
      <c r="O177" s="25">
        <v>33600000</v>
      </c>
      <c r="P177" s="25">
        <v>2400000</v>
      </c>
      <c r="Q177" s="25">
        <v>14760500</v>
      </c>
      <c r="R177" s="25">
        <v>38159391</v>
      </c>
      <c r="S177" s="25">
        <f t="shared" si="49"/>
        <v>88919891</v>
      </c>
      <c r="T177" s="25">
        <f t="shared" si="50"/>
        <v>-93880109</v>
      </c>
      <c r="U177" s="27">
        <f t="shared" si="51"/>
        <v>0.48643266411378555</v>
      </c>
    </row>
    <row r="178" spans="1:22" s="42" customFormat="1" ht="15" hidden="1" outlineLevel="2" x14ac:dyDescent="0.25">
      <c r="A178" s="43" t="str">
        <f>+'[3]Presupuesto 2018 vs 2017'!$B$17</f>
        <v>Vigilancia de Influenza Porcina</v>
      </c>
      <c r="B178" s="32"/>
      <c r="C178" s="32"/>
      <c r="D178" s="32"/>
      <c r="E178" s="25">
        <v>49500000</v>
      </c>
      <c r="F178" s="32"/>
      <c r="G178" s="32"/>
      <c r="H178" s="24">
        <f>+B178+C178+D178+G178+E178+F178</f>
        <v>49500000</v>
      </c>
      <c r="I178" s="32"/>
      <c r="J178" s="25">
        <f>+H178+I178</f>
        <v>49500000</v>
      </c>
      <c r="K178" s="25"/>
      <c r="L178" s="25"/>
      <c r="M178" s="44"/>
      <c r="N178" s="25">
        <f t="shared" si="48"/>
        <v>49500000</v>
      </c>
      <c r="O178" s="25"/>
      <c r="P178" s="25">
        <v>0</v>
      </c>
      <c r="Q178" s="25">
        <v>0</v>
      </c>
      <c r="R178" s="25"/>
      <c r="S178" s="25">
        <f t="shared" si="49"/>
        <v>0</v>
      </c>
      <c r="T178" s="25">
        <f t="shared" si="50"/>
        <v>-49500000</v>
      </c>
      <c r="U178" s="27">
        <f t="shared" si="51"/>
        <v>0</v>
      </c>
    </row>
    <row r="179" spans="1:22" s="42" customFormat="1" ht="15" hidden="1" outlineLevel="2" x14ac:dyDescent="0.25">
      <c r="A179" s="43" t="str">
        <f>+'[3]Presupuesto 2018 vs 2017'!$B$18</f>
        <v>Programa Nacional de Sanidad Porcina</v>
      </c>
      <c r="B179" s="32"/>
      <c r="C179" s="32"/>
      <c r="D179" s="32"/>
      <c r="E179" s="25">
        <v>1189610343.3499999</v>
      </c>
      <c r="F179" s="32"/>
      <c r="G179" s="32"/>
      <c r="H179" s="24">
        <f>+B179+C179+D179+G179+E179+F179</f>
        <v>1189610343.3499999</v>
      </c>
      <c r="I179" s="32"/>
      <c r="J179" s="25">
        <f>+H179+I179</f>
        <v>1189610343.3499999</v>
      </c>
      <c r="K179" s="25"/>
      <c r="L179" s="25"/>
      <c r="M179" s="44"/>
      <c r="N179" s="25">
        <f t="shared" si="48"/>
        <v>1189610343.3499999</v>
      </c>
      <c r="O179" s="25">
        <v>7053177</v>
      </c>
      <c r="P179" s="25">
        <v>312766037</v>
      </c>
      <c r="Q179" s="25">
        <v>114218912</v>
      </c>
      <c r="R179" s="25">
        <v>590537816</v>
      </c>
      <c r="S179" s="25">
        <f t="shared" si="49"/>
        <v>1024575942</v>
      </c>
      <c r="T179" s="25">
        <f t="shared" si="50"/>
        <v>-165034401.3499999</v>
      </c>
      <c r="U179" s="27">
        <f t="shared" si="51"/>
        <v>0.86127020307737479</v>
      </c>
    </row>
    <row r="180" spans="1:22" s="42" customFormat="1" ht="15" hidden="1" outlineLevel="2" x14ac:dyDescent="0.25">
      <c r="A180" s="43" t="str">
        <f>+'[3]Presupuesto 2018 vs 2017'!$B$19</f>
        <v>Divulgación sanitaria</v>
      </c>
      <c r="B180" s="32"/>
      <c r="C180" s="32"/>
      <c r="D180" s="32"/>
      <c r="E180" s="25">
        <v>27055956</v>
      </c>
      <c r="F180" s="32"/>
      <c r="G180" s="32"/>
      <c r="H180" s="24">
        <f>+B180+C180+D180+G180+E180+F180</f>
        <v>27055956</v>
      </c>
      <c r="I180" s="32"/>
      <c r="J180" s="25">
        <f>+H180+I180</f>
        <v>27055956</v>
      </c>
      <c r="K180" s="25"/>
      <c r="L180" s="25"/>
      <c r="M180" s="44"/>
      <c r="N180" s="25">
        <f t="shared" si="48"/>
        <v>27055956</v>
      </c>
      <c r="O180" s="25">
        <v>3490523</v>
      </c>
      <c r="P180" s="25">
        <v>5436036</v>
      </c>
      <c r="Q180" s="25">
        <v>43000</v>
      </c>
      <c r="R180" s="25">
        <v>3145750</v>
      </c>
      <c r="S180" s="25">
        <f t="shared" si="49"/>
        <v>12115309</v>
      </c>
      <c r="T180" s="25">
        <f t="shared" si="50"/>
        <v>-14940647</v>
      </c>
      <c r="U180" s="27">
        <f t="shared" si="51"/>
        <v>0.4477871341896032</v>
      </c>
    </row>
    <row r="181" spans="1:22" s="42" customFormat="1" ht="15" collapsed="1" x14ac:dyDescent="0.25">
      <c r="A181" s="43"/>
      <c r="B181" s="24"/>
      <c r="C181" s="32"/>
      <c r="D181" s="32"/>
      <c r="E181" s="32"/>
      <c r="F181" s="32"/>
      <c r="G181" s="32"/>
      <c r="H181" s="24"/>
      <c r="I181" s="32"/>
      <c r="J181" s="25"/>
      <c r="K181" s="25"/>
      <c r="L181" s="25"/>
      <c r="M181" s="44"/>
      <c r="N181" s="25"/>
      <c r="O181" s="25"/>
      <c r="P181" s="25"/>
      <c r="Q181" s="25"/>
      <c r="R181" s="25"/>
      <c r="S181" s="25"/>
      <c r="T181" s="25"/>
      <c r="U181" s="27"/>
    </row>
    <row r="182" spans="1:22" ht="15" x14ac:dyDescent="0.25">
      <c r="A182" s="41" t="s">
        <v>167</v>
      </c>
      <c r="B182" s="24"/>
      <c r="C182" s="24"/>
      <c r="D182" s="24"/>
      <c r="E182" s="24"/>
      <c r="F182" s="24"/>
      <c r="G182" s="24"/>
      <c r="H182" s="24"/>
      <c r="I182" s="32">
        <f>+I183+I184</f>
        <v>3605553031.081881</v>
      </c>
      <c r="J182" s="32">
        <f>+I182+H182</f>
        <v>3605553031.081881</v>
      </c>
      <c r="K182" s="32">
        <f>SUM(K183:K184)</f>
        <v>0</v>
      </c>
      <c r="L182" s="32">
        <f>SUM(L183:L184)</f>
        <v>0</v>
      </c>
      <c r="M182" s="33">
        <f>SUM(M183:M184)</f>
        <v>75195667</v>
      </c>
      <c r="N182" s="32">
        <f>+J182+K182+L182+M182</f>
        <v>3680748698.081881</v>
      </c>
      <c r="O182" s="32">
        <f>+O183+O184</f>
        <v>820767100</v>
      </c>
      <c r="P182" s="32">
        <f>+P183+P184</f>
        <v>880886919</v>
      </c>
      <c r="Q182" s="32">
        <f>+Q183+Q184</f>
        <v>883283695.5</v>
      </c>
      <c r="R182" s="32">
        <f>+R183+R184</f>
        <v>1033796465</v>
      </c>
      <c r="S182" s="32">
        <f>+O182+P182+Q182+R182</f>
        <v>3618734179.5</v>
      </c>
      <c r="T182" s="32">
        <f>+S182-N182</f>
        <v>-62014518.581881046</v>
      </c>
      <c r="U182" s="22">
        <f>+S182/N182</f>
        <v>0.98315165645125457</v>
      </c>
      <c r="V182" s="30"/>
    </row>
    <row r="183" spans="1:22" ht="14.25" hidden="1" outlineLevel="1" x14ac:dyDescent="0.2">
      <c r="A183" s="49" t="s">
        <v>168</v>
      </c>
      <c r="B183" s="24"/>
      <c r="C183" s="24"/>
      <c r="D183" s="24"/>
      <c r="E183" s="24"/>
      <c r="F183" s="24"/>
      <c r="G183" s="24"/>
      <c r="H183" s="24"/>
      <c r="I183" s="25">
        <v>2253470644.4761758</v>
      </c>
      <c r="J183" s="25">
        <f>+I183+H183</f>
        <v>2253470644.4761758</v>
      </c>
      <c r="K183" s="25"/>
      <c r="L183" s="25"/>
      <c r="M183" s="44">
        <v>46997292</v>
      </c>
      <c r="N183" s="25">
        <f>+J183+K183+L183+M183</f>
        <v>2300467936.4761758</v>
      </c>
      <c r="O183" s="25">
        <v>512979438</v>
      </c>
      <c r="P183" s="25">
        <v>550554324</v>
      </c>
      <c r="Q183" s="25">
        <v>552052309.70000005</v>
      </c>
      <c r="R183" s="25">
        <v>646122791</v>
      </c>
      <c r="S183" s="25">
        <f>+O183+P183+Q183+R183</f>
        <v>2261708862.6999998</v>
      </c>
      <c r="T183" s="25">
        <f>+S183-N183</f>
        <v>-38759073.776175976</v>
      </c>
      <c r="U183" s="27">
        <f>+S183/N183</f>
        <v>0.98315165659924542</v>
      </c>
    </row>
    <row r="184" spans="1:22" ht="14.25" hidden="1" outlineLevel="1" x14ac:dyDescent="0.2">
      <c r="A184" s="49" t="s">
        <v>169</v>
      </c>
      <c r="B184" s="24"/>
      <c r="C184" s="24"/>
      <c r="D184" s="24"/>
      <c r="E184" s="24"/>
      <c r="F184" s="24"/>
      <c r="G184" s="24"/>
      <c r="H184" s="24"/>
      <c r="I184" s="25">
        <v>1352082386.6057053</v>
      </c>
      <c r="J184" s="25">
        <f>+I184+H184</f>
        <v>1352082386.6057053</v>
      </c>
      <c r="K184" s="25"/>
      <c r="L184" s="25"/>
      <c r="M184" s="44">
        <v>28198375</v>
      </c>
      <c r="N184" s="25">
        <f>+J184+K184+L184+M184</f>
        <v>1380280761.6057053</v>
      </c>
      <c r="O184" s="25">
        <v>307787662</v>
      </c>
      <c r="P184" s="25">
        <v>330332595</v>
      </c>
      <c r="Q184" s="25">
        <v>331231385.80000001</v>
      </c>
      <c r="R184" s="25">
        <v>387673674</v>
      </c>
      <c r="S184" s="25">
        <f>+O184+P184+Q184+R184</f>
        <v>1357025316.8</v>
      </c>
      <c r="T184" s="25">
        <f>+S184-N184</f>
        <v>-23255444.805705309</v>
      </c>
      <c r="U184" s="27">
        <f>+S184/N184</f>
        <v>0.98315165620460299</v>
      </c>
    </row>
    <row r="185" spans="1:22" ht="15" collapsed="1" x14ac:dyDescent="0.25">
      <c r="A185" s="31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6"/>
      <c r="N185" s="24"/>
      <c r="O185" s="24"/>
      <c r="P185" s="24"/>
      <c r="Q185" s="24"/>
      <c r="R185" s="24"/>
      <c r="S185" s="24"/>
      <c r="T185" s="24"/>
      <c r="U185" s="22"/>
    </row>
    <row r="186" spans="1:22" ht="15" x14ac:dyDescent="0.25">
      <c r="A186" s="50" t="s">
        <v>170</v>
      </c>
      <c r="B186" s="20"/>
      <c r="C186" s="20"/>
      <c r="D186" s="20"/>
      <c r="E186" s="20"/>
      <c r="F186" s="20"/>
      <c r="G186" s="20"/>
      <c r="H186" s="20"/>
      <c r="I186" s="20">
        <v>1300000000</v>
      </c>
      <c r="J186" s="51">
        <f>+I186+H186</f>
        <v>1300000000</v>
      </c>
      <c r="K186" s="51"/>
      <c r="L186" s="51"/>
      <c r="M186" s="52"/>
      <c r="N186" s="51">
        <f>+J186+K186+L186+M186</f>
        <v>1300000000</v>
      </c>
      <c r="O186" s="51">
        <v>0</v>
      </c>
      <c r="P186" s="51">
        <v>0</v>
      </c>
      <c r="Q186" s="51">
        <v>0</v>
      </c>
      <c r="R186" s="51">
        <v>0</v>
      </c>
      <c r="S186" s="51">
        <f>+O186+P186+Q186+R186</f>
        <v>0</v>
      </c>
      <c r="T186" s="51">
        <f>+S186-N186</f>
        <v>-1300000000</v>
      </c>
      <c r="U186" s="22">
        <f>+S186/N186</f>
        <v>0</v>
      </c>
    </row>
    <row r="187" spans="1:22" ht="15" x14ac:dyDescent="0.25">
      <c r="A187" s="50"/>
      <c r="B187" s="20"/>
      <c r="C187" s="20"/>
      <c r="D187" s="20"/>
      <c r="E187" s="20"/>
      <c r="F187" s="20"/>
      <c r="G187" s="20"/>
      <c r="H187" s="20"/>
      <c r="I187" s="20"/>
      <c r="J187" s="51"/>
      <c r="K187" s="51"/>
      <c r="L187" s="51"/>
      <c r="M187" s="52"/>
      <c r="N187" s="51"/>
      <c r="O187" s="51"/>
      <c r="P187" s="51"/>
      <c r="Q187" s="51"/>
      <c r="R187" s="51"/>
      <c r="S187" s="51"/>
      <c r="T187" s="51"/>
      <c r="U187" s="22"/>
    </row>
    <row r="188" spans="1:22" ht="15" x14ac:dyDescent="0.25">
      <c r="A188" s="50" t="s">
        <v>171</v>
      </c>
      <c r="B188" s="20"/>
      <c r="C188" s="20"/>
      <c r="D188" s="20"/>
      <c r="E188" s="20"/>
      <c r="F188" s="20"/>
      <c r="G188" s="20"/>
      <c r="H188" s="20">
        <f>+B188+C188+D188+G188+F188</f>
        <v>0</v>
      </c>
      <c r="I188" s="20"/>
      <c r="J188" s="51">
        <f>+I188+H188</f>
        <v>0</v>
      </c>
      <c r="K188" s="51">
        <v>900000000</v>
      </c>
      <c r="L188" s="51"/>
      <c r="M188" s="52"/>
      <c r="N188" s="51">
        <f>+J188+K188+L188+M188</f>
        <v>900000000</v>
      </c>
      <c r="O188" s="51">
        <v>0</v>
      </c>
      <c r="P188" s="51">
        <v>0</v>
      </c>
      <c r="Q188" s="51">
        <v>0</v>
      </c>
      <c r="R188" s="51">
        <v>0</v>
      </c>
      <c r="S188" s="51">
        <f>+O188+P188+Q188+R188</f>
        <v>0</v>
      </c>
      <c r="T188" s="51">
        <f>+S188-N188</f>
        <v>-900000000</v>
      </c>
      <c r="U188" s="22">
        <f>+S188/N188</f>
        <v>0</v>
      </c>
    </row>
    <row r="189" spans="1:22" ht="15" x14ac:dyDescent="0.25">
      <c r="A189" s="31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6"/>
      <c r="N189" s="24"/>
      <c r="O189" s="24"/>
      <c r="P189" s="24"/>
      <c r="Q189" s="24"/>
      <c r="R189" s="24"/>
      <c r="S189" s="24"/>
      <c r="T189" s="24"/>
      <c r="U189" s="22"/>
    </row>
    <row r="190" spans="1:22" ht="15" x14ac:dyDescent="0.25">
      <c r="A190" s="41" t="s">
        <v>172</v>
      </c>
      <c r="B190" s="24"/>
      <c r="C190" s="24"/>
      <c r="D190" s="24"/>
      <c r="E190" s="24"/>
      <c r="F190" s="24"/>
      <c r="G190" s="24"/>
      <c r="H190" s="32">
        <f>+B190+C190+G190+F190</f>
        <v>0</v>
      </c>
      <c r="I190" s="32">
        <f>+I191+I192</f>
        <v>340767342.13176537</v>
      </c>
      <c r="J190" s="32">
        <f>+I190+H190</f>
        <v>340767342.13176537</v>
      </c>
      <c r="K190" s="32">
        <f>SUM(K191:K192)</f>
        <v>275497907</v>
      </c>
      <c r="L190" s="32">
        <f>SUM(L191:L192)</f>
        <v>-107618449</v>
      </c>
      <c r="M190" s="33">
        <f>SUM(M191:M192)</f>
        <v>544850190</v>
      </c>
      <c r="N190" s="32">
        <f>+J190+K190+L190+M190</f>
        <v>1053496990.1317654</v>
      </c>
      <c r="O190" s="32"/>
      <c r="P190" s="32"/>
      <c r="Q190" s="32"/>
      <c r="R190" s="32"/>
      <c r="S190" s="32">
        <f>+O190+P190+Q190+R190</f>
        <v>0</v>
      </c>
      <c r="T190" s="32">
        <f>+S190-N190</f>
        <v>-1053496990.1317654</v>
      </c>
      <c r="U190" s="22">
        <f>+S190/N190</f>
        <v>0</v>
      </c>
    </row>
    <row r="191" spans="1:22" s="54" customFormat="1" ht="14.25" hidden="1" outlineLevel="1" x14ac:dyDescent="0.2">
      <c r="A191" s="34" t="s">
        <v>173</v>
      </c>
      <c r="B191" s="24"/>
      <c r="C191" s="24"/>
      <c r="D191" s="24"/>
      <c r="E191" s="24"/>
      <c r="F191" s="24"/>
      <c r="G191" s="24"/>
      <c r="H191" s="24">
        <f>+B191+C191+G191+F191</f>
        <v>0</v>
      </c>
      <c r="I191" s="24">
        <v>220390370.2149086</v>
      </c>
      <c r="J191" s="24">
        <f>+I191+H191</f>
        <v>220390370.2149086</v>
      </c>
      <c r="K191" s="24">
        <f>552756197-107440845-38000000-100000000</f>
        <v>307315352</v>
      </c>
      <c r="L191" s="24">
        <f>-7618449-100000000</f>
        <v>-107618449</v>
      </c>
      <c r="M191" s="26">
        <f>469972921-46997292-281391+30000000+144000000-120000000+14370575-200000000</f>
        <v>291064813</v>
      </c>
      <c r="N191" s="24">
        <f>+J191+K191+L191+M191</f>
        <v>711152086.2149086</v>
      </c>
      <c r="O191" s="24"/>
      <c r="P191" s="24"/>
      <c r="Q191" s="24"/>
      <c r="R191" s="24"/>
      <c r="S191" s="24">
        <f>+O191+P191+Q191+R191</f>
        <v>0</v>
      </c>
      <c r="T191" s="24">
        <f>+S191-N191</f>
        <v>-711152086.2149086</v>
      </c>
      <c r="U191" s="27">
        <f>+S191/N191</f>
        <v>0</v>
      </c>
      <c r="V191" s="53"/>
    </row>
    <row r="192" spans="1:22" s="54" customFormat="1" ht="14.25" hidden="1" outlineLevel="1" x14ac:dyDescent="0.2">
      <c r="A192" s="34" t="s">
        <v>174</v>
      </c>
      <c r="B192" s="24"/>
      <c r="C192" s="24"/>
      <c r="D192" s="24"/>
      <c r="E192" s="24"/>
      <c r="F192" s="24"/>
      <c r="G192" s="24"/>
      <c r="H192" s="24">
        <f>+B192+C192+G192+F192</f>
        <v>0</v>
      </c>
      <c r="I192" s="24">
        <v>120376971.91685677</v>
      </c>
      <c r="J192" s="24">
        <f>+I192+H192</f>
        <v>120376971.91685677</v>
      </c>
      <c r="K192" s="24">
        <f>868182555-900000000</f>
        <v>-31817445</v>
      </c>
      <c r="L192" s="24"/>
      <c r="M192" s="26">
        <f>281983752-28198375</f>
        <v>253785377</v>
      </c>
      <c r="N192" s="24">
        <f>+J192+K192+L192+M192</f>
        <v>342344903.91685677</v>
      </c>
      <c r="O192" s="24"/>
      <c r="P192" s="24"/>
      <c r="Q192" s="24"/>
      <c r="R192" s="24"/>
      <c r="S192" s="24">
        <f>+O192+P192+Q192+R192</f>
        <v>0</v>
      </c>
      <c r="T192" s="24">
        <f>+S192-N192</f>
        <v>-342344903.91685677</v>
      </c>
      <c r="U192" s="27">
        <f>+S192/N192</f>
        <v>0</v>
      </c>
      <c r="V192" s="55"/>
    </row>
    <row r="193" spans="1:26" ht="15" collapsed="1" x14ac:dyDescent="0.25">
      <c r="A193" s="31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6"/>
      <c r="N193" s="24"/>
      <c r="O193" s="24"/>
      <c r="P193" s="24"/>
      <c r="Q193" s="24"/>
      <c r="R193" s="24"/>
      <c r="S193" s="24"/>
      <c r="T193" s="24"/>
      <c r="U193" s="22"/>
    </row>
    <row r="194" spans="1:26" ht="15" x14ac:dyDescent="0.25">
      <c r="A194" s="31" t="s">
        <v>175</v>
      </c>
      <c r="B194" s="32">
        <f>+B39+B37</f>
        <v>4920302168.8279762</v>
      </c>
      <c r="C194" s="32">
        <f>+C37+C39</f>
        <v>2295627709.5136027</v>
      </c>
      <c r="D194" s="32">
        <f>+D39+D37</f>
        <v>2285719301.7140574</v>
      </c>
      <c r="E194" s="32">
        <f>+E39+E37</f>
        <v>1535189441.0075319</v>
      </c>
      <c r="F194" s="32">
        <f>+F39+F37</f>
        <v>9065223252.3614616</v>
      </c>
      <c r="G194" s="32">
        <f>+G37+G39+G188</f>
        <v>14495598215.171797</v>
      </c>
      <c r="H194" s="32">
        <f>+B194+C194+D194+G194+E194+F194</f>
        <v>34597660088.59642</v>
      </c>
      <c r="I194" s="32">
        <f>+I190+I182+I37+I186</f>
        <v>6186185617.7982597</v>
      </c>
      <c r="J194" s="32">
        <f>+I194+H194</f>
        <v>40783845706.394684</v>
      </c>
      <c r="K194" s="32">
        <f>+K37+K39+K182+K186+K188+K190</f>
        <v>1420938752</v>
      </c>
      <c r="L194" s="32">
        <f>+L37+L39+L182+L186+L188+L190</f>
        <v>203694051</v>
      </c>
      <c r="M194" s="33">
        <f>+M37+M39+M182+M186+M188+M190</f>
        <v>736928234.10788</v>
      </c>
      <c r="N194" s="33">
        <f>+J194+K194+L194+M194</f>
        <v>43145406743.502563</v>
      </c>
      <c r="O194" s="33">
        <f>+O37+O39+O182+O186+O188+O190</f>
        <v>6615115092.96</v>
      </c>
      <c r="P194" s="33">
        <f>+P37+P39+P182+P186+P188+P190</f>
        <v>11117330921</v>
      </c>
      <c r="Q194" s="33">
        <f>+Q37+Q39+Q182+Q186+Q188+Q190</f>
        <v>9619419768.4444656</v>
      </c>
      <c r="R194" s="33">
        <f>+R37+R39+R182+R186+R188+R190</f>
        <v>11156686632</v>
      </c>
      <c r="S194" s="33">
        <f>+O194+P194+Q194+R194</f>
        <v>38508552414.404465</v>
      </c>
      <c r="T194" s="33">
        <f>+S194-N194</f>
        <v>-4636854329.0980988</v>
      </c>
      <c r="U194" s="22">
        <f>+S194/N195</f>
        <v>0.96532235865570615</v>
      </c>
    </row>
    <row r="195" spans="1:26" ht="15.75" thickBot="1" x14ac:dyDescent="0.3">
      <c r="A195" s="56"/>
      <c r="B195" s="57"/>
      <c r="C195" s="58"/>
      <c r="D195" s="58"/>
      <c r="E195" s="59"/>
      <c r="F195" s="58"/>
      <c r="G195" s="59"/>
      <c r="H195" s="58"/>
      <c r="I195" s="58"/>
      <c r="J195" s="58"/>
      <c r="K195" s="58"/>
      <c r="L195" s="58"/>
      <c r="M195" s="60"/>
      <c r="N195" s="61">
        <f>+N194-N186-N188-N190</f>
        <v>39891909753.370796</v>
      </c>
      <c r="O195" s="58"/>
      <c r="P195" s="58"/>
      <c r="Q195" s="58"/>
      <c r="R195" s="58"/>
      <c r="S195" s="58"/>
      <c r="T195" s="58"/>
      <c r="U195" s="62"/>
      <c r="V195" s="63"/>
      <c r="W195" s="63"/>
      <c r="X195" s="63"/>
      <c r="Y195" s="63"/>
      <c r="Z195" s="63"/>
    </row>
    <row r="196" spans="1:26" ht="13.5" thickTop="1" x14ac:dyDescent="0.2">
      <c r="A196" s="64" t="s">
        <v>176</v>
      </c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</row>
    <row r="197" spans="1:26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</row>
    <row r="198" spans="1:26" x14ac:dyDescent="0.2">
      <c r="A198" s="65"/>
      <c r="B198" s="65"/>
      <c r="C198" s="65"/>
      <c r="D198" s="65"/>
      <c r="E198" s="65"/>
      <c r="F198" s="65"/>
      <c r="G198" s="65"/>
      <c r="H198" s="65"/>
      <c r="I198" s="66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</row>
    <row r="199" spans="1:26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</row>
    <row r="200" spans="1:26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</row>
    <row r="201" spans="1:26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</row>
    <row r="202" spans="1:26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</row>
    <row r="203" spans="1:26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</row>
    <row r="204" spans="1:26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</row>
    <row r="205" spans="1:26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</row>
    <row r="206" spans="1:26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</row>
    <row r="207" spans="1:26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</row>
    <row r="208" spans="1:26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</row>
    <row r="209" spans="1:2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</row>
    <row r="210" spans="1:2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</row>
    <row r="211" spans="1:2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</row>
    <row r="212" spans="1:2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</row>
    <row r="213" spans="1:2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</row>
    <row r="214" spans="1:2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</row>
    <row r="215" spans="1:2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</row>
    <row r="216" spans="1:2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</row>
    <row r="217" spans="1:2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</row>
    <row r="218" spans="1:2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</row>
    <row r="219" spans="1:2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</row>
    <row r="220" spans="1:2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</row>
    <row r="221" spans="1:2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</row>
    <row r="222" spans="1:2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</row>
    <row r="223" spans="1:2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</row>
    <row r="224" spans="1:2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</row>
    <row r="225" spans="1:2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</row>
    <row r="226" spans="1:2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</row>
    <row r="227" spans="1:2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</row>
    <row r="228" spans="1:2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</row>
    <row r="229" spans="1:2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</row>
    <row r="230" spans="1:2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</row>
    <row r="231" spans="1:2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</row>
    <row r="232" spans="1:2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</row>
    <row r="233" spans="1:2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</row>
    <row r="234" spans="1:2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</row>
    <row r="235" spans="1:2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</row>
    <row r="236" spans="1:2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</row>
    <row r="237" spans="1:2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</row>
    <row r="238" spans="1:2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</row>
    <row r="239" spans="1:2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</row>
    <row r="240" spans="1:2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</row>
    <row r="241" spans="1:2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</row>
    <row r="242" spans="1:2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</row>
    <row r="243" spans="1:2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</row>
    <row r="244" spans="1:2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</row>
    <row r="245" spans="1:2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</row>
    <row r="246" spans="1:2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</row>
    <row r="247" spans="1:2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</row>
    <row r="248" spans="1:2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</row>
    <row r="249" spans="1:2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</row>
    <row r="250" spans="1:2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</row>
    <row r="251" spans="1:2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</row>
    <row r="252" spans="1:2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</row>
    <row r="253" spans="1:2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</row>
    <row r="254" spans="1:2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</row>
    <row r="255" spans="1:2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</row>
    <row r="256" spans="1:2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</row>
    <row r="257" spans="1:2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</row>
    <row r="258" spans="1:2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</row>
    <row r="259" spans="1:2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</row>
    <row r="260" spans="1:2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</row>
    <row r="261" spans="1:2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</row>
    <row r="262" spans="1:2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</row>
    <row r="263" spans="1:2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</row>
    <row r="264" spans="1:2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</row>
  </sheetData>
  <mergeCells count="4">
    <mergeCell ref="A1:U1"/>
    <mergeCell ref="A2:U2"/>
    <mergeCell ref="A3:U3"/>
    <mergeCell ref="A4:U4"/>
  </mergeCells>
  <printOptions horizontalCentered="1"/>
  <pageMargins left="0.39370078740157483" right="0.39370078740157483" top="0.39370078740157483" bottom="0.39370078740157483" header="0" footer="0"/>
  <pageSetup scale="56" fitToHeight="2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2019-10-16T16:59:15Z</dcterms:created>
  <dcterms:modified xsi:type="dcterms:W3CDTF">2019-10-16T17:01:57Z</dcterms:modified>
</cp:coreProperties>
</file>