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hidden="1">#REF!</definedName>
    <definedName name="ANEXO" hidden="1">'[9]Inversión total en programas'!$A$50:$IV$50,'[9]Inversión total en programas'!$A$60:$IV$63</definedName>
    <definedName name="_xlnm.Print_Area" localSheetId="0">'Anexo 2 '!$A$1:$M$210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'[11]Anexo 1 Minagricultura'!#REF!</definedName>
    <definedName name="CABEZAS_PROYEC" localSheetId="0">'[12]Anexo 1 Minagricultura'!$C$46</definedName>
    <definedName name="CABEZAS_PROYEC">'[1]Anexo 1 Minagricultura'!#REF!</definedName>
    <definedName name="CUOTAPPC2005" localSheetId="0">'[12]Anexo 1 Minagricultura'!#REF!</definedName>
    <definedName name="CUOTAPPC2005">'[1]Anexo 1 Minagricultura'!#REF!</definedName>
    <definedName name="CUOTAPPC2013" localSheetId="0">'[12]Anexo 1 Minagricultura'!#REF!</definedName>
    <definedName name="CUOTAPPC2013">'[1]Anexo 1 Minagricultura'!#REF!</definedName>
    <definedName name="CUOTAPPC203" localSheetId="0">'[12]Anexo 1 Minagricultura'!#REF!</definedName>
    <definedName name="CUOTAPPC203">'[1]Anexo 1 Minagricultura'!#REF!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'[12]Ejecución ingresos 2014'!#REF!</definedName>
    <definedName name="eeeee">#REF!</definedName>
    <definedName name="EPPC" localSheetId="0">'[12]Anexo 1 Minagricultura'!$C$54</definedName>
    <definedName name="EPPC">'[1]Anexo 1 Minagricultura'!#REF!</definedName>
    <definedName name="Euro" localSheetId="0">#REF!</definedName>
    <definedName name="Euro">#REF!</definedName>
    <definedName name="FDGFDG">#REF!</definedName>
    <definedName name="FECHA_DE_RECIBIDO">[13]BASE!$E$3:$E$177</definedName>
    <definedName name="FOMENTO" localSheetId="0">'[12]Anexo 1 Minagricultura'!$C$53</definedName>
    <definedName name="FOMENTO">'[1]Anexo 1 Minagricultura'!#REF!</definedName>
    <definedName name="FOMENTOS">'[16]Anexo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'[18]Inversión total en programas'!$B$86</definedName>
    <definedName name="RESERV_FUTU">#REF!</definedName>
    <definedName name="saldo" localSheetId="0">'[12]Ejecución ingresos 2014'!#REF!</definedName>
    <definedName name="saldo">#REF!</definedName>
    <definedName name="saldos" localSheetId="0">'[12]Ejecución ingresos 2014'!#REF!</definedName>
    <definedName name="saldos">#REF!</definedName>
    <definedName name="SUPERA2004" localSheetId="0">'[12]Anexo 1 Minagricultura'!#REF!</definedName>
    <definedName name="SUPERA2004">'[1]Anexo 1 Minagricultura'!#REF!</definedName>
    <definedName name="SUPERA2005" localSheetId="0">'[12]Anexo 1 Minagricultura'!#REF!</definedName>
    <definedName name="SUPERA2005">'[1]Anexo 1 Minagricultura'!#REF!</definedName>
    <definedName name="SUPERA2010">'[18]Anexo 1 Minagricultura'!$C$21</definedName>
    <definedName name="SUPERA2012" localSheetId="0">'[12]Anexo 1 Minagricultura'!#REF!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[19]Ingresos!$C$19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'[21]Ingresos 2014'!#REF!</definedName>
    <definedName name="ZFRONTERA">'[21]Ingresos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5" i="1" l="1"/>
  <c r="I214" i="1"/>
  <c r="K207" i="1"/>
  <c r="M207" i="1" s="1"/>
  <c r="J207" i="1"/>
  <c r="H207" i="1"/>
  <c r="J206" i="1"/>
  <c r="K206" i="1" s="1"/>
  <c r="H206" i="1"/>
  <c r="L205" i="1"/>
  <c r="K205" i="1"/>
  <c r="M205" i="1" s="1"/>
  <c r="I205" i="1"/>
  <c r="H205" i="1"/>
  <c r="J205" i="1" s="1"/>
  <c r="H203" i="1"/>
  <c r="J203" i="1" s="1"/>
  <c r="K203" i="1" s="1"/>
  <c r="M203" i="1" s="1"/>
  <c r="I201" i="1"/>
  <c r="I199" i="1" s="1"/>
  <c r="J200" i="1"/>
  <c r="I200" i="1"/>
  <c r="K199" i="1"/>
  <c r="J199" i="1"/>
  <c r="M197" i="1"/>
  <c r="J197" i="1"/>
  <c r="L197" i="1" s="1"/>
  <c r="H197" i="1"/>
  <c r="E197" i="1"/>
  <c r="J196" i="1"/>
  <c r="M196" i="1" s="1"/>
  <c r="H196" i="1"/>
  <c r="E196" i="1"/>
  <c r="H195" i="1"/>
  <c r="E195" i="1"/>
  <c r="K194" i="1"/>
  <c r="J191" i="1"/>
  <c r="H191" i="1"/>
  <c r="D191" i="1"/>
  <c r="M190" i="1"/>
  <c r="L190" i="1"/>
  <c r="J190" i="1"/>
  <c r="H190" i="1"/>
  <c r="D190" i="1"/>
  <c r="H189" i="1"/>
  <c r="J189" i="1" s="1"/>
  <c r="L189" i="1" s="1"/>
  <c r="D189" i="1"/>
  <c r="H188" i="1"/>
  <c r="J188" i="1" s="1"/>
  <c r="D187" i="1"/>
  <c r="H187" i="1" s="1"/>
  <c r="J187" i="1" s="1"/>
  <c r="K186" i="1"/>
  <c r="K179" i="1" s="1"/>
  <c r="D186" i="1"/>
  <c r="M185" i="1"/>
  <c r="L185" i="1"/>
  <c r="D185" i="1"/>
  <c r="H185" i="1" s="1"/>
  <c r="J185" i="1" s="1"/>
  <c r="D184" i="1"/>
  <c r="H184" i="1" s="1"/>
  <c r="J184" i="1" s="1"/>
  <c r="M184" i="1" s="1"/>
  <c r="J183" i="1"/>
  <c r="H183" i="1"/>
  <c r="D183" i="1"/>
  <c r="M182" i="1"/>
  <c r="L182" i="1"/>
  <c r="J182" i="1"/>
  <c r="H182" i="1"/>
  <c r="D182" i="1"/>
  <c r="D181" i="1"/>
  <c r="H181" i="1" s="1"/>
  <c r="K180" i="1"/>
  <c r="H178" i="1"/>
  <c r="J178" i="1" s="1"/>
  <c r="D178" i="1"/>
  <c r="H177" i="1"/>
  <c r="J177" i="1" s="1"/>
  <c r="D177" i="1"/>
  <c r="D176" i="1"/>
  <c r="H176" i="1" s="1"/>
  <c r="J176" i="1" s="1"/>
  <c r="D175" i="1"/>
  <c r="H174" i="1"/>
  <c r="K173" i="1"/>
  <c r="H172" i="1"/>
  <c r="J172" i="1" s="1"/>
  <c r="D172" i="1"/>
  <c r="H171" i="1"/>
  <c r="J171" i="1" s="1"/>
  <c r="J170" i="1"/>
  <c r="M170" i="1" s="1"/>
  <c r="H170" i="1"/>
  <c r="D169" i="1"/>
  <c r="K168" i="1"/>
  <c r="M166" i="1"/>
  <c r="H166" i="1"/>
  <c r="J166" i="1" s="1"/>
  <c r="L166" i="1" s="1"/>
  <c r="H165" i="1"/>
  <c r="J165" i="1" s="1"/>
  <c r="M165" i="1" s="1"/>
  <c r="M164" i="1"/>
  <c r="D164" i="1"/>
  <c r="H164" i="1" s="1"/>
  <c r="J164" i="1" s="1"/>
  <c r="L164" i="1" s="1"/>
  <c r="M163" i="1"/>
  <c r="L163" i="1"/>
  <c r="J163" i="1"/>
  <c r="H163" i="1"/>
  <c r="D163" i="1"/>
  <c r="H162" i="1"/>
  <c r="J162" i="1" s="1"/>
  <c r="M162" i="1" s="1"/>
  <c r="L161" i="1"/>
  <c r="J161" i="1"/>
  <c r="H161" i="1"/>
  <c r="K160" i="1"/>
  <c r="D160" i="1"/>
  <c r="J157" i="1"/>
  <c r="L157" i="1" s="1"/>
  <c r="H157" i="1"/>
  <c r="C157" i="1"/>
  <c r="H156" i="1"/>
  <c r="J156" i="1" s="1"/>
  <c r="L156" i="1" s="1"/>
  <c r="C156" i="1"/>
  <c r="C155" i="1"/>
  <c r="J154" i="1"/>
  <c r="H154" i="1"/>
  <c r="C154" i="1"/>
  <c r="K153" i="1"/>
  <c r="H152" i="1"/>
  <c r="J152" i="1" s="1"/>
  <c r="L152" i="1" s="1"/>
  <c r="C152" i="1"/>
  <c r="H151" i="1"/>
  <c r="J151" i="1" s="1"/>
  <c r="M151" i="1" s="1"/>
  <c r="C151" i="1"/>
  <c r="J150" i="1"/>
  <c r="M150" i="1" s="1"/>
  <c r="C150" i="1"/>
  <c r="H150" i="1" s="1"/>
  <c r="M149" i="1"/>
  <c r="L149" i="1"/>
  <c r="C149" i="1"/>
  <c r="H149" i="1" s="1"/>
  <c r="J149" i="1" s="1"/>
  <c r="C148" i="1"/>
  <c r="H148" i="1" s="1"/>
  <c r="J148" i="1" s="1"/>
  <c r="C147" i="1"/>
  <c r="H147" i="1" s="1"/>
  <c r="J147" i="1" s="1"/>
  <c r="L146" i="1"/>
  <c r="J146" i="1"/>
  <c r="H146" i="1"/>
  <c r="C146" i="1"/>
  <c r="K145" i="1"/>
  <c r="C145" i="1"/>
  <c r="C144" i="1"/>
  <c r="H144" i="1" s="1"/>
  <c r="J144" i="1" s="1"/>
  <c r="M143" i="1"/>
  <c r="L143" i="1"/>
  <c r="J143" i="1"/>
  <c r="H143" i="1"/>
  <c r="C143" i="1"/>
  <c r="C142" i="1"/>
  <c r="H142" i="1" s="1"/>
  <c r="J142" i="1" s="1"/>
  <c r="M142" i="1" s="1"/>
  <c r="H141" i="1"/>
  <c r="J141" i="1" s="1"/>
  <c r="C141" i="1"/>
  <c r="H140" i="1"/>
  <c r="J140" i="1" s="1"/>
  <c r="C140" i="1"/>
  <c r="H139" i="1"/>
  <c r="J139" i="1" s="1"/>
  <c r="K138" i="1"/>
  <c r="G135" i="1"/>
  <c r="H135" i="1" s="1"/>
  <c r="J135" i="1" s="1"/>
  <c r="G134" i="1"/>
  <c r="H134" i="1" s="1"/>
  <c r="J134" i="1" s="1"/>
  <c r="G133" i="1"/>
  <c r="K132" i="1"/>
  <c r="M131" i="1"/>
  <c r="L131" i="1"/>
  <c r="G131" i="1"/>
  <c r="H131" i="1" s="1"/>
  <c r="J131" i="1" s="1"/>
  <c r="H130" i="1"/>
  <c r="H129" i="1" s="1"/>
  <c r="G130" i="1"/>
  <c r="K129" i="1"/>
  <c r="G129" i="1"/>
  <c r="G128" i="1"/>
  <c r="H128" i="1" s="1"/>
  <c r="J128" i="1" s="1"/>
  <c r="G127" i="1"/>
  <c r="H127" i="1" s="1"/>
  <c r="J127" i="1" s="1"/>
  <c r="H126" i="1"/>
  <c r="J126" i="1" s="1"/>
  <c r="G126" i="1"/>
  <c r="J125" i="1"/>
  <c r="H125" i="1"/>
  <c r="G125" i="1"/>
  <c r="G124" i="1"/>
  <c r="H124" i="1" s="1"/>
  <c r="J124" i="1" s="1"/>
  <c r="G123" i="1"/>
  <c r="K122" i="1"/>
  <c r="J121" i="1"/>
  <c r="M121" i="1" s="1"/>
  <c r="H121" i="1"/>
  <c r="G121" i="1"/>
  <c r="H120" i="1"/>
  <c r="G120" i="1"/>
  <c r="K119" i="1"/>
  <c r="G118" i="1"/>
  <c r="H118" i="1" s="1"/>
  <c r="J118" i="1" s="1"/>
  <c r="G117" i="1"/>
  <c r="H117" i="1" s="1"/>
  <c r="J117" i="1" s="1"/>
  <c r="L117" i="1" s="1"/>
  <c r="L116" i="1"/>
  <c r="J116" i="1"/>
  <c r="M116" i="1" s="1"/>
  <c r="H116" i="1"/>
  <c r="G116" i="1"/>
  <c r="J115" i="1"/>
  <c r="H115" i="1"/>
  <c r="G115" i="1"/>
  <c r="K114" i="1"/>
  <c r="F111" i="1"/>
  <c r="H111" i="1" s="1"/>
  <c r="J111" i="1" s="1"/>
  <c r="L111" i="1" s="1"/>
  <c r="F110" i="1"/>
  <c r="H110" i="1" s="1"/>
  <c r="J110" i="1" s="1"/>
  <c r="L110" i="1" s="1"/>
  <c r="J109" i="1"/>
  <c r="H109" i="1"/>
  <c r="F109" i="1"/>
  <c r="F108" i="1"/>
  <c r="H108" i="1" s="1"/>
  <c r="J108" i="1" s="1"/>
  <c r="F107" i="1"/>
  <c r="K106" i="1"/>
  <c r="H105" i="1"/>
  <c r="J105" i="1" s="1"/>
  <c r="M104" i="1"/>
  <c r="L104" i="1"/>
  <c r="J104" i="1"/>
  <c r="H104" i="1"/>
  <c r="F104" i="1"/>
  <c r="H103" i="1"/>
  <c r="J103" i="1" s="1"/>
  <c r="F103" i="1"/>
  <c r="F102" i="1"/>
  <c r="F101" i="1" s="1"/>
  <c r="K101" i="1"/>
  <c r="J100" i="1"/>
  <c r="L100" i="1" s="1"/>
  <c r="H100" i="1"/>
  <c r="F100" i="1"/>
  <c r="F99" i="1"/>
  <c r="H99" i="1" s="1"/>
  <c r="J99" i="1" s="1"/>
  <c r="L99" i="1" s="1"/>
  <c r="H98" i="1"/>
  <c r="J98" i="1" s="1"/>
  <c r="F98" i="1"/>
  <c r="F97" i="1"/>
  <c r="H97" i="1" s="1"/>
  <c r="J97" i="1" s="1"/>
  <c r="L96" i="1"/>
  <c r="F96" i="1"/>
  <c r="H96" i="1" s="1"/>
  <c r="J96" i="1" s="1"/>
  <c r="M96" i="1" s="1"/>
  <c r="F95" i="1"/>
  <c r="F92" i="1" s="1"/>
  <c r="F94" i="1"/>
  <c r="H94" i="1" s="1"/>
  <c r="J93" i="1"/>
  <c r="H93" i="1"/>
  <c r="F93" i="1"/>
  <c r="K92" i="1"/>
  <c r="H91" i="1"/>
  <c r="J91" i="1" s="1"/>
  <c r="L90" i="1"/>
  <c r="J90" i="1"/>
  <c r="M90" i="1" s="1"/>
  <c r="H90" i="1"/>
  <c r="F90" i="1"/>
  <c r="H89" i="1"/>
  <c r="J89" i="1" s="1"/>
  <c r="F89" i="1"/>
  <c r="M88" i="1"/>
  <c r="L88" i="1"/>
  <c r="F88" i="1"/>
  <c r="H88" i="1" s="1"/>
  <c r="J88" i="1" s="1"/>
  <c r="H87" i="1"/>
  <c r="F87" i="1"/>
  <c r="K86" i="1"/>
  <c r="F86" i="1"/>
  <c r="M85" i="1"/>
  <c r="L85" i="1"/>
  <c r="J85" i="1"/>
  <c r="H85" i="1"/>
  <c r="F84" i="1"/>
  <c r="H84" i="1" s="1"/>
  <c r="K83" i="1"/>
  <c r="F83" i="1"/>
  <c r="J82" i="1"/>
  <c r="M82" i="1" s="1"/>
  <c r="H82" i="1"/>
  <c r="F82" i="1"/>
  <c r="F81" i="1"/>
  <c r="H81" i="1" s="1"/>
  <c r="J81" i="1" s="1"/>
  <c r="M81" i="1" s="1"/>
  <c r="F80" i="1"/>
  <c r="H80" i="1" s="1"/>
  <c r="J80" i="1" s="1"/>
  <c r="J79" i="1"/>
  <c r="H79" i="1"/>
  <c r="F79" i="1"/>
  <c r="H78" i="1"/>
  <c r="J78" i="1" s="1"/>
  <c r="F78" i="1"/>
  <c r="M77" i="1"/>
  <c r="L77" i="1"/>
  <c r="J77" i="1"/>
  <c r="H77" i="1"/>
  <c r="J76" i="1"/>
  <c r="M76" i="1" s="1"/>
  <c r="H76" i="1"/>
  <c r="F75" i="1"/>
  <c r="K74" i="1"/>
  <c r="H71" i="1"/>
  <c r="J71" i="1" s="1"/>
  <c r="B71" i="1"/>
  <c r="M70" i="1"/>
  <c r="L70" i="1"/>
  <c r="H70" i="1"/>
  <c r="J70" i="1" s="1"/>
  <c r="B70" i="1"/>
  <c r="K69" i="1"/>
  <c r="B69" i="1"/>
  <c r="H68" i="1"/>
  <c r="J68" i="1" s="1"/>
  <c r="B68" i="1"/>
  <c r="H67" i="1"/>
  <c r="J67" i="1" s="1"/>
  <c r="M67" i="1" s="1"/>
  <c r="B67" i="1"/>
  <c r="B66" i="1"/>
  <c r="B65" i="1" s="1"/>
  <c r="K65" i="1"/>
  <c r="H64" i="1"/>
  <c r="J64" i="1" s="1"/>
  <c r="B64" i="1"/>
  <c r="B63" i="1"/>
  <c r="H63" i="1" s="1"/>
  <c r="J63" i="1" s="1"/>
  <c r="M63" i="1" s="1"/>
  <c r="B62" i="1"/>
  <c r="K61" i="1"/>
  <c r="H60" i="1"/>
  <c r="J60" i="1" s="1"/>
  <c r="J59" i="1"/>
  <c r="H59" i="1"/>
  <c r="B59" i="1"/>
  <c r="B58" i="1"/>
  <c r="H58" i="1" s="1"/>
  <c r="J58" i="1" s="1"/>
  <c r="K57" i="1"/>
  <c r="H57" i="1"/>
  <c r="J56" i="1"/>
  <c r="H56" i="1"/>
  <c r="B56" i="1"/>
  <c r="H55" i="1"/>
  <c r="J55" i="1" s="1"/>
  <c r="B55" i="1"/>
  <c r="H54" i="1"/>
  <c r="J54" i="1" s="1"/>
  <c r="L54" i="1" s="1"/>
  <c r="B54" i="1"/>
  <c r="B53" i="1" s="1"/>
  <c r="H53" i="1" s="1"/>
  <c r="K53" i="1"/>
  <c r="M53" i="1" s="1"/>
  <c r="J53" i="1"/>
  <c r="B52" i="1"/>
  <c r="H52" i="1" s="1"/>
  <c r="J52" i="1" s="1"/>
  <c r="B51" i="1"/>
  <c r="B50" i="1" s="1"/>
  <c r="H50" i="1" s="1"/>
  <c r="J50" i="1" s="1"/>
  <c r="K50" i="1"/>
  <c r="M50" i="1" s="1"/>
  <c r="K49" i="1"/>
  <c r="B48" i="1"/>
  <c r="J47" i="1"/>
  <c r="L47" i="1" s="1"/>
  <c r="H47" i="1"/>
  <c r="B47" i="1"/>
  <c r="H45" i="1"/>
  <c r="J45" i="1" s="1"/>
  <c r="B45" i="1"/>
  <c r="H44" i="1"/>
  <c r="J44" i="1" s="1"/>
  <c r="B44" i="1"/>
  <c r="K43" i="1"/>
  <c r="H43" i="1"/>
  <c r="B43" i="1"/>
  <c r="K38" i="1"/>
  <c r="K37" i="1"/>
  <c r="D37" i="1"/>
  <c r="M36" i="1"/>
  <c r="L36" i="1"/>
  <c r="J36" i="1"/>
  <c r="I36" i="1"/>
  <c r="H36" i="1"/>
  <c r="I35" i="1"/>
  <c r="H35" i="1"/>
  <c r="J35" i="1" s="1"/>
  <c r="I34" i="1"/>
  <c r="G34" i="1"/>
  <c r="F34" i="1"/>
  <c r="B34" i="1"/>
  <c r="H34" i="1" s="1"/>
  <c r="J34" i="1" s="1"/>
  <c r="I33" i="1"/>
  <c r="J33" i="1" s="1"/>
  <c r="G33" i="1"/>
  <c r="F33" i="1"/>
  <c r="D33" i="1"/>
  <c r="C33" i="1"/>
  <c r="H33" i="1" s="1"/>
  <c r="B33" i="1"/>
  <c r="I32" i="1"/>
  <c r="H32" i="1"/>
  <c r="J32" i="1" s="1"/>
  <c r="M32" i="1" s="1"/>
  <c r="I31" i="1"/>
  <c r="G31" i="1"/>
  <c r="F31" i="1"/>
  <c r="D31" i="1"/>
  <c r="C31" i="1"/>
  <c r="B31" i="1"/>
  <c r="H31" i="1" s="1"/>
  <c r="J31" i="1" s="1"/>
  <c r="I30" i="1"/>
  <c r="G30" i="1"/>
  <c r="H30" i="1" s="1"/>
  <c r="J30" i="1" s="1"/>
  <c r="I29" i="1"/>
  <c r="G29" i="1"/>
  <c r="E29" i="1"/>
  <c r="E37" i="1" s="1"/>
  <c r="D29" i="1"/>
  <c r="C29" i="1"/>
  <c r="B29" i="1"/>
  <c r="I28" i="1"/>
  <c r="G28" i="1"/>
  <c r="H28" i="1" s="1"/>
  <c r="J28" i="1" s="1"/>
  <c r="F28" i="1"/>
  <c r="E28" i="1"/>
  <c r="D28" i="1"/>
  <c r="C28" i="1"/>
  <c r="B28" i="1"/>
  <c r="H27" i="1"/>
  <c r="J27" i="1" s="1"/>
  <c r="J26" i="1"/>
  <c r="I26" i="1"/>
  <c r="G26" i="1"/>
  <c r="F26" i="1"/>
  <c r="D26" i="1"/>
  <c r="C26" i="1"/>
  <c r="H26" i="1" s="1"/>
  <c r="B26" i="1"/>
  <c r="I25" i="1"/>
  <c r="G25" i="1"/>
  <c r="F25" i="1"/>
  <c r="E25" i="1"/>
  <c r="D25" i="1"/>
  <c r="H25" i="1" s="1"/>
  <c r="J25" i="1" s="1"/>
  <c r="C25" i="1"/>
  <c r="B25" i="1"/>
  <c r="I24" i="1"/>
  <c r="G24" i="1"/>
  <c r="B24" i="1"/>
  <c r="H24" i="1" s="1"/>
  <c r="J24" i="1" s="1"/>
  <c r="I23" i="1"/>
  <c r="I37" i="1" s="1"/>
  <c r="I38" i="1" s="1"/>
  <c r="I209" i="1" s="1"/>
  <c r="H23" i="1"/>
  <c r="J23" i="1" s="1"/>
  <c r="G23" i="1"/>
  <c r="F23" i="1"/>
  <c r="E23" i="1"/>
  <c r="C23" i="1"/>
  <c r="B23" i="1"/>
  <c r="I22" i="1"/>
  <c r="G22" i="1"/>
  <c r="F22" i="1"/>
  <c r="C22" i="1"/>
  <c r="B22" i="1"/>
  <c r="K20" i="1"/>
  <c r="I19" i="1"/>
  <c r="H19" i="1"/>
  <c r="J19" i="1" s="1"/>
  <c r="L19" i="1" s="1"/>
  <c r="G19" i="1"/>
  <c r="F19" i="1"/>
  <c r="E19" i="1"/>
  <c r="D19" i="1"/>
  <c r="C19" i="1"/>
  <c r="B19" i="1"/>
  <c r="I18" i="1"/>
  <c r="G18" i="1"/>
  <c r="F18" i="1"/>
  <c r="E18" i="1"/>
  <c r="D18" i="1"/>
  <c r="D20" i="1" s="1"/>
  <c r="C18" i="1"/>
  <c r="H18" i="1" s="1"/>
  <c r="J18" i="1" s="1"/>
  <c r="B18" i="1"/>
  <c r="I17" i="1"/>
  <c r="G17" i="1"/>
  <c r="F17" i="1"/>
  <c r="E17" i="1"/>
  <c r="H17" i="1" s="1"/>
  <c r="J17" i="1" s="1"/>
  <c r="D17" i="1"/>
  <c r="C17" i="1"/>
  <c r="B17" i="1"/>
  <c r="I16" i="1"/>
  <c r="H16" i="1"/>
  <c r="J16" i="1" s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G14" i="1"/>
  <c r="G9" i="1" s="1"/>
  <c r="F14" i="1"/>
  <c r="D14" i="1"/>
  <c r="C14" i="1"/>
  <c r="B14" i="1"/>
  <c r="I13" i="1"/>
  <c r="B13" i="1"/>
  <c r="B20" i="1" s="1"/>
  <c r="I12" i="1"/>
  <c r="G12" i="1"/>
  <c r="F12" i="1"/>
  <c r="E12" i="1"/>
  <c r="D12" i="1"/>
  <c r="C12" i="1"/>
  <c r="H12" i="1" s="1"/>
  <c r="J12" i="1" s="1"/>
  <c r="B12" i="1"/>
  <c r="I11" i="1"/>
  <c r="G11" i="1"/>
  <c r="F11" i="1"/>
  <c r="E11" i="1"/>
  <c r="H11" i="1" s="1"/>
  <c r="J11" i="1" s="1"/>
  <c r="D11" i="1"/>
  <c r="C11" i="1"/>
  <c r="B11" i="1"/>
  <c r="I10" i="1"/>
  <c r="I20" i="1" s="1"/>
  <c r="G10" i="1"/>
  <c r="F10" i="1"/>
  <c r="E10" i="1"/>
  <c r="E9" i="1" s="1"/>
  <c r="D10" i="1"/>
  <c r="C10" i="1"/>
  <c r="B10" i="1"/>
  <c r="K9" i="1"/>
  <c r="I9" i="1"/>
  <c r="M172" i="1" l="1"/>
  <c r="L172" i="1"/>
  <c r="M16" i="1"/>
  <c r="L16" i="1"/>
  <c r="L45" i="1"/>
  <c r="M45" i="1"/>
  <c r="M135" i="1"/>
  <c r="L135" i="1"/>
  <c r="M11" i="1"/>
  <c r="L11" i="1"/>
  <c r="L18" i="1"/>
  <c r="M18" i="1"/>
  <c r="L33" i="1"/>
  <c r="M33" i="1"/>
  <c r="M97" i="1"/>
  <c r="L97" i="1"/>
  <c r="M105" i="1"/>
  <c r="L105" i="1"/>
  <c r="M176" i="1"/>
  <c r="L176" i="1"/>
  <c r="H20" i="1"/>
  <c r="M28" i="1"/>
  <c r="L28" i="1"/>
  <c r="M30" i="1"/>
  <c r="L30" i="1"/>
  <c r="L34" i="1"/>
  <c r="M34" i="1"/>
  <c r="L58" i="1"/>
  <c r="M58" i="1"/>
  <c r="J57" i="1"/>
  <c r="M127" i="1"/>
  <c r="L127" i="1"/>
  <c r="M140" i="1"/>
  <c r="L140" i="1"/>
  <c r="M147" i="1"/>
  <c r="L147" i="1"/>
  <c r="M17" i="1"/>
  <c r="L17" i="1"/>
  <c r="L24" i="1"/>
  <c r="M24" i="1"/>
  <c r="L64" i="1"/>
  <c r="M64" i="1"/>
  <c r="M78" i="1"/>
  <c r="L78" i="1"/>
  <c r="L98" i="1"/>
  <c r="M98" i="1"/>
  <c r="M103" i="1"/>
  <c r="L103" i="1"/>
  <c r="M118" i="1"/>
  <c r="L118" i="1"/>
  <c r="M148" i="1"/>
  <c r="L148" i="1"/>
  <c r="M177" i="1"/>
  <c r="L177" i="1"/>
  <c r="M178" i="1"/>
  <c r="L178" i="1"/>
  <c r="L35" i="1"/>
  <c r="M35" i="1"/>
  <c r="M52" i="1"/>
  <c r="L52" i="1"/>
  <c r="M60" i="1"/>
  <c r="L60" i="1"/>
  <c r="J186" i="1"/>
  <c r="M186" i="1" s="1"/>
  <c r="M187" i="1"/>
  <c r="L187" i="1"/>
  <c r="L80" i="1"/>
  <c r="M80" i="1"/>
  <c r="M25" i="1"/>
  <c r="L25" i="1"/>
  <c r="M91" i="1"/>
  <c r="L91" i="1"/>
  <c r="M23" i="1"/>
  <c r="L23" i="1"/>
  <c r="M12" i="1"/>
  <c r="L12" i="1"/>
  <c r="M27" i="1"/>
  <c r="L27" i="1"/>
  <c r="L31" i="1"/>
  <c r="M31" i="1"/>
  <c r="J43" i="1"/>
  <c r="L44" i="1"/>
  <c r="M44" i="1"/>
  <c r="L55" i="1"/>
  <c r="M55" i="1"/>
  <c r="M108" i="1"/>
  <c r="L108" i="1"/>
  <c r="M124" i="1"/>
  <c r="L124" i="1"/>
  <c r="M49" i="1"/>
  <c r="M59" i="1"/>
  <c r="L59" i="1"/>
  <c r="L68" i="1"/>
  <c r="M68" i="1"/>
  <c r="L141" i="1"/>
  <c r="M141" i="1"/>
  <c r="L154" i="1"/>
  <c r="J153" i="1"/>
  <c r="L153" i="1" s="1"/>
  <c r="J181" i="1"/>
  <c r="H180" i="1"/>
  <c r="F20" i="1"/>
  <c r="D38" i="1"/>
  <c r="M93" i="1"/>
  <c r="H102" i="1"/>
  <c r="G132" i="1"/>
  <c r="H133" i="1"/>
  <c r="M183" i="1"/>
  <c r="L183" i="1"/>
  <c r="L53" i="1"/>
  <c r="L71" i="1"/>
  <c r="M71" i="1"/>
  <c r="L138" i="1"/>
  <c r="L142" i="1"/>
  <c r="H145" i="1"/>
  <c r="C153" i="1"/>
  <c r="H153" i="1" s="1"/>
  <c r="H155" i="1"/>
  <c r="J155" i="1" s="1"/>
  <c r="L162" i="1"/>
  <c r="H22" i="1"/>
  <c r="B37" i="1"/>
  <c r="B38" i="1" s="1"/>
  <c r="L50" i="1"/>
  <c r="J94" i="1"/>
  <c r="M111" i="1"/>
  <c r="J130" i="1"/>
  <c r="J138" i="1"/>
  <c r="M138" i="1" s="1"/>
  <c r="M139" i="1"/>
  <c r="L139" i="1"/>
  <c r="D168" i="1"/>
  <c r="H169" i="1"/>
  <c r="L184" i="1"/>
  <c r="M47" i="1"/>
  <c r="H160" i="1"/>
  <c r="B9" i="1"/>
  <c r="F37" i="1"/>
  <c r="F38" i="1" s="1"/>
  <c r="H29" i="1"/>
  <c r="J29" i="1" s="1"/>
  <c r="H48" i="1"/>
  <c r="H51" i="1"/>
  <c r="J51" i="1" s="1"/>
  <c r="L76" i="1"/>
  <c r="K159" i="1"/>
  <c r="D180" i="1"/>
  <c r="D179" i="1" s="1"/>
  <c r="M206" i="1"/>
  <c r="L206" i="1"/>
  <c r="D9" i="1"/>
  <c r="G20" i="1"/>
  <c r="G37" i="1"/>
  <c r="G38" i="1" s="1"/>
  <c r="M54" i="1"/>
  <c r="L56" i="1"/>
  <c r="M56" i="1"/>
  <c r="B61" i="1"/>
  <c r="H62" i="1"/>
  <c r="L67" i="1"/>
  <c r="L81" i="1"/>
  <c r="J84" i="1"/>
  <c r="H83" i="1"/>
  <c r="M89" i="1"/>
  <c r="L89" i="1"/>
  <c r="G114" i="1"/>
  <c r="K113" i="1"/>
  <c r="L121" i="1"/>
  <c r="M125" i="1"/>
  <c r="L125" i="1"/>
  <c r="L151" i="1"/>
  <c r="J201" i="1"/>
  <c r="L26" i="1"/>
  <c r="M26" i="1"/>
  <c r="H86" i="1"/>
  <c r="J87" i="1"/>
  <c r="M126" i="1"/>
  <c r="L126" i="1"/>
  <c r="M144" i="1"/>
  <c r="L144" i="1"/>
  <c r="M171" i="1"/>
  <c r="L171" i="1"/>
  <c r="D173" i="1"/>
  <c r="H175" i="1"/>
  <c r="J175" i="1" s="1"/>
  <c r="H194" i="1"/>
  <c r="H193" i="1" s="1"/>
  <c r="J193" i="1" s="1"/>
  <c r="J195" i="1"/>
  <c r="L63" i="1"/>
  <c r="M79" i="1"/>
  <c r="L79" i="1"/>
  <c r="M99" i="1"/>
  <c r="M110" i="1"/>
  <c r="H119" i="1"/>
  <c r="J120" i="1"/>
  <c r="G122" i="1"/>
  <c r="H123" i="1"/>
  <c r="M154" i="1"/>
  <c r="H186" i="1"/>
  <c r="M189" i="1"/>
  <c r="M191" i="1"/>
  <c r="L191" i="1"/>
  <c r="L207" i="1"/>
  <c r="H13" i="1"/>
  <c r="J13" i="1" s="1"/>
  <c r="H14" i="1"/>
  <c r="J14" i="1" s="1"/>
  <c r="M19" i="1"/>
  <c r="L32" i="1"/>
  <c r="H66" i="1"/>
  <c r="H69" i="1"/>
  <c r="L82" i="1"/>
  <c r="L93" i="1"/>
  <c r="M152" i="1"/>
  <c r="H10" i="1"/>
  <c r="M117" i="1"/>
  <c r="M134" i="1"/>
  <c r="L134" i="1"/>
  <c r="L150" i="1"/>
  <c r="L165" i="1"/>
  <c r="M115" i="1"/>
  <c r="J114" i="1"/>
  <c r="M128" i="1"/>
  <c r="L128" i="1"/>
  <c r="L196" i="1"/>
  <c r="M200" i="1"/>
  <c r="L200" i="1"/>
  <c r="H15" i="1"/>
  <c r="J15" i="1" s="1"/>
  <c r="E20" i="1"/>
  <c r="E38" i="1" s="1"/>
  <c r="H95" i="1"/>
  <c r="J95" i="1" s="1"/>
  <c r="M100" i="1"/>
  <c r="L115" i="1"/>
  <c r="M156" i="1"/>
  <c r="K193" i="1"/>
  <c r="K46" i="1"/>
  <c r="B49" i="1"/>
  <c r="H49" i="1" s="1"/>
  <c r="J49" i="1" s="1"/>
  <c r="L49" i="1" s="1"/>
  <c r="B57" i="1"/>
  <c r="K73" i="1"/>
  <c r="L109" i="1"/>
  <c r="M109" i="1"/>
  <c r="H114" i="1"/>
  <c r="K137" i="1"/>
  <c r="C138" i="1"/>
  <c r="J160" i="1"/>
  <c r="L160" i="1" s="1"/>
  <c r="M161" i="1"/>
  <c r="L170" i="1"/>
  <c r="K167" i="1"/>
  <c r="J174" i="1"/>
  <c r="H173" i="1"/>
  <c r="I216" i="1"/>
  <c r="C20" i="1"/>
  <c r="C9" i="1"/>
  <c r="C37" i="1"/>
  <c r="C38" i="1" s="1"/>
  <c r="K42" i="1"/>
  <c r="M146" i="1"/>
  <c r="J145" i="1"/>
  <c r="M157" i="1"/>
  <c r="L188" i="1"/>
  <c r="M188" i="1"/>
  <c r="L203" i="1"/>
  <c r="F9" i="1"/>
  <c r="J69" i="1"/>
  <c r="L69" i="1" s="1"/>
  <c r="F106" i="1"/>
  <c r="H106" i="1" s="1"/>
  <c r="J106" i="1" s="1"/>
  <c r="H107" i="1"/>
  <c r="J107" i="1" s="1"/>
  <c r="M199" i="1"/>
  <c r="L199" i="1"/>
  <c r="F74" i="1"/>
  <c r="F73" i="1" s="1"/>
  <c r="F40" i="1" s="1"/>
  <c r="H75" i="1"/>
  <c r="G119" i="1"/>
  <c r="E194" i="1"/>
  <c r="E193" i="1" s="1"/>
  <c r="E40" i="1" s="1"/>
  <c r="E209" i="1" l="1"/>
  <c r="J66" i="1"/>
  <c r="H65" i="1"/>
  <c r="J169" i="1"/>
  <c r="H168" i="1"/>
  <c r="H167" i="1" s="1"/>
  <c r="H159" i="1" s="1"/>
  <c r="J159" i="1" s="1"/>
  <c r="H132" i="1"/>
  <c r="J133" i="1"/>
  <c r="L181" i="1"/>
  <c r="M181" i="1"/>
  <c r="J180" i="1"/>
  <c r="C137" i="1"/>
  <c r="C40" i="1" s="1"/>
  <c r="C209" i="1" s="1"/>
  <c r="H138" i="1"/>
  <c r="H137" i="1" s="1"/>
  <c r="J137" i="1" s="1"/>
  <c r="J83" i="1"/>
  <c r="L84" i="1"/>
  <c r="M84" i="1"/>
  <c r="D167" i="1"/>
  <c r="D159" i="1" s="1"/>
  <c r="D40" i="1" s="1"/>
  <c r="D209" i="1" s="1"/>
  <c r="J75" i="1"/>
  <c r="H74" i="1"/>
  <c r="L137" i="1"/>
  <c r="M137" i="1"/>
  <c r="G113" i="1"/>
  <c r="G40" i="1" s="1"/>
  <c r="G209" i="1" s="1"/>
  <c r="H215" i="1" s="1"/>
  <c r="J215" i="1" s="1"/>
  <c r="M160" i="1"/>
  <c r="H38" i="1"/>
  <c r="M43" i="1"/>
  <c r="L43" i="1"/>
  <c r="L106" i="1"/>
  <c r="M106" i="1"/>
  <c r="M153" i="1"/>
  <c r="L114" i="1"/>
  <c r="M114" i="1"/>
  <c r="L14" i="1"/>
  <c r="M14" i="1"/>
  <c r="M201" i="1"/>
  <c r="L201" i="1"/>
  <c r="M193" i="1"/>
  <c r="L193" i="1"/>
  <c r="L120" i="1"/>
  <c r="J119" i="1"/>
  <c r="M120" i="1"/>
  <c r="L130" i="1"/>
  <c r="M130" i="1"/>
  <c r="J129" i="1"/>
  <c r="L155" i="1"/>
  <c r="M155" i="1"/>
  <c r="L186" i="1"/>
  <c r="L51" i="1"/>
  <c r="M51" i="1"/>
  <c r="K40" i="1"/>
  <c r="J48" i="1"/>
  <c r="H46" i="1"/>
  <c r="H42" i="1" s="1"/>
  <c r="M94" i="1"/>
  <c r="L94" i="1"/>
  <c r="L174" i="1"/>
  <c r="M174" i="1"/>
  <c r="J173" i="1"/>
  <c r="L29" i="1"/>
  <c r="M29" i="1"/>
  <c r="M107" i="1"/>
  <c r="L107" i="1"/>
  <c r="J10" i="1"/>
  <c r="H9" i="1"/>
  <c r="H101" i="1"/>
  <c r="J102" i="1"/>
  <c r="F209" i="1"/>
  <c r="M95" i="1"/>
  <c r="L95" i="1"/>
  <c r="H122" i="1"/>
  <c r="H113" i="1" s="1"/>
  <c r="J123" i="1"/>
  <c r="H37" i="1"/>
  <c r="J22" i="1"/>
  <c r="J92" i="1"/>
  <c r="M145" i="1"/>
  <c r="L145" i="1"/>
  <c r="L13" i="1"/>
  <c r="M13" i="1"/>
  <c r="J62" i="1"/>
  <c r="H61" i="1"/>
  <c r="M15" i="1"/>
  <c r="L15" i="1"/>
  <c r="L195" i="1"/>
  <c r="M195" i="1"/>
  <c r="J194" i="1"/>
  <c r="M69" i="1"/>
  <c r="M175" i="1"/>
  <c r="L175" i="1"/>
  <c r="J86" i="1"/>
  <c r="L87" i="1"/>
  <c r="M87" i="1"/>
  <c r="B46" i="1"/>
  <c r="B42" i="1" s="1"/>
  <c r="B40" i="1" s="1"/>
  <c r="H92" i="1"/>
  <c r="H179" i="1"/>
  <c r="L57" i="1"/>
  <c r="M57" i="1"/>
  <c r="M159" i="1" l="1"/>
  <c r="L159" i="1"/>
  <c r="K215" i="1"/>
  <c r="M86" i="1"/>
  <c r="L86" i="1"/>
  <c r="J37" i="1"/>
  <c r="M22" i="1"/>
  <c r="L22" i="1"/>
  <c r="L102" i="1"/>
  <c r="M102" i="1"/>
  <c r="J101" i="1"/>
  <c r="M133" i="1"/>
  <c r="J132" i="1"/>
  <c r="L133" i="1"/>
  <c r="L123" i="1"/>
  <c r="J122" i="1"/>
  <c r="M123" i="1"/>
  <c r="L173" i="1"/>
  <c r="M173" i="1"/>
  <c r="L194" i="1"/>
  <c r="M194" i="1"/>
  <c r="M129" i="1"/>
  <c r="L129" i="1"/>
  <c r="H73" i="1"/>
  <c r="J73" i="1" s="1"/>
  <c r="B209" i="1"/>
  <c r="H40" i="1"/>
  <c r="J40" i="1" s="1"/>
  <c r="L40" i="1"/>
  <c r="M40" i="1"/>
  <c r="K209" i="1"/>
  <c r="M75" i="1"/>
  <c r="L75" i="1"/>
  <c r="J74" i="1"/>
  <c r="J179" i="1"/>
  <c r="M180" i="1"/>
  <c r="L180" i="1"/>
  <c r="M66" i="1"/>
  <c r="J65" i="1"/>
  <c r="L66" i="1"/>
  <c r="L119" i="1"/>
  <c r="M119" i="1"/>
  <c r="M48" i="1"/>
  <c r="L48" i="1"/>
  <c r="J46" i="1"/>
  <c r="J61" i="1"/>
  <c r="L62" i="1"/>
  <c r="M62" i="1"/>
  <c r="L83" i="1"/>
  <c r="M83" i="1"/>
  <c r="J20" i="1"/>
  <c r="J9" i="1"/>
  <c r="M10" i="1"/>
  <c r="L10" i="1"/>
  <c r="L169" i="1"/>
  <c r="M169" i="1"/>
  <c r="J168" i="1"/>
  <c r="M92" i="1"/>
  <c r="L92" i="1"/>
  <c r="J38" i="1" l="1"/>
  <c r="L37" i="1"/>
  <c r="M37" i="1"/>
  <c r="L65" i="1"/>
  <c r="M65" i="1"/>
  <c r="L61" i="1"/>
  <c r="M61" i="1"/>
  <c r="M46" i="1"/>
  <c r="J42" i="1"/>
  <c r="L46" i="1"/>
  <c r="L215" i="1"/>
  <c r="M20" i="1"/>
  <c r="L20" i="1"/>
  <c r="M179" i="1"/>
  <c r="L179" i="1"/>
  <c r="H214" i="1"/>
  <c r="H209" i="1"/>
  <c r="J209" i="1" s="1"/>
  <c r="L74" i="1"/>
  <c r="M74" i="1"/>
  <c r="M73" i="1"/>
  <c r="L73" i="1"/>
  <c r="L122" i="1"/>
  <c r="M122" i="1"/>
  <c r="L209" i="1"/>
  <c r="M209" i="1"/>
  <c r="M132" i="1"/>
  <c r="L132" i="1"/>
  <c r="M101" i="1"/>
  <c r="L101" i="1"/>
  <c r="M9" i="1"/>
  <c r="L9" i="1"/>
  <c r="J167" i="1"/>
  <c r="M168" i="1"/>
  <c r="L168" i="1"/>
  <c r="J113" i="1"/>
  <c r="L113" i="1" l="1"/>
  <c r="M113" i="1"/>
  <c r="L167" i="1"/>
  <c r="M167" i="1"/>
  <c r="H216" i="1"/>
  <c r="J214" i="1"/>
  <c r="M42" i="1"/>
  <c r="L42" i="1"/>
  <c r="L38" i="1"/>
  <c r="M38" i="1"/>
  <c r="K214" i="1" l="1"/>
  <c r="J216" i="1"/>
  <c r="L214" i="1" l="1"/>
  <c r="L216" i="1" s="1"/>
  <c r="K216" i="1"/>
</calcChain>
</file>

<file path=xl/comments1.xml><?xml version="1.0" encoding="utf-8"?>
<comments xmlns="http://schemas.openxmlformats.org/spreadsheetml/2006/main">
  <authors>
    <author>Oscar Rubio</author>
  </authors>
  <commentList>
    <comment ref="M25" authorId="0" shapeId="0">
      <text>
        <r>
          <rPr>
            <sz val="9"/>
            <color indexed="81"/>
            <rFont val="Tahoma"/>
            <family val="2"/>
          </rPr>
          <t xml:space="preserve">Debido a la suspensión de la vacunación en la zona 4, no se realizo transporte áereo de biológico 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los coordinadores de PPC, no solicitaron gastos legalizables durante el III trimestre debido a la realización de muestras en el programa sanitario</t>
        </r>
      </text>
    </comment>
    <comment ref="M43" authorId="0" shapeId="0">
      <text>
        <r>
          <rPr>
            <sz val="9"/>
            <color indexed="81"/>
            <rFont val="Tahoma"/>
            <family val="2"/>
          </rPr>
          <t>Se cambio la la visita de SENASA A (apertura mercado PeruanoColombia para el mes de octubre a la carne y despojos del cerdo)</t>
        </r>
      </text>
    </comment>
    <comment ref="M46" authorId="0" shapeId="0">
      <text>
        <r>
          <rPr>
            <sz val="9"/>
            <color indexed="81"/>
            <rFont val="Tahoma"/>
            <family val="2"/>
          </rPr>
          <t>Debido al retraso de la firma de los convenios de Pereira y Cundinamarca y la fecha de inicio de las obras ambientales se traslada el recurso para el IV trimestre</t>
        </r>
      </text>
    </comment>
    <comment ref="M61" authorId="0" shapeId="0">
      <text>
        <r>
          <rPr>
            <sz val="9"/>
            <color indexed="81"/>
            <rFont val="Tahoma"/>
            <family val="2"/>
          </rPr>
          <t>Se ve afectada la ejecución debido a la demora en la contratación de los puntos fijos</t>
        </r>
      </text>
    </comment>
    <comment ref="M65" authorId="0" shapeId="0">
      <text>
        <r>
          <rPr>
            <sz val="9"/>
            <color indexed="81"/>
            <rFont val="Tahoma"/>
            <family val="2"/>
          </rPr>
          <t>Se tenia contemplado recursos para apoyar a la Alcaldia de Cali en el desalojo s del Jarillon rio(sacrificio informal) Cauca(Pero este se aplazo para octubre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M74" authorId="0" shapeId="0">
      <text>
        <r>
          <rPr>
            <sz val="9"/>
            <color indexed="81"/>
            <rFont val="Tahoma"/>
            <family val="2"/>
          </rPr>
          <t>Debido a que se cambio la fecha para la realización del estudio LSDA(analisis de distribución a gran escala) el resultado se obtendra hasta el IV trimestre</t>
        </r>
      </text>
    </comment>
    <comment ref="M92" authorId="0" shapeId="0">
      <text>
        <r>
          <rPr>
            <sz val="9"/>
            <color indexed="81"/>
            <rFont val="Tahoma"/>
            <family val="2"/>
          </rPr>
          <t>Se traslada el recurso del Festival de la carne de cerdo ya que la fecha de inicio se programo para el IV trimestre</t>
        </r>
      </text>
    </comment>
    <comment ref="M101" authorId="0" shapeId="0">
      <text>
        <r>
          <rPr>
            <sz val="9"/>
            <color indexed="81"/>
            <rFont val="Tahoma"/>
            <family val="2"/>
          </rPr>
          <t>Debido a que el evento de maridaje coincidio con las fecha de plebicito este se traslado para noviembre</t>
        </r>
      </text>
    </comment>
    <comment ref="M106" authorId="0" shapeId="0">
      <text>
        <r>
          <rPr>
            <sz val="9"/>
            <color indexed="81"/>
            <rFont val="Tahoma"/>
            <family val="2"/>
          </rPr>
          <t>Se traslada el recurso 
del Club Gourmet para el IV trimestre, ya que se realizara en conjunto con el festival de carne de cerdo</t>
        </r>
      </text>
    </comment>
    <comment ref="M122" authorId="0" shapeId="0">
      <text>
        <r>
          <rPr>
            <sz val="9"/>
            <color indexed="81"/>
            <rFont val="Tahoma"/>
            <family val="2"/>
          </rPr>
          <t>Debido a que el ICA desembolso tarde el recurso de la carta de entendimiento No 8, se trasladan actividades para el IV trimestre</t>
        </r>
      </text>
    </comment>
    <comment ref="M129" authorId="0" shapeId="0">
      <text>
        <r>
          <rPr>
            <sz val="9"/>
            <color indexed="81"/>
            <rFont val="Tahoma"/>
            <family val="2"/>
          </rPr>
          <t>Se  terminara la realización del censo hasta en Antioquia hasta el IV trimestre</t>
        </r>
      </text>
    </comment>
    <comment ref="M138" authorId="0" shapeId="0">
      <text>
        <r>
          <rPr>
            <sz val="9"/>
            <color indexed="81"/>
            <rFont val="Tahoma"/>
            <family val="2"/>
          </rPr>
          <t>Se modifico la fecha del taller técnico de bioseguridad por disponibilidad de los conferencistas y para garantizar  categorización de las granjas despues de realizar el 100% de las visitas</t>
        </r>
      </text>
    </comment>
    <comment ref="M145" authorId="0" shapeId="0">
      <text>
        <r>
          <rPr>
            <sz val="9"/>
            <color indexed="81"/>
            <rFont val="Tahoma"/>
            <family val="2"/>
          </rPr>
          <t>Se estan concertando terminos de referencia para la ejecución de obras con las corporaciones y universidades</t>
        </r>
      </text>
    </comment>
    <comment ref="M160" authorId="0" shapeId="0">
      <text>
        <r>
          <rPr>
            <sz val="9"/>
            <color indexed="81"/>
            <rFont val="Tahoma"/>
            <family val="2"/>
          </rPr>
          <t>Debido a que el proyecto "Diseño de productos IV gama" inicio finalizando junio no se ejecutara el 100% de los recursos</t>
        </r>
      </text>
    </comment>
    <comment ref="M167" authorId="0" shapeId="0">
      <text>
        <r>
          <rPr>
            <sz val="9"/>
            <color indexed="81"/>
            <rFont val="Tahoma"/>
            <family val="2"/>
          </rPr>
          <t>Se optimizaron recursos en hospedaje ,alimentación en la gira técnica a Dinamarca</t>
        </r>
      </text>
    </comment>
  </commentList>
</comments>
</file>

<file path=xl/sharedStrings.xml><?xml version="1.0" encoding="utf-8"?>
<sst xmlns="http://schemas.openxmlformats.org/spreadsheetml/2006/main" count="216" uniqueCount="211">
  <si>
    <t>MINISTERIO DE AGRICULTURA  Y DESARROLLO RURAL</t>
  </si>
  <si>
    <t>DIRECCIÓN DE PLANEACIÓN Y SEGUIMIENTO PRESUPUESTAL</t>
  </si>
  <si>
    <t>PRESUPUESTO DE GASTOS DE FUNCIONAMIENTO E INVERSIÓN 2.016</t>
  </si>
  <si>
    <t>EJECUCIÓN TRIMESTRE JULIO-SEPTIEMBRE 2016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</si>
  <si>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</si>
  <si>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</si>
  <si>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</si>
  <si>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</si>
  <si>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</si>
  <si>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</si>
  <si>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</si>
  <si>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</si>
  <si>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</si>
  <si>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</si>
  <si>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</si>
  <si>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</si>
  <si>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11/16</t>
  </si>
  <si>
    <t>%EJECU-CIÓN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</si>
  <si>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</si>
  <si>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</si>
  <si>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</si>
  <si>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</si>
  <si>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</si>
  <si>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</si>
  <si>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</si>
  <si>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</si>
  <si>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</si>
  <si>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</si>
  <si>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</si>
  <si>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</si>
  <si>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</si>
  <si>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</si>
  <si>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</si>
  <si>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</si>
  <si>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</si>
  <si>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</si>
  <si>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</si>
  <si>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</si>
  <si>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</si>
  <si>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</si>
  <si>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</si>
  <si>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</si>
  <si>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</si>
  <si>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</si>
  <si>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</si>
  <si>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</si>
  <si>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</si>
  <si>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</si>
  <si>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</si>
  <si>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</si>
  <si>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</si>
  <si>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</si>
  <si>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</si>
  <si>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</si>
  <si>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</si>
  <si>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</si>
  <si>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</si>
  <si>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</si>
  <si>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</si>
  <si>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</si>
  <si>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</si>
  <si>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</si>
  <si>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</si>
  <si>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</si>
  <si>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</si>
  <si>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</si>
  <si>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</si>
  <si>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</si>
  <si>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</si>
  <si>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</si>
  <si>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</si>
  <si>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</si>
  <si>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</si>
  <si>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</si>
  <si>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</si>
  <si>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</si>
  <si>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</si>
  <si>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</si>
  <si>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</si>
  <si>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</si>
  <si>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</si>
  <si>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</si>
  <si>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</si>
  <si>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</si>
  <si>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</si>
  <si>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</si>
  <si>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</si>
  <si>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Estudio Digital</t>
  </si>
  <si>
    <t>Estudio del estatus de comercializacion de la carne de cerdo</t>
  </si>
  <si>
    <t>Estudio LSDA</t>
  </si>
  <si>
    <t>Estrategia digital</t>
  </si>
  <si>
    <t>Me encanta la carne de cerdo.com</t>
  </si>
  <si>
    <t>Concurso innovador carne de cerdo</t>
  </si>
  <si>
    <t>Campaña de fomento al consumo</t>
  </si>
  <si>
    <t>Campaña de publicidad</t>
  </si>
  <si>
    <t>Free Press ATL Influenciadores</t>
  </si>
  <si>
    <t>Consultoría MESA</t>
  </si>
  <si>
    <t>Pauta institucional</t>
  </si>
  <si>
    <t>Kit Publicitario</t>
  </si>
  <si>
    <t>Eventos de Sensibilización de las bondades gastronomicas y nutricionales de la carne de cerdo</t>
  </si>
  <si>
    <t>Nutricionistas Ejecutivas</t>
  </si>
  <si>
    <t>Día de la Carne de Cerdo</t>
  </si>
  <si>
    <t>Asesores Gastronómicos Ejecutivos</t>
  </si>
  <si>
    <t>Viajes regionales equipo incentivo y sensibilizacion de las bondades de la carne de cerdo</t>
  </si>
  <si>
    <t>Capacitación anual contratistas</t>
  </si>
  <si>
    <t xml:space="preserve">Material Publicitario, Promoción y Divulgación para el Incentivo y sensibilizacion </t>
  </si>
  <si>
    <t>Festival de la Carne de cerdo</t>
  </si>
  <si>
    <t xml:space="preserve">Conceptos y artes </t>
  </si>
  <si>
    <t>Eventos Especializados y del Sector</t>
  </si>
  <si>
    <t>Seguimiento gestión a eventos de sensibilización de las bondades de la carne de cerdo</t>
  </si>
  <si>
    <t>Porciamericas</t>
  </si>
  <si>
    <t>Eventos especializados (Sector, gastronomicos , sector salud)</t>
  </si>
  <si>
    <t>Teletón</t>
  </si>
  <si>
    <t>Comercialización y Nuevos Negocios</t>
  </si>
  <si>
    <t>Profesional de Comercialización y Nuevos Negocios</t>
  </si>
  <si>
    <t>Material Promocional y Publicitario</t>
  </si>
  <si>
    <t>Cerdificado</t>
  </si>
  <si>
    <t xml:space="preserve">Club Gourmet de la Carne de Cerdo ( talleres de cocina ) </t>
  </si>
  <si>
    <t>Asesores Gastronómicos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</si>
  <si>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</si>
  <si>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</si>
  <si>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</si>
  <si>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</si>
  <si>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</si>
  <si>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</si>
  <si>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</si>
  <si>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</si>
  <si>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</si>
  <si>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</si>
  <si>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</si>
  <si>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de factores de riesgo</t>
  </si>
  <si>
    <t>Adminisbilidad y normatividad sanitaria</t>
  </si>
  <si>
    <t>Control al Contrabando</t>
  </si>
  <si>
    <t>Equipos comunicación puestos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</si>
  <si>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</si>
  <si>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</si>
  <si>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</si>
  <si>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</si>
  <si>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</si>
  <si>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</si>
  <si>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</si>
  <si>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</si>
  <si>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</si>
  <si>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</si>
  <si>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</si>
  <si>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</si>
  <si>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</si>
  <si>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</si>
  <si>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</si>
  <si>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</si>
  <si>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</si>
  <si>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</si>
  <si>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</si>
  <si>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</si>
  <si>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Levantamiento línea base de consumo de agua en granja</t>
  </si>
  <si>
    <t xml:space="preserve">Desarrollo de aplicaciones informáticas para control de olores </t>
  </si>
  <si>
    <t>Inocuidad y bienestar animal en producción primaria y transporte</t>
  </si>
  <si>
    <t>Profesional de acompañamiento</t>
  </si>
  <si>
    <t>Fortalecimiento de competencias en bienestar animal e inocuidad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</si>
  <si>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</si>
  <si>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</si>
  <si>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</si>
  <si>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</si>
  <si>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</si>
  <si>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Seguimiento a proyectos</t>
  </si>
  <si>
    <t>Capacitación anual</t>
  </si>
  <si>
    <t>Jornadas de divulgación resultados de investigación</t>
  </si>
  <si>
    <t>Proyecto ambiental (Compostaje mortalidad)</t>
  </si>
  <si>
    <t>Transferencia de tecnología</t>
  </si>
  <si>
    <t xml:space="preserve">  Vinculación tecnologica</t>
  </si>
  <si>
    <t>Gira técnica</t>
  </si>
  <si>
    <t>Capacitación en desposte de carne de cerdo</t>
  </si>
  <si>
    <t>Capacitación para expendedores</t>
  </si>
  <si>
    <t>Diplomado en alta gerencia</t>
  </si>
  <si>
    <t xml:space="preserve">  Talleres y seminarios</t>
  </si>
  <si>
    <t>Seminario Internacional</t>
  </si>
  <si>
    <t>Buenas practicas en el manejo de medicamentos veterinarios</t>
  </si>
  <si>
    <t>Taller tecnologia de carnicos</t>
  </si>
  <si>
    <t>Material de apoyo</t>
  </si>
  <si>
    <t>Tallero operarios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</si>
  <si>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</si>
  <si>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</si>
  <si>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</si>
  <si>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</si>
  <si>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</si>
  <si>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</si>
  <si>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</si>
  <si>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>Diagnostico rutinario con laboratorios privados</t>
  </si>
  <si>
    <t>Rutinario</t>
  </si>
  <si>
    <t>Combos</t>
  </si>
  <si>
    <t>PRRS</t>
  </si>
  <si>
    <t>Promoción del diagnóstico</t>
  </si>
  <si>
    <t>Inocuidad y Ambiente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</si>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</sst>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5" x14ac:knownFonts="1">
    <font>
      <sz val="10"/>
      <name val="Arial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2" fillId="0" borderId="5" xfId="0" applyNumberFormat="1" applyFont="1" applyFill="1" applyBorder="1" applyAlignment="1"/>
    <xf numFmtId="3" fontId="2" fillId="0" borderId="6" xfId="0" applyNumberFormat="1" applyFont="1" applyFill="1" applyBorder="1"/>
    <xf numFmtId="10" fontId="2" fillId="0" borderId="7" xfId="1" applyNumberFormat="1" applyFont="1" applyFill="1" applyBorder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7" fillId="0" borderId="6" xfId="0" applyNumberFormat="1" applyFont="1" applyFill="1" applyBorder="1"/>
    <xf numFmtId="10" fontId="7" fillId="0" borderId="7" xfId="1" applyNumberFormat="1" applyFont="1" applyFill="1" applyBorder="1"/>
    <xf numFmtId="0" fontId="0" fillId="0" borderId="0" xfId="0" applyFill="1" applyAlignment="1">
      <alignment horizontal="center"/>
    </xf>
    <xf numFmtId="3" fontId="8" fillId="0" borderId="6" xfId="0" applyNumberFormat="1" applyFont="1" applyFill="1" applyBorder="1"/>
    <xf numFmtId="3" fontId="0" fillId="0" borderId="0" xfId="0" applyNumberFormat="1" applyFill="1"/>
    <xf numFmtId="0" fontId="1" fillId="0" borderId="5" xfId="0" applyFont="1" applyFill="1" applyBorder="1" applyAlignment="1"/>
    <xf numFmtId="3" fontId="1" fillId="0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2" applyNumberFormat="1" applyFont="1" applyFill="1" applyBorder="1"/>
    <xf numFmtId="3" fontId="2" fillId="0" borderId="6" xfId="2" applyNumberFormat="1" applyFont="1" applyFill="1" applyBorder="1"/>
    <xf numFmtId="0" fontId="1" fillId="0" borderId="8" xfId="0" applyFont="1" applyFill="1" applyBorder="1" applyAlignment="1"/>
    <xf numFmtId="3" fontId="1" fillId="0" borderId="9" xfId="0" applyNumberFormat="1" applyFont="1" applyFill="1" applyBorder="1"/>
    <xf numFmtId="3" fontId="2" fillId="0" borderId="9" xfId="2" applyNumberFormat="1" applyFont="1" applyFill="1" applyBorder="1"/>
    <xf numFmtId="10" fontId="2" fillId="0" borderId="10" xfId="1" applyNumberFormat="1" applyFont="1" applyFill="1" applyBorder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2" fillId="0" borderId="13" xfId="1" applyNumberFormat="1" applyFont="1" applyFill="1" applyBorder="1"/>
    <xf numFmtId="0" fontId="1" fillId="0" borderId="14" xfId="0" applyFont="1" applyFill="1" applyBorder="1" applyAlignment="1"/>
    <xf numFmtId="3" fontId="1" fillId="0" borderId="15" xfId="0" applyNumberFormat="1" applyFont="1" applyFill="1" applyBorder="1"/>
    <xf numFmtId="10" fontId="2" fillId="0" borderId="16" xfId="1" applyNumberFormat="1" applyFont="1" applyFill="1" applyBorder="1"/>
    <xf numFmtId="37" fontId="1" fillId="0" borderId="5" xfId="0" applyNumberFormat="1" applyFont="1" applyFill="1" applyBorder="1" applyAlignment="1"/>
    <xf numFmtId="0" fontId="9" fillId="0" borderId="0" xfId="0" applyFont="1" applyFill="1"/>
    <xf numFmtId="37" fontId="7" fillId="0" borderId="5" xfId="0" applyNumberFormat="1" applyFont="1" applyFill="1" applyBorder="1" applyAlignment="1">
      <alignment horizontal="left"/>
    </xf>
    <xf numFmtId="37" fontId="2" fillId="0" borderId="5" xfId="0" applyNumberFormat="1" applyFont="1" applyFill="1" applyBorder="1" applyAlignment="1">
      <alignment horizontal="left"/>
    </xf>
    <xf numFmtId="164" fontId="1" fillId="0" borderId="6" xfId="2" applyFont="1" applyFill="1" applyBorder="1"/>
    <xf numFmtId="164" fontId="7" fillId="0" borderId="6" xfId="2" applyFont="1" applyFill="1" applyBorder="1"/>
    <xf numFmtId="164" fontId="9" fillId="0" borderId="0" xfId="2" applyFont="1" applyFill="1"/>
    <xf numFmtId="37" fontId="7" fillId="0" borderId="5" xfId="0" applyNumberFormat="1" applyFont="1" applyFill="1" applyBorder="1" applyAlignment="1"/>
    <xf numFmtId="37" fontId="2" fillId="0" borderId="5" xfId="0" applyNumberFormat="1" applyFont="1" applyFill="1" applyBorder="1" applyAlignment="1"/>
    <xf numFmtId="3" fontId="2" fillId="0" borderId="6" xfId="3" applyNumberFormat="1" applyFont="1" applyFill="1" applyBorder="1"/>
    <xf numFmtId="0" fontId="6" fillId="0" borderId="0" xfId="0" applyFont="1" applyFill="1"/>
    <xf numFmtId="0" fontId="5" fillId="0" borderId="17" xfId="0" applyFont="1" applyFill="1" applyBorder="1" applyAlignment="1"/>
    <xf numFmtId="3" fontId="1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CIERRE%20JUL-SE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5\PRESUPUESTO%202015\PRESUPUESTO%202015%20V.6\Presupuesto%202015%20version%2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ACUERDOS\ACUERDOS%20DEFINITIVOS\Anexos\Presupuesto%20PPC%20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AEconomic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%20TRIMESTRE\Presupuesto%20II%20Trimestre%20AEconomi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Mercade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PP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T&#233;cnic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Investigaci&#243;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Sanida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  <sheetName val="Ajuste salarios Coordinadores "/>
      <sheetName val="Detalle Incremento Nomina"/>
    </sheetNames>
    <sheetDataSet>
      <sheetData sheetId="0">
        <row r="14">
          <cell r="B14">
            <v>4790464543.75</v>
          </cell>
        </row>
        <row r="15">
          <cell r="B15">
            <v>2874278726.25</v>
          </cell>
        </row>
        <row r="18">
          <cell r="B18">
            <v>0</v>
          </cell>
        </row>
        <row r="19">
          <cell r="B19">
            <v>0</v>
          </cell>
        </row>
        <row r="32">
          <cell r="B32">
            <v>628433800</v>
          </cell>
        </row>
        <row r="41">
          <cell r="B41">
            <v>6096146129.5632153</v>
          </cell>
        </row>
        <row r="45">
          <cell r="B45">
            <v>4843021478.4151602</v>
          </cell>
        </row>
      </sheetData>
      <sheetData sheetId="1"/>
      <sheetData sheetId="2"/>
      <sheetData sheetId="3">
        <row r="10">
          <cell r="F10">
            <v>21592586</v>
          </cell>
          <cell r="G10">
            <v>6000000</v>
          </cell>
          <cell r="I10">
            <v>29896548</v>
          </cell>
        </row>
        <row r="12">
          <cell r="F12">
            <v>1614207.5835000002</v>
          </cell>
        </row>
        <row r="14">
          <cell r="F14">
            <v>5105769.1601999998</v>
          </cell>
          <cell r="G14">
            <v>3100000</v>
          </cell>
        </row>
        <row r="16">
          <cell r="F16">
            <v>5492676.4138500001</v>
          </cell>
          <cell r="G16">
            <v>2028628.9323</v>
          </cell>
          <cell r="H16">
            <v>2028628.9323</v>
          </cell>
          <cell r="I16">
            <v>2028628.9323</v>
          </cell>
          <cell r="J16">
            <v>2028628.9323</v>
          </cell>
          <cell r="K16">
            <v>2028628.9323</v>
          </cell>
          <cell r="L16">
            <v>2028628.9323</v>
          </cell>
        </row>
        <row r="18">
          <cell r="F18">
            <v>7368088.527675001</v>
          </cell>
          <cell r="G18">
            <v>2338263</v>
          </cell>
          <cell r="I18">
            <v>2600501.8647000003</v>
          </cell>
          <cell r="J18">
            <v>1011306.2214</v>
          </cell>
          <cell r="K18">
            <v>433417.06642500003</v>
          </cell>
          <cell r="L18">
            <v>2600501.8647000003</v>
          </cell>
        </row>
        <row r="20">
          <cell r="F20">
            <v>13011842.889975002</v>
          </cell>
          <cell r="G20">
            <v>2500000</v>
          </cell>
          <cell r="I20">
            <v>943260.96</v>
          </cell>
          <cell r="L20">
            <v>7000000</v>
          </cell>
        </row>
        <row r="22">
          <cell r="F22">
            <v>6673125.0000000009</v>
          </cell>
          <cell r="G22">
            <v>78000000</v>
          </cell>
          <cell r="I22">
            <v>7000000</v>
          </cell>
          <cell r="J22">
            <v>4336568.9853750002</v>
          </cell>
          <cell r="K22">
            <v>2500000</v>
          </cell>
          <cell r="L22">
            <v>6997492</v>
          </cell>
        </row>
        <row r="24">
          <cell r="F24">
            <v>5623598.5429250002</v>
          </cell>
          <cell r="G24">
            <v>4900000</v>
          </cell>
          <cell r="H24">
            <v>1000000</v>
          </cell>
          <cell r="I24">
            <v>4001999.9999999995</v>
          </cell>
        </row>
        <row r="26">
          <cell r="F26">
            <v>12943498.25</v>
          </cell>
          <cell r="G26">
            <v>114000000</v>
          </cell>
          <cell r="H26">
            <v>1200000</v>
          </cell>
          <cell r="I26">
            <v>8991625</v>
          </cell>
          <cell r="J26">
            <v>2822184.6787500004</v>
          </cell>
          <cell r="K26">
            <v>1693372.2000000002</v>
          </cell>
          <cell r="L26">
            <v>2668882.17735</v>
          </cell>
        </row>
        <row r="28">
          <cell r="F28">
            <v>1210864.1560500001</v>
          </cell>
          <cell r="G28">
            <v>750000</v>
          </cell>
          <cell r="I28">
            <v>300000</v>
          </cell>
          <cell r="J28">
            <v>677324.32290000003</v>
          </cell>
          <cell r="K28">
            <v>500000</v>
          </cell>
          <cell r="L28">
            <v>643458.21352500003</v>
          </cell>
        </row>
        <row r="30">
          <cell r="F30">
            <v>5872350</v>
          </cell>
          <cell r="G30">
            <v>12609300</v>
          </cell>
          <cell r="H30">
            <v>400000</v>
          </cell>
          <cell r="I30">
            <v>1000000</v>
          </cell>
          <cell r="J30">
            <v>300000</v>
          </cell>
          <cell r="K30">
            <v>1250000</v>
          </cell>
        </row>
        <row r="32">
          <cell r="F32">
            <v>8602029.9809250012</v>
          </cell>
        </row>
        <row r="34">
          <cell r="F34">
            <v>27369460.721275002</v>
          </cell>
          <cell r="G34">
            <v>15374880.000000002</v>
          </cell>
        </row>
        <row r="36">
          <cell r="F36">
            <v>35076706.934900001</v>
          </cell>
        </row>
      </sheetData>
      <sheetData sheetId="4">
        <row r="12">
          <cell r="K12">
            <v>38156455.140000001</v>
          </cell>
          <cell r="L12">
            <v>2490250.0950000002</v>
          </cell>
          <cell r="M12">
            <v>298830.01139999996</v>
          </cell>
          <cell r="N12">
            <v>2490250.0950000002</v>
          </cell>
          <cell r="O12">
            <v>1245125.0475000001</v>
          </cell>
          <cell r="S12">
            <v>7326983.1071208008</v>
          </cell>
          <cell r="U12">
            <v>1275008.0486399999</v>
          </cell>
          <cell r="X12">
            <v>1593760.0608000001</v>
          </cell>
        </row>
        <row r="21">
          <cell r="K21">
            <v>194274150.24360004</v>
          </cell>
          <cell r="L21">
            <v>13810830.045299998</v>
          </cell>
          <cell r="M21">
            <v>1657299.6054359998</v>
          </cell>
          <cell r="N21">
            <v>13810830.045299998</v>
          </cell>
          <cell r="O21">
            <v>8094756.2601499995</v>
          </cell>
          <cell r="S21">
            <v>39302886.837654546</v>
          </cell>
          <cell r="U21">
            <v>7883882.3822336011</v>
          </cell>
          <cell r="X21">
            <v>9854852.9777920023</v>
          </cell>
        </row>
        <row r="39">
          <cell r="K39">
            <v>57883792.134900004</v>
          </cell>
          <cell r="L39">
            <v>2444966.8695750004</v>
          </cell>
          <cell r="M39">
            <v>293396.02434900001</v>
          </cell>
          <cell r="N39">
            <v>2444966.8695750004</v>
          </cell>
          <cell r="O39">
            <v>2411824.6722875</v>
          </cell>
          <cell r="S39">
            <v>10319160.632978478</v>
          </cell>
          <cell r="U39">
            <v>2094397.2362624002</v>
          </cell>
          <cell r="X39">
            <v>2617996.5453279996</v>
          </cell>
        </row>
        <row r="48">
          <cell r="K48">
            <v>64744060.387800008</v>
          </cell>
          <cell r="L48">
            <v>3016655.8906500004</v>
          </cell>
          <cell r="M48">
            <v>361998.706878</v>
          </cell>
          <cell r="N48">
            <v>3016655.8906500004</v>
          </cell>
          <cell r="O48">
            <v>2697669.182825</v>
          </cell>
          <cell r="S48">
            <v>11761326.225103116</v>
          </cell>
          <cell r="U48">
            <v>2387102.0150528001</v>
          </cell>
          <cell r="X48">
            <v>2983877.5188159999</v>
          </cell>
        </row>
        <row r="57">
          <cell r="K57">
            <v>56432823.069000006</v>
          </cell>
          <cell r="L57">
            <v>2324052.7807499999</v>
          </cell>
          <cell r="M57">
            <v>278886.33369</v>
          </cell>
          <cell r="N57">
            <v>2324052.7807499999</v>
          </cell>
          <cell r="O57">
            <v>2351367.6278750002</v>
          </cell>
          <cell r="S57">
            <v>10050535.411333499</v>
          </cell>
          <cell r="U57">
            <v>2032489.222784</v>
          </cell>
          <cell r="X57">
            <v>2540611.5284800003</v>
          </cell>
        </row>
        <row r="65">
          <cell r="K65">
            <v>6972700.2660000008</v>
          </cell>
          <cell r="L65">
            <v>581058.35550000006</v>
          </cell>
          <cell r="M65">
            <v>69727.002659999998</v>
          </cell>
          <cell r="N65">
            <v>581058.35550000006</v>
          </cell>
          <cell r="O65">
            <v>290529.17775000003</v>
          </cell>
          <cell r="S65">
            <v>1465801.0499185203</v>
          </cell>
          <cell r="U65">
            <v>297501.87801600003</v>
          </cell>
          <cell r="X65">
            <v>371877.34752000007</v>
          </cell>
        </row>
        <row r="69">
          <cell r="K69">
            <v>201078108.42090002</v>
          </cell>
          <cell r="L69">
            <v>14377826.560075</v>
          </cell>
          <cell r="M69">
            <v>1725339.1872089996</v>
          </cell>
          <cell r="N69">
            <v>14377826.560075</v>
          </cell>
          <cell r="O69">
            <v>8378254.5175374988</v>
          </cell>
          <cell r="S69">
            <v>41185777.667022094</v>
          </cell>
          <cell r="U69">
            <v>8184130.1977984011</v>
          </cell>
          <cell r="X69">
            <v>10230162.747248</v>
          </cell>
        </row>
        <row r="96">
          <cell r="K96">
            <v>854160.00000000012</v>
          </cell>
          <cell r="M96">
            <v>213540.00000000003</v>
          </cell>
          <cell r="O96">
            <v>213540.00000000003</v>
          </cell>
          <cell r="Q96">
            <v>213540.00000000003</v>
          </cell>
          <cell r="S96">
            <v>640620.00000000012</v>
          </cell>
        </row>
        <row r="107">
          <cell r="I107">
            <v>31883811.449200004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Generales"/>
      <sheetName val="Inversión"/>
      <sheetName val="Ejecución 1T 18-05-2016"/>
      <sheetName val="Ejecución 2T Jun 25-05"/>
      <sheetName val="Desagregado 25-05-2016"/>
      <sheetName val="suspensiones 25-05-2016"/>
      <sheetName val="Ejecución estimada II trimestre"/>
      <sheetName val="Ingresos"/>
      <sheetName val="Supuestos"/>
      <sheetName val="Hoja2"/>
    </sheetNames>
    <sheetDataSet>
      <sheetData sheetId="0" refreshError="1">
        <row r="7">
          <cell r="G7">
            <v>15096210.300000001</v>
          </cell>
        </row>
        <row r="24">
          <cell r="G24">
            <v>95455980.431199998</v>
          </cell>
        </row>
        <row r="28">
          <cell r="G28">
            <v>101824699.30000001</v>
          </cell>
        </row>
        <row r="29">
          <cell r="G29">
            <v>48786814.058600001</v>
          </cell>
        </row>
        <row r="32">
          <cell r="G32">
            <v>30000000</v>
          </cell>
        </row>
        <row r="33">
          <cell r="G33">
            <v>228362725</v>
          </cell>
        </row>
        <row r="35">
          <cell r="G35">
            <v>40000000</v>
          </cell>
        </row>
        <row r="36">
          <cell r="G36">
            <v>20855774</v>
          </cell>
        </row>
        <row r="37">
          <cell r="G37">
            <v>178985250</v>
          </cell>
        </row>
        <row r="40">
          <cell r="G40">
            <v>25141718.584500004</v>
          </cell>
        </row>
        <row r="41">
          <cell r="G41">
            <v>4092619.0208999999</v>
          </cell>
        </row>
        <row r="45">
          <cell r="G45">
            <v>59350249</v>
          </cell>
        </row>
        <row r="46">
          <cell r="G46">
            <v>45536313.810600005</v>
          </cell>
        </row>
        <row r="47">
          <cell r="G47">
            <v>3038379.8801000044</v>
          </cell>
        </row>
        <row r="50">
          <cell r="G50">
            <v>6352815</v>
          </cell>
        </row>
        <row r="51">
          <cell r="G51">
            <v>29300000</v>
          </cell>
        </row>
        <row r="52">
          <cell r="G52">
            <v>12887139.000000002</v>
          </cell>
        </row>
        <row r="56">
          <cell r="G56">
            <v>87768121.799999997</v>
          </cell>
        </row>
        <row r="57">
          <cell r="G57">
            <v>9419250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regado"/>
      <sheetName val="Generales"/>
      <sheetName val="Inversión"/>
      <sheetName val="Ejecución 17-02-2016"/>
      <sheetName val="Desagregado 17-02-2016"/>
      <sheetName val="suspensiones 17-02-2016"/>
      <sheetName val="Ejecución estimada I trimestre"/>
      <sheetName val="Ingresos"/>
      <sheetName val="Supuestos"/>
    </sheetNames>
    <sheetDataSet>
      <sheetData sheetId="0"/>
      <sheetData sheetId="1">
        <row r="25">
          <cell r="F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presupuestal 2016"/>
    </sheetNames>
    <sheetDataSet>
      <sheetData sheetId="0" refreshError="1">
        <row r="9">
          <cell r="L9">
            <v>7000000</v>
          </cell>
        </row>
        <row r="11">
          <cell r="L11">
            <v>45505628.069600001</v>
          </cell>
        </row>
        <row r="14">
          <cell r="L14">
            <v>7382229</v>
          </cell>
        </row>
        <row r="17">
          <cell r="L17">
            <v>51349600</v>
          </cell>
        </row>
        <row r="18">
          <cell r="L18">
            <v>40000000</v>
          </cell>
        </row>
        <row r="20">
          <cell r="L20">
            <v>70000000</v>
          </cell>
        </row>
        <row r="23">
          <cell r="L23">
            <v>1250000000</v>
          </cell>
        </row>
        <row r="24">
          <cell r="L24">
            <v>30000000</v>
          </cell>
        </row>
        <row r="25">
          <cell r="L25">
            <v>14662158</v>
          </cell>
        </row>
        <row r="26">
          <cell r="L26">
            <v>7865895</v>
          </cell>
        </row>
        <row r="29">
          <cell r="L29">
            <v>30749760</v>
          </cell>
        </row>
        <row r="30">
          <cell r="L30">
            <v>10000000</v>
          </cell>
        </row>
        <row r="31">
          <cell r="L31">
            <v>20499840</v>
          </cell>
        </row>
        <row r="32">
          <cell r="L32">
            <v>12000000</v>
          </cell>
        </row>
        <row r="33">
          <cell r="L33">
            <v>0</v>
          </cell>
        </row>
        <row r="34">
          <cell r="L34">
            <v>45000000</v>
          </cell>
        </row>
        <row r="35">
          <cell r="L35">
            <v>496480500.00000006</v>
          </cell>
        </row>
        <row r="36">
          <cell r="L36">
            <v>30000000</v>
          </cell>
        </row>
        <row r="38">
          <cell r="L38">
            <v>16933722</v>
          </cell>
        </row>
        <row r="39">
          <cell r="L39">
            <v>19120000</v>
          </cell>
        </row>
        <row r="40">
          <cell r="L40">
            <v>87000000</v>
          </cell>
        </row>
        <row r="43">
          <cell r="L43">
            <v>16933722</v>
          </cell>
        </row>
        <row r="44">
          <cell r="L44">
            <v>20000000</v>
          </cell>
        </row>
        <row r="45">
          <cell r="L45">
            <v>18000000</v>
          </cell>
        </row>
        <row r="46">
          <cell r="L46">
            <v>46000000</v>
          </cell>
        </row>
        <row r="47">
          <cell r="L47">
            <v>39590316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Ingresos III trimestre"/>
      <sheetName val="Pto 3er Tre y ajustes"/>
    </sheetNames>
    <sheetDataSet>
      <sheetData sheetId="0">
        <row r="55">
          <cell r="C55">
            <v>5840000</v>
          </cell>
        </row>
      </sheetData>
      <sheetData sheetId="1">
        <row r="5">
          <cell r="H5">
            <v>4000000</v>
          </cell>
        </row>
        <row r="17">
          <cell r="H17">
            <v>592373028</v>
          </cell>
        </row>
        <row r="18">
          <cell r="H18">
            <v>50000000</v>
          </cell>
        </row>
        <row r="19">
          <cell r="H19">
            <v>41000000</v>
          </cell>
        </row>
        <row r="20">
          <cell r="H20">
            <v>435303860</v>
          </cell>
        </row>
        <row r="22">
          <cell r="H22">
            <v>98000000</v>
          </cell>
        </row>
        <row r="23">
          <cell r="H23">
            <v>80000000</v>
          </cell>
        </row>
        <row r="25">
          <cell r="H25">
            <v>30000000</v>
          </cell>
        </row>
        <row r="26">
          <cell r="H26">
            <v>475000000</v>
          </cell>
        </row>
        <row r="27">
          <cell r="H27">
            <v>30000000</v>
          </cell>
        </row>
        <row r="28">
          <cell r="H28">
            <v>30000000</v>
          </cell>
        </row>
        <row r="29">
          <cell r="H29">
            <v>60000000</v>
          </cell>
        </row>
        <row r="30">
          <cell r="H30">
            <v>1755000</v>
          </cell>
        </row>
        <row r="32">
          <cell r="H32">
            <v>39000000</v>
          </cell>
        </row>
        <row r="33">
          <cell r="H33">
            <v>204382600</v>
          </cell>
        </row>
        <row r="35">
          <cell r="H35">
            <v>1800000000</v>
          </cell>
        </row>
        <row r="36">
          <cell r="H36">
            <v>24000000</v>
          </cell>
        </row>
        <row r="37">
          <cell r="H37">
            <v>23000000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a II Tri y Sol III, desag"/>
      <sheetName val="Presupuesto General"/>
      <sheetName val="Hoja2"/>
    </sheetNames>
    <sheetDataSet>
      <sheetData sheetId="0"/>
      <sheetData sheetId="1">
        <row r="14">
          <cell r="H14">
            <v>69796420</v>
          </cell>
        </row>
        <row r="15">
          <cell r="H15">
            <v>46000000</v>
          </cell>
        </row>
        <row r="16">
          <cell r="H16">
            <v>9000000</v>
          </cell>
        </row>
        <row r="17">
          <cell r="H17">
            <v>6000000</v>
          </cell>
        </row>
        <row r="18">
          <cell r="H18">
            <v>9600000</v>
          </cell>
        </row>
        <row r="20">
          <cell r="H20">
            <v>5750000</v>
          </cell>
        </row>
        <row r="21">
          <cell r="H21">
            <v>6000000</v>
          </cell>
        </row>
        <row r="22">
          <cell r="H22">
            <v>155616090</v>
          </cell>
        </row>
        <row r="23">
          <cell r="H23">
            <v>46500000</v>
          </cell>
        </row>
        <row r="24">
          <cell r="H24">
            <v>17000000</v>
          </cell>
        </row>
        <row r="25">
          <cell r="H25">
            <v>5000000</v>
          </cell>
        </row>
        <row r="26">
          <cell r="H26">
            <v>40000000</v>
          </cell>
        </row>
        <row r="28">
          <cell r="H28">
            <v>13196772</v>
          </cell>
        </row>
        <row r="29">
          <cell r="H29">
            <v>29000000</v>
          </cell>
        </row>
        <row r="30">
          <cell r="H30">
            <v>7500000</v>
          </cell>
        </row>
        <row r="31">
          <cell r="H31">
            <v>18600000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y S III"/>
      <sheetName val="Hoja1"/>
    </sheetNames>
    <sheetDataSet>
      <sheetData sheetId="0" refreshError="1">
        <row r="4">
          <cell r="J4">
            <v>1250000</v>
          </cell>
        </row>
        <row r="9">
          <cell r="J9">
            <v>2368106</v>
          </cell>
        </row>
        <row r="10">
          <cell r="J10">
            <v>15000000</v>
          </cell>
        </row>
        <row r="12">
          <cell r="J12">
            <v>11300000</v>
          </cell>
        </row>
        <row r="13">
          <cell r="J13">
            <v>149982500</v>
          </cell>
        </row>
        <row r="18">
          <cell r="J18">
            <v>13200000</v>
          </cell>
        </row>
        <row r="19">
          <cell r="J19">
            <v>25000000</v>
          </cell>
        </row>
        <row r="20">
          <cell r="J20">
            <v>15000000</v>
          </cell>
        </row>
        <row r="21">
          <cell r="J21">
            <v>85000000</v>
          </cell>
        </row>
        <row r="22">
          <cell r="J22">
            <v>4000000</v>
          </cell>
        </row>
        <row r="23">
          <cell r="J23">
            <v>4000000</v>
          </cell>
        </row>
        <row r="24">
          <cell r="J24">
            <v>6000000</v>
          </cell>
        </row>
        <row r="25">
          <cell r="J25">
            <v>22000000</v>
          </cell>
        </row>
        <row r="26">
          <cell r="J26">
            <v>8000000</v>
          </cell>
        </row>
        <row r="27">
          <cell r="J27">
            <v>20000000</v>
          </cell>
        </row>
        <row r="29">
          <cell r="J29">
            <v>30000000</v>
          </cell>
        </row>
        <row r="30">
          <cell r="J30">
            <v>7000000</v>
          </cell>
        </row>
        <row r="31">
          <cell r="J31">
            <v>5000000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H6">
            <v>1000000</v>
          </cell>
        </row>
        <row r="11">
          <cell r="H11">
            <v>15000000</v>
          </cell>
        </row>
        <row r="12">
          <cell r="H12">
            <v>40000000</v>
          </cell>
        </row>
        <row r="13">
          <cell r="H13">
            <v>1004000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88"/>
  <sheetViews>
    <sheetView tabSelected="1" view="pageBreakPreview" zoomScale="85" zoomScaleNormal="90" zoomScaleSheetLayoutView="85" workbookViewId="0">
      <pane xSplit="1" ySplit="7" topLeftCell="E72" activePane="bottomRight" state="frozen"/>
      <selection pane="topRight" activeCell="B1" sqref="B1"/>
      <selection pane="bottomLeft" activeCell="A8" sqref="A8"/>
      <selection pane="bottomRight" activeCell="L223" sqref="L223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28515625" style="2" customWidth="1"/>
    <col min="10" max="12" width="19.7109375" style="2" customWidth="1"/>
    <col min="13" max="13" width="9.42578125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5.75" thickBot="1" x14ac:dyDescent="0.3">
      <c r="A6" s="4"/>
      <c r="B6" s="5"/>
      <c r="C6" s="6"/>
      <c r="D6" s="6"/>
      <c r="E6" s="7"/>
      <c r="F6" s="7"/>
      <c r="G6" s="7"/>
      <c r="H6" s="8"/>
      <c r="I6" s="7"/>
    </row>
    <row r="7" spans="1:15" ht="73.5" customHeight="1" thickTop="1" x14ac:dyDescent="0.2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1" t="s">
        <v>17</v>
      </c>
    </row>
    <row r="8" spans="1:15" ht="15" x14ac:dyDescent="0.25">
      <c r="A8" s="12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5" ht="15" x14ac:dyDescent="0.25">
      <c r="A9" s="15" t="s">
        <v>19</v>
      </c>
      <c r="B9" s="16">
        <f>SUM(B10:B19)</f>
        <v>304758251.69746625</v>
      </c>
      <c r="C9" s="16">
        <f t="shared" ref="C9:J9" si="0">SUM(C10:C19)</f>
        <v>91555019.817774922</v>
      </c>
      <c r="D9" s="16">
        <f t="shared" si="0"/>
        <v>78701683.754662499</v>
      </c>
      <c r="E9" s="16">
        <f t="shared" si="0"/>
        <v>10630253.432864521</v>
      </c>
      <c r="F9" s="16">
        <f t="shared" si="0"/>
        <v>80724040.98525539</v>
      </c>
      <c r="G9" s="16">
        <f>SUM(G10:G19)</f>
        <v>300178045.85786504</v>
      </c>
      <c r="H9" s="16">
        <f>SUM(H10:H19)</f>
        <v>866547295.54588842</v>
      </c>
      <c r="I9" s="16">
        <f>SUM(I10:I19)</f>
        <v>86760473.054660797</v>
      </c>
      <c r="J9" s="16">
        <f t="shared" si="0"/>
        <v>953307768.60054922</v>
      </c>
      <c r="K9" s="16">
        <f>SUM(K10:K19)</f>
        <v>932573086</v>
      </c>
      <c r="L9" s="16">
        <f t="shared" ref="L9:L71" si="1">+K9-J9</f>
        <v>-20734682.600549221</v>
      </c>
      <c r="M9" s="17">
        <f t="shared" ref="M9:M71" si="2">IFERROR(K9/J9,0)</f>
        <v>0.97824974967844058</v>
      </c>
    </row>
    <row r="10" spans="1:15" ht="14.25" x14ac:dyDescent="0.2">
      <c r="A10" s="18" t="s">
        <v>20</v>
      </c>
      <c r="B10" s="19">
        <f>+'[1]Nómina y honorarios 2016'!K21</f>
        <v>194274150.24360004</v>
      </c>
      <c r="C10" s="19">
        <f>+'[1]Nómina y honorarios 2016'!K48</f>
        <v>64744060.387800008</v>
      </c>
      <c r="D10" s="19">
        <f>+'[1]Nómina y honorarios 2016'!K57</f>
        <v>56432823.069000006</v>
      </c>
      <c r="E10" s="19">
        <f>+'[1]Nómina y honorarios 2016'!K65</f>
        <v>6972700.2660000008</v>
      </c>
      <c r="F10" s="19">
        <f>+'[1]Nómina y honorarios 2016'!K39</f>
        <v>57883792.134900004</v>
      </c>
      <c r="G10" s="19">
        <f>+'[1]Nómina y honorarios 2016'!K69</f>
        <v>201078108.42090002</v>
      </c>
      <c r="H10" s="20">
        <f t="shared" ref="H10:H20" si="3">+B10+C10+D10+G10+E10+F10</f>
        <v>581385634.52220011</v>
      </c>
      <c r="I10" s="19">
        <f>+'[1]Nómina y honorarios 2016'!K12</f>
        <v>38156455.140000001</v>
      </c>
      <c r="J10" s="19">
        <f t="shared" ref="J10:J19" si="4">+H10+I10</f>
        <v>619542089.66220009</v>
      </c>
      <c r="K10" s="19">
        <v>608195132</v>
      </c>
      <c r="L10" s="19">
        <f t="shared" si="1"/>
        <v>-11346957.662200093</v>
      </c>
      <c r="M10" s="21">
        <f t="shared" si="2"/>
        <v>0.98168492851165778</v>
      </c>
      <c r="O10" s="22"/>
    </row>
    <row r="11" spans="1:15" ht="14.25" x14ac:dyDescent="0.2">
      <c r="A11" s="18" t="s">
        <v>21</v>
      </c>
      <c r="B11" s="19">
        <f>+'[1]Nómina y honorarios 2016'!O21+22594</f>
        <v>8117350.2601499995</v>
      </c>
      <c r="C11" s="19">
        <f>+'[1]Nómina y honorarios 2016'!O48+71018</f>
        <v>2768687.182825</v>
      </c>
      <c r="D11" s="19">
        <f>+'[1]Nómina y honorarios 2016'!O57+27770</f>
        <v>2379137.6278750002</v>
      </c>
      <c r="E11" s="19">
        <f>+'[1]Nómina y honorarios 2016'!O65</f>
        <v>290529.17775000003</v>
      </c>
      <c r="F11" s="19">
        <f>+'[1]Nómina y honorarios 2016'!O39</f>
        <v>2411824.6722875</v>
      </c>
      <c r="G11" s="19">
        <f>+'[1]Nómina y honorarios 2016'!O69</f>
        <v>8378254.5175374988</v>
      </c>
      <c r="H11" s="20">
        <f t="shared" si="3"/>
        <v>24345783.438424997</v>
      </c>
      <c r="I11" s="19">
        <f>+'[1]Nómina y honorarios 2016'!O12</f>
        <v>1245125.0475000001</v>
      </c>
      <c r="J11" s="19">
        <f t="shared" si="4"/>
        <v>25590908.485924996</v>
      </c>
      <c r="K11" s="19">
        <v>25290750</v>
      </c>
      <c r="L11" s="19">
        <f t="shared" si="1"/>
        <v>-300158.48592499644</v>
      </c>
      <c r="M11" s="21">
        <f t="shared" si="2"/>
        <v>0.98827089370078114</v>
      </c>
    </row>
    <row r="12" spans="1:15" ht="14.25" x14ac:dyDescent="0.2">
      <c r="A12" s="18" t="s">
        <v>22</v>
      </c>
      <c r="B12" s="19">
        <f>+'[1]Nómina y honorarios 2016'!N21+45188</f>
        <v>13856018.045299998</v>
      </c>
      <c r="C12" s="19">
        <f>+'[1]Nómina y honorarios 2016'!N48+142036</f>
        <v>3158691.8906500004</v>
      </c>
      <c r="D12" s="19">
        <f>+'[1]Nómina y honorarios 2016'!N57+59224</f>
        <v>2383276.7807499999</v>
      </c>
      <c r="E12" s="19">
        <f>+'[1]Nómina y honorarios 2016'!N65</f>
        <v>581058.35550000006</v>
      </c>
      <c r="F12" s="19">
        <f>+'[1]Nómina y honorarios 2016'!N39</f>
        <v>2444966.8695750004</v>
      </c>
      <c r="G12" s="19">
        <f>+'[1]Nómina y honorarios 2016'!N69</f>
        <v>14377826.560075</v>
      </c>
      <c r="H12" s="20">
        <f t="shared" si="3"/>
        <v>36801838.501849994</v>
      </c>
      <c r="I12" s="19">
        <f>+'[1]Nómina y honorarios 2016'!N12</f>
        <v>2490250.0950000002</v>
      </c>
      <c r="J12" s="19">
        <f t="shared" si="4"/>
        <v>39292088.596849993</v>
      </c>
      <c r="K12" s="19">
        <v>38666641</v>
      </c>
      <c r="L12" s="19">
        <f t="shared" si="1"/>
        <v>-625447.59684999287</v>
      </c>
      <c r="M12" s="21">
        <f t="shared" si="2"/>
        <v>0.98408209847872186</v>
      </c>
    </row>
    <row r="13" spans="1:15" ht="14.25" x14ac:dyDescent="0.2">
      <c r="A13" s="18" t="s">
        <v>23</v>
      </c>
      <c r="B13" s="23">
        <f>+[2]Agregado!$G$7</f>
        <v>15096210.300000001</v>
      </c>
      <c r="C13" s="23">
        <v>0</v>
      </c>
      <c r="D13" s="23">
        <v>0</v>
      </c>
      <c r="E13" s="19">
        <v>0</v>
      </c>
      <c r="F13" s="20">
        <v>0</v>
      </c>
      <c r="G13" s="20"/>
      <c r="H13" s="20">
        <f t="shared" si="3"/>
        <v>15096210.300000001</v>
      </c>
      <c r="I13" s="19">
        <f>+'[1]Nómina y honorarios 2016'!I107</f>
        <v>31883811.449200004</v>
      </c>
      <c r="J13" s="19">
        <f>+H13+I13</f>
        <v>46980021.749200001</v>
      </c>
      <c r="K13" s="19">
        <v>45380019</v>
      </c>
      <c r="L13" s="19">
        <f t="shared" si="1"/>
        <v>-1600002.7492000014</v>
      </c>
      <c r="M13" s="21">
        <f t="shared" si="2"/>
        <v>0.9659429116967736</v>
      </c>
    </row>
    <row r="14" spans="1:15" ht="14.25" x14ac:dyDescent="0.2">
      <c r="A14" s="18" t="s">
        <v>24</v>
      </c>
      <c r="B14" s="19">
        <f>+'[1]Nómina y honorarios 2016'!K96</f>
        <v>854160.00000000012</v>
      </c>
      <c r="C14" s="19">
        <f>+'[1]Nómina y honorarios 2016'!O96</f>
        <v>213540.00000000003</v>
      </c>
      <c r="D14" s="19">
        <f>+'[1]Nómina y honorarios 2016'!Q96</f>
        <v>213540.00000000003</v>
      </c>
      <c r="E14" s="19">
        <v>0</v>
      </c>
      <c r="F14" s="19">
        <f>+'[1]Nómina y honorarios 2016'!M96</f>
        <v>213540.00000000003</v>
      </c>
      <c r="G14" s="19">
        <f>+'[1]Nómina y honorarios 2016'!S96</f>
        <v>640620.00000000012</v>
      </c>
      <c r="H14" s="20">
        <f t="shared" si="3"/>
        <v>2135400.0000000005</v>
      </c>
      <c r="I14" s="19">
        <v>0</v>
      </c>
      <c r="J14" s="19">
        <f t="shared" si="4"/>
        <v>2135400.0000000005</v>
      </c>
      <c r="K14" s="19">
        <v>2135400</v>
      </c>
      <c r="L14" s="19">
        <f t="shared" si="1"/>
        <v>0</v>
      </c>
      <c r="M14" s="21">
        <f t="shared" si="2"/>
        <v>0.99999999999999978</v>
      </c>
    </row>
    <row r="15" spans="1:15" ht="14.25" x14ac:dyDescent="0.2">
      <c r="A15" s="18" t="s">
        <v>25</v>
      </c>
      <c r="B15" s="19">
        <f>+'[1]Nómina y honorarios 2016'!L21+45188</f>
        <v>13856018.045299998</v>
      </c>
      <c r="C15" s="19">
        <f>+'[1]Nómina y honorarios 2016'!L48+142036</f>
        <v>3158691.8906500004</v>
      </c>
      <c r="D15" s="19">
        <f>+'[1]Nómina y honorarios 2016'!L57+59224</f>
        <v>2383276.7807499999</v>
      </c>
      <c r="E15" s="19">
        <f>+'[1]Nómina y honorarios 2016'!L65</f>
        <v>581058.35550000006</v>
      </c>
      <c r="F15" s="19">
        <f>+'[1]Nómina y honorarios 2016'!L39</f>
        <v>2444966.8695750004</v>
      </c>
      <c r="G15" s="19">
        <f>+'[1]Nómina y honorarios 2016'!L69</f>
        <v>14377826.560075</v>
      </c>
      <c r="H15" s="20">
        <f t="shared" si="3"/>
        <v>36801838.501849994</v>
      </c>
      <c r="I15" s="19">
        <f>+'[1]Nómina y honorarios 2016'!L12</f>
        <v>2490250.0950000002</v>
      </c>
      <c r="J15" s="19">
        <f t="shared" si="4"/>
        <v>39292088.596849993</v>
      </c>
      <c r="K15" s="19">
        <v>38666641</v>
      </c>
      <c r="L15" s="19">
        <f t="shared" si="1"/>
        <v>-625447.59684999287</v>
      </c>
      <c r="M15" s="21">
        <f t="shared" si="2"/>
        <v>0.98408209847872186</v>
      </c>
      <c r="N15" s="24"/>
      <c r="O15" s="24"/>
    </row>
    <row r="16" spans="1:15" ht="14.25" x14ac:dyDescent="0.2">
      <c r="A16" s="18" t="s">
        <v>26</v>
      </c>
      <c r="B16" s="19">
        <f>+'[1]Nómina y honorarios 2016'!M21+5423</f>
        <v>1662722.6054359998</v>
      </c>
      <c r="C16" s="19">
        <f>+'[1]Nómina y honorarios 2016'!M48+17044</f>
        <v>379042.706878</v>
      </c>
      <c r="D16" s="19">
        <f>+'[1]Nómina y honorarios 2016'!M57+7107</f>
        <v>285993.33369</v>
      </c>
      <c r="E16" s="19">
        <f>+'[1]Nómina y honorarios 2016'!M65</f>
        <v>69727.002659999998</v>
      </c>
      <c r="F16" s="19">
        <f>+'[1]Nómina y honorarios 2016'!M39</f>
        <v>293396.02434900001</v>
      </c>
      <c r="G16" s="19">
        <f>+'[1]Nómina y honorarios 2016'!M69</f>
        <v>1725339.1872089996</v>
      </c>
      <c r="H16" s="20">
        <f t="shared" si="3"/>
        <v>4416220.8602219997</v>
      </c>
      <c r="I16" s="19">
        <f>+'[1]Nómina y honorarios 2016'!M12</f>
        <v>298830.01139999996</v>
      </c>
      <c r="J16" s="19">
        <f t="shared" si="4"/>
        <v>4715050.8716219999</v>
      </c>
      <c r="K16" s="19">
        <v>4715047</v>
      </c>
      <c r="L16" s="19">
        <f t="shared" si="1"/>
        <v>-3.8716219998896122</v>
      </c>
      <c r="M16" s="21">
        <f t="shared" si="2"/>
        <v>0.99999917888012124</v>
      </c>
      <c r="N16" s="24"/>
      <c r="O16" s="24"/>
    </row>
    <row r="17" spans="1:13" ht="14.25" x14ac:dyDescent="0.2">
      <c r="A17" s="18" t="s">
        <v>27</v>
      </c>
      <c r="B17" s="19">
        <f>+'[1]Nómina y honorarios 2016'!S21</f>
        <v>39302886.837654546</v>
      </c>
      <c r="C17" s="19">
        <f>+'[1]Nómina y honorarios 2016'!S48</f>
        <v>11761326.225103116</v>
      </c>
      <c r="D17" s="19">
        <f>+'[1]Nómina y honorarios 2016'!S57</f>
        <v>10050535.411333499</v>
      </c>
      <c r="E17" s="19">
        <f>+'[1]Nómina y honorarios 2016'!S65</f>
        <v>1465801.0499185203</v>
      </c>
      <c r="F17" s="19">
        <f>+'[1]Nómina y honorarios 2016'!S39</f>
        <v>10319160.632978478</v>
      </c>
      <c r="G17" s="19">
        <f>+'[1]Nómina y honorarios 2016'!S69</f>
        <v>41185777.667022094</v>
      </c>
      <c r="H17" s="20">
        <f t="shared" si="3"/>
        <v>114085487.82401025</v>
      </c>
      <c r="I17" s="19">
        <f>+'[1]Nómina y honorarios 2016'!S12</f>
        <v>7326983.1071208008</v>
      </c>
      <c r="J17" s="19">
        <f t="shared" si="4"/>
        <v>121412470.93113105</v>
      </c>
      <c r="K17" s="19">
        <v>119087856</v>
      </c>
      <c r="L17" s="19">
        <f t="shared" si="1"/>
        <v>-2324614.93113105</v>
      </c>
      <c r="M17" s="21">
        <f t="shared" si="2"/>
        <v>0.980853573662547</v>
      </c>
    </row>
    <row r="18" spans="1:13" ht="14.25" x14ac:dyDescent="0.2">
      <c r="A18" s="18" t="s">
        <v>28</v>
      </c>
      <c r="B18" s="19">
        <f>+'[1]Nómina y honorarios 2016'!U21</f>
        <v>7883882.3822336011</v>
      </c>
      <c r="C18" s="19">
        <f>+'[1]Nómina y honorarios 2016'!U48</f>
        <v>2387102.0150528001</v>
      </c>
      <c r="D18" s="19">
        <f>+'[1]Nómina y honorarios 2016'!U57</f>
        <v>2032489.222784</v>
      </c>
      <c r="E18" s="19">
        <f>+'[1]Nómina y honorarios 2016'!U65</f>
        <v>297501.87801600003</v>
      </c>
      <c r="F18" s="19">
        <f>+'[1]Nómina y honorarios 2016'!U39</f>
        <v>2094397.2362624002</v>
      </c>
      <c r="G18" s="19">
        <f>+'[1]Nómina y honorarios 2016'!U69</f>
        <v>8184130.1977984011</v>
      </c>
      <c r="H18" s="20">
        <f t="shared" si="3"/>
        <v>22879502.932147197</v>
      </c>
      <c r="I18" s="19">
        <f>+'[1]Nómina y honorarios 2016'!U12</f>
        <v>1275008.0486399999</v>
      </c>
      <c r="J18" s="19">
        <f t="shared" si="4"/>
        <v>24154510.980787199</v>
      </c>
      <c r="K18" s="19">
        <v>22413900</v>
      </c>
      <c r="L18" s="19">
        <f t="shared" si="1"/>
        <v>-1740610.980787199</v>
      </c>
      <c r="M18" s="21">
        <f t="shared" si="2"/>
        <v>0.92793847152725617</v>
      </c>
    </row>
    <row r="19" spans="1:13" ht="14.25" x14ac:dyDescent="0.2">
      <c r="A19" s="18" t="s">
        <v>29</v>
      </c>
      <c r="B19" s="19">
        <f>+'[1]Nómina y honorarios 2016'!X21</f>
        <v>9854852.9777920023</v>
      </c>
      <c r="C19" s="19">
        <f>+'[1]Nómina y honorarios 2016'!X48</f>
        <v>2983877.5188159999</v>
      </c>
      <c r="D19" s="19">
        <f>+'[1]Nómina y honorarios 2016'!X57</f>
        <v>2540611.5284800003</v>
      </c>
      <c r="E19" s="19">
        <f>+'[1]Nómina y honorarios 2016'!X65</f>
        <v>371877.34752000007</v>
      </c>
      <c r="F19" s="19">
        <f>+'[1]Nómina y honorarios 2016'!X39</f>
        <v>2617996.5453279996</v>
      </c>
      <c r="G19" s="19">
        <f>+'[1]Nómina y honorarios 2016'!X69</f>
        <v>10230162.747248</v>
      </c>
      <c r="H19" s="20">
        <f t="shared" si="3"/>
        <v>28599378.665184002</v>
      </c>
      <c r="I19" s="19">
        <f>+'[1]Nómina y honorarios 2016'!X12</f>
        <v>1593760.0608000001</v>
      </c>
      <c r="J19" s="19">
        <f t="shared" si="4"/>
        <v>30193138.725984003</v>
      </c>
      <c r="K19" s="19">
        <v>28021700</v>
      </c>
      <c r="L19" s="19">
        <f t="shared" si="1"/>
        <v>-2171438.7259840034</v>
      </c>
      <c r="M19" s="21">
        <f t="shared" si="2"/>
        <v>0.92808171599214095</v>
      </c>
    </row>
    <row r="20" spans="1:13" ht="15" x14ac:dyDescent="0.25">
      <c r="A20" s="25" t="s">
        <v>30</v>
      </c>
      <c r="B20" s="26">
        <f t="shared" ref="B20:G20" si="5">SUM(B10:B19)</f>
        <v>304758251.69746625</v>
      </c>
      <c r="C20" s="26">
        <f t="shared" si="5"/>
        <v>91555019.817774922</v>
      </c>
      <c r="D20" s="26">
        <f t="shared" si="5"/>
        <v>78701683.754662499</v>
      </c>
      <c r="E20" s="26">
        <f t="shared" si="5"/>
        <v>10630253.432864521</v>
      </c>
      <c r="F20" s="26">
        <f t="shared" si="5"/>
        <v>80724040.98525539</v>
      </c>
      <c r="G20" s="26">
        <f t="shared" si="5"/>
        <v>300178045.85786504</v>
      </c>
      <c r="H20" s="26">
        <f t="shared" si="3"/>
        <v>866547295.54588866</v>
      </c>
      <c r="I20" s="26">
        <f>SUM(I10:I19)</f>
        <v>86760473.054660797</v>
      </c>
      <c r="J20" s="26">
        <f>SUM(J10:J19)</f>
        <v>953307768.60054922</v>
      </c>
      <c r="K20" s="26">
        <f>SUM(K10:K19)</f>
        <v>932573086</v>
      </c>
      <c r="L20" s="26">
        <f t="shared" si="1"/>
        <v>-20734682.600549221</v>
      </c>
      <c r="M20" s="17">
        <f t="shared" si="2"/>
        <v>0.97824974967844058</v>
      </c>
    </row>
    <row r="21" spans="1:13" ht="15" x14ac:dyDescent="0.25">
      <c r="A21" s="12" t="s">
        <v>31</v>
      </c>
      <c r="B21" s="19"/>
      <c r="C21" s="19"/>
      <c r="D21" s="19"/>
      <c r="E21" s="19"/>
      <c r="F21" s="19"/>
      <c r="G21" s="19"/>
      <c r="H21" s="19"/>
      <c r="I21" s="26"/>
      <c r="J21" s="19"/>
      <c r="K21" s="19"/>
      <c r="L21" s="19"/>
      <c r="M21" s="17"/>
    </row>
    <row r="22" spans="1:13" ht="14.25" x14ac:dyDescent="0.2">
      <c r="A22" s="27" t="s">
        <v>32</v>
      </c>
      <c r="B22" s="28">
        <f>+[1]Funcionamiento!I10</f>
        <v>29896548</v>
      </c>
      <c r="C22" s="28">
        <f>+[1]Funcionamiento!J10</f>
        <v>0</v>
      </c>
      <c r="D22" s="28">
        <v>0</v>
      </c>
      <c r="E22" s="28">
        <v>0</v>
      </c>
      <c r="F22" s="28">
        <f>+[1]Funcionamiento!L10</f>
        <v>0</v>
      </c>
      <c r="G22" s="28">
        <f>+[1]Funcionamiento!G10</f>
        <v>6000000</v>
      </c>
      <c r="H22" s="28">
        <f t="shared" ref="H22:H36" si="6">+B22+C22+D22+G22+E22+F22</f>
        <v>35896548</v>
      </c>
      <c r="I22" s="19">
        <f>+[1]Funcionamiento!F10</f>
        <v>21592586</v>
      </c>
      <c r="J22" s="19">
        <f>+I22+H22</f>
        <v>57489134</v>
      </c>
      <c r="K22" s="19">
        <v>46634634</v>
      </c>
      <c r="L22" s="19">
        <f t="shared" si="1"/>
        <v>-10854500</v>
      </c>
      <c r="M22" s="21">
        <f t="shared" si="2"/>
        <v>0.81119040686888766</v>
      </c>
    </row>
    <row r="23" spans="1:13" ht="14.25" x14ac:dyDescent="0.2">
      <c r="A23" s="27" t="s">
        <v>33</v>
      </c>
      <c r="B23" s="19">
        <f>+[1]Funcionamiento!I24</f>
        <v>4001999.9999999995</v>
      </c>
      <c r="C23" s="28">
        <f>+[1]Funcionamiento!J24</f>
        <v>0</v>
      </c>
      <c r="D23" s="28">
        <v>0</v>
      </c>
      <c r="E23" s="19">
        <f>+[1]Funcionamiento!H24</f>
        <v>1000000</v>
      </c>
      <c r="F23" s="28">
        <f>+[1]Funcionamiento!L24</f>
        <v>0</v>
      </c>
      <c r="G23" s="19">
        <f>+[1]Funcionamiento!G24</f>
        <v>4900000</v>
      </c>
      <c r="H23" s="28">
        <f t="shared" si="6"/>
        <v>9902000</v>
      </c>
      <c r="I23" s="19">
        <f>+[1]Funcionamiento!F24</f>
        <v>5623598.5429250002</v>
      </c>
      <c r="J23" s="19">
        <f t="shared" ref="J23:J36" si="7">+H23+I23</f>
        <v>15525598.542925</v>
      </c>
      <c r="K23" s="19">
        <v>12978462.07</v>
      </c>
      <c r="L23" s="19">
        <f t="shared" si="1"/>
        <v>-2547136.4729249999</v>
      </c>
      <c r="M23" s="21">
        <f t="shared" si="2"/>
        <v>0.8359395635612562</v>
      </c>
    </row>
    <row r="24" spans="1:13" ht="14.25" x14ac:dyDescent="0.2">
      <c r="A24" s="27" t="s">
        <v>34</v>
      </c>
      <c r="B24" s="28">
        <f>+[1]Funcionamiento!I14</f>
        <v>0</v>
      </c>
      <c r="C24" s="28">
        <v>0</v>
      </c>
      <c r="D24" s="28">
        <v>0</v>
      </c>
      <c r="E24" s="28">
        <v>0</v>
      </c>
      <c r="F24" s="28"/>
      <c r="G24" s="28">
        <f>+[1]Funcionamiento!G14</f>
        <v>3100000</v>
      </c>
      <c r="H24" s="28">
        <f t="shared" si="6"/>
        <v>3100000</v>
      </c>
      <c r="I24" s="19">
        <f>+[1]Funcionamiento!F14</f>
        <v>5105769.1601999998</v>
      </c>
      <c r="J24" s="19">
        <f t="shared" si="7"/>
        <v>8205769.1601999998</v>
      </c>
      <c r="K24" s="19">
        <v>7964320</v>
      </c>
      <c r="L24" s="19">
        <f t="shared" si="1"/>
        <v>-241449.16019999981</v>
      </c>
      <c r="M24" s="21">
        <f t="shared" si="2"/>
        <v>0.97057568212239165</v>
      </c>
    </row>
    <row r="25" spans="1:13" ht="14.25" x14ac:dyDescent="0.2">
      <c r="A25" s="27" t="s">
        <v>35</v>
      </c>
      <c r="B25" s="19">
        <f>+[1]Funcionamiento!I26</f>
        <v>8991625</v>
      </c>
      <c r="C25" s="28">
        <f>+[1]Funcionamiento!J26</f>
        <v>2822184.6787500004</v>
      </c>
      <c r="D25" s="28">
        <f>+[1]Funcionamiento!K26</f>
        <v>1693372.2000000002</v>
      </c>
      <c r="E25" s="28">
        <f>+[1]Funcionamiento!H26</f>
        <v>1200000</v>
      </c>
      <c r="F25" s="28">
        <f>+[1]Funcionamiento!L26</f>
        <v>2668882.17735</v>
      </c>
      <c r="G25" s="28">
        <f>+[1]Funcionamiento!G26-5059755</f>
        <v>108940245</v>
      </c>
      <c r="H25" s="28">
        <f t="shared" si="6"/>
        <v>126316309.0561</v>
      </c>
      <c r="I25" s="19">
        <f>+[1]Funcionamiento!F26</f>
        <v>12943498.25</v>
      </c>
      <c r="J25" s="19">
        <f t="shared" si="7"/>
        <v>139259807.30610001</v>
      </c>
      <c r="K25" s="19">
        <v>110259444</v>
      </c>
      <c r="L25" s="19">
        <f t="shared" si="1"/>
        <v>-29000363.306100011</v>
      </c>
      <c r="M25" s="21">
        <f t="shared" si="2"/>
        <v>0.79175352984400038</v>
      </c>
    </row>
    <row r="26" spans="1:13" ht="14.25" x14ac:dyDescent="0.2">
      <c r="A26" s="27" t="s">
        <v>36</v>
      </c>
      <c r="B26" s="28">
        <f>+[1]Funcionamiento!I28</f>
        <v>300000</v>
      </c>
      <c r="C26" s="28">
        <f>+[1]Funcionamiento!J28</f>
        <v>677324.32290000003</v>
      </c>
      <c r="D26" s="28">
        <f>+[1]Funcionamiento!K28</f>
        <v>500000</v>
      </c>
      <c r="E26" s="28">
        <v>0</v>
      </c>
      <c r="F26" s="28">
        <f>+[1]Funcionamiento!L28</f>
        <v>643458.21352500003</v>
      </c>
      <c r="G26" s="28">
        <f>+[1]Funcionamiento!G28</f>
        <v>750000</v>
      </c>
      <c r="H26" s="28">
        <f t="shared" si="6"/>
        <v>2870782.5364250001</v>
      </c>
      <c r="I26" s="19">
        <f>+[1]Funcionamiento!F28</f>
        <v>1210864.1560500001</v>
      </c>
      <c r="J26" s="19">
        <f t="shared" si="7"/>
        <v>4081646.6924750004</v>
      </c>
      <c r="K26" s="19">
        <v>2299400</v>
      </c>
      <c r="L26" s="19">
        <f t="shared" si="1"/>
        <v>-1782246.6924750004</v>
      </c>
      <c r="M26" s="21">
        <f t="shared" si="2"/>
        <v>0.56335106226592724</v>
      </c>
    </row>
    <row r="27" spans="1:13" ht="14.25" x14ac:dyDescent="0.2">
      <c r="A27" s="18" t="s">
        <v>37</v>
      </c>
      <c r="B27" s="28">
        <v>0</v>
      </c>
      <c r="C27" s="28">
        <v>0</v>
      </c>
      <c r="D27" s="28">
        <v>0</v>
      </c>
      <c r="E27" s="28"/>
      <c r="F27" s="28"/>
      <c r="G27" s="28"/>
      <c r="H27" s="28">
        <f t="shared" si="6"/>
        <v>0</v>
      </c>
      <c r="I27" s="19">
        <v>4000000</v>
      </c>
      <c r="J27" s="19">
        <f t="shared" si="7"/>
        <v>4000000</v>
      </c>
      <c r="K27" s="19">
        <v>0</v>
      </c>
      <c r="L27" s="19">
        <f t="shared" si="1"/>
        <v>-4000000</v>
      </c>
      <c r="M27" s="21">
        <f t="shared" si="2"/>
        <v>0</v>
      </c>
    </row>
    <row r="28" spans="1:13" ht="14.25" x14ac:dyDescent="0.2">
      <c r="A28" s="27" t="s">
        <v>38</v>
      </c>
      <c r="B28" s="28">
        <f>+[1]Funcionamiento!I16</f>
        <v>2028628.9323</v>
      </c>
      <c r="C28" s="28">
        <f>+[1]Funcionamiento!J16</f>
        <v>2028628.9323</v>
      </c>
      <c r="D28" s="28">
        <f>+[1]Funcionamiento!K16</f>
        <v>2028628.9323</v>
      </c>
      <c r="E28" s="28">
        <f>+[1]Funcionamiento!H16</f>
        <v>2028628.9323</v>
      </c>
      <c r="F28" s="28">
        <f>+[1]Funcionamiento!L16</f>
        <v>2028628.9323</v>
      </c>
      <c r="G28" s="28">
        <f>+[1]Funcionamiento!G16</f>
        <v>2028628.9323</v>
      </c>
      <c r="H28" s="28">
        <f t="shared" si="6"/>
        <v>12171773.593799999</v>
      </c>
      <c r="I28" s="19">
        <f>+[1]Funcionamiento!F16</f>
        <v>5492676.4138500001</v>
      </c>
      <c r="J28" s="19">
        <f t="shared" si="7"/>
        <v>17664450.007649999</v>
      </c>
      <c r="K28" s="19">
        <v>15293098</v>
      </c>
      <c r="L28" s="19">
        <f t="shared" si="1"/>
        <v>-2371352.0076499991</v>
      </c>
      <c r="M28" s="21">
        <f t="shared" si="2"/>
        <v>0.86575568406471581</v>
      </c>
    </row>
    <row r="29" spans="1:13" ht="14.25" x14ac:dyDescent="0.2">
      <c r="A29" s="27" t="s">
        <v>39</v>
      </c>
      <c r="B29" s="28">
        <f>+[1]Funcionamiento!I30</f>
        <v>1000000</v>
      </c>
      <c r="C29" s="28">
        <f>+[1]Funcionamiento!J30</f>
        <v>300000</v>
      </c>
      <c r="D29" s="28">
        <f>+[1]Funcionamiento!K30</f>
        <v>1250000</v>
      </c>
      <c r="E29" s="28">
        <f>+[1]Funcionamiento!H30</f>
        <v>400000</v>
      </c>
      <c r="F29" s="28"/>
      <c r="G29" s="28">
        <f>+[1]Funcionamiento!G30+1884353</f>
        <v>14493653</v>
      </c>
      <c r="H29" s="28">
        <f t="shared" si="6"/>
        <v>17443653</v>
      </c>
      <c r="I29" s="19">
        <f>+[1]Funcionamiento!F30-2303027</f>
        <v>3569323</v>
      </c>
      <c r="J29" s="19">
        <f t="shared" si="7"/>
        <v>21012976</v>
      </c>
      <c r="K29" s="19">
        <v>18098988</v>
      </c>
      <c r="L29" s="19">
        <f t="shared" si="1"/>
        <v>-2913988</v>
      </c>
      <c r="M29" s="21">
        <f t="shared" si="2"/>
        <v>0.86132435500806737</v>
      </c>
    </row>
    <row r="30" spans="1:13" ht="14.25" x14ac:dyDescent="0.2">
      <c r="A30" s="27" t="s">
        <v>40</v>
      </c>
      <c r="B30" s="28">
        <v>0</v>
      </c>
      <c r="C30" s="28">
        <v>0</v>
      </c>
      <c r="D30" s="28">
        <v>0</v>
      </c>
      <c r="E30" s="28"/>
      <c r="F30" s="28"/>
      <c r="G30" s="28">
        <f>+[1]Funcionamiento!G34+3175402</f>
        <v>18550282</v>
      </c>
      <c r="H30" s="28">
        <f t="shared" si="6"/>
        <v>18550282</v>
      </c>
      <c r="I30" s="19">
        <f>+[1]Funcionamiento!F34+2303027</f>
        <v>29672487.721275002</v>
      </c>
      <c r="J30" s="19">
        <f t="shared" si="7"/>
        <v>48222769.721275002</v>
      </c>
      <c r="K30" s="19">
        <v>48222769</v>
      </c>
      <c r="L30" s="19">
        <f t="shared" si="1"/>
        <v>-0.72127500176429749</v>
      </c>
      <c r="M30" s="21">
        <f t="shared" si="2"/>
        <v>0.99999998504285414</v>
      </c>
    </row>
    <row r="31" spans="1:13" ht="14.25" x14ac:dyDescent="0.2">
      <c r="A31" s="27" t="s">
        <v>41</v>
      </c>
      <c r="B31" s="19">
        <f>+[1]Funcionamiento!I22</f>
        <v>7000000</v>
      </c>
      <c r="C31" s="19">
        <f>+[1]Funcionamiento!J22</f>
        <v>4336568.9853750002</v>
      </c>
      <c r="D31" s="19">
        <f>+[1]Funcionamiento!K22</f>
        <v>2500000</v>
      </c>
      <c r="E31" s="19"/>
      <c r="F31" s="28">
        <f>+[1]Funcionamiento!L22</f>
        <v>6997492</v>
      </c>
      <c r="G31" s="19">
        <f>+[1]Funcionamiento!G22</f>
        <v>78000000</v>
      </c>
      <c r="H31" s="28">
        <f t="shared" si="6"/>
        <v>98834060.985375002</v>
      </c>
      <c r="I31" s="19">
        <f>+[1]Funcionamiento!F22</f>
        <v>6673125.0000000009</v>
      </c>
      <c r="J31" s="19">
        <f t="shared" si="7"/>
        <v>105507185.985375</v>
      </c>
      <c r="K31" s="19">
        <v>76993830</v>
      </c>
      <c r="L31" s="19">
        <f t="shared" si="1"/>
        <v>-28513355.985375002</v>
      </c>
      <c r="M31" s="21">
        <f t="shared" si="2"/>
        <v>0.72974963061447384</v>
      </c>
    </row>
    <row r="32" spans="1:13" ht="14.25" x14ac:dyDescent="0.2">
      <c r="A32" s="27" t="s">
        <v>42</v>
      </c>
      <c r="B32" s="28">
        <v>0</v>
      </c>
      <c r="C32" s="28">
        <v>0</v>
      </c>
      <c r="D32" s="28">
        <v>0</v>
      </c>
      <c r="E32" s="28"/>
      <c r="F32" s="28"/>
      <c r="G32" s="28"/>
      <c r="H32" s="28">
        <f t="shared" si="6"/>
        <v>0</v>
      </c>
      <c r="I32" s="19">
        <f>+[1]Funcionamiento!F12</f>
        <v>1614207.5835000002</v>
      </c>
      <c r="J32" s="19">
        <f t="shared" si="7"/>
        <v>1614207.5835000002</v>
      </c>
      <c r="K32" s="19">
        <v>1600523</v>
      </c>
      <c r="L32" s="19">
        <f t="shared" si="1"/>
        <v>-13684.583500000183</v>
      </c>
      <c r="M32" s="21">
        <f t="shared" si="2"/>
        <v>0.99152241406874786</v>
      </c>
    </row>
    <row r="33" spans="1:13" ht="14.25" x14ac:dyDescent="0.2">
      <c r="A33" s="27" t="s">
        <v>43</v>
      </c>
      <c r="B33" s="19">
        <f>+[1]Funcionamiento!I18</f>
        <v>2600501.8647000003</v>
      </c>
      <c r="C33" s="19">
        <f>+[1]Funcionamiento!J18</f>
        <v>1011306.2214</v>
      </c>
      <c r="D33" s="19">
        <f>+[1]Funcionamiento!K18</f>
        <v>433417.06642500003</v>
      </c>
      <c r="E33" s="19"/>
      <c r="F33" s="19">
        <f>+[1]Funcionamiento!L18</f>
        <v>2600501.8647000003</v>
      </c>
      <c r="G33" s="19">
        <f>+[1]Funcionamiento!G18</f>
        <v>2338263</v>
      </c>
      <c r="H33" s="28">
        <f t="shared" si="6"/>
        <v>8983990.017225001</v>
      </c>
      <c r="I33" s="19">
        <f>+[1]Funcionamiento!F18</f>
        <v>7368088.527675001</v>
      </c>
      <c r="J33" s="19">
        <f t="shared" si="7"/>
        <v>16352078.544900002</v>
      </c>
      <c r="K33" s="19">
        <v>16156751</v>
      </c>
      <c r="L33" s="19">
        <f t="shared" si="1"/>
        <v>-195327.54490000196</v>
      </c>
      <c r="M33" s="21">
        <f t="shared" si="2"/>
        <v>0.98805487972897965</v>
      </c>
    </row>
    <row r="34" spans="1:13" ht="14.25" x14ac:dyDescent="0.2">
      <c r="A34" s="27" t="s">
        <v>44</v>
      </c>
      <c r="B34" s="28">
        <f>+[1]Funcionamiento!I20</f>
        <v>943260.96</v>
      </c>
      <c r="C34" s="28">
        <v>0</v>
      </c>
      <c r="D34" s="28">
        <v>0</v>
      </c>
      <c r="E34" s="28"/>
      <c r="F34" s="28">
        <f>+[1]Funcionamiento!L20</f>
        <v>7000000</v>
      </c>
      <c r="G34" s="28">
        <f>+[1]Funcionamiento!G20</f>
        <v>2500000</v>
      </c>
      <c r="H34" s="28">
        <f t="shared" si="6"/>
        <v>10443260.960000001</v>
      </c>
      <c r="I34" s="19">
        <f>+[1]Funcionamiento!F20</f>
        <v>13011842.889975002</v>
      </c>
      <c r="J34" s="19">
        <f>+H34+I34</f>
        <v>23455103.849975005</v>
      </c>
      <c r="K34" s="19">
        <v>21398893</v>
      </c>
      <c r="L34" s="19">
        <f t="shared" si="1"/>
        <v>-2056210.8499750048</v>
      </c>
      <c r="M34" s="21">
        <f t="shared" si="2"/>
        <v>0.91233418265265132</v>
      </c>
    </row>
    <row r="35" spans="1:13" ht="14.25" x14ac:dyDescent="0.2">
      <c r="A35" s="27" t="s">
        <v>45</v>
      </c>
      <c r="B35" s="28">
        <v>0</v>
      </c>
      <c r="C35" s="28">
        <v>0</v>
      </c>
      <c r="D35" s="28">
        <v>0</v>
      </c>
      <c r="E35" s="28"/>
      <c r="F35" s="28"/>
      <c r="G35" s="28"/>
      <c r="H35" s="28">
        <f t="shared" si="6"/>
        <v>0</v>
      </c>
      <c r="I35" s="19">
        <f>+[1]Funcionamiento!F36</f>
        <v>35076706.934900001</v>
      </c>
      <c r="J35" s="19">
        <f t="shared" si="7"/>
        <v>35076706.934900001</v>
      </c>
      <c r="K35" s="19">
        <v>35076707</v>
      </c>
      <c r="L35" s="19">
        <f t="shared" si="1"/>
        <v>6.5099999308586121E-2</v>
      </c>
      <c r="M35" s="21">
        <f t="shared" si="2"/>
        <v>1.0000000018559325</v>
      </c>
    </row>
    <row r="36" spans="1:13" ht="14.25" x14ac:dyDescent="0.2">
      <c r="A36" s="27" t="s">
        <v>46</v>
      </c>
      <c r="B36" s="28">
        <v>0</v>
      </c>
      <c r="C36" s="28">
        <v>0</v>
      </c>
      <c r="D36" s="28">
        <v>0</v>
      </c>
      <c r="E36" s="28"/>
      <c r="F36" s="28"/>
      <c r="G36" s="28"/>
      <c r="H36" s="28">
        <f t="shared" si="6"/>
        <v>0</v>
      </c>
      <c r="I36" s="19">
        <f>+[1]Funcionamiento!F32</f>
        <v>8602029.9809250012</v>
      </c>
      <c r="J36" s="19">
        <f t="shared" si="7"/>
        <v>8602029.9809250012</v>
      </c>
      <c r="K36" s="19">
        <v>3208871</v>
      </c>
      <c r="L36" s="19">
        <f t="shared" si="1"/>
        <v>-5393158.9809250012</v>
      </c>
      <c r="M36" s="21">
        <f t="shared" si="2"/>
        <v>0.37303648175089721</v>
      </c>
    </row>
    <row r="37" spans="1:13" ht="15" x14ac:dyDescent="0.25">
      <c r="A37" s="25" t="s">
        <v>47</v>
      </c>
      <c r="B37" s="26">
        <f>SUM(B22:B36)</f>
        <v>56762564.756999999</v>
      </c>
      <c r="C37" s="26">
        <f t="shared" ref="C37:I37" si="8">SUM(C22:C36)</f>
        <v>11176013.140725002</v>
      </c>
      <c r="D37" s="26">
        <f t="shared" si="8"/>
        <v>8405418.198725</v>
      </c>
      <c r="E37" s="26">
        <f>SUM(E22:E36)</f>
        <v>4628628.9322999995</v>
      </c>
      <c r="F37" s="26">
        <f t="shared" si="8"/>
        <v>21938963.187875003</v>
      </c>
      <c r="G37" s="26">
        <f>SUM(G22:G36)</f>
        <v>241601071.9323</v>
      </c>
      <c r="H37" s="29">
        <f t="shared" si="8"/>
        <v>344512660.14892501</v>
      </c>
      <c r="I37" s="26">
        <f t="shared" si="8"/>
        <v>161556804.161275</v>
      </c>
      <c r="J37" s="26">
        <f>SUM(J22:J36)</f>
        <v>506069464.31019998</v>
      </c>
      <c r="K37" s="26">
        <f>SUM(K22:K36)</f>
        <v>416186690.06999999</v>
      </c>
      <c r="L37" s="26">
        <f t="shared" si="1"/>
        <v>-89882774.240199983</v>
      </c>
      <c r="M37" s="17">
        <f t="shared" si="2"/>
        <v>0.8223904412752604</v>
      </c>
    </row>
    <row r="38" spans="1:13" ht="15" x14ac:dyDescent="0.25">
      <c r="A38" s="30" t="s">
        <v>48</v>
      </c>
      <c r="B38" s="31">
        <f t="shared" ref="B38:G38" si="9">+B37+B20</f>
        <v>361520816.45446622</v>
      </c>
      <c r="C38" s="31">
        <f t="shared" si="9"/>
        <v>102731032.95849992</v>
      </c>
      <c r="D38" s="31">
        <f t="shared" si="9"/>
        <v>87107101.953387499</v>
      </c>
      <c r="E38" s="31">
        <f t="shared" si="9"/>
        <v>15258882.36516452</v>
      </c>
      <c r="F38" s="31">
        <f t="shared" si="9"/>
        <v>102663004.17313039</v>
      </c>
      <c r="G38" s="31">
        <f t="shared" si="9"/>
        <v>541779117.79016507</v>
      </c>
      <c r="H38" s="32">
        <f>+B38+C38+D38+G38+E38+F38</f>
        <v>1211059955.6948137</v>
      </c>
      <c r="I38" s="31">
        <f>+I37+I20</f>
        <v>248317277.2159358</v>
      </c>
      <c r="J38" s="31">
        <f>+J37+J20</f>
        <v>1459377232.9107492</v>
      </c>
      <c r="K38" s="31">
        <f>+K37+K20</f>
        <v>1348759776.0699999</v>
      </c>
      <c r="L38" s="31">
        <f t="shared" si="1"/>
        <v>-110617456.84074926</v>
      </c>
      <c r="M38" s="33">
        <f t="shared" si="2"/>
        <v>0.92420228687539474</v>
      </c>
    </row>
    <row r="39" spans="1:13" ht="15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ht="15" x14ac:dyDescent="0.25">
      <c r="A40" s="37" t="s">
        <v>49</v>
      </c>
      <c r="B40" s="38">
        <f>+B42</f>
        <v>1027157848.8859</v>
      </c>
      <c r="C40" s="38">
        <f>+C137</f>
        <v>484559282</v>
      </c>
      <c r="D40" s="38">
        <f>+D159</f>
        <v>628302606</v>
      </c>
      <c r="E40" s="38">
        <f>+E193</f>
        <v>56004000</v>
      </c>
      <c r="F40" s="38">
        <f>+F73</f>
        <v>2503477823.0696001</v>
      </c>
      <c r="G40" s="38">
        <f>+G113</f>
        <v>4013814488</v>
      </c>
      <c r="H40" s="38">
        <f>+B40+C40+D40+G40+E40+F40</f>
        <v>8713316047.9555016</v>
      </c>
      <c r="I40" s="38">
        <v>0</v>
      </c>
      <c r="J40" s="38">
        <f>+I40+H40</f>
        <v>8713316047.9555016</v>
      </c>
      <c r="K40" s="38">
        <f>+K42+K73+K113+K137+K159+K193</f>
        <v>6823131052</v>
      </c>
      <c r="L40" s="38">
        <f t="shared" si="1"/>
        <v>-1890184995.9555016</v>
      </c>
      <c r="M40" s="39">
        <f t="shared" si="2"/>
        <v>0.78306938649390367</v>
      </c>
    </row>
    <row r="41" spans="1:13" ht="15" x14ac:dyDescent="0.2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 ht="15" x14ac:dyDescent="0.25">
      <c r="A42" s="37" t="s">
        <v>50</v>
      </c>
      <c r="B42" s="38">
        <f>+B43+B46+B57+B61+B65+B69</f>
        <v>1027157848.8859</v>
      </c>
      <c r="C42" s="38"/>
      <c r="D42" s="38"/>
      <c r="E42" s="38"/>
      <c r="F42" s="38"/>
      <c r="G42" s="38"/>
      <c r="H42" s="38">
        <f>+H43+H46+H57+H61+H65+H69</f>
        <v>1027157848.8859</v>
      </c>
      <c r="I42" s="38"/>
      <c r="J42" s="38">
        <f>+J43+J46+J57+J61+J65+J69</f>
        <v>1027157848.8859</v>
      </c>
      <c r="K42" s="38">
        <f>+K43+K46+K57+K61+K65+K69</f>
        <v>747403928</v>
      </c>
      <c r="L42" s="38">
        <f>+K42-J42</f>
        <v>-279753920.88590002</v>
      </c>
      <c r="M42" s="17">
        <f t="shared" si="2"/>
        <v>0.72764271704749839</v>
      </c>
    </row>
    <row r="43" spans="1:13" s="41" customFormat="1" ht="15" x14ac:dyDescent="0.25">
      <c r="A43" s="40" t="s">
        <v>51</v>
      </c>
      <c r="B43" s="26">
        <f>+SUM(B44:B45)</f>
        <v>95455980.431199998</v>
      </c>
      <c r="C43" s="26"/>
      <c r="D43" s="26"/>
      <c r="E43" s="26"/>
      <c r="F43" s="26"/>
      <c r="G43" s="26"/>
      <c r="H43" s="26">
        <f>+SUM(H44:H45)</f>
        <v>95455980.431199998</v>
      </c>
      <c r="I43" s="26"/>
      <c r="J43" s="26">
        <f>+SUM(J44:J45)</f>
        <v>95455980.431199998</v>
      </c>
      <c r="K43" s="26">
        <f>+SUM(K44:K45)</f>
        <v>39643586</v>
      </c>
      <c r="L43" s="26">
        <f t="shared" si="1"/>
        <v>-55812394.431199998</v>
      </c>
      <c r="M43" s="17">
        <f t="shared" si="2"/>
        <v>0.41530751474050553</v>
      </c>
    </row>
    <row r="44" spans="1:13" s="41" customFormat="1" ht="15" hidden="1" outlineLevel="1" x14ac:dyDescent="0.25">
      <c r="A44" s="42" t="s">
        <v>52</v>
      </c>
      <c r="B44" s="19">
        <f>+[2]Agregado!$G$24</f>
        <v>95455980.431199998</v>
      </c>
      <c r="C44" s="26"/>
      <c r="D44" s="26"/>
      <c r="E44" s="26"/>
      <c r="F44" s="26"/>
      <c r="G44" s="26"/>
      <c r="H44" s="19">
        <f>+B44+C44+D44+G44+E44+F44</f>
        <v>95455980.431199998</v>
      </c>
      <c r="I44" s="26"/>
      <c r="J44" s="20">
        <f>+H44+I44</f>
        <v>95455980.431199998</v>
      </c>
      <c r="K44" s="20">
        <v>39643586</v>
      </c>
      <c r="L44" s="20">
        <f t="shared" si="1"/>
        <v>-55812394.431199998</v>
      </c>
      <c r="M44" s="21">
        <f t="shared" si="2"/>
        <v>0.41530751474050553</v>
      </c>
    </row>
    <row r="45" spans="1:13" s="41" customFormat="1" ht="15" hidden="1" outlineLevel="1" x14ac:dyDescent="0.25">
      <c r="A45" s="42" t="s">
        <v>53</v>
      </c>
      <c r="B45" s="19">
        <f>+[3]Agregado!$F$25</f>
        <v>0</v>
      </c>
      <c r="C45" s="26"/>
      <c r="D45" s="26"/>
      <c r="E45" s="26"/>
      <c r="F45" s="26"/>
      <c r="G45" s="26"/>
      <c r="H45" s="19">
        <f>+B45+C45+D45+G45+E45+F45</f>
        <v>0</v>
      </c>
      <c r="I45" s="26"/>
      <c r="J45" s="20">
        <f>+H45+I45</f>
        <v>0</v>
      </c>
      <c r="K45" s="20"/>
      <c r="L45" s="20">
        <f t="shared" si="1"/>
        <v>0</v>
      </c>
      <c r="M45" s="21">
        <f t="shared" si="2"/>
        <v>0</v>
      </c>
    </row>
    <row r="46" spans="1:13" s="41" customFormat="1" ht="15" collapsed="1" x14ac:dyDescent="0.25">
      <c r="A46" s="43" t="s">
        <v>54</v>
      </c>
      <c r="B46" s="16">
        <f>+B47+B48+B49+B56</f>
        <v>648815262.35860002</v>
      </c>
      <c r="C46" s="26"/>
      <c r="D46" s="26"/>
      <c r="E46" s="26"/>
      <c r="F46" s="26"/>
      <c r="G46" s="26"/>
      <c r="H46" s="16">
        <f>+H47+H48+H49+H56</f>
        <v>648815262.35860002</v>
      </c>
      <c r="I46" s="26"/>
      <c r="J46" s="16">
        <f>+J47+J48+J49+J56</f>
        <v>648815262.35860002</v>
      </c>
      <c r="K46" s="16">
        <f>+K47+K48+K49+K56</f>
        <v>461268115</v>
      </c>
      <c r="L46" s="16">
        <f t="shared" si="1"/>
        <v>-187547147.35860002</v>
      </c>
      <c r="M46" s="17">
        <f t="shared" si="2"/>
        <v>0.71093906349116864</v>
      </c>
    </row>
    <row r="47" spans="1:13" s="41" customFormat="1" ht="15" hidden="1" outlineLevel="1" x14ac:dyDescent="0.25">
      <c r="A47" s="42" t="s">
        <v>55</v>
      </c>
      <c r="B47" s="19">
        <f>+[2]Agregado!$G$28</f>
        <v>101824699.30000001</v>
      </c>
      <c r="C47" s="26"/>
      <c r="D47" s="26"/>
      <c r="E47" s="26"/>
      <c r="F47" s="26"/>
      <c r="G47" s="26"/>
      <c r="H47" s="19">
        <f>+B47+C47+D47+G47+E47+F47</f>
        <v>101824699.30000001</v>
      </c>
      <c r="I47" s="26"/>
      <c r="J47" s="20">
        <f>+H47+I47</f>
        <v>101824699.30000001</v>
      </c>
      <c r="K47" s="20">
        <v>89481525</v>
      </c>
      <c r="L47" s="20">
        <f t="shared" si="1"/>
        <v>-12343174.300000012</v>
      </c>
      <c r="M47" s="21">
        <f t="shared" si="2"/>
        <v>0.87878015466921189</v>
      </c>
    </row>
    <row r="48" spans="1:13" s="41" customFormat="1" ht="15" hidden="1" outlineLevel="1" x14ac:dyDescent="0.25">
      <c r="A48" s="42" t="s">
        <v>56</v>
      </c>
      <c r="B48" s="19">
        <f>+[2]Agregado!$G$29-3000000-2400000</f>
        <v>43386814.058600001</v>
      </c>
      <c r="C48" s="26"/>
      <c r="D48" s="26"/>
      <c r="E48" s="26"/>
      <c r="F48" s="26"/>
      <c r="G48" s="26"/>
      <c r="H48" s="19">
        <f>+B48+C48+D48+G48+E48+F48</f>
        <v>43386814.058600001</v>
      </c>
      <c r="I48" s="26"/>
      <c r="J48" s="20">
        <f>+H48+I48</f>
        <v>43386814.058600001</v>
      </c>
      <c r="K48" s="20">
        <v>35551532</v>
      </c>
      <c r="L48" s="20">
        <f t="shared" si="1"/>
        <v>-7835282.058600001</v>
      </c>
      <c r="M48" s="21">
        <f t="shared" si="2"/>
        <v>0.81940867914345239</v>
      </c>
    </row>
    <row r="49" spans="1:13" s="41" customFormat="1" ht="15" hidden="1" outlineLevel="1" x14ac:dyDescent="0.25">
      <c r="A49" s="42" t="s">
        <v>57</v>
      </c>
      <c r="B49" s="16">
        <f>+B50+B53</f>
        <v>324618499</v>
      </c>
      <c r="C49" s="26"/>
      <c r="D49" s="26"/>
      <c r="E49" s="26"/>
      <c r="F49" s="26"/>
      <c r="G49" s="26"/>
      <c r="H49" s="16">
        <f>+B49+C49+D49+G49+E49+F49</f>
        <v>324618499</v>
      </c>
      <c r="I49" s="16"/>
      <c r="J49" s="16">
        <f>+H49+I49</f>
        <v>324618499</v>
      </c>
      <c r="K49" s="16">
        <f>+K50+K53</f>
        <v>195550126</v>
      </c>
      <c r="L49" s="16">
        <f t="shared" si="1"/>
        <v>-129068373</v>
      </c>
      <c r="M49" s="17">
        <f t="shared" si="2"/>
        <v>0.60239982195222952</v>
      </c>
    </row>
    <row r="50" spans="1:13" s="41" customFormat="1" ht="15" hidden="1" outlineLevel="2" x14ac:dyDescent="0.25">
      <c r="A50" s="42" t="s">
        <v>58</v>
      </c>
      <c r="B50" s="16">
        <f>SUM(B51:B52)</f>
        <v>258362725</v>
      </c>
      <c r="C50" s="26"/>
      <c r="D50" s="26"/>
      <c r="E50" s="26"/>
      <c r="F50" s="26"/>
      <c r="G50" s="26"/>
      <c r="H50" s="16">
        <f t="shared" ref="H50:H55" si="10">+B50+C50+D50+G50+E50+F50</f>
        <v>258362725</v>
      </c>
      <c r="I50" s="16"/>
      <c r="J50" s="16">
        <f t="shared" ref="J50:J55" si="11">+H50+I50</f>
        <v>258362725</v>
      </c>
      <c r="K50" s="16">
        <f>SUM(K51:K52)</f>
        <v>153684737</v>
      </c>
      <c r="L50" s="16">
        <f t="shared" si="1"/>
        <v>-104677988</v>
      </c>
      <c r="M50" s="17">
        <f t="shared" si="2"/>
        <v>0.59484098180184464</v>
      </c>
    </row>
    <row r="51" spans="1:13" s="41" customFormat="1" ht="15" hidden="1" outlineLevel="2" x14ac:dyDescent="0.25">
      <c r="A51" s="42" t="s">
        <v>59</v>
      </c>
      <c r="B51" s="19">
        <f>+[2]Agregado!$G$32</f>
        <v>30000000</v>
      </c>
      <c r="C51" s="26"/>
      <c r="D51" s="26"/>
      <c r="E51" s="26"/>
      <c r="F51" s="26"/>
      <c r="G51" s="26"/>
      <c r="H51" s="19">
        <f t="shared" si="10"/>
        <v>30000000</v>
      </c>
      <c r="I51" s="26"/>
      <c r="J51" s="20">
        <f t="shared" si="11"/>
        <v>30000000</v>
      </c>
      <c r="K51" s="20">
        <v>4000000</v>
      </c>
      <c r="L51" s="20">
        <f t="shared" si="1"/>
        <v>-26000000</v>
      </c>
      <c r="M51" s="21">
        <f t="shared" si="2"/>
        <v>0.13333333333333333</v>
      </c>
    </row>
    <row r="52" spans="1:13" s="41" customFormat="1" ht="15" hidden="1" outlineLevel="2" x14ac:dyDescent="0.25">
      <c r="A52" s="42" t="s">
        <v>60</v>
      </c>
      <c r="B52" s="19">
        <f>+[2]Agregado!$G$33</f>
        <v>228362725</v>
      </c>
      <c r="C52" s="26"/>
      <c r="D52" s="26"/>
      <c r="E52" s="26"/>
      <c r="F52" s="26"/>
      <c r="G52" s="26"/>
      <c r="H52" s="19">
        <f t="shared" si="10"/>
        <v>228362725</v>
      </c>
      <c r="I52" s="26"/>
      <c r="J52" s="20">
        <f t="shared" si="11"/>
        <v>228362725</v>
      </c>
      <c r="K52" s="20">
        <v>149684737</v>
      </c>
      <c r="L52" s="20">
        <f t="shared" si="1"/>
        <v>-78677988</v>
      </c>
      <c r="M52" s="21">
        <f t="shared" si="2"/>
        <v>0.65546921898046184</v>
      </c>
    </row>
    <row r="53" spans="1:13" s="41" customFormat="1" ht="15" hidden="1" outlineLevel="2" x14ac:dyDescent="0.25">
      <c r="A53" s="42" t="s">
        <v>61</v>
      </c>
      <c r="B53" s="16">
        <f>SUM(B54:B55)</f>
        <v>66255774</v>
      </c>
      <c r="C53" s="26"/>
      <c r="D53" s="26"/>
      <c r="E53" s="26"/>
      <c r="F53" s="26"/>
      <c r="G53" s="26"/>
      <c r="H53" s="16">
        <f t="shared" si="10"/>
        <v>66255774</v>
      </c>
      <c r="I53" s="16"/>
      <c r="J53" s="16">
        <f t="shared" si="11"/>
        <v>66255774</v>
      </c>
      <c r="K53" s="16">
        <f>SUM(K54:K55)</f>
        <v>41865389</v>
      </c>
      <c r="L53" s="16">
        <f t="shared" si="1"/>
        <v>-24390385</v>
      </c>
      <c r="M53" s="17">
        <f t="shared" si="2"/>
        <v>0.63187532908452626</v>
      </c>
    </row>
    <row r="54" spans="1:13" s="41" customFormat="1" ht="15" hidden="1" outlineLevel="2" x14ac:dyDescent="0.25">
      <c r="A54" s="42" t="s">
        <v>62</v>
      </c>
      <c r="B54" s="19">
        <f>+[2]Agregado!$G$35</f>
        <v>40000000</v>
      </c>
      <c r="C54" s="26"/>
      <c r="D54" s="26"/>
      <c r="E54" s="26"/>
      <c r="F54" s="26"/>
      <c r="G54" s="26"/>
      <c r="H54" s="19">
        <f t="shared" si="10"/>
        <v>40000000</v>
      </c>
      <c r="I54" s="26"/>
      <c r="J54" s="20">
        <f t="shared" si="11"/>
        <v>40000000</v>
      </c>
      <c r="K54" s="20">
        <v>15689730</v>
      </c>
      <c r="L54" s="20">
        <f t="shared" si="1"/>
        <v>-24310270</v>
      </c>
      <c r="M54" s="21">
        <f t="shared" si="2"/>
        <v>0.39224324999999999</v>
      </c>
    </row>
    <row r="55" spans="1:13" s="41" customFormat="1" ht="15" hidden="1" outlineLevel="2" x14ac:dyDescent="0.25">
      <c r="A55" s="42" t="s">
        <v>63</v>
      </c>
      <c r="B55" s="19">
        <f>+[2]Agregado!$G$36+3000000+2400000</f>
        <v>26255774</v>
      </c>
      <c r="C55" s="26"/>
      <c r="D55" s="26"/>
      <c r="E55" s="26"/>
      <c r="F55" s="26"/>
      <c r="G55" s="26"/>
      <c r="H55" s="19">
        <f t="shared" si="10"/>
        <v>26255774</v>
      </c>
      <c r="I55" s="26"/>
      <c r="J55" s="20">
        <f t="shared" si="11"/>
        <v>26255774</v>
      </c>
      <c r="K55" s="20">
        <v>26175659</v>
      </c>
      <c r="L55" s="20">
        <f t="shared" si="1"/>
        <v>-80115</v>
      </c>
      <c r="M55" s="21">
        <f t="shared" si="2"/>
        <v>0.9969486711761002</v>
      </c>
    </row>
    <row r="56" spans="1:13" s="41" customFormat="1" ht="15" hidden="1" outlineLevel="1" x14ac:dyDescent="0.25">
      <c r="A56" s="42" t="s">
        <v>64</v>
      </c>
      <c r="B56" s="20">
        <f>+[2]Agregado!$G$37</f>
        <v>178985250</v>
      </c>
      <c r="C56" s="26"/>
      <c r="D56" s="26"/>
      <c r="E56" s="26"/>
      <c r="F56" s="26"/>
      <c r="G56" s="26"/>
      <c r="H56" s="19">
        <f>+B56+C56+D56+G56+E56+F56</f>
        <v>178985250</v>
      </c>
      <c r="I56" s="26"/>
      <c r="J56" s="20">
        <f>+H56+I56</f>
        <v>178985250</v>
      </c>
      <c r="K56" s="20">
        <v>140684932</v>
      </c>
      <c r="L56" s="20">
        <f t="shared" si="1"/>
        <v>-38300318</v>
      </c>
      <c r="M56" s="21">
        <f t="shared" si="2"/>
        <v>0.78601411010125133</v>
      </c>
    </row>
    <row r="57" spans="1:13" s="41" customFormat="1" ht="15" collapsed="1" x14ac:dyDescent="0.25">
      <c r="A57" s="43" t="s">
        <v>65</v>
      </c>
      <c r="B57" s="16">
        <f>SUM(B58:B60)</f>
        <v>29234337.605400003</v>
      </c>
      <c r="C57" s="26"/>
      <c r="D57" s="26"/>
      <c r="E57" s="26"/>
      <c r="F57" s="26"/>
      <c r="G57" s="26"/>
      <c r="H57" s="16">
        <f>SUM(H58:H60)</f>
        <v>29234337.605400003</v>
      </c>
      <c r="I57" s="26"/>
      <c r="J57" s="16">
        <f>SUM(J58:J60)</f>
        <v>29234337.605400003</v>
      </c>
      <c r="K57" s="16">
        <f>SUM(K58:K60)</f>
        <v>29166946</v>
      </c>
      <c r="L57" s="16">
        <f t="shared" si="1"/>
        <v>-67391.605400003493</v>
      </c>
      <c r="M57" s="17">
        <f t="shared" si="2"/>
        <v>0.99769477912208437</v>
      </c>
    </row>
    <row r="58" spans="1:13" s="41" customFormat="1" ht="15" hidden="1" outlineLevel="1" x14ac:dyDescent="0.25">
      <c r="A58" s="42" t="s">
        <v>66</v>
      </c>
      <c r="B58" s="19">
        <f>+[2]Agregado!$G$40</f>
        <v>25141718.584500004</v>
      </c>
      <c r="C58" s="26"/>
      <c r="D58" s="26"/>
      <c r="E58" s="26"/>
      <c r="F58" s="26"/>
      <c r="G58" s="26"/>
      <c r="H58" s="19">
        <f>+B58+C58+D58+G58+E58+F58</f>
        <v>25141718.584500004</v>
      </c>
      <c r="I58" s="26"/>
      <c r="J58" s="20">
        <f>+H58+I58</f>
        <v>25141718.584500004</v>
      </c>
      <c r="K58" s="20">
        <v>25075514</v>
      </c>
      <c r="L58" s="20">
        <f t="shared" si="1"/>
        <v>-66204.584500003606</v>
      </c>
      <c r="M58" s="21">
        <f t="shared" si="2"/>
        <v>0.99736674387323632</v>
      </c>
    </row>
    <row r="59" spans="1:13" s="41" customFormat="1" ht="15" hidden="1" outlineLevel="1" x14ac:dyDescent="0.25">
      <c r="A59" s="42" t="s">
        <v>67</v>
      </c>
      <c r="B59" s="19">
        <f>+[2]Agregado!$G$41</f>
        <v>4092619.0208999999</v>
      </c>
      <c r="C59" s="26"/>
      <c r="D59" s="26"/>
      <c r="E59" s="26"/>
      <c r="F59" s="26"/>
      <c r="G59" s="26"/>
      <c r="H59" s="19">
        <f>+B59+C59+D59+G59+E59+F59</f>
        <v>4092619.0208999999</v>
      </c>
      <c r="I59" s="26"/>
      <c r="J59" s="20">
        <f>+H59+I59</f>
        <v>4092619.0208999999</v>
      </c>
      <c r="K59" s="20">
        <v>4091432</v>
      </c>
      <c r="L59" s="20">
        <f t="shared" si="1"/>
        <v>-1187.0208999998868</v>
      </c>
      <c r="M59" s="21">
        <f t="shared" si="2"/>
        <v>0.99970996056707495</v>
      </c>
    </row>
    <row r="60" spans="1:13" s="41" customFormat="1" ht="15" hidden="1" outlineLevel="1" x14ac:dyDescent="0.25">
      <c r="A60" s="42" t="s">
        <v>68</v>
      </c>
      <c r="B60" s="19"/>
      <c r="C60" s="26"/>
      <c r="D60" s="26"/>
      <c r="E60" s="26"/>
      <c r="F60" s="26"/>
      <c r="G60" s="26"/>
      <c r="H60" s="19">
        <f>+B60+C60+D60+G60+E60+F60</f>
        <v>0</v>
      </c>
      <c r="I60" s="26"/>
      <c r="J60" s="20">
        <f>+H60+I60</f>
        <v>0</v>
      </c>
      <c r="K60" s="20"/>
      <c r="L60" s="20">
        <f t="shared" si="1"/>
        <v>0</v>
      </c>
      <c r="M60" s="21">
        <f t="shared" si="2"/>
        <v>0</v>
      </c>
    </row>
    <row r="61" spans="1:13" s="41" customFormat="1" ht="15" collapsed="1" x14ac:dyDescent="0.25">
      <c r="A61" s="43" t="s">
        <v>69</v>
      </c>
      <c r="B61" s="16">
        <f>SUM(B62:B64)</f>
        <v>107924942.69070002</v>
      </c>
      <c r="C61" s="26"/>
      <c r="D61" s="26"/>
      <c r="E61" s="26"/>
      <c r="F61" s="26"/>
      <c r="G61" s="26"/>
      <c r="H61" s="16">
        <f>SUM(H62:H64)</f>
        <v>107924942.69070002</v>
      </c>
      <c r="I61" s="26"/>
      <c r="J61" s="16">
        <f>SUM(J62:J64)</f>
        <v>107924942.69070002</v>
      </c>
      <c r="K61" s="16">
        <f>SUM(K62:K64)</f>
        <v>85441290</v>
      </c>
      <c r="L61" s="16">
        <f t="shared" si="1"/>
        <v>-22483652.690700024</v>
      </c>
      <c r="M61" s="17">
        <f t="shared" si="2"/>
        <v>0.79167324873977019</v>
      </c>
    </row>
    <row r="62" spans="1:13" s="41" customFormat="1" ht="15" hidden="1" outlineLevel="1" x14ac:dyDescent="0.25">
      <c r="A62" s="42" t="s">
        <v>70</v>
      </c>
      <c r="B62" s="19">
        <f>+[2]Agregado!$G$45</f>
        <v>59350249</v>
      </c>
      <c r="C62" s="26"/>
      <c r="D62" s="26"/>
      <c r="E62" s="26"/>
      <c r="F62" s="26"/>
      <c r="G62" s="26"/>
      <c r="H62" s="19">
        <f>+B62+C62+D62+G62+E62+F62</f>
        <v>59350249</v>
      </c>
      <c r="I62" s="26"/>
      <c r="J62" s="20">
        <f>+H62+I62</f>
        <v>59350249</v>
      </c>
      <c r="K62" s="20">
        <v>41116878</v>
      </c>
      <c r="L62" s="20">
        <f t="shared" si="1"/>
        <v>-18233371</v>
      </c>
      <c r="M62" s="21">
        <f t="shared" si="2"/>
        <v>0.69278358040250176</v>
      </c>
    </row>
    <row r="63" spans="1:13" s="41" customFormat="1" ht="15" hidden="1" outlineLevel="1" x14ac:dyDescent="0.25">
      <c r="A63" s="42" t="s">
        <v>71</v>
      </c>
      <c r="B63" s="19">
        <f>+[2]Agregado!$G$46</f>
        <v>45536313.810600005</v>
      </c>
      <c r="C63" s="26"/>
      <c r="D63" s="26"/>
      <c r="E63" s="26"/>
      <c r="F63" s="26"/>
      <c r="G63" s="26"/>
      <c r="H63" s="19">
        <f>+B63+C63+D63+G63+E63+F63</f>
        <v>45536313.810600005</v>
      </c>
      <c r="I63" s="26"/>
      <c r="J63" s="20">
        <f>+H63+I63</f>
        <v>45536313.810600005</v>
      </c>
      <c r="K63" s="20">
        <v>44324412</v>
      </c>
      <c r="L63" s="20">
        <f t="shared" si="1"/>
        <v>-1211901.8106000051</v>
      </c>
      <c r="M63" s="21">
        <f t="shared" si="2"/>
        <v>0.97338603612842511</v>
      </c>
    </row>
    <row r="64" spans="1:13" s="41" customFormat="1" ht="15" hidden="1" outlineLevel="1" x14ac:dyDescent="0.25">
      <c r="A64" s="42" t="s">
        <v>72</v>
      </c>
      <c r="B64" s="19">
        <f>+[2]Agregado!$G$47</f>
        <v>3038379.8801000044</v>
      </c>
      <c r="C64" s="26"/>
      <c r="D64" s="26"/>
      <c r="E64" s="26"/>
      <c r="F64" s="26"/>
      <c r="G64" s="26"/>
      <c r="H64" s="19">
        <f>+B64+C64+D64+G64+E64+F64</f>
        <v>3038379.8801000044</v>
      </c>
      <c r="I64" s="26"/>
      <c r="J64" s="20">
        <f>+H64+I64</f>
        <v>3038379.8801000044</v>
      </c>
      <c r="K64" s="20"/>
      <c r="L64" s="20">
        <f t="shared" si="1"/>
        <v>-3038379.8801000044</v>
      </c>
      <c r="M64" s="21">
        <f t="shared" si="2"/>
        <v>0</v>
      </c>
    </row>
    <row r="65" spans="1:13" s="41" customFormat="1" ht="15" collapsed="1" x14ac:dyDescent="0.25">
      <c r="A65" s="43" t="s">
        <v>73</v>
      </c>
      <c r="B65" s="16">
        <f>SUM(B66:B68)</f>
        <v>48539954</v>
      </c>
      <c r="C65" s="26"/>
      <c r="D65" s="26"/>
      <c r="E65" s="26"/>
      <c r="F65" s="26"/>
      <c r="G65" s="26"/>
      <c r="H65" s="16">
        <f>SUM(H66:H68)</f>
        <v>48539954</v>
      </c>
      <c r="I65" s="26"/>
      <c r="J65" s="16">
        <f>SUM(J66:J68)</f>
        <v>48539954</v>
      </c>
      <c r="K65" s="16">
        <f>SUM(K66:K68)</f>
        <v>35938415</v>
      </c>
      <c r="L65" s="16">
        <f t="shared" si="1"/>
        <v>-12601539</v>
      </c>
      <c r="M65" s="17">
        <f t="shared" si="2"/>
        <v>0.74038832010430011</v>
      </c>
    </row>
    <row r="66" spans="1:13" s="41" customFormat="1" ht="15" hidden="1" outlineLevel="1" x14ac:dyDescent="0.25">
      <c r="A66" s="42" t="s">
        <v>74</v>
      </c>
      <c r="B66" s="19">
        <f>+[2]Agregado!$G$50</f>
        <v>6352815</v>
      </c>
      <c r="C66" s="26"/>
      <c r="D66" s="26"/>
      <c r="E66" s="26"/>
      <c r="F66" s="26"/>
      <c r="G66" s="26"/>
      <c r="H66" s="19">
        <f>+B66+C66+D66+G66+E66+F66</f>
        <v>6352815</v>
      </c>
      <c r="I66" s="26"/>
      <c r="J66" s="20">
        <f>+H66+I66</f>
        <v>6352815</v>
      </c>
      <c r="K66" s="20">
        <v>5748510</v>
      </c>
      <c r="L66" s="20">
        <f t="shared" si="1"/>
        <v>-604305</v>
      </c>
      <c r="M66" s="21">
        <f t="shared" si="2"/>
        <v>0.90487602739887751</v>
      </c>
    </row>
    <row r="67" spans="1:13" s="41" customFormat="1" ht="15" hidden="1" outlineLevel="1" x14ac:dyDescent="0.25">
      <c r="A67" s="42" t="s">
        <v>75</v>
      </c>
      <c r="B67" s="19">
        <f>+[2]Agregado!$G$51</f>
        <v>29300000</v>
      </c>
      <c r="C67" s="26"/>
      <c r="D67" s="26"/>
      <c r="E67" s="26"/>
      <c r="F67" s="26"/>
      <c r="G67" s="26"/>
      <c r="H67" s="19">
        <f>+B67+C67+D67+G67+E67+F67</f>
        <v>29300000</v>
      </c>
      <c r="I67" s="26"/>
      <c r="J67" s="20">
        <f>+H67+I67</f>
        <v>29300000</v>
      </c>
      <c r="K67" s="20">
        <v>17310910</v>
      </c>
      <c r="L67" s="20">
        <f>+K67-J67</f>
        <v>-11989090</v>
      </c>
      <c r="M67" s="21">
        <f t="shared" si="2"/>
        <v>0.59081604095563145</v>
      </c>
    </row>
    <row r="68" spans="1:13" s="41" customFormat="1" ht="15" hidden="1" outlineLevel="1" x14ac:dyDescent="0.25">
      <c r="A68" s="42" t="s">
        <v>76</v>
      </c>
      <c r="B68" s="19">
        <f>+[2]Agregado!$G$52</f>
        <v>12887139.000000002</v>
      </c>
      <c r="C68" s="26"/>
      <c r="D68" s="26"/>
      <c r="E68" s="26"/>
      <c r="F68" s="26"/>
      <c r="G68" s="26"/>
      <c r="H68" s="19">
        <f>+B68+C68+D68+G68+E68+F68</f>
        <v>12887139.000000002</v>
      </c>
      <c r="I68" s="26"/>
      <c r="J68" s="20">
        <f>+H68+I68</f>
        <v>12887139.000000002</v>
      </c>
      <c r="K68" s="20">
        <v>12878995</v>
      </c>
      <c r="L68" s="20">
        <f t="shared" si="1"/>
        <v>-8144.0000000018626</v>
      </c>
      <c r="M68" s="21">
        <f t="shared" si="2"/>
        <v>0.99936805213321578</v>
      </c>
    </row>
    <row r="69" spans="1:13" s="41" customFormat="1" ht="15" collapsed="1" x14ac:dyDescent="0.25">
      <c r="A69" s="43" t="s">
        <v>77</v>
      </c>
      <c r="B69" s="16">
        <f>SUM(B70:B71)</f>
        <v>97187371.799999997</v>
      </c>
      <c r="C69" s="26"/>
      <c r="D69" s="26"/>
      <c r="E69" s="26"/>
      <c r="F69" s="26"/>
      <c r="G69" s="26"/>
      <c r="H69" s="16">
        <f>SUM(H70:H71)</f>
        <v>97187371.799999997</v>
      </c>
      <c r="I69" s="26"/>
      <c r="J69" s="16">
        <f>SUM(J70:J71)</f>
        <v>97187371.799999997</v>
      </c>
      <c r="K69" s="16">
        <f>SUM(K70:K71)</f>
        <v>95945576</v>
      </c>
      <c r="L69" s="16">
        <f t="shared" si="1"/>
        <v>-1241795.799999997</v>
      </c>
      <c r="M69" s="17">
        <f t="shared" si="2"/>
        <v>0.98722266301680162</v>
      </c>
    </row>
    <row r="70" spans="1:13" s="41" customFormat="1" ht="15" hidden="1" outlineLevel="1" x14ac:dyDescent="0.25">
      <c r="A70" s="42" t="s">
        <v>78</v>
      </c>
      <c r="B70" s="19">
        <f>+[2]Agregado!$G$56</f>
        <v>87768121.799999997</v>
      </c>
      <c r="C70" s="26"/>
      <c r="D70" s="26"/>
      <c r="E70" s="26"/>
      <c r="F70" s="26"/>
      <c r="G70" s="26"/>
      <c r="H70" s="19">
        <f>+B70+C70+D70+G70+E70+F70</f>
        <v>87768121.799999997</v>
      </c>
      <c r="I70" s="26"/>
      <c r="J70" s="20">
        <f>+H70+I70</f>
        <v>87768121.799999997</v>
      </c>
      <c r="K70" s="20">
        <v>86560538</v>
      </c>
      <c r="L70" s="20">
        <f t="shared" si="1"/>
        <v>-1207583.799999997</v>
      </c>
      <c r="M70" s="21">
        <f t="shared" si="2"/>
        <v>0.98624120266864368</v>
      </c>
    </row>
    <row r="71" spans="1:13" s="41" customFormat="1" ht="15" hidden="1" outlineLevel="1" x14ac:dyDescent="0.25">
      <c r="A71" s="42" t="s">
        <v>79</v>
      </c>
      <c r="B71" s="19">
        <f>+[2]Agregado!$G$57</f>
        <v>9419250</v>
      </c>
      <c r="C71" s="26"/>
      <c r="D71" s="26"/>
      <c r="E71" s="26"/>
      <c r="F71" s="26"/>
      <c r="G71" s="26"/>
      <c r="H71" s="19">
        <f>+B71+C71+D71+G71+E71+F71</f>
        <v>9419250</v>
      </c>
      <c r="I71" s="26"/>
      <c r="J71" s="20">
        <f>+H71+I71</f>
        <v>9419250</v>
      </c>
      <c r="K71" s="20">
        <v>9385038</v>
      </c>
      <c r="L71" s="20">
        <f t="shared" si="1"/>
        <v>-34212</v>
      </c>
      <c r="M71" s="21">
        <f t="shared" si="2"/>
        <v>0.99636786368341423</v>
      </c>
    </row>
    <row r="72" spans="1:13" s="41" customFormat="1" ht="15" collapsed="1" x14ac:dyDescent="0.25">
      <c r="A72" s="42"/>
      <c r="B72" s="19"/>
      <c r="C72" s="26"/>
      <c r="D72" s="26"/>
      <c r="E72" s="26"/>
      <c r="F72" s="26"/>
      <c r="G72" s="26"/>
      <c r="H72" s="19"/>
      <c r="I72" s="26"/>
      <c r="J72" s="20"/>
      <c r="K72" s="20"/>
      <c r="L72" s="20"/>
      <c r="M72" s="21"/>
    </row>
    <row r="73" spans="1:13" s="41" customFormat="1" ht="15" x14ac:dyDescent="0.25">
      <c r="A73" s="43" t="s">
        <v>80</v>
      </c>
      <c r="B73" s="19"/>
      <c r="C73" s="26"/>
      <c r="D73" s="26"/>
      <c r="E73" s="26"/>
      <c r="F73" s="26">
        <f>+F74+F83+F86+F92+F101+F106</f>
        <v>2503477823.0696001</v>
      </c>
      <c r="G73" s="26"/>
      <c r="H73" s="26">
        <f>+H74+H92+H86+H83+H101+H106</f>
        <v>2503477823.0696001</v>
      </c>
      <c r="I73" s="26"/>
      <c r="J73" s="16">
        <f>+H73+I73</f>
        <v>2503477823.0696001</v>
      </c>
      <c r="K73" s="26">
        <f>+K74+K83+K86+K92+K101+K106</f>
        <v>1824358799</v>
      </c>
      <c r="L73" s="16">
        <f t="shared" ref="L73:L135" si="12">+K73-J73</f>
        <v>-679119024.06960011</v>
      </c>
      <c r="M73" s="17">
        <f t="shared" ref="M73:M135" si="13">IFERROR(K73/J73,0)</f>
        <v>0.72872976232842801</v>
      </c>
    </row>
    <row r="74" spans="1:13" s="41" customFormat="1" ht="15" x14ac:dyDescent="0.25">
      <c r="A74" s="43" t="s">
        <v>81</v>
      </c>
      <c r="B74" s="19"/>
      <c r="C74" s="26"/>
      <c r="D74" s="26"/>
      <c r="E74" s="26"/>
      <c r="F74" s="26">
        <f>SUM(F75:F82)</f>
        <v>224106520.06959999</v>
      </c>
      <c r="G74" s="26"/>
      <c r="H74" s="26">
        <f>SUM(H75:H82)</f>
        <v>224106520.06959999</v>
      </c>
      <c r="I74" s="26"/>
      <c r="J74" s="26">
        <f>SUM(J75:J82)</f>
        <v>224106520.06959999</v>
      </c>
      <c r="K74" s="26">
        <f>SUM(K75:K82)</f>
        <v>129973915</v>
      </c>
      <c r="L74" s="26">
        <f t="shared" si="12"/>
        <v>-94132605.069599986</v>
      </c>
      <c r="M74" s="17">
        <f t="shared" si="13"/>
        <v>0.57996489776216442</v>
      </c>
    </row>
    <row r="75" spans="1:13" s="41" customFormat="1" ht="15" hidden="1" outlineLevel="1" x14ac:dyDescent="0.25">
      <c r="A75" s="42" t="s">
        <v>82</v>
      </c>
      <c r="B75" s="19"/>
      <c r="C75" s="26"/>
      <c r="D75" s="26"/>
      <c r="E75" s="26"/>
      <c r="F75" s="20">
        <f>+'[4]Solicitud presupuestal 2016'!$L$11-46022340</f>
        <v>-516711.93039999902</v>
      </c>
      <c r="G75" s="26"/>
      <c r="H75" s="19">
        <f t="shared" ref="H75:H80" si="14">+B75+C75+D75+G75+E75+F75</f>
        <v>-516711.93039999902</v>
      </c>
      <c r="I75" s="26"/>
      <c r="J75" s="20">
        <f t="shared" ref="J75:J80" si="15">+H75+I75</f>
        <v>-516711.93039999902</v>
      </c>
      <c r="K75" s="20">
        <v>-516717</v>
      </c>
      <c r="L75" s="20">
        <f t="shared" si="12"/>
        <v>-5.0696000009775162</v>
      </c>
      <c r="M75" s="21">
        <f t="shared" si="13"/>
        <v>1.000009811269496</v>
      </c>
    </row>
    <row r="76" spans="1:13" s="41" customFormat="1" ht="15" hidden="1" outlineLevel="1" x14ac:dyDescent="0.25">
      <c r="A76" s="42" t="s">
        <v>83</v>
      </c>
      <c r="B76" s="19"/>
      <c r="C76" s="26"/>
      <c r="D76" s="26"/>
      <c r="E76" s="26"/>
      <c r="F76" s="20"/>
      <c r="G76" s="26"/>
      <c r="H76" s="19">
        <f t="shared" si="14"/>
        <v>0</v>
      </c>
      <c r="I76" s="26"/>
      <c r="J76" s="20">
        <f t="shared" si="15"/>
        <v>0</v>
      </c>
      <c r="K76" s="20"/>
      <c r="L76" s="20">
        <f t="shared" si="12"/>
        <v>0</v>
      </c>
      <c r="M76" s="21">
        <f t="shared" si="13"/>
        <v>0</v>
      </c>
    </row>
    <row r="77" spans="1:13" s="41" customFormat="1" ht="15" hidden="1" outlineLevel="1" x14ac:dyDescent="0.25">
      <c r="A77" s="42" t="s">
        <v>84</v>
      </c>
      <c r="B77" s="19"/>
      <c r="C77" s="26"/>
      <c r="D77" s="26"/>
      <c r="E77" s="26"/>
      <c r="F77" s="20"/>
      <c r="G77" s="26"/>
      <c r="H77" s="19">
        <f t="shared" si="14"/>
        <v>0</v>
      </c>
      <c r="I77" s="26"/>
      <c r="J77" s="20">
        <f t="shared" si="15"/>
        <v>0</v>
      </c>
      <c r="K77" s="20"/>
      <c r="L77" s="20">
        <f t="shared" si="12"/>
        <v>0</v>
      </c>
      <c r="M77" s="21">
        <f t="shared" si="13"/>
        <v>0</v>
      </c>
    </row>
    <row r="78" spans="1:13" s="41" customFormat="1" ht="15" hidden="1" outlineLevel="1" x14ac:dyDescent="0.25">
      <c r="A78" s="42" t="s">
        <v>85</v>
      </c>
      <c r="B78" s="19"/>
      <c r="C78" s="26"/>
      <c r="D78" s="26"/>
      <c r="E78" s="26"/>
      <c r="F78" s="20">
        <f>+'[4]Solicitud presupuestal 2016'!$L$14</f>
        <v>7382229</v>
      </c>
      <c r="G78" s="26"/>
      <c r="H78" s="19">
        <f t="shared" si="14"/>
        <v>7382229</v>
      </c>
      <c r="I78" s="26"/>
      <c r="J78" s="20">
        <f t="shared" si="15"/>
        <v>7382229</v>
      </c>
      <c r="K78" s="20">
        <v>7382229</v>
      </c>
      <c r="L78" s="20">
        <f t="shared" si="12"/>
        <v>0</v>
      </c>
      <c r="M78" s="21">
        <f t="shared" si="13"/>
        <v>1</v>
      </c>
    </row>
    <row r="79" spans="1:13" s="41" customFormat="1" ht="15" hidden="1" outlineLevel="1" x14ac:dyDescent="0.25">
      <c r="A79" s="42" t="s">
        <v>86</v>
      </c>
      <c r="B79" s="19"/>
      <c r="C79" s="26"/>
      <c r="D79" s="26"/>
      <c r="E79" s="26"/>
      <c r="F79" s="20">
        <f>79869063+46022340+27000000-79869063</f>
        <v>73022340</v>
      </c>
      <c r="G79" s="26"/>
      <c r="H79" s="19">
        <f t="shared" si="14"/>
        <v>73022340</v>
      </c>
      <c r="I79" s="26"/>
      <c r="J79" s="20">
        <f t="shared" si="15"/>
        <v>73022340</v>
      </c>
      <c r="K79" s="20">
        <v>73022340</v>
      </c>
      <c r="L79" s="20">
        <f t="shared" si="12"/>
        <v>0</v>
      </c>
      <c r="M79" s="21">
        <f t="shared" si="13"/>
        <v>1</v>
      </c>
    </row>
    <row r="80" spans="1:13" s="41" customFormat="1" ht="15" hidden="1" outlineLevel="1" x14ac:dyDescent="0.25">
      <c r="A80" s="42" t="s">
        <v>87</v>
      </c>
      <c r="B80" s="19"/>
      <c r="C80" s="26"/>
      <c r="D80" s="26"/>
      <c r="E80" s="26"/>
      <c r="F80" s="20">
        <f>-27000000+79869063</f>
        <v>52869063</v>
      </c>
      <c r="G80" s="26"/>
      <c r="H80" s="19">
        <f t="shared" si="14"/>
        <v>52869063</v>
      </c>
      <c r="I80" s="26"/>
      <c r="J80" s="20">
        <f t="shared" si="15"/>
        <v>52869063</v>
      </c>
      <c r="K80" s="20">
        <v>50086060</v>
      </c>
      <c r="L80" s="20">
        <f t="shared" si="12"/>
        <v>-2783003</v>
      </c>
      <c r="M80" s="21">
        <f t="shared" si="13"/>
        <v>0.94736046296110832</v>
      </c>
    </row>
    <row r="81" spans="1:13" s="41" customFormat="1" ht="15" hidden="1" outlineLevel="1" x14ac:dyDescent="0.25">
      <c r="A81" s="42" t="s">
        <v>88</v>
      </c>
      <c r="B81" s="19"/>
      <c r="C81" s="26"/>
      <c r="D81" s="26"/>
      <c r="E81" s="26"/>
      <c r="F81" s="20">
        <f>+'[4]Solicitud presupuestal 2016'!$L$17</f>
        <v>51349600</v>
      </c>
      <c r="G81" s="26"/>
      <c r="H81" s="19">
        <f>+B81+C81+D81+G81+E81+F81</f>
        <v>51349600</v>
      </c>
      <c r="I81" s="26"/>
      <c r="J81" s="20">
        <f>+H81+I81</f>
        <v>51349600</v>
      </c>
      <c r="K81" s="20">
        <v>3</v>
      </c>
      <c r="L81" s="20">
        <f t="shared" si="12"/>
        <v>-51349597</v>
      </c>
      <c r="M81" s="21">
        <f t="shared" si="13"/>
        <v>5.8423045164908783E-8</v>
      </c>
    </row>
    <row r="82" spans="1:13" s="41" customFormat="1" ht="15" hidden="1" outlineLevel="1" x14ac:dyDescent="0.25">
      <c r="A82" s="42" t="s">
        <v>89</v>
      </c>
      <c r="B82" s="19"/>
      <c r="C82" s="26"/>
      <c r="D82" s="26"/>
      <c r="E82" s="26"/>
      <c r="F82" s="20">
        <f>+'[4]Solicitud presupuestal 2016'!$L$18</f>
        <v>40000000</v>
      </c>
      <c r="G82" s="26"/>
      <c r="H82" s="19">
        <f>+B82+C82+D82+G82+E82+F82</f>
        <v>40000000</v>
      </c>
      <c r="I82" s="26"/>
      <c r="J82" s="20">
        <f>+H82+I82</f>
        <v>40000000</v>
      </c>
      <c r="K82" s="20"/>
      <c r="L82" s="20">
        <f t="shared" si="12"/>
        <v>-40000000</v>
      </c>
      <c r="M82" s="21">
        <f t="shared" si="13"/>
        <v>0</v>
      </c>
    </row>
    <row r="83" spans="1:13" s="41" customFormat="1" ht="15" collapsed="1" x14ac:dyDescent="0.25">
      <c r="A83" s="43" t="s">
        <v>90</v>
      </c>
      <c r="B83" s="19"/>
      <c r="C83" s="26"/>
      <c r="D83" s="26"/>
      <c r="E83" s="26"/>
      <c r="F83" s="26">
        <f>SUM(F84:F85)</f>
        <v>70000000</v>
      </c>
      <c r="G83" s="26"/>
      <c r="H83" s="26">
        <f>SUM(H84:H85)</f>
        <v>70000000</v>
      </c>
      <c r="I83" s="26"/>
      <c r="J83" s="26">
        <f>SUM(J84:J85)</f>
        <v>70000000</v>
      </c>
      <c r="K83" s="26">
        <f>SUM(K84:K85)</f>
        <v>62645422</v>
      </c>
      <c r="L83" s="26">
        <f t="shared" si="12"/>
        <v>-7354578</v>
      </c>
      <c r="M83" s="17">
        <f t="shared" si="13"/>
        <v>0.89493460000000002</v>
      </c>
    </row>
    <row r="84" spans="1:13" s="41" customFormat="1" ht="15" hidden="1" outlineLevel="1" x14ac:dyDescent="0.25">
      <c r="A84" s="42" t="s">
        <v>91</v>
      </c>
      <c r="B84" s="19"/>
      <c r="C84" s="26"/>
      <c r="D84" s="26"/>
      <c r="E84" s="26"/>
      <c r="F84" s="20">
        <f>+'[4]Solicitud presupuestal 2016'!$L$20</f>
        <v>70000000</v>
      </c>
      <c r="G84" s="26"/>
      <c r="H84" s="19">
        <f>+B84+C84+D84+G84+E84+F84</f>
        <v>70000000</v>
      </c>
      <c r="I84" s="26"/>
      <c r="J84" s="20">
        <f>+H84+I84</f>
        <v>70000000</v>
      </c>
      <c r="K84" s="20">
        <v>62645422</v>
      </c>
      <c r="L84" s="20">
        <f t="shared" si="12"/>
        <v>-7354578</v>
      </c>
      <c r="M84" s="21">
        <f t="shared" si="13"/>
        <v>0.89493460000000002</v>
      </c>
    </row>
    <row r="85" spans="1:13" s="41" customFormat="1" ht="15" hidden="1" outlineLevel="1" x14ac:dyDescent="0.25">
      <c r="A85" s="42" t="s">
        <v>92</v>
      </c>
      <c r="B85" s="19"/>
      <c r="C85" s="26"/>
      <c r="D85" s="26"/>
      <c r="E85" s="26"/>
      <c r="F85" s="20"/>
      <c r="G85" s="26"/>
      <c r="H85" s="19">
        <f>+B85+C85+D85+G85+E85+F85</f>
        <v>0</v>
      </c>
      <c r="I85" s="26"/>
      <c r="J85" s="20">
        <f>+H85+I85</f>
        <v>0</v>
      </c>
      <c r="K85" s="20"/>
      <c r="L85" s="20">
        <f t="shared" si="12"/>
        <v>0</v>
      </c>
      <c r="M85" s="21">
        <f t="shared" si="13"/>
        <v>0</v>
      </c>
    </row>
    <row r="86" spans="1:13" s="41" customFormat="1" ht="15" collapsed="1" x14ac:dyDescent="0.25">
      <c r="A86" s="43" t="s">
        <v>93</v>
      </c>
      <c r="B86" s="19"/>
      <c r="C86" s="26"/>
      <c r="D86" s="26"/>
      <c r="E86" s="26"/>
      <c r="F86" s="26">
        <f>+SUM(F87:F91)</f>
        <v>1301063443</v>
      </c>
      <c r="G86" s="26"/>
      <c r="H86" s="26">
        <f>SUM(H87:H91)</f>
        <v>1301063443</v>
      </c>
      <c r="I86" s="26"/>
      <c r="J86" s="26">
        <f>SUM(J87:J91)</f>
        <v>1301063443</v>
      </c>
      <c r="K86" s="26">
        <f>SUM(K87:K91)</f>
        <v>1289115155</v>
      </c>
      <c r="L86" s="26">
        <f t="shared" si="12"/>
        <v>-11948288</v>
      </c>
      <c r="M86" s="17">
        <f t="shared" si="13"/>
        <v>0.99081652161984546</v>
      </c>
    </row>
    <row r="87" spans="1:13" s="41" customFormat="1" ht="15" hidden="1" outlineLevel="1" x14ac:dyDescent="0.25">
      <c r="A87" s="42" t="s">
        <v>94</v>
      </c>
      <c r="B87" s="19"/>
      <c r="C87" s="26"/>
      <c r="D87" s="26"/>
      <c r="E87" s="26"/>
      <c r="F87" s="20">
        <f>+'[4]Solicitud presupuestal 2016'!$L$23-70000000+68535390+3591830</f>
        <v>1252127220</v>
      </c>
      <c r="G87" s="26"/>
      <c r="H87" s="19">
        <f>+B87+C87+D87+G87+E87+F87</f>
        <v>1252127220</v>
      </c>
      <c r="I87" s="26"/>
      <c r="J87" s="20">
        <f>+H87+I87</f>
        <v>1252127220</v>
      </c>
      <c r="K87" s="20">
        <v>1252127220</v>
      </c>
      <c r="L87" s="20">
        <f t="shared" si="12"/>
        <v>0</v>
      </c>
      <c r="M87" s="21">
        <f t="shared" si="13"/>
        <v>1</v>
      </c>
    </row>
    <row r="88" spans="1:13" s="41" customFormat="1" ht="15" hidden="1" outlineLevel="1" x14ac:dyDescent="0.25">
      <c r="A88" s="42" t="s">
        <v>95</v>
      </c>
      <c r="B88" s="19"/>
      <c r="C88" s="26"/>
      <c r="D88" s="26"/>
      <c r="E88" s="26"/>
      <c r="F88" s="20">
        <f>+'[4]Solicitud presupuestal 2016'!$L$24</f>
        <v>30000000</v>
      </c>
      <c r="G88" s="26"/>
      <c r="H88" s="19">
        <f>+B88+C88+D88+G88+E88+F88</f>
        <v>30000000</v>
      </c>
      <c r="I88" s="26"/>
      <c r="J88" s="20">
        <f>+H88+I88</f>
        <v>30000000</v>
      </c>
      <c r="K88" s="20">
        <v>19500000</v>
      </c>
      <c r="L88" s="20">
        <f t="shared" si="12"/>
        <v>-10500000</v>
      </c>
      <c r="M88" s="21">
        <f t="shared" si="13"/>
        <v>0.65</v>
      </c>
    </row>
    <row r="89" spans="1:13" s="41" customFormat="1" ht="15" hidden="1" outlineLevel="1" x14ac:dyDescent="0.25">
      <c r="A89" s="42" t="s">
        <v>96</v>
      </c>
      <c r="B89" s="19"/>
      <c r="C89" s="26"/>
      <c r="D89" s="26"/>
      <c r="E89" s="26"/>
      <c r="F89" s="20">
        <f>+'[4]Solicitud presupuestal 2016'!$L$25-3591830</f>
        <v>11070328</v>
      </c>
      <c r="G89" s="26"/>
      <c r="H89" s="19">
        <f>+B89+C89+D89+G89+E89+F89</f>
        <v>11070328</v>
      </c>
      <c r="I89" s="26"/>
      <c r="J89" s="20">
        <f>+H89+I89</f>
        <v>11070328</v>
      </c>
      <c r="K89" s="20">
        <v>9622040</v>
      </c>
      <c r="L89" s="20">
        <f t="shared" si="12"/>
        <v>-1448288</v>
      </c>
      <c r="M89" s="21">
        <f t="shared" si="13"/>
        <v>0.8691738853627462</v>
      </c>
    </row>
    <row r="90" spans="1:13" s="41" customFormat="1" ht="15" hidden="1" outlineLevel="1" x14ac:dyDescent="0.25">
      <c r="A90" s="42" t="s">
        <v>97</v>
      </c>
      <c r="B90" s="19"/>
      <c r="C90" s="26"/>
      <c r="D90" s="26"/>
      <c r="E90" s="26"/>
      <c r="F90" s="20">
        <f>+'[4]Solicitud presupuestal 2016'!$L$26</f>
        <v>7865895</v>
      </c>
      <c r="G90" s="26"/>
      <c r="H90" s="19">
        <f>+B90+C90+D90+G90+E90+F90</f>
        <v>7865895</v>
      </c>
      <c r="I90" s="26"/>
      <c r="J90" s="20">
        <f>+H90+I90</f>
        <v>7865895</v>
      </c>
      <c r="K90" s="20">
        <v>7865895</v>
      </c>
      <c r="L90" s="20">
        <f t="shared" si="12"/>
        <v>0</v>
      </c>
      <c r="M90" s="21">
        <f t="shared" si="13"/>
        <v>1</v>
      </c>
    </row>
    <row r="91" spans="1:13" s="41" customFormat="1" ht="15" hidden="1" outlineLevel="1" x14ac:dyDescent="0.25">
      <c r="A91" s="42" t="s">
        <v>98</v>
      </c>
      <c r="B91" s="19"/>
      <c r="C91" s="26"/>
      <c r="D91" s="26"/>
      <c r="E91" s="26"/>
      <c r="F91" s="20"/>
      <c r="G91" s="26"/>
      <c r="H91" s="19">
        <f>+B91+C91+D91+G91+E91+F91</f>
        <v>0</v>
      </c>
      <c r="I91" s="26"/>
      <c r="J91" s="20">
        <f>+H91+I91</f>
        <v>0</v>
      </c>
      <c r="K91" s="20">
        <v>0</v>
      </c>
      <c r="L91" s="20">
        <f t="shared" si="12"/>
        <v>0</v>
      </c>
      <c r="M91" s="21">
        <f t="shared" si="13"/>
        <v>0</v>
      </c>
    </row>
    <row r="92" spans="1:13" s="41" customFormat="1" ht="15" collapsed="1" x14ac:dyDescent="0.25">
      <c r="A92" s="43" t="s">
        <v>99</v>
      </c>
      <c r="B92" s="19"/>
      <c r="C92" s="26"/>
      <c r="D92" s="26"/>
      <c r="E92" s="26"/>
      <c r="F92" s="26">
        <f>SUM(F93:F100)</f>
        <v>644730100</v>
      </c>
      <c r="G92" s="26"/>
      <c r="H92" s="26">
        <f>SUM(H93:H100)</f>
        <v>644730100</v>
      </c>
      <c r="I92" s="26"/>
      <c r="J92" s="26">
        <f>SUM(J93:J100)</f>
        <v>644730100</v>
      </c>
      <c r="K92" s="26">
        <f>SUM(K93:K100)</f>
        <v>134675943</v>
      </c>
      <c r="L92" s="26">
        <f t="shared" si="12"/>
        <v>-510054157</v>
      </c>
      <c r="M92" s="17">
        <f t="shared" si="13"/>
        <v>0.20888732044618361</v>
      </c>
    </row>
    <row r="93" spans="1:13" s="41" customFormat="1" ht="15" hidden="1" outlineLevel="1" x14ac:dyDescent="0.25">
      <c r="A93" s="42" t="s">
        <v>100</v>
      </c>
      <c r="B93" s="19"/>
      <c r="C93" s="26"/>
      <c r="D93" s="26"/>
      <c r="E93" s="26"/>
      <c r="F93" s="20">
        <f>+'[4]Solicitud presupuestal 2016'!$L$29</f>
        <v>30749760</v>
      </c>
      <c r="G93" s="26"/>
      <c r="H93" s="19">
        <f t="shared" ref="H93:H100" si="16">+B93+C93+D93+G93+E93+F93</f>
        <v>30749760</v>
      </c>
      <c r="I93" s="26"/>
      <c r="J93" s="20">
        <f t="shared" ref="J93:J100" si="17">+H93+I93</f>
        <v>30749760</v>
      </c>
      <c r="K93" s="20">
        <v>30749760</v>
      </c>
      <c r="L93" s="20">
        <f t="shared" si="12"/>
        <v>0</v>
      </c>
      <c r="M93" s="21">
        <f t="shared" si="13"/>
        <v>1</v>
      </c>
    </row>
    <row r="94" spans="1:13" s="41" customFormat="1" ht="15" hidden="1" outlineLevel="1" x14ac:dyDescent="0.25">
      <c r="A94" s="42" t="s">
        <v>101</v>
      </c>
      <c r="B94" s="19"/>
      <c r="C94" s="26"/>
      <c r="D94" s="26"/>
      <c r="E94" s="26"/>
      <c r="F94" s="20">
        <f>+'[4]Solicitud presupuestal 2016'!$L$30</f>
        <v>10000000</v>
      </c>
      <c r="G94" s="26"/>
      <c r="H94" s="19">
        <f t="shared" si="16"/>
        <v>10000000</v>
      </c>
      <c r="I94" s="26"/>
      <c r="J94" s="20">
        <f t="shared" si="17"/>
        <v>10000000</v>
      </c>
      <c r="K94" s="20">
        <v>9340222</v>
      </c>
      <c r="L94" s="20">
        <f t="shared" si="12"/>
        <v>-659778</v>
      </c>
      <c r="M94" s="21">
        <f t="shared" si="13"/>
        <v>0.93402220000000002</v>
      </c>
    </row>
    <row r="95" spans="1:13" s="41" customFormat="1" ht="15" hidden="1" outlineLevel="1" x14ac:dyDescent="0.25">
      <c r="A95" s="42" t="s">
        <v>102</v>
      </c>
      <c r="B95" s="19"/>
      <c r="C95" s="26"/>
      <c r="D95" s="26"/>
      <c r="E95" s="26"/>
      <c r="F95" s="20">
        <f>+'[4]Solicitud presupuestal 2016'!$L$31</f>
        <v>20499840</v>
      </c>
      <c r="G95" s="26"/>
      <c r="H95" s="19">
        <f t="shared" si="16"/>
        <v>20499840</v>
      </c>
      <c r="I95" s="26"/>
      <c r="J95" s="20">
        <f t="shared" si="17"/>
        <v>20499840</v>
      </c>
      <c r="K95" s="20">
        <v>15033216</v>
      </c>
      <c r="L95" s="20">
        <f t="shared" si="12"/>
        <v>-5466624</v>
      </c>
      <c r="M95" s="21">
        <f t="shared" si="13"/>
        <v>0.73333333333333328</v>
      </c>
    </row>
    <row r="96" spans="1:13" s="41" customFormat="1" ht="15" hidden="1" outlineLevel="1" x14ac:dyDescent="0.25">
      <c r="A96" s="42" t="s">
        <v>103</v>
      </c>
      <c r="B96" s="19"/>
      <c r="C96" s="26"/>
      <c r="D96" s="26"/>
      <c r="E96" s="26"/>
      <c r="F96" s="20">
        <f>+'[4]Solicitud presupuestal 2016'!$L$32</f>
        <v>12000000</v>
      </c>
      <c r="G96" s="26"/>
      <c r="H96" s="19">
        <f t="shared" si="16"/>
        <v>12000000</v>
      </c>
      <c r="I96" s="26"/>
      <c r="J96" s="20">
        <f t="shared" si="17"/>
        <v>12000000</v>
      </c>
      <c r="K96" s="20">
        <v>6696785</v>
      </c>
      <c r="L96" s="20">
        <f t="shared" si="12"/>
        <v>-5303215</v>
      </c>
      <c r="M96" s="21">
        <f t="shared" si="13"/>
        <v>0.55806541666666665</v>
      </c>
    </row>
    <row r="97" spans="1:13" s="41" customFormat="1" ht="15" hidden="1" outlineLevel="1" x14ac:dyDescent="0.25">
      <c r="A97" s="42" t="s">
        <v>104</v>
      </c>
      <c r="B97" s="19"/>
      <c r="C97" s="26"/>
      <c r="D97" s="26"/>
      <c r="E97" s="26"/>
      <c r="F97" s="20">
        <f>+'[4]Solicitud presupuestal 2016'!$L$33</f>
        <v>0</v>
      </c>
      <c r="G97" s="26"/>
      <c r="H97" s="19">
        <f t="shared" si="16"/>
        <v>0</v>
      </c>
      <c r="I97" s="26"/>
      <c r="J97" s="20">
        <f t="shared" si="17"/>
        <v>0</v>
      </c>
      <c r="K97" s="20"/>
      <c r="L97" s="20">
        <f t="shared" si="12"/>
        <v>0</v>
      </c>
      <c r="M97" s="21">
        <f t="shared" si="13"/>
        <v>0</v>
      </c>
    </row>
    <row r="98" spans="1:13" s="41" customFormat="1" ht="15" hidden="1" outlineLevel="1" x14ac:dyDescent="0.25">
      <c r="A98" s="42" t="s">
        <v>105</v>
      </c>
      <c r="B98" s="19"/>
      <c r="C98" s="26"/>
      <c r="D98" s="26"/>
      <c r="E98" s="26"/>
      <c r="F98" s="20">
        <f>+'[4]Solicitud presupuestal 2016'!$L$34</f>
        <v>45000000</v>
      </c>
      <c r="G98" s="26"/>
      <c r="H98" s="19">
        <f t="shared" si="16"/>
        <v>45000000</v>
      </c>
      <c r="I98" s="26"/>
      <c r="J98" s="20">
        <f t="shared" si="17"/>
        <v>45000000</v>
      </c>
      <c r="K98" s="20">
        <v>44462360</v>
      </c>
      <c r="L98" s="20">
        <f t="shared" si="12"/>
        <v>-537640</v>
      </c>
      <c r="M98" s="21">
        <f t="shared" si="13"/>
        <v>0.9880524444444444</v>
      </c>
    </row>
    <row r="99" spans="1:13" s="41" customFormat="1" ht="15" hidden="1" outlineLevel="1" x14ac:dyDescent="0.25">
      <c r="A99" s="42" t="s">
        <v>106</v>
      </c>
      <c r="B99" s="19"/>
      <c r="C99" s="26"/>
      <c r="D99" s="26"/>
      <c r="E99" s="26"/>
      <c r="F99" s="20">
        <f>+'[4]Solicitud presupuestal 2016'!$L$35</f>
        <v>496480500.00000006</v>
      </c>
      <c r="G99" s="26"/>
      <c r="H99" s="19">
        <f t="shared" si="16"/>
        <v>496480500.00000006</v>
      </c>
      <c r="I99" s="26"/>
      <c r="J99" s="20">
        <f t="shared" si="17"/>
        <v>496480500.00000006</v>
      </c>
      <c r="K99" s="20">
        <v>0</v>
      </c>
      <c r="L99" s="20">
        <f t="shared" si="12"/>
        <v>-496480500.00000006</v>
      </c>
      <c r="M99" s="21">
        <f t="shared" si="13"/>
        <v>0</v>
      </c>
    </row>
    <row r="100" spans="1:13" s="41" customFormat="1" ht="15" hidden="1" outlineLevel="1" x14ac:dyDescent="0.25">
      <c r="A100" s="42" t="s">
        <v>107</v>
      </c>
      <c r="B100" s="19"/>
      <c r="C100" s="26"/>
      <c r="D100" s="26"/>
      <c r="E100" s="26"/>
      <c r="F100" s="20">
        <f>+'[4]Solicitud presupuestal 2016'!$L$36</f>
        <v>30000000</v>
      </c>
      <c r="G100" s="26"/>
      <c r="H100" s="19">
        <f t="shared" si="16"/>
        <v>30000000</v>
      </c>
      <c r="I100" s="26"/>
      <c r="J100" s="20">
        <f t="shared" si="17"/>
        <v>30000000</v>
      </c>
      <c r="K100" s="20">
        <v>28393600</v>
      </c>
      <c r="L100" s="20">
        <f t="shared" si="12"/>
        <v>-1606400</v>
      </c>
      <c r="M100" s="21">
        <f t="shared" si="13"/>
        <v>0.94645333333333337</v>
      </c>
    </row>
    <row r="101" spans="1:13" s="41" customFormat="1" ht="15" collapsed="1" x14ac:dyDescent="0.25">
      <c r="A101" s="43" t="s">
        <v>108</v>
      </c>
      <c r="B101" s="19"/>
      <c r="C101" s="26"/>
      <c r="D101" s="26"/>
      <c r="E101" s="26"/>
      <c r="F101" s="26">
        <f>SUM(F102:F105)</f>
        <v>123053722</v>
      </c>
      <c r="G101" s="26"/>
      <c r="H101" s="26">
        <f>SUM(H102:H105)</f>
        <v>123053722</v>
      </c>
      <c r="I101" s="26"/>
      <c r="J101" s="26">
        <f>SUM(J102:J105)</f>
        <v>123053722</v>
      </c>
      <c r="K101" s="26">
        <f>SUM(K102:K105)</f>
        <v>100800365</v>
      </c>
      <c r="L101" s="26">
        <f t="shared" si="12"/>
        <v>-22253357</v>
      </c>
      <c r="M101" s="17">
        <f t="shared" si="13"/>
        <v>0.81915738395950344</v>
      </c>
    </row>
    <row r="102" spans="1:13" s="41" customFormat="1" ht="15" hidden="1" outlineLevel="1" x14ac:dyDescent="0.25">
      <c r="A102" s="42" t="s">
        <v>109</v>
      </c>
      <c r="B102" s="19"/>
      <c r="C102" s="26"/>
      <c r="D102" s="26"/>
      <c r="E102" s="26"/>
      <c r="F102" s="20">
        <f>+'[4]Solicitud presupuestal 2016'!$L$38</f>
        <v>16933722</v>
      </c>
      <c r="G102" s="26"/>
      <c r="H102" s="19">
        <f>+B102+C102+D102+G102+E102+F102</f>
        <v>16933722</v>
      </c>
      <c r="I102" s="26"/>
      <c r="J102" s="20">
        <f>+H102+I102</f>
        <v>16933722</v>
      </c>
      <c r="K102" s="20">
        <v>15141713</v>
      </c>
      <c r="L102" s="20">
        <f t="shared" si="12"/>
        <v>-1792009</v>
      </c>
      <c r="M102" s="21">
        <f t="shared" si="13"/>
        <v>0.89417512582289937</v>
      </c>
    </row>
    <row r="103" spans="1:13" s="41" customFormat="1" ht="15" hidden="1" outlineLevel="1" x14ac:dyDescent="0.25">
      <c r="A103" s="42" t="s">
        <v>110</v>
      </c>
      <c r="B103" s="19"/>
      <c r="C103" s="26"/>
      <c r="D103" s="26"/>
      <c r="E103" s="26"/>
      <c r="F103" s="20">
        <f>+'[4]Solicitud presupuestal 2016'!$L$39</f>
        <v>19120000</v>
      </c>
      <c r="G103" s="26"/>
      <c r="H103" s="19">
        <f>+B103+C103+D103+G103+E103+F103</f>
        <v>19120000</v>
      </c>
      <c r="I103" s="26"/>
      <c r="J103" s="20">
        <f>+H103+I103</f>
        <v>19120000</v>
      </c>
      <c r="K103" s="20">
        <v>19120000</v>
      </c>
      <c r="L103" s="20">
        <f t="shared" si="12"/>
        <v>0</v>
      </c>
      <c r="M103" s="21">
        <f t="shared" si="13"/>
        <v>1</v>
      </c>
    </row>
    <row r="104" spans="1:13" s="41" customFormat="1" ht="15" hidden="1" outlineLevel="1" x14ac:dyDescent="0.25">
      <c r="A104" s="42" t="s">
        <v>111</v>
      </c>
      <c r="B104" s="19"/>
      <c r="C104" s="26"/>
      <c r="D104" s="26"/>
      <c r="E104" s="26"/>
      <c r="F104" s="20">
        <f>+'[4]Solicitud presupuestal 2016'!$L$40</f>
        <v>87000000</v>
      </c>
      <c r="G104" s="26"/>
      <c r="H104" s="19">
        <f t="shared" ref="H104:H111" si="18">+B104+C104+D104+G104+E104+F104</f>
        <v>87000000</v>
      </c>
      <c r="I104" s="26"/>
      <c r="J104" s="20">
        <f t="shared" ref="J104:J111" si="19">+H104+I104</f>
        <v>87000000</v>
      </c>
      <c r="K104" s="20">
        <v>66538652</v>
      </c>
      <c r="L104" s="20">
        <f t="shared" si="12"/>
        <v>-20461348</v>
      </c>
      <c r="M104" s="21">
        <f t="shared" si="13"/>
        <v>0.764812091954023</v>
      </c>
    </row>
    <row r="105" spans="1:13" s="41" customFormat="1" ht="15" hidden="1" outlineLevel="1" x14ac:dyDescent="0.25">
      <c r="A105" s="42" t="s">
        <v>112</v>
      </c>
      <c r="B105" s="19"/>
      <c r="C105" s="26"/>
      <c r="D105" s="26"/>
      <c r="E105" s="26"/>
      <c r="F105" s="20"/>
      <c r="G105" s="26"/>
      <c r="H105" s="19">
        <f t="shared" si="18"/>
        <v>0</v>
      </c>
      <c r="I105" s="26"/>
      <c r="J105" s="20">
        <f t="shared" si="19"/>
        <v>0</v>
      </c>
      <c r="K105" s="20"/>
      <c r="L105" s="20">
        <f t="shared" si="12"/>
        <v>0</v>
      </c>
      <c r="M105" s="21">
        <f t="shared" si="13"/>
        <v>0</v>
      </c>
    </row>
    <row r="106" spans="1:13" s="41" customFormat="1" ht="15" collapsed="1" x14ac:dyDescent="0.25">
      <c r="A106" s="43" t="s">
        <v>113</v>
      </c>
      <c r="B106" s="16"/>
      <c r="C106" s="16"/>
      <c r="D106" s="16"/>
      <c r="E106" s="16"/>
      <c r="F106" s="16">
        <f>SUM(F107:F111)</f>
        <v>140524038</v>
      </c>
      <c r="G106" s="16"/>
      <c r="H106" s="16">
        <f>+B106+C106+D106+G106+E106+F106</f>
        <v>140524038</v>
      </c>
      <c r="I106" s="16"/>
      <c r="J106" s="16">
        <f t="shared" si="19"/>
        <v>140524038</v>
      </c>
      <c r="K106" s="16">
        <f>SUM(K107:K111)</f>
        <v>107147999</v>
      </c>
      <c r="L106" s="16">
        <f t="shared" si="12"/>
        <v>-33376039</v>
      </c>
      <c r="M106" s="17">
        <f t="shared" si="13"/>
        <v>0.76248875654996473</v>
      </c>
    </row>
    <row r="107" spans="1:13" s="41" customFormat="1" ht="15" hidden="1" outlineLevel="1" x14ac:dyDescent="0.25">
      <c r="A107" s="42" t="s">
        <v>114</v>
      </c>
      <c r="B107" s="19"/>
      <c r="C107" s="26"/>
      <c r="D107" s="26"/>
      <c r="E107" s="26"/>
      <c r="F107" s="20">
        <f>+'[4]Solicitud presupuestal 2016'!$L$43</f>
        <v>16933722</v>
      </c>
      <c r="G107" s="26"/>
      <c r="H107" s="19">
        <f t="shared" si="18"/>
        <v>16933722</v>
      </c>
      <c r="I107" s="26"/>
      <c r="J107" s="20">
        <f t="shared" si="19"/>
        <v>16933722</v>
      </c>
      <c r="K107" s="20">
        <v>15264834</v>
      </c>
      <c r="L107" s="20">
        <f t="shared" si="12"/>
        <v>-1668888</v>
      </c>
      <c r="M107" s="21">
        <f t="shared" si="13"/>
        <v>0.90144588413580906</v>
      </c>
    </row>
    <row r="108" spans="1:13" s="41" customFormat="1" ht="15" hidden="1" outlineLevel="1" x14ac:dyDescent="0.25">
      <c r="A108" s="42" t="s">
        <v>115</v>
      </c>
      <c r="B108" s="19"/>
      <c r="C108" s="26"/>
      <c r="D108" s="26"/>
      <c r="E108" s="26"/>
      <c r="F108" s="20">
        <f>+'[4]Solicitud presupuestal 2016'!$L$44</f>
        <v>20000000</v>
      </c>
      <c r="G108" s="26"/>
      <c r="H108" s="19">
        <f t="shared" si="18"/>
        <v>20000000</v>
      </c>
      <c r="I108" s="26"/>
      <c r="J108" s="20">
        <f t="shared" si="19"/>
        <v>20000000</v>
      </c>
      <c r="K108" s="20">
        <v>20000000</v>
      </c>
      <c r="L108" s="20">
        <f t="shared" si="12"/>
        <v>0</v>
      </c>
      <c r="M108" s="21">
        <f t="shared" si="13"/>
        <v>1</v>
      </c>
    </row>
    <row r="109" spans="1:13" s="41" customFormat="1" ht="15" hidden="1" outlineLevel="1" x14ac:dyDescent="0.25">
      <c r="A109" s="42" t="s">
        <v>116</v>
      </c>
      <c r="B109" s="19"/>
      <c r="C109" s="26"/>
      <c r="D109" s="26"/>
      <c r="E109" s="26"/>
      <c r="F109" s="20">
        <f>+'[4]Solicitud presupuestal 2016'!$L$45</f>
        <v>18000000</v>
      </c>
      <c r="G109" s="26"/>
      <c r="H109" s="19">
        <f t="shared" si="18"/>
        <v>18000000</v>
      </c>
      <c r="I109" s="26"/>
      <c r="J109" s="20">
        <f t="shared" si="19"/>
        <v>18000000</v>
      </c>
      <c r="K109" s="20">
        <v>13362154</v>
      </c>
      <c r="L109" s="20">
        <f t="shared" si="12"/>
        <v>-4637846</v>
      </c>
      <c r="M109" s="21">
        <f t="shared" si="13"/>
        <v>0.74234188888888886</v>
      </c>
    </row>
    <row r="110" spans="1:13" s="41" customFormat="1" ht="15" hidden="1" outlineLevel="1" x14ac:dyDescent="0.25">
      <c r="A110" s="42" t="s">
        <v>117</v>
      </c>
      <c r="B110" s="19"/>
      <c r="C110" s="26"/>
      <c r="D110" s="26"/>
      <c r="E110" s="26"/>
      <c r="F110" s="20">
        <f>+'[4]Solicitud presupuestal 2016'!$L$46</f>
        <v>46000000</v>
      </c>
      <c r="G110" s="26"/>
      <c r="H110" s="19">
        <f t="shared" si="18"/>
        <v>46000000</v>
      </c>
      <c r="I110" s="26"/>
      <c r="J110" s="20">
        <f t="shared" si="19"/>
        <v>46000000</v>
      </c>
      <c r="K110" s="20">
        <v>18930695</v>
      </c>
      <c r="L110" s="20">
        <f t="shared" si="12"/>
        <v>-27069305</v>
      </c>
      <c r="M110" s="21">
        <f t="shared" si="13"/>
        <v>0.41153684782608696</v>
      </c>
    </row>
    <row r="111" spans="1:13" s="41" customFormat="1" ht="15" hidden="1" outlineLevel="1" x14ac:dyDescent="0.25">
      <c r="A111" s="42" t="s">
        <v>118</v>
      </c>
      <c r="B111" s="19"/>
      <c r="C111" s="26"/>
      <c r="D111" s="26"/>
      <c r="E111" s="26"/>
      <c r="F111" s="20">
        <f>+'[4]Solicitud presupuestal 2016'!$L$47</f>
        <v>39590316</v>
      </c>
      <c r="G111" s="26"/>
      <c r="H111" s="19">
        <f t="shared" si="18"/>
        <v>39590316</v>
      </c>
      <c r="I111" s="26"/>
      <c r="J111" s="20">
        <f t="shared" si="19"/>
        <v>39590316</v>
      </c>
      <c r="K111" s="20">
        <v>39590316</v>
      </c>
      <c r="L111" s="20">
        <f t="shared" si="12"/>
        <v>0</v>
      </c>
      <c r="M111" s="21">
        <f t="shared" si="13"/>
        <v>1</v>
      </c>
    </row>
    <row r="112" spans="1:13" s="41" customFormat="1" ht="15" collapsed="1" x14ac:dyDescent="0.25">
      <c r="A112" s="42"/>
      <c r="B112" s="19"/>
      <c r="C112" s="26"/>
      <c r="D112" s="26"/>
      <c r="E112" s="26"/>
      <c r="F112" s="20"/>
      <c r="G112" s="26"/>
      <c r="H112" s="19"/>
      <c r="I112" s="26"/>
      <c r="J112" s="20"/>
      <c r="K112" s="20"/>
      <c r="L112" s="20"/>
      <c r="M112" s="21"/>
    </row>
    <row r="113" spans="1:13" s="41" customFormat="1" ht="15" x14ac:dyDescent="0.25">
      <c r="A113" s="43" t="s">
        <v>119</v>
      </c>
      <c r="B113" s="26"/>
      <c r="C113" s="26"/>
      <c r="D113" s="26"/>
      <c r="E113" s="26"/>
      <c r="F113" s="26"/>
      <c r="G113" s="26">
        <f>+G114+G119+G122+G129+G132</f>
        <v>4013814488</v>
      </c>
      <c r="H113" s="26">
        <f>+H114+H119+H122+H129+H132</f>
        <v>4013814488</v>
      </c>
      <c r="I113" s="26"/>
      <c r="J113" s="26">
        <f>+J114+J119+J122+J129+J132</f>
        <v>4013814488</v>
      </c>
      <c r="K113" s="26">
        <f>+K114+K119+K122+K129+K132</f>
        <v>3375182815</v>
      </c>
      <c r="L113" s="26">
        <f t="shared" si="12"/>
        <v>-638631673</v>
      </c>
      <c r="M113" s="17">
        <f t="shared" si="13"/>
        <v>0.84089158208250503</v>
      </c>
    </row>
    <row r="114" spans="1:13" s="41" customFormat="1" ht="15" x14ac:dyDescent="0.25">
      <c r="A114" s="43" t="s">
        <v>120</v>
      </c>
      <c r="B114" s="26"/>
      <c r="C114" s="26"/>
      <c r="D114" s="26"/>
      <c r="E114" s="16"/>
      <c r="F114" s="26"/>
      <c r="G114" s="16">
        <f>SUM(G115:G118)</f>
        <v>1118676888</v>
      </c>
      <c r="H114" s="16">
        <f>SUM(H115:H118)</f>
        <v>1118676888</v>
      </c>
      <c r="I114" s="26"/>
      <c r="J114" s="16">
        <f>SUM(J115:J118)</f>
        <v>1118676888</v>
      </c>
      <c r="K114" s="16">
        <f>SUM(K115:K118)</f>
        <v>1009105340</v>
      </c>
      <c r="L114" s="16">
        <f t="shared" si="12"/>
        <v>-109571548</v>
      </c>
      <c r="M114" s="17">
        <f t="shared" si="13"/>
        <v>0.90205255049481281</v>
      </c>
    </row>
    <row r="115" spans="1:13" s="41" customFormat="1" ht="15" hidden="1" outlineLevel="1" x14ac:dyDescent="0.25">
      <c r="A115" s="42" t="s">
        <v>121</v>
      </c>
      <c r="B115" s="26"/>
      <c r="C115" s="26"/>
      <c r="D115" s="26"/>
      <c r="E115" s="19"/>
      <c r="F115" s="26"/>
      <c r="G115" s="19">
        <f>+'[5]Pto 3er Tre y ajustes'!$H$17</f>
        <v>592373028</v>
      </c>
      <c r="H115" s="19">
        <f>+B115+C115+D115+G115+E115+F115</f>
        <v>592373028</v>
      </c>
      <c r="I115" s="26"/>
      <c r="J115" s="20">
        <f>+H115+I115</f>
        <v>592373028</v>
      </c>
      <c r="K115" s="20">
        <v>515378083</v>
      </c>
      <c r="L115" s="20">
        <f t="shared" si="12"/>
        <v>-76994945</v>
      </c>
      <c r="M115" s="21">
        <f t="shared" si="13"/>
        <v>0.87002287180435234</v>
      </c>
    </row>
    <row r="116" spans="1:13" s="41" customFormat="1" ht="15" hidden="1" outlineLevel="1" x14ac:dyDescent="0.25">
      <c r="A116" s="42" t="s">
        <v>122</v>
      </c>
      <c r="B116" s="26"/>
      <c r="C116" s="26"/>
      <c r="D116" s="26"/>
      <c r="E116" s="19"/>
      <c r="F116" s="26"/>
      <c r="G116" s="19">
        <f>+'[5]Pto 3er Tre y ajustes'!$H$18</f>
        <v>50000000</v>
      </c>
      <c r="H116" s="19">
        <f>+B116+C116+D116+G116+E116+F116</f>
        <v>50000000</v>
      </c>
      <c r="I116" s="26"/>
      <c r="J116" s="20">
        <f>+H116+I116</f>
        <v>50000000</v>
      </c>
      <c r="K116" s="20">
        <v>49995184</v>
      </c>
      <c r="L116" s="20">
        <f t="shared" si="12"/>
        <v>-4816</v>
      </c>
      <c r="M116" s="21">
        <f t="shared" si="13"/>
        <v>0.99990367999999996</v>
      </c>
    </row>
    <row r="117" spans="1:13" s="41" customFormat="1" ht="15" hidden="1" outlineLevel="1" x14ac:dyDescent="0.25">
      <c r="A117" s="42" t="s">
        <v>123</v>
      </c>
      <c r="B117" s="26"/>
      <c r="C117" s="26"/>
      <c r="D117" s="26"/>
      <c r="E117" s="19"/>
      <c r="F117" s="26"/>
      <c r="G117" s="19">
        <f>+'[5]Pto 3er Tre y ajustes'!$H$19</f>
        <v>41000000</v>
      </c>
      <c r="H117" s="19">
        <f>+B117+C117+D117+G117+E117+F117</f>
        <v>41000000</v>
      </c>
      <c r="I117" s="26"/>
      <c r="J117" s="20">
        <f>+H117+I117</f>
        <v>41000000</v>
      </c>
      <c r="K117" s="20">
        <v>22398106</v>
      </c>
      <c r="L117" s="20">
        <f t="shared" si="12"/>
        <v>-18601894</v>
      </c>
      <c r="M117" s="21">
        <f t="shared" si="13"/>
        <v>0.54629526829268293</v>
      </c>
    </row>
    <row r="118" spans="1:13" s="41" customFormat="1" ht="15" hidden="1" outlineLevel="1" x14ac:dyDescent="0.25">
      <c r="A118" s="42" t="s">
        <v>124</v>
      </c>
      <c r="B118" s="26"/>
      <c r="C118" s="26"/>
      <c r="D118" s="26"/>
      <c r="E118" s="19"/>
      <c r="F118" s="26"/>
      <c r="G118" s="19">
        <f>+'[5]Pto 3er Tre y ajustes'!$H$20</f>
        <v>435303860</v>
      </c>
      <c r="H118" s="19">
        <f>+B118+C118+D118+G118+E118+F118</f>
        <v>435303860</v>
      </c>
      <c r="I118" s="26"/>
      <c r="J118" s="20">
        <f>+H118+I118</f>
        <v>435303860</v>
      </c>
      <c r="K118" s="20">
        <v>421333967</v>
      </c>
      <c r="L118" s="20">
        <f t="shared" si="12"/>
        <v>-13969893</v>
      </c>
      <c r="M118" s="21">
        <f t="shared" si="13"/>
        <v>0.96790772082746979</v>
      </c>
    </row>
    <row r="119" spans="1:13" s="41" customFormat="1" ht="15" collapsed="1" x14ac:dyDescent="0.25">
      <c r="A119" s="43" t="s">
        <v>125</v>
      </c>
      <c r="B119" s="26"/>
      <c r="C119" s="26"/>
      <c r="D119" s="26"/>
      <c r="E119" s="16"/>
      <c r="F119" s="26"/>
      <c r="G119" s="16">
        <f>SUM(G120:G121)</f>
        <v>178000000</v>
      </c>
      <c r="H119" s="16">
        <f>SUM(H120:H121)</f>
        <v>178000000</v>
      </c>
      <c r="I119" s="26"/>
      <c r="J119" s="16">
        <f>SUM(J120:J121)</f>
        <v>178000000</v>
      </c>
      <c r="K119" s="16">
        <f>SUM(K120:K121)</f>
        <v>89032702</v>
      </c>
      <c r="L119" s="16">
        <f t="shared" si="12"/>
        <v>-88967298</v>
      </c>
      <c r="M119" s="17">
        <f t="shared" si="13"/>
        <v>0.50018371910112358</v>
      </c>
    </row>
    <row r="120" spans="1:13" s="41" customFormat="1" ht="15" hidden="1" outlineLevel="1" x14ac:dyDescent="0.25">
      <c r="A120" s="42" t="s">
        <v>126</v>
      </c>
      <c r="B120" s="26"/>
      <c r="C120" s="26"/>
      <c r="D120" s="26"/>
      <c r="E120" s="19"/>
      <c r="F120" s="26"/>
      <c r="G120" s="19">
        <f>+'[5]Pto 3er Tre y ajustes'!$H$22</f>
        <v>98000000</v>
      </c>
      <c r="H120" s="19">
        <f>+B120+C120+D120+G120+E120+F120</f>
        <v>98000000</v>
      </c>
      <c r="I120" s="26"/>
      <c r="J120" s="20">
        <f>+H120+I120</f>
        <v>98000000</v>
      </c>
      <c r="K120" s="20">
        <v>68200871</v>
      </c>
      <c r="L120" s="20">
        <f t="shared" si="12"/>
        <v>-29799129</v>
      </c>
      <c r="M120" s="21">
        <f t="shared" si="13"/>
        <v>0.69592725510204079</v>
      </c>
    </row>
    <row r="121" spans="1:13" s="41" customFormat="1" ht="15" hidden="1" outlineLevel="1" x14ac:dyDescent="0.25">
      <c r="A121" s="42" t="s">
        <v>127</v>
      </c>
      <c r="B121" s="26"/>
      <c r="C121" s="26"/>
      <c r="D121" s="26"/>
      <c r="E121" s="19"/>
      <c r="F121" s="26"/>
      <c r="G121" s="19">
        <f>+'[5]Pto 3er Tre y ajustes'!$H$23</f>
        <v>80000000</v>
      </c>
      <c r="H121" s="19">
        <f>+B121+C121+D121+G121+E121+F121</f>
        <v>80000000</v>
      </c>
      <c r="I121" s="26"/>
      <c r="J121" s="20">
        <f>+H121+I121</f>
        <v>80000000</v>
      </c>
      <c r="K121" s="20">
        <v>20831831</v>
      </c>
      <c r="L121" s="20">
        <f t="shared" si="12"/>
        <v>-59168169</v>
      </c>
      <c r="M121" s="21">
        <f t="shared" si="13"/>
        <v>0.26039788749999998</v>
      </c>
    </row>
    <row r="122" spans="1:13" s="41" customFormat="1" ht="15" collapsed="1" x14ac:dyDescent="0.25">
      <c r="A122" s="43" t="s">
        <v>128</v>
      </c>
      <c r="B122" s="26"/>
      <c r="C122" s="26"/>
      <c r="D122" s="26"/>
      <c r="E122" s="16"/>
      <c r="F122" s="26"/>
      <c r="G122" s="16">
        <f>SUM(G123:G128)</f>
        <v>626755000</v>
      </c>
      <c r="H122" s="16">
        <f>SUM(H123:H128)</f>
        <v>626755000</v>
      </c>
      <c r="I122" s="26"/>
      <c r="J122" s="16">
        <f>SUM(J123:J128)</f>
        <v>626755000</v>
      </c>
      <c r="K122" s="16">
        <f>SUM(K123:K128)</f>
        <v>442473966</v>
      </c>
      <c r="L122" s="16">
        <f t="shared" si="12"/>
        <v>-184281034</v>
      </c>
      <c r="M122" s="17">
        <f t="shared" si="13"/>
        <v>0.70597596509002725</v>
      </c>
    </row>
    <row r="123" spans="1:13" s="41" customFormat="1" ht="15" hidden="1" outlineLevel="1" x14ac:dyDescent="0.25">
      <c r="A123" s="42" t="s">
        <v>129</v>
      </c>
      <c r="B123" s="26"/>
      <c r="C123" s="26"/>
      <c r="D123" s="26"/>
      <c r="E123" s="19"/>
      <c r="F123" s="26"/>
      <c r="G123" s="19">
        <f>+'[5]Pto 3er Tre y ajustes'!$H$25</f>
        <v>30000000</v>
      </c>
      <c r="H123" s="19">
        <f t="shared" ref="H123:H128" si="20">+B123+C123+D123+G123+E123+F123</f>
        <v>30000000</v>
      </c>
      <c r="I123" s="26"/>
      <c r="J123" s="20">
        <f t="shared" ref="J123:J128" si="21">+H123+I123</f>
        <v>30000000</v>
      </c>
      <c r="K123" s="20">
        <v>30000000</v>
      </c>
      <c r="L123" s="20">
        <f t="shared" si="12"/>
        <v>0</v>
      </c>
      <c r="M123" s="21">
        <f t="shared" si="13"/>
        <v>1</v>
      </c>
    </row>
    <row r="124" spans="1:13" s="41" customFormat="1" ht="15" hidden="1" outlineLevel="1" x14ac:dyDescent="0.25">
      <c r="A124" s="42" t="s">
        <v>128</v>
      </c>
      <c r="B124" s="26"/>
      <c r="C124" s="26"/>
      <c r="D124" s="26"/>
      <c r="E124" s="19"/>
      <c r="F124" s="26"/>
      <c r="G124" s="19">
        <f>+'[5]Pto 3er Tre y ajustes'!$H$26</f>
        <v>475000000</v>
      </c>
      <c r="H124" s="19">
        <f t="shared" si="20"/>
        <v>475000000</v>
      </c>
      <c r="I124" s="26"/>
      <c r="J124" s="20">
        <f t="shared" si="21"/>
        <v>475000000</v>
      </c>
      <c r="K124" s="20">
        <v>319137408</v>
      </c>
      <c r="L124" s="20">
        <f t="shared" si="12"/>
        <v>-155862592</v>
      </c>
      <c r="M124" s="21">
        <f t="shared" si="13"/>
        <v>0.671868227368421</v>
      </c>
    </row>
    <row r="125" spans="1:13" s="41" customFormat="1" ht="15" hidden="1" outlineLevel="1" x14ac:dyDescent="0.25">
      <c r="A125" s="42" t="s">
        <v>130</v>
      </c>
      <c r="B125" s="26"/>
      <c r="C125" s="26"/>
      <c r="D125" s="26"/>
      <c r="E125" s="19"/>
      <c r="F125" s="26"/>
      <c r="G125" s="19">
        <f>+'[5]Pto 3er Tre y ajustes'!$H$27</f>
        <v>30000000</v>
      </c>
      <c r="H125" s="19">
        <f t="shared" si="20"/>
        <v>30000000</v>
      </c>
      <c r="I125" s="26"/>
      <c r="J125" s="20">
        <f t="shared" si="21"/>
        <v>30000000</v>
      </c>
      <c r="K125" s="20">
        <v>21309333</v>
      </c>
      <c r="L125" s="20">
        <f t="shared" si="12"/>
        <v>-8690667</v>
      </c>
      <c r="M125" s="21">
        <f t="shared" si="13"/>
        <v>0.71031109999999997</v>
      </c>
    </row>
    <row r="126" spans="1:13" s="41" customFormat="1" ht="15" hidden="1" outlineLevel="1" x14ac:dyDescent="0.25">
      <c r="A126" s="42" t="s">
        <v>131</v>
      </c>
      <c r="B126" s="26"/>
      <c r="C126" s="26"/>
      <c r="D126" s="26"/>
      <c r="E126" s="19"/>
      <c r="F126" s="26"/>
      <c r="G126" s="19">
        <f>+'[5]Pto 3er Tre y ajustes'!$H$28</f>
        <v>30000000</v>
      </c>
      <c r="H126" s="19">
        <f t="shared" si="20"/>
        <v>30000000</v>
      </c>
      <c r="I126" s="26"/>
      <c r="J126" s="20">
        <f t="shared" si="21"/>
        <v>30000000</v>
      </c>
      <c r="K126" s="20">
        <v>26983015</v>
      </c>
      <c r="L126" s="20">
        <f t="shared" si="12"/>
        <v>-3016985</v>
      </c>
      <c r="M126" s="21">
        <f t="shared" si="13"/>
        <v>0.89943383333333338</v>
      </c>
    </row>
    <row r="127" spans="1:13" s="41" customFormat="1" ht="15" hidden="1" outlineLevel="1" x14ac:dyDescent="0.25">
      <c r="A127" s="42" t="s">
        <v>132</v>
      </c>
      <c r="B127" s="26"/>
      <c r="C127" s="26"/>
      <c r="D127" s="26"/>
      <c r="E127" s="19"/>
      <c r="F127" s="26"/>
      <c r="G127" s="19">
        <f>+'[5]Pto 3er Tre y ajustes'!$H$29</f>
        <v>60000000</v>
      </c>
      <c r="H127" s="19">
        <f t="shared" si="20"/>
        <v>60000000</v>
      </c>
      <c r="I127" s="26"/>
      <c r="J127" s="20">
        <f t="shared" si="21"/>
        <v>60000000</v>
      </c>
      <c r="K127" s="20">
        <v>43333989</v>
      </c>
      <c r="L127" s="20">
        <f t="shared" si="12"/>
        <v>-16666011</v>
      </c>
      <c r="M127" s="21">
        <f t="shared" si="13"/>
        <v>0.72223314999999999</v>
      </c>
    </row>
    <row r="128" spans="1:13" s="41" customFormat="1" ht="15" hidden="1" outlineLevel="1" x14ac:dyDescent="0.25">
      <c r="A128" s="42" t="s">
        <v>133</v>
      </c>
      <c r="B128" s="26"/>
      <c r="C128" s="26"/>
      <c r="D128" s="26"/>
      <c r="E128" s="19"/>
      <c r="F128" s="26"/>
      <c r="G128" s="19">
        <f>+'[5]Pto 3er Tre y ajustes'!$H$30</f>
        <v>1755000</v>
      </c>
      <c r="H128" s="19">
        <f t="shared" si="20"/>
        <v>1755000</v>
      </c>
      <c r="I128" s="26"/>
      <c r="J128" s="20">
        <f t="shared" si="21"/>
        <v>1755000</v>
      </c>
      <c r="K128" s="20">
        <v>1710221</v>
      </c>
      <c r="L128" s="20">
        <f t="shared" si="12"/>
        <v>-44779</v>
      </c>
      <c r="M128" s="21">
        <f t="shared" si="13"/>
        <v>0.97448490028490031</v>
      </c>
    </row>
    <row r="129" spans="1:13" s="41" customFormat="1" ht="15" collapsed="1" x14ac:dyDescent="0.25">
      <c r="A129" s="43" t="s">
        <v>134</v>
      </c>
      <c r="B129" s="26"/>
      <c r="C129" s="26"/>
      <c r="D129" s="26"/>
      <c r="E129" s="16"/>
      <c r="F129" s="26"/>
      <c r="G129" s="16">
        <f>SUM(G130:G131)</f>
        <v>243382600</v>
      </c>
      <c r="H129" s="16">
        <f>SUM(H130:H131)</f>
        <v>243382600</v>
      </c>
      <c r="I129" s="26"/>
      <c r="J129" s="16">
        <f>SUM(J130:J131)</f>
        <v>243382600</v>
      </c>
      <c r="K129" s="16">
        <f>SUM(K130:K131)</f>
        <v>218998705</v>
      </c>
      <c r="L129" s="16">
        <f t="shared" si="12"/>
        <v>-24383895</v>
      </c>
      <c r="M129" s="17">
        <f t="shared" si="13"/>
        <v>0.89981249686707265</v>
      </c>
    </row>
    <row r="130" spans="1:13" s="41" customFormat="1" ht="15" hidden="1" outlineLevel="1" x14ac:dyDescent="0.25">
      <c r="A130" s="42" t="s">
        <v>135</v>
      </c>
      <c r="B130" s="26"/>
      <c r="C130" s="26"/>
      <c r="D130" s="26"/>
      <c r="E130" s="19"/>
      <c r="F130" s="26"/>
      <c r="G130" s="19">
        <f>+'[5]Pto 3er Tre y ajustes'!$H$32</f>
        <v>39000000</v>
      </c>
      <c r="H130" s="19">
        <f>+B130+C130+D130+G130+E130+F130</f>
        <v>39000000</v>
      </c>
      <c r="I130" s="26"/>
      <c r="J130" s="20">
        <f>+H130+I130</f>
        <v>39000000</v>
      </c>
      <c r="K130" s="20">
        <v>38987115</v>
      </c>
      <c r="L130" s="20">
        <f t="shared" si="12"/>
        <v>-12885</v>
      </c>
      <c r="M130" s="21">
        <f t="shared" si="13"/>
        <v>0.99966961538461541</v>
      </c>
    </row>
    <row r="131" spans="1:13" s="41" customFormat="1" ht="15" hidden="1" outlineLevel="1" x14ac:dyDescent="0.25">
      <c r="A131" s="42" t="s">
        <v>136</v>
      </c>
      <c r="B131" s="26"/>
      <c r="C131" s="26"/>
      <c r="D131" s="26"/>
      <c r="E131" s="19"/>
      <c r="F131" s="26"/>
      <c r="G131" s="19">
        <f>+'[5]Pto 3er Tre y ajustes'!$H$33</f>
        <v>204382600</v>
      </c>
      <c r="H131" s="19">
        <f>+B131+C131+D131+G131+E131+F131</f>
        <v>204382600</v>
      </c>
      <c r="I131" s="26"/>
      <c r="J131" s="20">
        <f>+H131+I131</f>
        <v>204382600</v>
      </c>
      <c r="K131" s="20">
        <v>180011590</v>
      </c>
      <c r="L131" s="20">
        <f t="shared" si="12"/>
        <v>-24371010</v>
      </c>
      <c r="M131" s="21">
        <f t="shared" si="13"/>
        <v>0.88075790209146965</v>
      </c>
    </row>
    <row r="132" spans="1:13" s="41" customFormat="1" ht="15" collapsed="1" x14ac:dyDescent="0.25">
      <c r="A132" s="43" t="s">
        <v>137</v>
      </c>
      <c r="B132" s="26"/>
      <c r="C132" s="26"/>
      <c r="D132" s="26"/>
      <c r="E132" s="26"/>
      <c r="F132" s="26"/>
      <c r="G132" s="26">
        <f>SUM(G133:G135)</f>
        <v>1847000000</v>
      </c>
      <c r="H132" s="26">
        <f>SUM(H133:H135)</f>
        <v>1847000000</v>
      </c>
      <c r="I132" s="26"/>
      <c r="J132" s="26">
        <f>SUM(J133:J135)</f>
        <v>1847000000</v>
      </c>
      <c r="K132" s="26">
        <f>SUM(K133:K135)</f>
        <v>1615572102</v>
      </c>
      <c r="L132" s="26">
        <f t="shared" si="12"/>
        <v>-231427898</v>
      </c>
      <c r="M132" s="17">
        <f t="shared" si="13"/>
        <v>0.87470065078505688</v>
      </c>
    </row>
    <row r="133" spans="1:13" s="41" customFormat="1" ht="15" hidden="1" outlineLevel="1" x14ac:dyDescent="0.25">
      <c r="A133" s="42" t="s">
        <v>138</v>
      </c>
      <c r="B133" s="26"/>
      <c r="C133" s="26"/>
      <c r="D133" s="26"/>
      <c r="E133" s="20"/>
      <c r="F133" s="26"/>
      <c r="G133" s="20">
        <f>+'[5]Pto 3er Tre y ajustes'!$H$35</f>
        <v>1800000000</v>
      </c>
      <c r="H133" s="19">
        <f>+B133+C133+D133+G133+E133+F133</f>
        <v>1800000000</v>
      </c>
      <c r="I133" s="26"/>
      <c r="J133" s="20">
        <f>+H133+I133</f>
        <v>1800000000</v>
      </c>
      <c r="K133" s="20">
        <v>1579204547</v>
      </c>
      <c r="L133" s="20">
        <f t="shared" si="12"/>
        <v>-220795453</v>
      </c>
      <c r="M133" s="21">
        <f t="shared" si="13"/>
        <v>0.87733585944444448</v>
      </c>
    </row>
    <row r="134" spans="1:13" s="41" customFormat="1" ht="15" hidden="1" outlineLevel="1" x14ac:dyDescent="0.25">
      <c r="A134" s="42" t="s">
        <v>139</v>
      </c>
      <c r="B134" s="26"/>
      <c r="C134" s="26"/>
      <c r="D134" s="26"/>
      <c r="E134" s="20"/>
      <c r="F134" s="26"/>
      <c r="G134" s="20">
        <f>+'[5]Pto 3er Tre y ajustes'!$H$36</f>
        <v>24000000</v>
      </c>
      <c r="H134" s="19">
        <f>+B134+C134+D134+G134+E134+F134</f>
        <v>24000000</v>
      </c>
      <c r="I134" s="26"/>
      <c r="J134" s="20">
        <f>+H134+I134</f>
        <v>24000000</v>
      </c>
      <c r="K134" s="20">
        <v>19363680</v>
      </c>
      <c r="L134" s="20">
        <f t="shared" si="12"/>
        <v>-4636320</v>
      </c>
      <c r="M134" s="21">
        <f t="shared" si="13"/>
        <v>0.80681999999999998</v>
      </c>
    </row>
    <row r="135" spans="1:13" s="41" customFormat="1" ht="15" hidden="1" outlineLevel="1" x14ac:dyDescent="0.25">
      <c r="A135" s="42" t="s">
        <v>140</v>
      </c>
      <c r="B135" s="26"/>
      <c r="C135" s="26"/>
      <c r="D135" s="26"/>
      <c r="E135" s="20"/>
      <c r="F135" s="26"/>
      <c r="G135" s="20">
        <f>+'[5]Pto 3er Tre y ajustes'!$H$37</f>
        <v>23000000</v>
      </c>
      <c r="H135" s="19">
        <f>+B135+C135+D135+G135+E135+F135</f>
        <v>23000000</v>
      </c>
      <c r="I135" s="26"/>
      <c r="J135" s="20">
        <f>+H135+I135</f>
        <v>23000000</v>
      </c>
      <c r="K135" s="20">
        <v>17003875</v>
      </c>
      <c r="L135" s="20">
        <f t="shared" si="12"/>
        <v>-5996125</v>
      </c>
      <c r="M135" s="21">
        <f t="shared" si="13"/>
        <v>0.73929891304347828</v>
      </c>
    </row>
    <row r="136" spans="1:13" s="41" customFormat="1" ht="15" collapsed="1" x14ac:dyDescent="0.25">
      <c r="A136" s="42"/>
      <c r="B136" s="26"/>
      <c r="C136" s="26"/>
      <c r="D136" s="26"/>
      <c r="E136" s="20"/>
      <c r="F136" s="26"/>
      <c r="G136" s="20"/>
      <c r="H136" s="19"/>
      <c r="I136" s="26"/>
      <c r="J136" s="20"/>
      <c r="K136" s="20"/>
      <c r="L136" s="20"/>
      <c r="M136" s="21"/>
    </row>
    <row r="137" spans="1:13" s="46" customFormat="1" ht="15" x14ac:dyDescent="0.25">
      <c r="A137" s="43" t="s">
        <v>141</v>
      </c>
      <c r="B137" s="44"/>
      <c r="C137" s="16">
        <f>+C138+C145+C153</f>
        <v>484559282</v>
      </c>
      <c r="D137" s="44"/>
      <c r="E137" s="45"/>
      <c r="F137" s="44"/>
      <c r="G137" s="45"/>
      <c r="H137" s="16">
        <f>+H138+H145+H153</f>
        <v>484559282</v>
      </c>
      <c r="I137" s="44"/>
      <c r="J137" s="16">
        <f>+H137+I137</f>
        <v>484559282</v>
      </c>
      <c r="K137" s="16">
        <f>+K138+K145+K153</f>
        <v>341398736</v>
      </c>
      <c r="L137" s="16">
        <f t="shared" ref="L137:L200" si="22">+K137-J137</f>
        <v>-143160546</v>
      </c>
      <c r="M137" s="17">
        <f t="shared" ref="M137:M200" si="23">IFERROR(K137/J137,0)</f>
        <v>0.70455514667037167</v>
      </c>
    </row>
    <row r="138" spans="1:13" s="41" customFormat="1" ht="15" x14ac:dyDescent="0.25">
      <c r="A138" s="43" t="s">
        <v>142</v>
      </c>
      <c r="B138" s="44"/>
      <c r="C138" s="26">
        <f>SUM(C139:C144)</f>
        <v>140396420</v>
      </c>
      <c r="D138" s="26"/>
      <c r="E138" s="26"/>
      <c r="F138" s="26"/>
      <c r="G138" s="26"/>
      <c r="H138" s="16">
        <f>+B138+C138+D138+G138+E138+F138</f>
        <v>140396420</v>
      </c>
      <c r="I138" s="16"/>
      <c r="J138" s="26">
        <f>SUM(J139:J144)</f>
        <v>140396420</v>
      </c>
      <c r="K138" s="26">
        <f>SUM(K139:K144)</f>
        <v>84639367</v>
      </c>
      <c r="L138" s="26">
        <f t="shared" si="22"/>
        <v>-55757053</v>
      </c>
      <c r="M138" s="17">
        <f t="shared" si="23"/>
        <v>0.60285986636981204</v>
      </c>
    </row>
    <row r="139" spans="1:13" s="41" customFormat="1" ht="15" hidden="1" outlineLevel="1" x14ac:dyDescent="0.25">
      <c r="A139" s="42" t="s">
        <v>143</v>
      </c>
      <c r="B139" s="44"/>
      <c r="C139" s="20"/>
      <c r="D139" s="26"/>
      <c r="E139" s="26"/>
      <c r="F139" s="26"/>
      <c r="G139" s="26"/>
      <c r="H139" s="20">
        <f>+B139+C139+D139+G139+E139+F139</f>
        <v>0</v>
      </c>
      <c r="I139" s="16"/>
      <c r="J139" s="20">
        <f t="shared" ref="J139:J157" si="24">+H139+I139</f>
        <v>0</v>
      </c>
      <c r="K139" s="20"/>
      <c r="L139" s="20">
        <f t="shared" si="22"/>
        <v>0</v>
      </c>
      <c r="M139" s="21">
        <f t="shared" si="23"/>
        <v>0</v>
      </c>
    </row>
    <row r="140" spans="1:13" s="41" customFormat="1" ht="15" hidden="1" outlineLevel="1" x14ac:dyDescent="0.25">
      <c r="A140" s="42" t="s">
        <v>144</v>
      </c>
      <c r="B140" s="44"/>
      <c r="C140" s="20">
        <f>+'[6]Presupuesto General'!$H$14</f>
        <v>69796420</v>
      </c>
      <c r="D140" s="26"/>
      <c r="E140" s="26"/>
      <c r="F140" s="26"/>
      <c r="G140" s="26"/>
      <c r="H140" s="20">
        <f t="shared" ref="H140:H157" si="25">+B140+C140+D140+G140+E140+F140</f>
        <v>69796420</v>
      </c>
      <c r="I140" s="16"/>
      <c r="J140" s="20">
        <f t="shared" si="24"/>
        <v>69796420</v>
      </c>
      <c r="K140" s="20">
        <v>68662349</v>
      </c>
      <c r="L140" s="20">
        <f t="shared" si="22"/>
        <v>-1134071</v>
      </c>
      <c r="M140" s="21">
        <f t="shared" si="23"/>
        <v>0.98375173110597935</v>
      </c>
    </row>
    <row r="141" spans="1:13" s="41" customFormat="1" ht="15" hidden="1" outlineLevel="1" x14ac:dyDescent="0.25">
      <c r="A141" s="42" t="s">
        <v>145</v>
      </c>
      <c r="B141" s="44"/>
      <c r="C141" s="20">
        <f>+'[6]Presupuesto General'!$H$15</f>
        <v>46000000</v>
      </c>
      <c r="D141" s="26"/>
      <c r="E141" s="26"/>
      <c r="F141" s="26"/>
      <c r="G141" s="26"/>
      <c r="H141" s="20">
        <f t="shared" si="25"/>
        <v>46000000</v>
      </c>
      <c r="I141" s="16"/>
      <c r="J141" s="20">
        <f t="shared" si="24"/>
        <v>46000000</v>
      </c>
      <c r="K141" s="20">
        <v>7378252</v>
      </c>
      <c r="L141" s="20">
        <f t="shared" si="22"/>
        <v>-38621748</v>
      </c>
      <c r="M141" s="21">
        <f t="shared" si="23"/>
        <v>0.16039678260869566</v>
      </c>
    </row>
    <row r="142" spans="1:13" s="41" customFormat="1" ht="15" hidden="1" outlineLevel="1" x14ac:dyDescent="0.25">
      <c r="A142" s="42" t="s">
        <v>146</v>
      </c>
      <c r="B142" s="44"/>
      <c r="C142" s="20">
        <f>+'[6]Presupuesto General'!$H$16</f>
        <v>9000000</v>
      </c>
      <c r="D142" s="26"/>
      <c r="E142" s="26"/>
      <c r="F142" s="26"/>
      <c r="G142" s="26"/>
      <c r="H142" s="20">
        <f t="shared" si="25"/>
        <v>9000000</v>
      </c>
      <c r="I142" s="16"/>
      <c r="J142" s="20">
        <f t="shared" si="24"/>
        <v>9000000</v>
      </c>
      <c r="K142" s="20">
        <v>7254032</v>
      </c>
      <c r="L142" s="20">
        <f t="shared" si="22"/>
        <v>-1745968</v>
      </c>
      <c r="M142" s="21">
        <f t="shared" si="23"/>
        <v>0.80600355555555558</v>
      </c>
    </row>
    <row r="143" spans="1:13" s="41" customFormat="1" ht="15" hidden="1" outlineLevel="1" x14ac:dyDescent="0.25">
      <c r="A143" s="42" t="s">
        <v>147</v>
      </c>
      <c r="B143" s="44"/>
      <c r="C143" s="20">
        <f>+'[6]Presupuesto General'!$H$17</f>
        <v>6000000</v>
      </c>
      <c r="D143" s="26"/>
      <c r="E143" s="26"/>
      <c r="F143" s="26"/>
      <c r="G143" s="26"/>
      <c r="H143" s="20">
        <f t="shared" si="25"/>
        <v>6000000</v>
      </c>
      <c r="I143" s="16"/>
      <c r="J143" s="20">
        <f t="shared" si="24"/>
        <v>6000000</v>
      </c>
      <c r="K143" s="20">
        <v>1344734</v>
      </c>
      <c r="L143" s="20">
        <f t="shared" si="22"/>
        <v>-4655266</v>
      </c>
      <c r="M143" s="21">
        <f t="shared" si="23"/>
        <v>0.22412233333333334</v>
      </c>
    </row>
    <row r="144" spans="1:13" s="41" customFormat="1" ht="15" hidden="1" outlineLevel="1" x14ac:dyDescent="0.25">
      <c r="A144" s="42" t="s">
        <v>148</v>
      </c>
      <c r="B144" s="44"/>
      <c r="C144" s="20">
        <f>+'[6]Presupuesto General'!$H$18</f>
        <v>9600000</v>
      </c>
      <c r="D144" s="26"/>
      <c r="E144" s="26"/>
      <c r="F144" s="26"/>
      <c r="G144" s="26"/>
      <c r="H144" s="20">
        <f t="shared" si="25"/>
        <v>9600000</v>
      </c>
      <c r="I144" s="16"/>
      <c r="J144" s="20">
        <f t="shared" si="24"/>
        <v>9600000</v>
      </c>
      <c r="K144" s="20"/>
      <c r="L144" s="20">
        <f t="shared" si="22"/>
        <v>-9600000</v>
      </c>
      <c r="M144" s="21">
        <f t="shared" si="23"/>
        <v>0</v>
      </c>
    </row>
    <row r="145" spans="1:13" s="41" customFormat="1" ht="15" collapsed="1" x14ac:dyDescent="0.25">
      <c r="A145" s="43" t="s">
        <v>149</v>
      </c>
      <c r="B145" s="44"/>
      <c r="C145" s="26">
        <f>SUM(C146:C152)</f>
        <v>275866090</v>
      </c>
      <c r="D145" s="26"/>
      <c r="E145" s="26"/>
      <c r="F145" s="26"/>
      <c r="G145" s="26"/>
      <c r="H145" s="26">
        <f>SUM(H146:H152)</f>
        <v>275866090</v>
      </c>
      <c r="I145" s="16"/>
      <c r="J145" s="26">
        <f>SUM(J146:J152)</f>
        <v>275866090</v>
      </c>
      <c r="K145" s="26">
        <f>SUM(K146:K152)</f>
        <v>195091164</v>
      </c>
      <c r="L145" s="26">
        <f t="shared" si="22"/>
        <v>-80774926</v>
      </c>
      <c r="M145" s="17">
        <f t="shared" si="23"/>
        <v>0.70719516124653092</v>
      </c>
    </row>
    <row r="146" spans="1:13" s="41" customFormat="1" ht="15" hidden="1" outlineLevel="1" x14ac:dyDescent="0.25">
      <c r="A146" s="42" t="s">
        <v>143</v>
      </c>
      <c r="B146" s="44"/>
      <c r="C146" s="20">
        <f>+'[6]Presupuesto General'!$H$20</f>
        <v>5750000</v>
      </c>
      <c r="D146" s="26"/>
      <c r="E146" s="26"/>
      <c r="F146" s="26"/>
      <c r="G146" s="26"/>
      <c r="H146" s="20">
        <f t="shared" si="25"/>
        <v>5750000</v>
      </c>
      <c r="I146" s="16"/>
      <c r="J146" s="20">
        <f>+H146+I146</f>
        <v>5750000</v>
      </c>
      <c r="K146" s="20"/>
      <c r="L146" s="20">
        <f t="shared" si="22"/>
        <v>-5750000</v>
      </c>
      <c r="M146" s="21">
        <f t="shared" si="23"/>
        <v>0</v>
      </c>
    </row>
    <row r="147" spans="1:13" s="41" customFormat="1" ht="15" hidden="1" outlineLevel="1" x14ac:dyDescent="0.25">
      <c r="A147" s="42" t="s">
        <v>150</v>
      </c>
      <c r="B147" s="44"/>
      <c r="C147" s="20">
        <f>+'[6]Presupuesto General'!$H$21</f>
        <v>6000000</v>
      </c>
      <c r="D147" s="26"/>
      <c r="E147" s="26"/>
      <c r="F147" s="26"/>
      <c r="G147" s="26"/>
      <c r="H147" s="20">
        <f t="shared" si="25"/>
        <v>6000000</v>
      </c>
      <c r="I147" s="16"/>
      <c r="J147" s="20">
        <f t="shared" si="24"/>
        <v>6000000</v>
      </c>
      <c r="K147" s="20">
        <v>6000000</v>
      </c>
      <c r="L147" s="20">
        <f t="shared" si="22"/>
        <v>0</v>
      </c>
      <c r="M147" s="21">
        <f t="shared" si="23"/>
        <v>1</v>
      </c>
    </row>
    <row r="148" spans="1:13" s="41" customFormat="1" ht="15" hidden="1" outlineLevel="1" x14ac:dyDescent="0.25">
      <c r="A148" s="42" t="s">
        <v>151</v>
      </c>
      <c r="B148" s="44"/>
      <c r="C148" s="20">
        <f>+'[6]Presupuesto General'!$H$22</f>
        <v>155616090</v>
      </c>
      <c r="D148" s="26"/>
      <c r="E148" s="26"/>
      <c r="F148" s="26"/>
      <c r="G148" s="26"/>
      <c r="H148" s="20">
        <f t="shared" si="25"/>
        <v>155616090</v>
      </c>
      <c r="I148" s="16"/>
      <c r="J148" s="20">
        <f t="shared" si="24"/>
        <v>155616090</v>
      </c>
      <c r="K148" s="20">
        <v>152785308</v>
      </c>
      <c r="L148" s="20">
        <f t="shared" si="22"/>
        <v>-2830782</v>
      </c>
      <c r="M148" s="21">
        <f t="shared" si="23"/>
        <v>0.98180919466618133</v>
      </c>
    </row>
    <row r="149" spans="1:13" s="41" customFormat="1" ht="15" hidden="1" outlineLevel="1" x14ac:dyDescent="0.25">
      <c r="A149" s="42" t="s">
        <v>152</v>
      </c>
      <c r="B149" s="44"/>
      <c r="C149" s="20">
        <f>+'[6]Presupuesto General'!$H$23</f>
        <v>46500000</v>
      </c>
      <c r="D149" s="26"/>
      <c r="E149" s="26"/>
      <c r="F149" s="26"/>
      <c r="G149" s="26"/>
      <c r="H149" s="20">
        <f t="shared" si="25"/>
        <v>46500000</v>
      </c>
      <c r="I149" s="16"/>
      <c r="J149" s="20">
        <f t="shared" si="24"/>
        <v>46500000</v>
      </c>
      <c r="K149" s="20">
        <v>23165802</v>
      </c>
      <c r="L149" s="20">
        <f t="shared" si="22"/>
        <v>-23334198</v>
      </c>
      <c r="M149" s="21">
        <f t="shared" si="23"/>
        <v>0.49818929032258064</v>
      </c>
    </row>
    <row r="150" spans="1:13" s="41" customFormat="1" ht="15" hidden="1" outlineLevel="1" x14ac:dyDescent="0.25">
      <c r="A150" s="42" t="s">
        <v>153</v>
      </c>
      <c r="B150" s="44"/>
      <c r="C150" s="20">
        <f>+'[6]Presupuesto General'!$H$24</f>
        <v>17000000</v>
      </c>
      <c r="D150" s="26"/>
      <c r="E150" s="26"/>
      <c r="F150" s="26"/>
      <c r="G150" s="26"/>
      <c r="H150" s="20">
        <f t="shared" si="25"/>
        <v>17000000</v>
      </c>
      <c r="I150" s="16"/>
      <c r="J150" s="20">
        <f t="shared" si="24"/>
        <v>17000000</v>
      </c>
      <c r="K150" s="20">
        <v>12620854</v>
      </c>
      <c r="L150" s="20">
        <f t="shared" si="22"/>
        <v>-4379146</v>
      </c>
      <c r="M150" s="21">
        <f t="shared" si="23"/>
        <v>0.74240317647058829</v>
      </c>
    </row>
    <row r="151" spans="1:13" s="41" customFormat="1" ht="15" hidden="1" outlineLevel="1" x14ac:dyDescent="0.25">
      <c r="A151" s="42" t="s">
        <v>154</v>
      </c>
      <c r="B151" s="44"/>
      <c r="C151" s="20">
        <f>+'[6]Presupuesto General'!$H$25</f>
        <v>5000000</v>
      </c>
      <c r="D151" s="26"/>
      <c r="E151" s="26"/>
      <c r="F151" s="26"/>
      <c r="G151" s="26"/>
      <c r="H151" s="20">
        <f t="shared" si="25"/>
        <v>5000000</v>
      </c>
      <c r="I151" s="16"/>
      <c r="J151" s="20">
        <f t="shared" si="24"/>
        <v>5000000</v>
      </c>
      <c r="K151" s="20">
        <v>519200</v>
      </c>
      <c r="L151" s="20">
        <f t="shared" si="22"/>
        <v>-4480800</v>
      </c>
      <c r="M151" s="21">
        <f t="shared" si="23"/>
        <v>0.10384</v>
      </c>
    </row>
    <row r="152" spans="1:13" s="41" customFormat="1" ht="15" hidden="1" outlineLevel="1" x14ac:dyDescent="0.25">
      <c r="A152" s="42" t="s">
        <v>155</v>
      </c>
      <c r="B152" s="44"/>
      <c r="C152" s="20">
        <f>+'[6]Presupuesto General'!$H$26</f>
        <v>40000000</v>
      </c>
      <c r="D152" s="26"/>
      <c r="E152" s="26"/>
      <c r="F152" s="26"/>
      <c r="G152" s="26"/>
      <c r="H152" s="20">
        <f>+B152+C152+D152+G152+E152+F152</f>
        <v>40000000</v>
      </c>
      <c r="I152" s="16"/>
      <c r="J152" s="20">
        <f>+H152+I152</f>
        <v>40000000</v>
      </c>
      <c r="K152" s="20"/>
      <c r="L152" s="20">
        <f t="shared" si="22"/>
        <v>-40000000</v>
      </c>
      <c r="M152" s="21">
        <f t="shared" si="23"/>
        <v>0</v>
      </c>
    </row>
    <row r="153" spans="1:13" s="41" customFormat="1" ht="15" collapsed="1" x14ac:dyDescent="0.25">
      <c r="A153" s="43" t="s">
        <v>156</v>
      </c>
      <c r="B153" s="44"/>
      <c r="C153" s="26">
        <f>SUM(C154:C157)</f>
        <v>68296772</v>
      </c>
      <c r="D153" s="26"/>
      <c r="E153" s="26"/>
      <c r="F153" s="26"/>
      <c r="G153" s="26"/>
      <c r="H153" s="16">
        <f>+B153+C153+D153+G153+E153+F153</f>
        <v>68296772</v>
      </c>
      <c r="I153" s="16"/>
      <c r="J153" s="26">
        <f>SUM(J154:J157)</f>
        <v>68296772</v>
      </c>
      <c r="K153" s="26">
        <f>SUM(K154:K157)</f>
        <v>61668205</v>
      </c>
      <c r="L153" s="26">
        <f t="shared" si="22"/>
        <v>-6628567</v>
      </c>
      <c r="M153" s="17">
        <f t="shared" si="23"/>
        <v>0.90294465161545268</v>
      </c>
    </row>
    <row r="154" spans="1:13" s="41" customFormat="1" ht="15" hidden="1" outlineLevel="1" x14ac:dyDescent="0.25">
      <c r="A154" s="42" t="s">
        <v>157</v>
      </c>
      <c r="B154" s="44"/>
      <c r="C154" s="20">
        <f>+'[6]Presupuesto General'!$H$28</f>
        <v>13196772</v>
      </c>
      <c r="D154" s="26"/>
      <c r="E154" s="26"/>
      <c r="F154" s="26"/>
      <c r="G154" s="26"/>
      <c r="H154" s="20">
        <f t="shared" si="25"/>
        <v>13196772</v>
      </c>
      <c r="I154" s="16"/>
      <c r="J154" s="20">
        <f t="shared" si="24"/>
        <v>13196772</v>
      </c>
      <c r="K154" s="20">
        <v>13196772</v>
      </c>
      <c r="L154" s="20">
        <f t="shared" si="22"/>
        <v>0</v>
      </c>
      <c r="M154" s="21">
        <f t="shared" si="23"/>
        <v>1</v>
      </c>
    </row>
    <row r="155" spans="1:13" s="41" customFormat="1" ht="15" hidden="1" outlineLevel="1" x14ac:dyDescent="0.25">
      <c r="A155" s="42" t="s">
        <v>158</v>
      </c>
      <c r="B155" s="44"/>
      <c r="C155" s="20">
        <f>+'[6]Presupuesto General'!$H$29+12487038</f>
        <v>41487038</v>
      </c>
      <c r="D155" s="26"/>
      <c r="E155" s="26"/>
      <c r="F155" s="26"/>
      <c r="G155" s="26"/>
      <c r="H155" s="20">
        <f t="shared" si="25"/>
        <v>41487038</v>
      </c>
      <c r="I155" s="16"/>
      <c r="J155" s="20">
        <f t="shared" si="24"/>
        <v>41487038</v>
      </c>
      <c r="K155" s="20">
        <v>41403478</v>
      </c>
      <c r="L155" s="20">
        <f t="shared" si="22"/>
        <v>-83560</v>
      </c>
      <c r="M155" s="21">
        <f t="shared" si="23"/>
        <v>0.99798587693823793</v>
      </c>
    </row>
    <row r="156" spans="1:13" s="41" customFormat="1" ht="15" hidden="1" outlineLevel="1" x14ac:dyDescent="0.25">
      <c r="A156" s="42" t="s">
        <v>159</v>
      </c>
      <c r="B156" s="44"/>
      <c r="C156" s="20">
        <f>+'[6]Presupuesto General'!$H$30</f>
        <v>7500000</v>
      </c>
      <c r="D156" s="26"/>
      <c r="E156" s="26"/>
      <c r="F156" s="26"/>
      <c r="G156" s="26"/>
      <c r="H156" s="20">
        <f t="shared" si="25"/>
        <v>7500000</v>
      </c>
      <c r="I156" s="16"/>
      <c r="J156" s="20">
        <f t="shared" si="24"/>
        <v>7500000</v>
      </c>
      <c r="K156" s="20">
        <v>954993</v>
      </c>
      <c r="L156" s="20">
        <f t="shared" si="22"/>
        <v>-6545007</v>
      </c>
      <c r="M156" s="21">
        <f t="shared" si="23"/>
        <v>0.12733240000000001</v>
      </c>
    </row>
    <row r="157" spans="1:13" s="41" customFormat="1" ht="15" hidden="1" outlineLevel="1" x14ac:dyDescent="0.25">
      <c r="A157" s="42" t="s">
        <v>160</v>
      </c>
      <c r="B157" s="44"/>
      <c r="C157" s="20">
        <f>+'[6]Presupuesto General'!$H$31-12487038</f>
        <v>6112962</v>
      </c>
      <c r="D157" s="26"/>
      <c r="E157" s="26"/>
      <c r="F157" s="26"/>
      <c r="G157" s="26"/>
      <c r="H157" s="20">
        <f t="shared" si="25"/>
        <v>6112962</v>
      </c>
      <c r="I157" s="16"/>
      <c r="J157" s="20">
        <f t="shared" si="24"/>
        <v>6112962</v>
      </c>
      <c r="K157" s="20">
        <v>6112962</v>
      </c>
      <c r="L157" s="20">
        <f t="shared" si="22"/>
        <v>0</v>
      </c>
      <c r="M157" s="21">
        <f t="shared" si="23"/>
        <v>1</v>
      </c>
    </row>
    <row r="158" spans="1:13" s="41" customFormat="1" ht="15" collapsed="1" x14ac:dyDescent="0.25">
      <c r="A158" s="42"/>
      <c r="B158" s="44"/>
      <c r="C158" s="26"/>
      <c r="D158" s="26"/>
      <c r="E158" s="26"/>
      <c r="F158" s="26"/>
      <c r="G158" s="26"/>
      <c r="H158" s="20"/>
      <c r="I158" s="26"/>
      <c r="J158" s="20"/>
      <c r="K158" s="20"/>
      <c r="L158" s="20"/>
      <c r="M158" s="21"/>
    </row>
    <row r="159" spans="1:13" s="41" customFormat="1" ht="15" x14ac:dyDescent="0.25">
      <c r="A159" s="43" t="s">
        <v>161</v>
      </c>
      <c r="B159" s="44"/>
      <c r="C159" s="26"/>
      <c r="D159" s="26">
        <f>+D160+D167+D179</f>
        <v>628302606</v>
      </c>
      <c r="E159" s="26"/>
      <c r="F159" s="26"/>
      <c r="G159" s="26"/>
      <c r="H159" s="26">
        <f>+H160+H167+H179</f>
        <v>628302606</v>
      </c>
      <c r="I159" s="26"/>
      <c r="J159" s="16">
        <f>+H159+I159</f>
        <v>628302606</v>
      </c>
      <c r="K159" s="26">
        <f>+K160+K167+K179</f>
        <v>484528630</v>
      </c>
      <c r="L159" s="16">
        <f t="shared" si="22"/>
        <v>-143773976</v>
      </c>
      <c r="M159" s="17">
        <f t="shared" si="23"/>
        <v>0.77117081064597715</v>
      </c>
    </row>
    <row r="160" spans="1:13" s="41" customFormat="1" ht="15" x14ac:dyDescent="0.25">
      <c r="A160" s="43" t="s">
        <v>162</v>
      </c>
      <c r="B160" s="26"/>
      <c r="C160" s="26"/>
      <c r="D160" s="26">
        <f>SUM(D161:D166)</f>
        <v>209820106</v>
      </c>
      <c r="E160" s="26"/>
      <c r="F160" s="26"/>
      <c r="G160" s="26"/>
      <c r="H160" s="26">
        <f>SUM(H161:H166)</f>
        <v>209820106</v>
      </c>
      <c r="I160" s="26"/>
      <c r="J160" s="26">
        <f>SUM(J161:J166)</f>
        <v>209820106</v>
      </c>
      <c r="K160" s="26">
        <f>SUM(K161:K166)</f>
        <v>173331704</v>
      </c>
      <c r="L160" s="26">
        <f t="shared" si="22"/>
        <v>-36488402</v>
      </c>
      <c r="M160" s="17">
        <f t="shared" si="23"/>
        <v>0.82609673259816196</v>
      </c>
    </row>
    <row r="161" spans="1:13" s="41" customFormat="1" ht="15" hidden="1" outlineLevel="1" x14ac:dyDescent="0.25">
      <c r="A161" s="42" t="s">
        <v>163</v>
      </c>
      <c r="B161" s="26"/>
      <c r="C161" s="26"/>
      <c r="D161" s="20">
        <v>61452000</v>
      </c>
      <c r="E161" s="26"/>
      <c r="F161" s="26"/>
      <c r="G161" s="26"/>
      <c r="H161" s="19">
        <f t="shared" ref="H161:H166" si="26">+B161+C161+D161+G161+E161+F161</f>
        <v>61452000</v>
      </c>
      <c r="I161" s="26"/>
      <c r="J161" s="20">
        <f t="shared" ref="J161:J166" si="27">+H161+I161</f>
        <v>61452000</v>
      </c>
      <c r="K161" s="20">
        <v>35596646</v>
      </c>
      <c r="L161" s="20">
        <f t="shared" si="22"/>
        <v>-25855354</v>
      </c>
      <c r="M161" s="21">
        <f t="shared" si="23"/>
        <v>0.57925935689643948</v>
      </c>
    </row>
    <row r="162" spans="1:13" s="41" customFormat="1" ht="15" hidden="1" outlineLevel="1" x14ac:dyDescent="0.25">
      <c r="A162" s="42" t="s">
        <v>164</v>
      </c>
      <c r="B162" s="26"/>
      <c r="C162" s="26"/>
      <c r="D162" s="20"/>
      <c r="E162" s="26"/>
      <c r="F162" s="26"/>
      <c r="G162" s="26"/>
      <c r="H162" s="19">
        <f t="shared" si="26"/>
        <v>0</v>
      </c>
      <c r="I162" s="26"/>
      <c r="J162" s="20">
        <f t="shared" si="27"/>
        <v>0</v>
      </c>
      <c r="K162" s="20">
        <v>0</v>
      </c>
      <c r="L162" s="20">
        <f t="shared" si="22"/>
        <v>0</v>
      </c>
      <c r="M162" s="21">
        <f t="shared" si="23"/>
        <v>0</v>
      </c>
    </row>
    <row r="163" spans="1:13" s="41" customFormat="1" ht="15" hidden="1" outlineLevel="1" x14ac:dyDescent="0.25">
      <c r="A163" s="42" t="s">
        <v>165</v>
      </c>
      <c r="B163" s="26"/>
      <c r="C163" s="26"/>
      <c r="D163" s="20">
        <f>+'[7]II y S III'!$J$9</f>
        <v>2368106</v>
      </c>
      <c r="E163" s="26"/>
      <c r="F163" s="26"/>
      <c r="G163" s="26"/>
      <c r="H163" s="19">
        <f t="shared" si="26"/>
        <v>2368106</v>
      </c>
      <c r="I163" s="26"/>
      <c r="J163" s="20">
        <f t="shared" si="27"/>
        <v>2368106</v>
      </c>
      <c r="K163" s="20">
        <v>2316012</v>
      </c>
      <c r="L163" s="20">
        <f t="shared" si="22"/>
        <v>-52094</v>
      </c>
      <c r="M163" s="21">
        <f t="shared" si="23"/>
        <v>0.97800182931000557</v>
      </c>
    </row>
    <row r="164" spans="1:13" s="41" customFormat="1" ht="15" hidden="1" outlineLevel="1" x14ac:dyDescent="0.25">
      <c r="A164" s="42" t="s">
        <v>166</v>
      </c>
      <c r="B164" s="26"/>
      <c r="C164" s="26"/>
      <c r="D164" s="20">
        <f>+'[7]II y S III'!$J$10</f>
        <v>15000000</v>
      </c>
      <c r="E164" s="26"/>
      <c r="F164" s="26"/>
      <c r="G164" s="26"/>
      <c r="H164" s="19">
        <f t="shared" si="26"/>
        <v>15000000</v>
      </c>
      <c r="I164" s="26"/>
      <c r="J164" s="20">
        <f t="shared" si="27"/>
        <v>15000000</v>
      </c>
      <c r="K164" s="20">
        <v>10981603</v>
      </c>
      <c r="L164" s="20">
        <f t="shared" si="22"/>
        <v>-4018397</v>
      </c>
      <c r="M164" s="21">
        <f t="shared" si="23"/>
        <v>0.73210686666666669</v>
      </c>
    </row>
    <row r="165" spans="1:13" s="41" customFormat="1" ht="15" hidden="1" outlineLevel="1" x14ac:dyDescent="0.25">
      <c r="A165" s="42" t="s">
        <v>166</v>
      </c>
      <c r="B165" s="26"/>
      <c r="C165" s="26"/>
      <c r="D165" s="20">
        <v>81000000</v>
      </c>
      <c r="E165" s="26"/>
      <c r="F165" s="26"/>
      <c r="G165" s="26"/>
      <c r="H165" s="19">
        <f t="shared" si="26"/>
        <v>81000000</v>
      </c>
      <c r="I165" s="26"/>
      <c r="J165" s="20">
        <f t="shared" si="27"/>
        <v>81000000</v>
      </c>
      <c r="K165" s="20">
        <v>79780724</v>
      </c>
      <c r="L165" s="20">
        <f t="shared" si="22"/>
        <v>-1219276</v>
      </c>
      <c r="M165" s="21">
        <f t="shared" si="23"/>
        <v>0.98494720987654316</v>
      </c>
    </row>
    <row r="166" spans="1:13" s="41" customFormat="1" ht="15" hidden="1" outlineLevel="1" x14ac:dyDescent="0.25">
      <c r="A166" s="42" t="s">
        <v>167</v>
      </c>
      <c r="B166" s="26"/>
      <c r="C166" s="26"/>
      <c r="D166" s="20">
        <v>50000000</v>
      </c>
      <c r="E166" s="26"/>
      <c r="F166" s="26"/>
      <c r="G166" s="26"/>
      <c r="H166" s="19">
        <f t="shared" si="26"/>
        <v>50000000</v>
      </c>
      <c r="I166" s="26"/>
      <c r="J166" s="20">
        <f t="shared" si="27"/>
        <v>50000000</v>
      </c>
      <c r="K166" s="20">
        <v>44656719</v>
      </c>
      <c r="L166" s="20">
        <f t="shared" si="22"/>
        <v>-5343281</v>
      </c>
      <c r="M166" s="21">
        <f t="shared" si="23"/>
        <v>0.89313438000000001</v>
      </c>
    </row>
    <row r="167" spans="1:13" s="41" customFormat="1" ht="15" collapsed="1" x14ac:dyDescent="0.25">
      <c r="A167" s="43" t="s">
        <v>168</v>
      </c>
      <c r="B167" s="26"/>
      <c r="C167" s="26"/>
      <c r="D167" s="26">
        <f>+D168+D173</f>
        <v>304482500</v>
      </c>
      <c r="E167" s="26"/>
      <c r="F167" s="26"/>
      <c r="G167" s="26"/>
      <c r="H167" s="26">
        <f>+H168+H173</f>
        <v>304482500</v>
      </c>
      <c r="I167" s="26"/>
      <c r="J167" s="26">
        <f>+J168+J173</f>
        <v>304482500</v>
      </c>
      <c r="K167" s="26">
        <f>+K168+K173</f>
        <v>240092784</v>
      </c>
      <c r="L167" s="26">
        <f t="shared" si="22"/>
        <v>-64389716</v>
      </c>
      <c r="M167" s="17">
        <f t="shared" si="23"/>
        <v>0.78852736692584957</v>
      </c>
    </row>
    <row r="168" spans="1:13" s="41" customFormat="1" ht="15" hidden="1" outlineLevel="1" x14ac:dyDescent="0.25">
      <c r="A168" s="43" t="s">
        <v>169</v>
      </c>
      <c r="B168" s="26"/>
      <c r="C168" s="26"/>
      <c r="D168" s="26">
        <f>SUM(D169:D172)</f>
        <v>161282500</v>
      </c>
      <c r="E168" s="26"/>
      <c r="F168" s="26"/>
      <c r="G168" s="26"/>
      <c r="H168" s="26">
        <f>SUM(H169:H172)</f>
        <v>161282500</v>
      </c>
      <c r="I168" s="26"/>
      <c r="J168" s="26">
        <f>SUM(J169:J172)</f>
        <v>161282500</v>
      </c>
      <c r="K168" s="26">
        <f>SUM(K169:K172)</f>
        <v>106726761</v>
      </c>
      <c r="L168" s="26">
        <f t="shared" si="22"/>
        <v>-54555739</v>
      </c>
      <c r="M168" s="17">
        <f t="shared" si="23"/>
        <v>0.66173801249360598</v>
      </c>
    </row>
    <row r="169" spans="1:13" s="41" customFormat="1" ht="15" hidden="1" outlineLevel="2" x14ac:dyDescent="0.25">
      <c r="A169" s="42" t="s">
        <v>170</v>
      </c>
      <c r="B169" s="26"/>
      <c r="C169" s="26"/>
      <c r="D169" s="20">
        <f>+'[7]II y S III'!$J$13</f>
        <v>149982500</v>
      </c>
      <c r="E169" s="26"/>
      <c r="F169" s="26"/>
      <c r="G169" s="26"/>
      <c r="H169" s="19">
        <f>+B169+C169+D169+G169+E169+F169</f>
        <v>149982500</v>
      </c>
      <c r="I169" s="26"/>
      <c r="J169" s="20">
        <f>+H169+I169</f>
        <v>149982500</v>
      </c>
      <c r="K169" s="20">
        <v>96969361</v>
      </c>
      <c r="L169" s="20">
        <f t="shared" si="22"/>
        <v>-53013139</v>
      </c>
      <c r="M169" s="21">
        <f t="shared" si="23"/>
        <v>0.64653783608087612</v>
      </c>
    </row>
    <row r="170" spans="1:13" s="41" customFormat="1" ht="15" hidden="1" outlineLevel="2" x14ac:dyDescent="0.25">
      <c r="A170" s="42" t="s">
        <v>171</v>
      </c>
      <c r="B170" s="26"/>
      <c r="C170" s="26"/>
      <c r="D170" s="20">
        <v>373000</v>
      </c>
      <c r="E170" s="26"/>
      <c r="F170" s="26"/>
      <c r="G170" s="26"/>
      <c r="H170" s="19">
        <f>+B170+C170+D170+G170+E170+F170</f>
        <v>373000</v>
      </c>
      <c r="I170" s="26"/>
      <c r="J170" s="20">
        <f>+H170+I170</f>
        <v>373000</v>
      </c>
      <c r="K170" s="20">
        <v>373000</v>
      </c>
      <c r="L170" s="20">
        <f t="shared" si="22"/>
        <v>0</v>
      </c>
      <c r="M170" s="21">
        <f t="shared" si="23"/>
        <v>1</v>
      </c>
    </row>
    <row r="171" spans="1:13" s="41" customFormat="1" ht="15" hidden="1" outlineLevel="2" x14ac:dyDescent="0.25">
      <c r="A171" s="42" t="s">
        <v>172</v>
      </c>
      <c r="B171" s="26"/>
      <c r="C171" s="26"/>
      <c r="D171" s="20"/>
      <c r="E171" s="26"/>
      <c r="F171" s="26"/>
      <c r="G171" s="26"/>
      <c r="H171" s="19">
        <f>+B171+C171+D171+G171+E171+F171</f>
        <v>0</v>
      </c>
      <c r="I171" s="26"/>
      <c r="J171" s="20">
        <f>+H171+I171</f>
        <v>0</v>
      </c>
      <c r="K171" s="20">
        <v>0</v>
      </c>
      <c r="L171" s="20">
        <f t="shared" si="22"/>
        <v>0</v>
      </c>
      <c r="M171" s="21">
        <f t="shared" si="23"/>
        <v>0</v>
      </c>
    </row>
    <row r="172" spans="1:13" s="41" customFormat="1" ht="15" hidden="1" outlineLevel="2" x14ac:dyDescent="0.25">
      <c r="A172" s="42" t="s">
        <v>173</v>
      </c>
      <c r="B172" s="26"/>
      <c r="C172" s="26"/>
      <c r="D172" s="20">
        <f>+'[7]II y S III'!$J$12-373000</f>
        <v>10927000</v>
      </c>
      <c r="E172" s="26"/>
      <c r="F172" s="26"/>
      <c r="G172" s="26"/>
      <c r="H172" s="19">
        <f>+B172+C172+D172+G172+E172+F172</f>
        <v>10927000</v>
      </c>
      <c r="I172" s="26"/>
      <c r="J172" s="20">
        <f>+H172+I172</f>
        <v>10927000</v>
      </c>
      <c r="K172" s="20">
        <v>9384400</v>
      </c>
      <c r="L172" s="20">
        <f t="shared" si="22"/>
        <v>-1542600</v>
      </c>
      <c r="M172" s="21">
        <f t="shared" si="23"/>
        <v>0.85882675940331288</v>
      </c>
    </row>
    <row r="173" spans="1:13" s="41" customFormat="1" ht="15" hidden="1" outlineLevel="1" x14ac:dyDescent="0.25">
      <c r="A173" s="43" t="s">
        <v>174</v>
      </c>
      <c r="B173" s="26"/>
      <c r="C173" s="26"/>
      <c r="D173" s="26">
        <f>SUM(D174:D178)</f>
        <v>143200000</v>
      </c>
      <c r="E173" s="26"/>
      <c r="F173" s="26"/>
      <c r="G173" s="26"/>
      <c r="H173" s="26">
        <f>SUM(H174:H178)</f>
        <v>143200000</v>
      </c>
      <c r="I173" s="26"/>
      <c r="J173" s="26">
        <f>SUM(J174:J178)</f>
        <v>143200000</v>
      </c>
      <c r="K173" s="26">
        <f>SUM(K174:K178)</f>
        <v>133366023</v>
      </c>
      <c r="L173" s="26">
        <f t="shared" si="22"/>
        <v>-9833977</v>
      </c>
      <c r="M173" s="17">
        <f t="shared" si="23"/>
        <v>0.93132697625698324</v>
      </c>
    </row>
    <row r="174" spans="1:13" s="41" customFormat="1" ht="15" hidden="1" outlineLevel="2" x14ac:dyDescent="0.25">
      <c r="A174" s="42" t="s">
        <v>175</v>
      </c>
      <c r="B174" s="26"/>
      <c r="C174" s="26"/>
      <c r="D174" s="20">
        <v>5000000</v>
      </c>
      <c r="E174" s="26"/>
      <c r="F174" s="26"/>
      <c r="G174" s="26"/>
      <c r="H174" s="19">
        <f>+B174+C174+D174+G174+E174+F174</f>
        <v>5000000</v>
      </c>
      <c r="I174" s="26"/>
      <c r="J174" s="20">
        <f>+H174+I174</f>
        <v>5000000</v>
      </c>
      <c r="K174" s="20">
        <v>3222435</v>
      </c>
      <c r="L174" s="20">
        <f t="shared" si="22"/>
        <v>-1777565</v>
      </c>
      <c r="M174" s="21">
        <f t="shared" si="23"/>
        <v>0.64448700000000003</v>
      </c>
    </row>
    <row r="175" spans="1:13" s="41" customFormat="1" ht="15" hidden="1" outlineLevel="2" x14ac:dyDescent="0.25">
      <c r="A175" s="42" t="s">
        <v>176</v>
      </c>
      <c r="B175" s="26"/>
      <c r="C175" s="26"/>
      <c r="D175" s="20">
        <f>+'[7]II y S III'!$J$18</f>
        <v>13200000</v>
      </c>
      <c r="E175" s="26"/>
      <c r="F175" s="26"/>
      <c r="G175" s="26"/>
      <c r="H175" s="19">
        <f>+B175+C175+D175+G175+E175+F175</f>
        <v>13200000</v>
      </c>
      <c r="I175" s="26"/>
      <c r="J175" s="20">
        <f>+H175+I175</f>
        <v>13200000</v>
      </c>
      <c r="K175" s="20">
        <v>11888733</v>
      </c>
      <c r="L175" s="20">
        <f t="shared" si="22"/>
        <v>-1311267</v>
      </c>
      <c r="M175" s="21">
        <f t="shared" si="23"/>
        <v>0.90066159090909093</v>
      </c>
    </row>
    <row r="176" spans="1:13" s="41" customFormat="1" ht="15" hidden="1" outlineLevel="2" x14ac:dyDescent="0.25">
      <c r="A176" s="42" t="s">
        <v>177</v>
      </c>
      <c r="B176" s="26"/>
      <c r="C176" s="26"/>
      <c r="D176" s="20">
        <f>+'[7]II y S III'!$J$21+10000000+6000000</f>
        <v>101000000</v>
      </c>
      <c r="E176" s="26"/>
      <c r="F176" s="26"/>
      <c r="G176" s="26"/>
      <c r="H176" s="19">
        <f>+B176+C176+D176+G176+E176+F176</f>
        <v>101000000</v>
      </c>
      <c r="I176" s="26"/>
      <c r="J176" s="20">
        <f>+H176+I176</f>
        <v>101000000</v>
      </c>
      <c r="K176" s="20">
        <v>96925419</v>
      </c>
      <c r="L176" s="20">
        <f t="shared" si="22"/>
        <v>-4074581</v>
      </c>
      <c r="M176" s="21">
        <f t="shared" si="23"/>
        <v>0.95965761386138615</v>
      </c>
    </row>
    <row r="177" spans="1:13" s="41" customFormat="1" ht="15" hidden="1" outlineLevel="2" x14ac:dyDescent="0.25">
      <c r="A177" s="42" t="s">
        <v>178</v>
      </c>
      <c r="B177" s="26"/>
      <c r="C177" s="26"/>
      <c r="D177" s="20">
        <f>+'[7]II y S III'!$J$19-6000000</f>
        <v>19000000</v>
      </c>
      <c r="E177" s="26"/>
      <c r="F177" s="26"/>
      <c r="G177" s="26"/>
      <c r="H177" s="19">
        <f>+B177+C177+D177+G177+E177+F177</f>
        <v>19000000</v>
      </c>
      <c r="I177" s="26"/>
      <c r="J177" s="20">
        <f>+H177+I177</f>
        <v>19000000</v>
      </c>
      <c r="K177" s="20">
        <v>17358465</v>
      </c>
      <c r="L177" s="20">
        <f t="shared" si="22"/>
        <v>-1641535</v>
      </c>
      <c r="M177" s="21">
        <f t="shared" si="23"/>
        <v>0.91360342105263159</v>
      </c>
    </row>
    <row r="178" spans="1:13" s="41" customFormat="1" ht="15" hidden="1" outlineLevel="2" x14ac:dyDescent="0.25">
      <c r="A178" s="42" t="s">
        <v>179</v>
      </c>
      <c r="B178" s="26"/>
      <c r="C178" s="26"/>
      <c r="D178" s="20">
        <f>+'[7]II y S III'!$J$20-10000000</f>
        <v>5000000</v>
      </c>
      <c r="E178" s="26"/>
      <c r="F178" s="26"/>
      <c r="G178" s="26"/>
      <c r="H178" s="19">
        <f>+B178+C178+D178+G178+E178+F178</f>
        <v>5000000</v>
      </c>
      <c r="I178" s="26"/>
      <c r="J178" s="20">
        <f>+H178+I178</f>
        <v>5000000</v>
      </c>
      <c r="K178" s="20">
        <v>3970971</v>
      </c>
      <c r="L178" s="20">
        <f t="shared" si="22"/>
        <v>-1029029</v>
      </c>
      <c r="M178" s="21">
        <f t="shared" si="23"/>
        <v>0.79419419999999996</v>
      </c>
    </row>
    <row r="179" spans="1:13" s="41" customFormat="1" ht="15" collapsed="1" x14ac:dyDescent="0.25">
      <c r="A179" s="43" t="s">
        <v>180</v>
      </c>
      <c r="B179" s="26"/>
      <c r="C179" s="26"/>
      <c r="D179" s="26">
        <f>+D180+D186+D190+D191</f>
        <v>114000000</v>
      </c>
      <c r="E179" s="26"/>
      <c r="F179" s="26"/>
      <c r="G179" s="26"/>
      <c r="H179" s="26">
        <f>+H180+H186+H190+H191</f>
        <v>114000000</v>
      </c>
      <c r="I179" s="26"/>
      <c r="J179" s="26">
        <f>+J180+J186+J190+J191</f>
        <v>114000000</v>
      </c>
      <c r="K179" s="26">
        <f>+K180+K186+K190+K191</f>
        <v>71104142</v>
      </c>
      <c r="L179" s="26">
        <f t="shared" si="22"/>
        <v>-42895858</v>
      </c>
      <c r="M179" s="17">
        <f t="shared" si="23"/>
        <v>0.62372054385964915</v>
      </c>
    </row>
    <row r="180" spans="1:13" s="41" customFormat="1" ht="15" hidden="1" outlineLevel="1" x14ac:dyDescent="0.25">
      <c r="A180" s="43" t="s">
        <v>181</v>
      </c>
      <c r="B180" s="26"/>
      <c r="C180" s="26"/>
      <c r="D180" s="26">
        <f>SUM(D181:D185)</f>
        <v>44000000</v>
      </c>
      <c r="E180" s="26"/>
      <c r="F180" s="26"/>
      <c r="G180" s="26"/>
      <c r="H180" s="26">
        <f>SUM(H181:H185)</f>
        <v>44000000</v>
      </c>
      <c r="I180" s="26"/>
      <c r="J180" s="26">
        <f>SUM(J181:J185)</f>
        <v>44000000</v>
      </c>
      <c r="K180" s="26">
        <f>SUM(K181:K185)</f>
        <v>28502502</v>
      </c>
      <c r="L180" s="26">
        <f t="shared" si="22"/>
        <v>-15497498</v>
      </c>
      <c r="M180" s="17">
        <f t="shared" si="23"/>
        <v>0.64778413636363641</v>
      </c>
    </row>
    <row r="181" spans="1:13" s="41" customFormat="1" ht="15" hidden="1" outlineLevel="2" x14ac:dyDescent="0.25">
      <c r="A181" s="42" t="s">
        <v>182</v>
      </c>
      <c r="B181" s="26"/>
      <c r="C181" s="26"/>
      <c r="D181" s="19">
        <f>+'[7]II y S III'!$J$22+106000</f>
        <v>4106000</v>
      </c>
      <c r="E181" s="26"/>
      <c r="F181" s="26"/>
      <c r="G181" s="26"/>
      <c r="H181" s="19">
        <f>+B181+C181+D181+G181+E181+F181</f>
        <v>4106000</v>
      </c>
      <c r="I181" s="26"/>
      <c r="J181" s="20">
        <f>+H181+I181</f>
        <v>4106000</v>
      </c>
      <c r="K181" s="20">
        <v>4105104</v>
      </c>
      <c r="L181" s="20">
        <f t="shared" si="22"/>
        <v>-896</v>
      </c>
      <c r="M181" s="21">
        <f t="shared" si="23"/>
        <v>0.99978178275694107</v>
      </c>
    </row>
    <row r="182" spans="1:13" s="41" customFormat="1" ht="15" hidden="1" outlineLevel="2" x14ac:dyDescent="0.25">
      <c r="A182" s="42" t="s">
        <v>183</v>
      </c>
      <c r="B182" s="26"/>
      <c r="C182" s="26"/>
      <c r="D182" s="19">
        <f>+'[7]II y S III'!$J$23-106000</f>
        <v>3894000</v>
      </c>
      <c r="E182" s="26"/>
      <c r="F182" s="26"/>
      <c r="G182" s="26"/>
      <c r="H182" s="19">
        <f>+B182+C182+D182+G182+E182+F182</f>
        <v>3894000</v>
      </c>
      <c r="I182" s="26"/>
      <c r="J182" s="20">
        <f>+H182+I182</f>
        <v>3894000</v>
      </c>
      <c r="K182" s="20">
        <v>3719970</v>
      </c>
      <c r="L182" s="20">
        <f t="shared" si="22"/>
        <v>-174030</v>
      </c>
      <c r="M182" s="21">
        <f t="shared" si="23"/>
        <v>0.95530816640986127</v>
      </c>
    </row>
    <row r="183" spans="1:13" s="41" customFormat="1" ht="15" hidden="1" outlineLevel="2" x14ac:dyDescent="0.25">
      <c r="A183" s="42" t="s">
        <v>184</v>
      </c>
      <c r="B183" s="26"/>
      <c r="C183" s="26"/>
      <c r="D183" s="19">
        <f>+'[7]II y S III'!$J$24</f>
        <v>6000000</v>
      </c>
      <c r="E183" s="26"/>
      <c r="F183" s="26"/>
      <c r="G183" s="26"/>
      <c r="H183" s="19">
        <f>+B183+C183+D183+G183+E183+F183</f>
        <v>6000000</v>
      </c>
      <c r="I183" s="26"/>
      <c r="J183" s="20">
        <f>+H183+I183</f>
        <v>6000000</v>
      </c>
      <c r="K183" s="20">
        <v>4235900</v>
      </c>
      <c r="L183" s="20">
        <f t="shared" si="22"/>
        <v>-1764100</v>
      </c>
      <c r="M183" s="21">
        <f t="shared" si="23"/>
        <v>0.7059833333333333</v>
      </c>
    </row>
    <row r="184" spans="1:13" s="41" customFormat="1" ht="15" hidden="1" outlineLevel="2" x14ac:dyDescent="0.25">
      <c r="A184" s="42" t="s">
        <v>185</v>
      </c>
      <c r="B184" s="26"/>
      <c r="C184" s="26"/>
      <c r="D184" s="19">
        <f>+'[7]II y S III'!$J$25</f>
        <v>22000000</v>
      </c>
      <c r="E184" s="26"/>
      <c r="F184" s="26"/>
      <c r="G184" s="26"/>
      <c r="H184" s="19">
        <f>+B184+C184+D184+G184+E184+F184</f>
        <v>22000000</v>
      </c>
      <c r="I184" s="26"/>
      <c r="J184" s="20">
        <f>+H184+I184</f>
        <v>22000000</v>
      </c>
      <c r="K184" s="20">
        <v>8629080</v>
      </c>
      <c r="L184" s="20">
        <f t="shared" si="22"/>
        <v>-13370920</v>
      </c>
      <c r="M184" s="21">
        <f t="shared" si="23"/>
        <v>0.39223090909090907</v>
      </c>
    </row>
    <row r="185" spans="1:13" s="41" customFormat="1" ht="15" hidden="1" outlineLevel="2" x14ac:dyDescent="0.25">
      <c r="A185" s="42" t="s">
        <v>186</v>
      </c>
      <c r="B185" s="26"/>
      <c r="C185" s="26"/>
      <c r="D185" s="19">
        <f>+'[7]II y S III'!$J$26</f>
        <v>8000000</v>
      </c>
      <c r="E185" s="26"/>
      <c r="F185" s="26"/>
      <c r="G185" s="26"/>
      <c r="H185" s="19">
        <f>+B185+C185+D185+G185+E185+F185</f>
        <v>8000000</v>
      </c>
      <c r="I185" s="26"/>
      <c r="J185" s="20">
        <f>+H185+I185</f>
        <v>8000000</v>
      </c>
      <c r="K185" s="20">
        <v>7812448</v>
      </c>
      <c r="L185" s="20">
        <f t="shared" si="22"/>
        <v>-187552</v>
      </c>
      <c r="M185" s="21">
        <f t="shared" si="23"/>
        <v>0.97655599999999998</v>
      </c>
    </row>
    <row r="186" spans="1:13" s="41" customFormat="1" ht="15" hidden="1" outlineLevel="1" x14ac:dyDescent="0.25">
      <c r="A186" s="43" t="s">
        <v>187</v>
      </c>
      <c r="B186" s="26"/>
      <c r="C186" s="26"/>
      <c r="D186" s="26">
        <f>SUM(D187:D189)</f>
        <v>58000000</v>
      </c>
      <c r="E186" s="26"/>
      <c r="F186" s="26"/>
      <c r="G186" s="26"/>
      <c r="H186" s="26">
        <f>SUM(H187:H189)</f>
        <v>58000000</v>
      </c>
      <c r="I186" s="26"/>
      <c r="J186" s="26">
        <f>SUM(J187:J189)</f>
        <v>58000000</v>
      </c>
      <c r="K186" s="26">
        <f>SUM(K187:K189)</f>
        <v>35317425</v>
      </c>
      <c r="L186" s="26">
        <f t="shared" si="22"/>
        <v>-22682575</v>
      </c>
      <c r="M186" s="17">
        <f t="shared" si="23"/>
        <v>0.6089211206896552</v>
      </c>
    </row>
    <row r="187" spans="1:13" s="41" customFormat="1" ht="15" hidden="1" outlineLevel="2" x14ac:dyDescent="0.25">
      <c r="A187" s="42" t="s">
        <v>188</v>
      </c>
      <c r="B187" s="26"/>
      <c r="C187" s="26"/>
      <c r="D187" s="19">
        <f>+'[7]II y S III'!$J$27</f>
        <v>20000000</v>
      </c>
      <c r="E187" s="26"/>
      <c r="F187" s="26"/>
      <c r="G187" s="26"/>
      <c r="H187" s="19">
        <f>+B187+C187+D187+G187+E187+F187</f>
        <v>20000000</v>
      </c>
      <c r="I187" s="26"/>
      <c r="J187" s="20">
        <f>+H187+I187</f>
        <v>20000000</v>
      </c>
      <c r="K187" s="20">
        <v>10609550</v>
      </c>
      <c r="L187" s="20">
        <f t="shared" si="22"/>
        <v>-9390450</v>
      </c>
      <c r="M187" s="21">
        <f t="shared" si="23"/>
        <v>0.53047750000000005</v>
      </c>
    </row>
    <row r="188" spans="1:13" s="41" customFormat="1" ht="15" hidden="1" outlineLevel="2" x14ac:dyDescent="0.25">
      <c r="A188" s="42" t="s">
        <v>189</v>
      </c>
      <c r="B188" s="26"/>
      <c r="C188" s="26"/>
      <c r="D188" s="19">
        <v>8000000</v>
      </c>
      <c r="E188" s="26"/>
      <c r="F188" s="26"/>
      <c r="G188" s="26"/>
      <c r="H188" s="19">
        <f>+B188+C188+D188+G188+E188+F188</f>
        <v>8000000</v>
      </c>
      <c r="I188" s="26"/>
      <c r="J188" s="20">
        <f>+H188+I188</f>
        <v>8000000</v>
      </c>
      <c r="K188" s="20">
        <v>6175125</v>
      </c>
      <c r="L188" s="20">
        <f t="shared" si="22"/>
        <v>-1824875</v>
      </c>
      <c r="M188" s="21">
        <f t="shared" si="23"/>
        <v>0.77189062500000005</v>
      </c>
    </row>
    <row r="189" spans="1:13" s="41" customFormat="1" ht="15" hidden="1" outlineLevel="2" x14ac:dyDescent="0.25">
      <c r="A189" s="42" t="s">
        <v>190</v>
      </c>
      <c r="B189" s="26"/>
      <c r="C189" s="26"/>
      <c r="D189" s="19">
        <f>+'[7]II y S III'!$J$29</f>
        <v>30000000</v>
      </c>
      <c r="E189" s="26"/>
      <c r="F189" s="26"/>
      <c r="G189" s="26"/>
      <c r="H189" s="19">
        <f>+B189+C189+D189+G189+E189+F189</f>
        <v>30000000</v>
      </c>
      <c r="I189" s="26"/>
      <c r="J189" s="20">
        <f>+H189+I189</f>
        <v>30000000</v>
      </c>
      <c r="K189" s="20">
        <v>18532750</v>
      </c>
      <c r="L189" s="20">
        <f t="shared" si="22"/>
        <v>-11467250</v>
      </c>
      <c r="M189" s="21">
        <f t="shared" si="23"/>
        <v>0.6177583333333333</v>
      </c>
    </row>
    <row r="190" spans="1:13" s="41" customFormat="1" ht="15" hidden="1" outlineLevel="1" x14ac:dyDescent="0.25">
      <c r="A190" s="43" t="s">
        <v>191</v>
      </c>
      <c r="B190" s="26"/>
      <c r="C190" s="26"/>
      <c r="D190" s="26">
        <f>+'[7]II y S III'!$J$30</f>
        <v>7000000</v>
      </c>
      <c r="E190" s="26"/>
      <c r="F190" s="26"/>
      <c r="G190" s="26"/>
      <c r="H190" s="16">
        <f>+B190+C190+D190+G190+E190+F190</f>
        <v>7000000</v>
      </c>
      <c r="I190" s="16"/>
      <c r="J190" s="16">
        <f>+H190+I190</f>
        <v>7000000</v>
      </c>
      <c r="K190" s="16">
        <v>4133655</v>
      </c>
      <c r="L190" s="16">
        <f t="shared" si="22"/>
        <v>-2866345</v>
      </c>
      <c r="M190" s="17">
        <f t="shared" si="23"/>
        <v>0.59052214285714288</v>
      </c>
    </row>
    <row r="191" spans="1:13" s="41" customFormat="1" ht="15" hidden="1" outlineLevel="1" x14ac:dyDescent="0.25">
      <c r="A191" s="43" t="s">
        <v>192</v>
      </c>
      <c r="B191" s="26"/>
      <c r="C191" s="26"/>
      <c r="D191" s="26">
        <f>+'[7]II y S III'!$J$31</f>
        <v>5000000</v>
      </c>
      <c r="E191" s="26"/>
      <c r="F191" s="26"/>
      <c r="G191" s="26"/>
      <c r="H191" s="16">
        <f>+B191+C191+D191+G191+E191+F191</f>
        <v>5000000</v>
      </c>
      <c r="I191" s="16"/>
      <c r="J191" s="16">
        <f>+H191+I191</f>
        <v>5000000</v>
      </c>
      <c r="K191" s="16">
        <v>3150560</v>
      </c>
      <c r="L191" s="16">
        <f t="shared" si="22"/>
        <v>-1849440</v>
      </c>
      <c r="M191" s="17">
        <f t="shared" si="23"/>
        <v>0.63011200000000001</v>
      </c>
    </row>
    <row r="192" spans="1:13" s="41" customFormat="1" ht="15" collapsed="1" x14ac:dyDescent="0.25">
      <c r="A192" s="42"/>
      <c r="B192" s="26"/>
      <c r="C192" s="26"/>
      <c r="D192" s="26"/>
      <c r="E192" s="26"/>
      <c r="F192" s="26"/>
      <c r="G192" s="26"/>
      <c r="H192" s="19"/>
      <c r="I192" s="26"/>
      <c r="J192" s="20"/>
      <c r="K192" s="20"/>
      <c r="L192" s="20"/>
      <c r="M192" s="21"/>
    </row>
    <row r="193" spans="1:13" s="41" customFormat="1" ht="15" x14ac:dyDescent="0.25">
      <c r="A193" s="43" t="s">
        <v>193</v>
      </c>
      <c r="B193" s="26"/>
      <c r="C193" s="26"/>
      <c r="D193" s="26"/>
      <c r="E193" s="16">
        <f>+E194</f>
        <v>56004000</v>
      </c>
      <c r="F193" s="16"/>
      <c r="G193" s="16"/>
      <c r="H193" s="16">
        <f>+H194</f>
        <v>56004000</v>
      </c>
      <c r="I193" s="16"/>
      <c r="J193" s="16">
        <f>+H193+I193</f>
        <v>56004000</v>
      </c>
      <c r="K193" s="16">
        <f>+K194</f>
        <v>50258144</v>
      </c>
      <c r="L193" s="16">
        <f t="shared" si="22"/>
        <v>-5745856</v>
      </c>
      <c r="M193" s="17">
        <f t="shared" si="23"/>
        <v>0.89740275694593241</v>
      </c>
    </row>
    <row r="194" spans="1:13" s="41" customFormat="1" ht="15" x14ac:dyDescent="0.25">
      <c r="A194" s="43" t="s">
        <v>194</v>
      </c>
      <c r="B194" s="26"/>
      <c r="C194" s="26"/>
      <c r="D194" s="26"/>
      <c r="E194" s="26">
        <f>SUM(E195:E197)</f>
        <v>56004000</v>
      </c>
      <c r="F194" s="26"/>
      <c r="G194" s="26"/>
      <c r="H194" s="26">
        <f>SUM(H195:H197)</f>
        <v>56004000</v>
      </c>
      <c r="I194" s="26"/>
      <c r="J194" s="26">
        <f>SUM(J195:J197)</f>
        <v>56004000</v>
      </c>
      <c r="K194" s="26">
        <f>SUM(K195:K197)</f>
        <v>50258144</v>
      </c>
      <c r="L194" s="26">
        <f t="shared" si="22"/>
        <v>-5745856</v>
      </c>
      <c r="M194" s="17">
        <f t="shared" si="23"/>
        <v>0.89740275694593241</v>
      </c>
    </row>
    <row r="195" spans="1:13" s="41" customFormat="1" ht="15" hidden="1" outlineLevel="1" x14ac:dyDescent="0.25">
      <c r="A195" s="42" t="s">
        <v>195</v>
      </c>
      <c r="B195" s="26"/>
      <c r="C195" s="26"/>
      <c r="D195" s="26"/>
      <c r="E195" s="20">
        <f>+[8]Hoja1!$H$11</f>
        <v>15000000</v>
      </c>
      <c r="F195" s="26"/>
      <c r="G195" s="26"/>
      <c r="H195" s="19">
        <f>+B195+C195+D195+G195+E195+F195</f>
        <v>15000000</v>
      </c>
      <c r="I195" s="26"/>
      <c r="J195" s="20">
        <f>+H195+I195</f>
        <v>15000000</v>
      </c>
      <c r="K195" s="20">
        <v>10975407</v>
      </c>
      <c r="L195" s="20">
        <f t="shared" si="22"/>
        <v>-4024593</v>
      </c>
      <c r="M195" s="21">
        <f t="shared" si="23"/>
        <v>0.73169379999999995</v>
      </c>
    </row>
    <row r="196" spans="1:13" s="41" customFormat="1" ht="15" hidden="1" outlineLevel="1" x14ac:dyDescent="0.25">
      <c r="A196" s="42" t="s">
        <v>196</v>
      </c>
      <c r="B196" s="26"/>
      <c r="C196" s="26"/>
      <c r="D196" s="26"/>
      <c r="E196" s="20">
        <f>+[8]Hoja1!$H$12</f>
        <v>40000000</v>
      </c>
      <c r="F196" s="26"/>
      <c r="G196" s="26"/>
      <c r="H196" s="19">
        <f>+B196+C196+D196+G196+E196+F196</f>
        <v>40000000</v>
      </c>
      <c r="I196" s="26"/>
      <c r="J196" s="20">
        <f>+H196+I196</f>
        <v>40000000</v>
      </c>
      <c r="K196" s="20">
        <v>38344003</v>
      </c>
      <c r="L196" s="20">
        <f t="shared" si="22"/>
        <v>-1655997</v>
      </c>
      <c r="M196" s="21">
        <f t="shared" si="23"/>
        <v>0.958600075</v>
      </c>
    </row>
    <row r="197" spans="1:13" s="41" customFormat="1" ht="15" hidden="1" outlineLevel="1" x14ac:dyDescent="0.25">
      <c r="A197" s="42" t="s">
        <v>197</v>
      </c>
      <c r="B197" s="26"/>
      <c r="C197" s="26"/>
      <c r="D197" s="26"/>
      <c r="E197" s="20">
        <f>+[8]Hoja1!$H$13</f>
        <v>1004000</v>
      </c>
      <c r="F197" s="26"/>
      <c r="G197" s="26"/>
      <c r="H197" s="19">
        <f>+B197+C197+D197+G197+E197+F197</f>
        <v>1004000</v>
      </c>
      <c r="I197" s="26"/>
      <c r="J197" s="20">
        <f>+H197+I197</f>
        <v>1004000</v>
      </c>
      <c r="K197" s="20">
        <v>938734</v>
      </c>
      <c r="L197" s="20">
        <f t="shared" si="22"/>
        <v>-65266</v>
      </c>
      <c r="M197" s="21">
        <f t="shared" si="23"/>
        <v>0.93499402390438247</v>
      </c>
    </row>
    <row r="198" spans="1:13" s="41" customFormat="1" ht="15" collapsed="1" x14ac:dyDescent="0.25">
      <c r="A198" s="42"/>
      <c r="B198" s="19"/>
      <c r="C198" s="26"/>
      <c r="D198" s="26"/>
      <c r="E198" s="26"/>
      <c r="F198" s="26"/>
      <c r="G198" s="26"/>
      <c r="H198" s="19"/>
      <c r="I198" s="26"/>
      <c r="J198" s="20"/>
      <c r="K198" s="20"/>
      <c r="L198" s="20"/>
      <c r="M198" s="21"/>
    </row>
    <row r="199" spans="1:13" ht="15" x14ac:dyDescent="0.25">
      <c r="A199" s="40" t="s">
        <v>198</v>
      </c>
      <c r="B199" s="19"/>
      <c r="C199" s="19"/>
      <c r="D199" s="19"/>
      <c r="E199" s="19"/>
      <c r="F199" s="19"/>
      <c r="G199" s="19"/>
      <c r="H199" s="19"/>
      <c r="I199" s="26">
        <f>+I200+I201</f>
        <v>766474327</v>
      </c>
      <c r="J199" s="26">
        <f>+I199+H199</f>
        <v>766474327</v>
      </c>
      <c r="K199" s="26">
        <f>+K200+K201</f>
        <v>790774676</v>
      </c>
      <c r="L199" s="26">
        <f t="shared" si="22"/>
        <v>24300349</v>
      </c>
      <c r="M199" s="17">
        <f t="shared" si="23"/>
        <v>1.0317040612372657</v>
      </c>
    </row>
    <row r="200" spans="1:13" ht="14.25" hidden="1" outlineLevel="1" x14ac:dyDescent="0.2">
      <c r="A200" s="47" t="s">
        <v>199</v>
      </c>
      <c r="B200" s="19"/>
      <c r="C200" s="19"/>
      <c r="D200" s="19"/>
      <c r="E200" s="19"/>
      <c r="F200" s="19"/>
      <c r="G200" s="19"/>
      <c r="H200" s="19"/>
      <c r="I200" s="20">
        <f>+('[1]Anexo 1 Minagricultura'!B14+'[1]Anexo 1 Minagricultura'!B18)*0.1</f>
        <v>479046454.375</v>
      </c>
      <c r="J200" s="20">
        <f>+I200+H200</f>
        <v>479046454.375</v>
      </c>
      <c r="K200" s="20">
        <v>494234174</v>
      </c>
      <c r="L200" s="20">
        <f t="shared" si="22"/>
        <v>15187719.625</v>
      </c>
      <c r="M200" s="21">
        <f t="shared" si="23"/>
        <v>1.0317040643684861</v>
      </c>
    </row>
    <row r="201" spans="1:13" ht="14.25" hidden="1" outlineLevel="1" x14ac:dyDescent="0.2">
      <c r="A201" s="47" t="s">
        <v>200</v>
      </c>
      <c r="B201" s="19"/>
      <c r="C201" s="19"/>
      <c r="D201" s="19"/>
      <c r="E201" s="19"/>
      <c r="F201" s="19"/>
      <c r="G201" s="19"/>
      <c r="H201" s="19"/>
      <c r="I201" s="20">
        <f>+('[1]Anexo 1 Minagricultura'!B15+'[1]Anexo 1 Minagricultura'!B19)*0.1</f>
        <v>287427872.625</v>
      </c>
      <c r="J201" s="20">
        <f>+I201+H201</f>
        <v>287427872.625</v>
      </c>
      <c r="K201" s="20">
        <v>296540502</v>
      </c>
      <c r="L201" s="20">
        <f t="shared" ref="L201:L209" si="28">+K201-J201</f>
        <v>9112629.375</v>
      </c>
      <c r="M201" s="21">
        <f t="shared" ref="M201:M209" si="29">IFERROR(K201/J201,0)</f>
        <v>1.0317040560185651</v>
      </c>
    </row>
    <row r="202" spans="1:13" ht="15" collapsed="1" x14ac:dyDescent="0.25">
      <c r="A202" s="25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7"/>
    </row>
    <row r="203" spans="1:13" ht="15" x14ac:dyDescent="0.25">
      <c r="A203" s="48" t="s">
        <v>201</v>
      </c>
      <c r="B203" s="16"/>
      <c r="C203" s="16"/>
      <c r="D203" s="16"/>
      <c r="E203" s="16"/>
      <c r="F203" s="16"/>
      <c r="G203" s="16"/>
      <c r="H203" s="16">
        <f>+B203+C203+D203+G203+F203</f>
        <v>0</v>
      </c>
      <c r="I203" s="16"/>
      <c r="J203" s="49">
        <f>+I203+H203</f>
        <v>0</v>
      </c>
      <c r="K203" s="49">
        <f>+J203+I203</f>
        <v>0</v>
      </c>
      <c r="L203" s="49">
        <f t="shared" si="28"/>
        <v>0</v>
      </c>
      <c r="M203" s="17">
        <f t="shared" si="29"/>
        <v>0</v>
      </c>
    </row>
    <row r="204" spans="1:13" ht="15" x14ac:dyDescent="0.25">
      <c r="A204" s="25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7"/>
    </row>
    <row r="205" spans="1:13" ht="15" x14ac:dyDescent="0.25">
      <c r="A205" s="40" t="s">
        <v>202</v>
      </c>
      <c r="B205" s="19"/>
      <c r="C205" s="19"/>
      <c r="D205" s="19"/>
      <c r="E205" s="19"/>
      <c r="F205" s="19"/>
      <c r="G205" s="19"/>
      <c r="H205" s="26">
        <f>+B205+C205+G205+F205</f>
        <v>0</v>
      </c>
      <c r="I205" s="26">
        <f>+I206+I207</f>
        <v>0</v>
      </c>
      <c r="J205" s="26">
        <f t="shared" ref="J205:K207" si="30">+I205+H205</f>
        <v>0</v>
      </c>
      <c r="K205" s="26">
        <f t="shared" si="30"/>
        <v>0</v>
      </c>
      <c r="L205" s="26">
        <f t="shared" si="28"/>
        <v>0</v>
      </c>
      <c r="M205" s="17">
        <f t="shared" si="29"/>
        <v>0</v>
      </c>
    </row>
    <row r="206" spans="1:13" s="50" customFormat="1" ht="14.25" hidden="1" outlineLevel="1" x14ac:dyDescent="0.2">
      <c r="A206" s="27" t="s">
        <v>203</v>
      </c>
      <c r="B206" s="19"/>
      <c r="C206" s="19"/>
      <c r="D206" s="19"/>
      <c r="E206" s="19"/>
      <c r="F206" s="19"/>
      <c r="G206" s="19"/>
      <c r="H206" s="19">
        <f>+B206+C206+G206+F206</f>
        <v>0</v>
      </c>
      <c r="I206" s="19">
        <v>0</v>
      </c>
      <c r="J206" s="19">
        <f t="shared" si="30"/>
        <v>0</v>
      </c>
      <c r="K206" s="19">
        <f t="shared" si="30"/>
        <v>0</v>
      </c>
      <c r="L206" s="19">
        <f t="shared" si="28"/>
        <v>0</v>
      </c>
      <c r="M206" s="21">
        <f t="shared" si="29"/>
        <v>0</v>
      </c>
    </row>
    <row r="207" spans="1:13" s="50" customFormat="1" ht="14.25" hidden="1" outlineLevel="1" x14ac:dyDescent="0.2">
      <c r="A207" s="27" t="s">
        <v>204</v>
      </c>
      <c r="B207" s="19"/>
      <c r="C207" s="19"/>
      <c r="D207" s="19"/>
      <c r="E207" s="19"/>
      <c r="F207" s="19"/>
      <c r="G207" s="19"/>
      <c r="H207" s="19">
        <f>+B207+C207+G207+F207</f>
        <v>0</v>
      </c>
      <c r="I207" s="19">
        <v>0</v>
      </c>
      <c r="J207" s="19">
        <f t="shared" si="30"/>
        <v>0</v>
      </c>
      <c r="K207" s="19">
        <f t="shared" si="30"/>
        <v>0</v>
      </c>
      <c r="L207" s="19">
        <f t="shared" si="28"/>
        <v>0</v>
      </c>
      <c r="M207" s="21">
        <f t="shared" si="29"/>
        <v>0</v>
      </c>
    </row>
    <row r="208" spans="1:13" ht="15" collapsed="1" x14ac:dyDescent="0.25">
      <c r="A208" s="25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7"/>
    </row>
    <row r="209" spans="1:18" ht="15" x14ac:dyDescent="0.25">
      <c r="A209" s="25" t="s">
        <v>205</v>
      </c>
      <c r="B209" s="26">
        <f>+B40+B38</f>
        <v>1388678665.3403664</v>
      </c>
      <c r="C209" s="26">
        <f>+C38+C40</f>
        <v>587290314.95849991</v>
      </c>
      <c r="D209" s="26">
        <f>+D40+D38</f>
        <v>715409707.9533875</v>
      </c>
      <c r="E209" s="26">
        <f>+E40+E38</f>
        <v>71262882.365164518</v>
      </c>
      <c r="F209" s="26">
        <f>+F40+F38</f>
        <v>2606140827.2427306</v>
      </c>
      <c r="G209" s="26">
        <f>+G38+G40+G203</f>
        <v>4555593605.7901649</v>
      </c>
      <c r="H209" s="26">
        <f>+B209+C209+D209+G209+E209+F209</f>
        <v>9924376003.6503143</v>
      </c>
      <c r="I209" s="26">
        <f>+I205+I199+I40+I38</f>
        <v>1014791604.2159358</v>
      </c>
      <c r="J209" s="26">
        <f>+I209+H209</f>
        <v>10939167607.866251</v>
      </c>
      <c r="K209" s="26">
        <f>+K38+K40+K199+K203+K205</f>
        <v>8962665504.0699997</v>
      </c>
      <c r="L209" s="26">
        <f t="shared" si="28"/>
        <v>-1976502103.7962513</v>
      </c>
      <c r="M209" s="17">
        <f t="shared" si="29"/>
        <v>0.81931878414816794</v>
      </c>
    </row>
    <row r="210" spans="1:18" ht="15.75" thickBot="1" x14ac:dyDescent="0.3">
      <c r="A210" s="51"/>
      <c r="B210" s="52"/>
      <c r="C210" s="53"/>
      <c r="D210" s="53"/>
      <c r="E210" s="54"/>
      <c r="F210" s="53"/>
      <c r="G210" s="54"/>
      <c r="H210" s="53"/>
      <c r="I210" s="53"/>
      <c r="J210" s="53"/>
      <c r="K210" s="53"/>
      <c r="L210" s="53"/>
      <c r="M210" s="55"/>
      <c r="N210" s="56"/>
      <c r="O210" s="56"/>
      <c r="P210" s="56"/>
      <c r="Q210" s="56"/>
      <c r="R210" s="56"/>
    </row>
    <row r="211" spans="1:18" ht="13.5" thickTop="1" x14ac:dyDescent="0.2">
      <c r="A211" s="57"/>
      <c r="B211" s="58"/>
      <c r="C211" s="58"/>
      <c r="D211" s="58"/>
      <c r="E211" s="58"/>
      <c r="F211" s="58"/>
      <c r="G211" s="59"/>
      <c r="H211" s="60"/>
      <c r="I211" s="58"/>
      <c r="J211" s="58"/>
      <c r="K211" s="58"/>
      <c r="L211" s="58"/>
      <c r="M211" s="61"/>
    </row>
    <row r="212" spans="1:18" hidden="1" x14ac:dyDescent="0.2">
      <c r="A212" s="57"/>
      <c r="B212" s="58"/>
      <c r="C212" s="58"/>
      <c r="D212" s="58"/>
      <c r="E212" s="58"/>
      <c r="F212" s="58"/>
      <c r="G212" s="62"/>
      <c r="H212" s="58"/>
      <c r="I212" s="58"/>
      <c r="J212" s="63"/>
      <c r="K212" s="63"/>
      <c r="L212" s="63"/>
      <c r="M212" s="64"/>
    </row>
    <row r="213" spans="1:18" ht="15.75" hidden="1" x14ac:dyDescent="0.25">
      <c r="A213" s="57"/>
      <c r="C213" s="60"/>
      <c r="D213" s="60"/>
      <c r="E213" s="60"/>
      <c r="F213" s="60"/>
      <c r="G213" s="65"/>
      <c r="H213" s="66" t="s">
        <v>206</v>
      </c>
      <c r="I213" s="66" t="s">
        <v>207</v>
      </c>
      <c r="J213" s="67" t="s">
        <v>208</v>
      </c>
      <c r="K213" s="67" t="s">
        <v>208</v>
      </c>
      <c r="L213" s="67" t="s">
        <v>208</v>
      </c>
      <c r="M213" s="60"/>
    </row>
    <row r="214" spans="1:18" ht="15.75" hidden="1" x14ac:dyDescent="0.25">
      <c r="A214" s="68"/>
      <c r="B214" s="60"/>
      <c r="C214" s="60"/>
      <c r="D214" s="60"/>
      <c r="E214" s="60"/>
      <c r="F214" s="60"/>
      <c r="G214" s="65" t="s">
        <v>209</v>
      </c>
      <c r="H214" s="69">
        <f>+B209+C209+D209+F209+I38+I200+E209</f>
        <v>6096146129.4510841</v>
      </c>
      <c r="I214" s="70">
        <f>+'[1]Anexo 1 Minagricultura'!B41</f>
        <v>6096146129.5632153</v>
      </c>
      <c r="J214" s="70">
        <f t="shared" ref="J214:L215" si="31">+I214-H214</f>
        <v>0.11213111877441406</v>
      </c>
      <c r="K214" s="70">
        <f t="shared" si="31"/>
        <v>-6096146129.4510841</v>
      </c>
      <c r="L214" s="70">
        <f t="shared" si="31"/>
        <v>-6096146129.5632153</v>
      </c>
      <c r="M214" s="60"/>
    </row>
    <row r="215" spans="1:18" ht="16.5" hidden="1" thickBot="1" x14ac:dyDescent="0.3">
      <c r="A215" s="57"/>
      <c r="B215" s="60"/>
      <c r="C215" s="58"/>
      <c r="D215" s="71"/>
      <c r="E215" s="60"/>
      <c r="F215" s="60"/>
      <c r="G215" s="65" t="s">
        <v>210</v>
      </c>
      <c r="H215" s="72">
        <f>+G209+I201</f>
        <v>4843021478.4151649</v>
      </c>
      <c r="I215" s="73">
        <f>+'[1]Anexo 1 Minagricultura'!B45</f>
        <v>4843021478.4151602</v>
      </c>
      <c r="J215" s="73">
        <f t="shared" si="31"/>
        <v>0</v>
      </c>
      <c r="K215" s="73">
        <f t="shared" si="31"/>
        <v>-4843021478.4151602</v>
      </c>
      <c r="L215" s="73">
        <f t="shared" si="31"/>
        <v>-4843021478.4151602</v>
      </c>
      <c r="M215" s="60"/>
    </row>
    <row r="216" spans="1:18" ht="15.75" hidden="1" x14ac:dyDescent="0.25">
      <c r="A216" s="57"/>
      <c r="B216" s="58"/>
      <c r="C216" s="58"/>
      <c r="D216" s="71"/>
      <c r="E216" s="60"/>
      <c r="F216" s="60"/>
      <c r="G216" s="65"/>
      <c r="H216" s="74">
        <f>+H214+H215</f>
        <v>10939167607.866249</v>
      </c>
      <c r="I216" s="75">
        <f>+I215+I214</f>
        <v>10939167607.978374</v>
      </c>
      <c r="J216" s="75">
        <f>+J215+J214</f>
        <v>0.11213111877441406</v>
      </c>
      <c r="K216" s="75">
        <f>+K215+K214</f>
        <v>-10939167607.866245</v>
      </c>
      <c r="L216" s="75">
        <f>+L215+L214</f>
        <v>-10939167607.978374</v>
      </c>
      <c r="M216" s="60"/>
    </row>
    <row r="217" spans="1:18" ht="15.75" hidden="1" x14ac:dyDescent="0.25">
      <c r="A217" s="57"/>
      <c r="B217" s="60"/>
      <c r="C217" s="60"/>
      <c r="D217" s="60"/>
      <c r="E217" s="60"/>
      <c r="F217" s="60"/>
      <c r="G217" s="65"/>
      <c r="H217" s="69"/>
      <c r="I217" s="65"/>
      <c r="J217" s="76"/>
      <c r="K217" s="76"/>
      <c r="L217" s="76"/>
      <c r="M217" s="60"/>
    </row>
    <row r="218" spans="1:18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3"/>
      <c r="K218" s="63"/>
      <c r="L218" s="63"/>
      <c r="M218" s="60"/>
    </row>
    <row r="219" spans="1:18" x14ac:dyDescent="0.2">
      <c r="A219" s="60"/>
      <c r="B219" s="60"/>
      <c r="C219" s="60"/>
      <c r="D219" s="60"/>
      <c r="E219" s="60"/>
      <c r="F219" s="60"/>
      <c r="G219" s="60"/>
      <c r="H219" s="58"/>
      <c r="I219" s="58"/>
      <c r="J219" s="60"/>
      <c r="K219" s="60"/>
      <c r="L219" s="60"/>
      <c r="M219" s="60"/>
    </row>
    <row r="220" spans="1:18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1:18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1:18" x14ac:dyDescent="0.2">
      <c r="A222" s="60"/>
      <c r="B222" s="60"/>
      <c r="C222" s="60"/>
      <c r="D222" s="60"/>
      <c r="E222" s="60"/>
      <c r="F222" s="60"/>
      <c r="G222" s="60"/>
      <c r="H222" s="60"/>
      <c r="I222" s="71"/>
      <c r="J222" s="60"/>
      <c r="K222" s="60"/>
      <c r="L222" s="60"/>
      <c r="M222" s="60"/>
    </row>
    <row r="223" spans="1:18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8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</row>
    <row r="225" spans="1:13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1:13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1:13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1:13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1:13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1:13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1:13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1:13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1:13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1:13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1:13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</row>
    <row r="238" spans="1:13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</row>
    <row r="239" spans="1:13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</row>
    <row r="240" spans="1:13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</row>
    <row r="241" spans="1:13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</row>
    <row r="242" spans="1:13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</row>
    <row r="243" spans="1:13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</row>
    <row r="245" spans="1:13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</row>
    <row r="246" spans="1:13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</row>
    <row r="247" spans="1:13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</row>
    <row r="248" spans="1:13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</row>
    <row r="249" spans="1:13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</row>
    <row r="250" spans="1:13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</row>
    <row r="251" spans="1:13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</row>
    <row r="252" spans="1:13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</row>
    <row r="253" spans="1:13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</row>
    <row r="254" spans="1:13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</row>
    <row r="255" spans="1:13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</row>
    <row r="256" spans="1:13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</row>
    <row r="257" spans="1:13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</row>
    <row r="258" spans="1:13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</row>
    <row r="259" spans="1:13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</row>
    <row r="260" spans="1:13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</row>
    <row r="261" spans="1:13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</row>
    <row r="262" spans="1:13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</row>
    <row r="263" spans="1:13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</row>
    <row r="264" spans="1:13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</row>
    <row r="265" spans="1:13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</row>
    <row r="266" spans="1:13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</row>
    <row r="267" spans="1:13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</row>
    <row r="268" spans="1:13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</row>
    <row r="269" spans="1:13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</row>
    <row r="270" spans="1:13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</row>
    <row r="271" spans="1:13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</row>
    <row r="272" spans="1:13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</row>
    <row r="273" spans="1:13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</row>
    <row r="274" spans="1:13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</row>
    <row r="275" spans="1:13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</row>
    <row r="276" spans="1:13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</row>
    <row r="277" spans="1:13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</row>
    <row r="278" spans="1:13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</row>
    <row r="279" spans="1:13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</row>
    <row r="280" spans="1:13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</row>
    <row r="281" spans="1:13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</row>
    <row r="282" spans="1:13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</row>
    <row r="283" spans="1:13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</row>
    <row r="284" spans="1:13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</row>
    <row r="285" spans="1:13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</row>
    <row r="286" spans="1:13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</row>
    <row r="287" spans="1:13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</row>
    <row r="288" spans="1:13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2019-10-16T17:42:26Z</dcterms:created>
  <dcterms:modified xsi:type="dcterms:W3CDTF">2019-10-16T17:42:53Z</dcterms:modified>
</cp:coreProperties>
</file>