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5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hidden="1">#REF!</definedName>
    <definedName name="ANEXO" hidden="1">'[7]Inversión total en programas'!$A$50:$IV$50,'[7]Inversión total en programas'!$A$60:$IV$63</definedName>
    <definedName name="_xlnm.Print_Area" localSheetId="0">'Anexo 2 '!$A$1:$M$202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'[9]Anexo 1 Minagricultura'!#REF!</definedName>
    <definedName name="CABEZAS_PROYEC">'[1]Anexo 1 Minagricultura'!#REF!</definedName>
    <definedName name="CUOTAPPC2005">'[1]Anexo 1 Minagricultura'!#REF!</definedName>
    <definedName name="CUOTAPPC2013">'[1]Anexo 1 Minagricultura'!#REF!</definedName>
    <definedName name="CUOTAPPC203">'[1]Anexo 1 Minagricultura'!#REF!</definedName>
    <definedName name="DIAG_PPC">#REF!</definedName>
    <definedName name="DISTRIBUIDOR">#REF!</definedName>
    <definedName name="Dólar">#REF!</definedName>
    <definedName name="eeeee">'[1]Ejecución ingresos 2014'!#REF!</definedName>
    <definedName name="EPPC">'[1]Anexo 1 Minagricultura'!#REF!</definedName>
    <definedName name="Euro">#REF!</definedName>
    <definedName name="FDGFDG">#REF!</definedName>
    <definedName name="FECHA_DE_RECIBIDO">[10]BASE!$E$3:$E$177</definedName>
    <definedName name="FOMENTO">'[1]Anexo 1 Minagricultura'!#REF!</definedName>
    <definedName name="FOMENTOS">'[13]Anexo 1 Minagricultura'!$C$51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LABORATORIOS">#REF!</definedName>
    <definedName name="NOMBDISTRI">#REF!</definedName>
    <definedName name="Pasajes">#REF!</definedName>
    <definedName name="ppc">'[14]Inversión total en programas'!$B$86</definedName>
    <definedName name="RESERV_FUTU">#REF!</definedName>
    <definedName name="saldo">'[1]Ejecución ingresos 2014'!#REF!</definedName>
    <definedName name="saldos">'[1]Ejecución ingresos 2014'!#REF!</definedName>
    <definedName name="SUPERA2004">'[1]Anexo 1 Minagricultura'!#REF!</definedName>
    <definedName name="SUPERA2005">'[1]Anexo 1 Minagricultura'!#REF!</definedName>
    <definedName name="SUPERA2010">'[14]Anexo 1 Minagricultura'!$C$21</definedName>
    <definedName name="SUPERA2012">'[1]Anexo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2 '!$1:$7</definedName>
    <definedName name="_xlnm.Print_Titles">#REF!</definedName>
    <definedName name="VTAS2005">'[1]Anexo 1 Minagricultura'!$B$32</definedName>
    <definedName name="xx">[15]Ingresos!$C$19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'[17]Ingresos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7" i="1" l="1"/>
  <c r="I206" i="1"/>
  <c r="J199" i="1"/>
  <c r="M199" i="1" s="1"/>
  <c r="H199" i="1"/>
  <c r="H198" i="1"/>
  <c r="J198" i="1" s="1"/>
  <c r="M198" i="1" s="1"/>
  <c r="J197" i="1"/>
  <c r="I197" i="1"/>
  <c r="H197" i="1"/>
  <c r="H195" i="1"/>
  <c r="J195" i="1" s="1"/>
  <c r="L195" i="1" s="1"/>
  <c r="I193" i="1"/>
  <c r="J193" i="1" s="1"/>
  <c r="I192" i="1"/>
  <c r="I191" i="1" s="1"/>
  <c r="J191" i="1" s="1"/>
  <c r="K191" i="1"/>
  <c r="E189" i="1"/>
  <c r="E186" i="1" s="1"/>
  <c r="E185" i="1" s="1"/>
  <c r="E40" i="1" s="1"/>
  <c r="E188" i="1"/>
  <c r="H188" i="1" s="1"/>
  <c r="J188" i="1" s="1"/>
  <c r="E187" i="1"/>
  <c r="H187" i="1" s="1"/>
  <c r="K186" i="1"/>
  <c r="M183" i="1"/>
  <c r="L183" i="1"/>
  <c r="D183" i="1"/>
  <c r="H183" i="1" s="1"/>
  <c r="J183" i="1" s="1"/>
  <c r="D182" i="1"/>
  <c r="H182" i="1" s="1"/>
  <c r="J182" i="1" s="1"/>
  <c r="J181" i="1"/>
  <c r="D181" i="1"/>
  <c r="H181" i="1" s="1"/>
  <c r="D180" i="1"/>
  <c r="H180" i="1" s="1"/>
  <c r="J180" i="1" s="1"/>
  <c r="L180" i="1" s="1"/>
  <c r="H179" i="1"/>
  <c r="J179" i="1" s="1"/>
  <c r="D179" i="1"/>
  <c r="M178" i="1"/>
  <c r="H178" i="1"/>
  <c r="J178" i="1" s="1"/>
  <c r="L178" i="1" s="1"/>
  <c r="D177" i="1"/>
  <c r="H177" i="1" s="1"/>
  <c r="J177" i="1" s="1"/>
  <c r="D176" i="1"/>
  <c r="K175" i="1"/>
  <c r="D174" i="1"/>
  <c r="D171" i="1" s="1"/>
  <c r="J173" i="1"/>
  <c r="D173" i="1"/>
  <c r="H173" i="1" s="1"/>
  <c r="D172" i="1"/>
  <c r="H172" i="1" s="1"/>
  <c r="K171" i="1"/>
  <c r="K170" i="1"/>
  <c r="D169" i="1"/>
  <c r="H169" i="1" s="1"/>
  <c r="J169" i="1" s="1"/>
  <c r="M169" i="1" s="1"/>
  <c r="H168" i="1"/>
  <c r="J168" i="1" s="1"/>
  <c r="H167" i="1"/>
  <c r="J167" i="1" s="1"/>
  <c r="J166" i="1"/>
  <c r="M166" i="1" s="1"/>
  <c r="H166" i="1"/>
  <c r="D166" i="1"/>
  <c r="J165" i="1"/>
  <c r="H165" i="1"/>
  <c r="H164" i="1"/>
  <c r="D164" i="1"/>
  <c r="K163" i="1"/>
  <c r="H162" i="1"/>
  <c r="J162" i="1" s="1"/>
  <c r="L162" i="1" s="1"/>
  <c r="H161" i="1"/>
  <c r="J161" i="1" s="1"/>
  <c r="M161" i="1" s="1"/>
  <c r="M160" i="1"/>
  <c r="H160" i="1"/>
  <c r="J160" i="1" s="1"/>
  <c r="L160" i="1" s="1"/>
  <c r="D159" i="1"/>
  <c r="D157" i="1" s="1"/>
  <c r="D158" i="1"/>
  <c r="H158" i="1" s="1"/>
  <c r="K157" i="1"/>
  <c r="K156" i="1"/>
  <c r="D155" i="1"/>
  <c r="H155" i="1" s="1"/>
  <c r="J155" i="1" s="1"/>
  <c r="M155" i="1" s="1"/>
  <c r="D154" i="1"/>
  <c r="H154" i="1" s="1"/>
  <c r="J154" i="1" s="1"/>
  <c r="M154" i="1" s="1"/>
  <c r="H153" i="1"/>
  <c r="J153" i="1" s="1"/>
  <c r="D153" i="1"/>
  <c r="K152" i="1"/>
  <c r="J149" i="1"/>
  <c r="L149" i="1" s="1"/>
  <c r="H149" i="1"/>
  <c r="C149" i="1"/>
  <c r="C148" i="1"/>
  <c r="H148" i="1" s="1"/>
  <c r="J148" i="1" s="1"/>
  <c r="M148" i="1" s="1"/>
  <c r="M147" i="1"/>
  <c r="C147" i="1"/>
  <c r="H147" i="1" s="1"/>
  <c r="J147" i="1" s="1"/>
  <c r="L147" i="1" s="1"/>
  <c r="J146" i="1"/>
  <c r="L146" i="1" s="1"/>
  <c r="H146" i="1"/>
  <c r="C146" i="1"/>
  <c r="C145" i="1" s="1"/>
  <c r="K145" i="1"/>
  <c r="H145" i="1"/>
  <c r="M144" i="1"/>
  <c r="C144" i="1"/>
  <c r="H144" i="1" s="1"/>
  <c r="J144" i="1" s="1"/>
  <c r="L144" i="1" s="1"/>
  <c r="L143" i="1"/>
  <c r="C143" i="1"/>
  <c r="H143" i="1" s="1"/>
  <c r="J143" i="1" s="1"/>
  <c r="M143" i="1" s="1"/>
  <c r="C142" i="1"/>
  <c r="H142" i="1" s="1"/>
  <c r="J142" i="1" s="1"/>
  <c r="J141" i="1"/>
  <c r="M141" i="1" s="1"/>
  <c r="H141" i="1"/>
  <c r="H140" i="1"/>
  <c r="J140" i="1" s="1"/>
  <c r="C140" i="1"/>
  <c r="C139" i="1"/>
  <c r="H139" i="1" s="1"/>
  <c r="J139" i="1" s="1"/>
  <c r="M139" i="1" s="1"/>
  <c r="H138" i="1"/>
  <c r="J138" i="1" s="1"/>
  <c r="M138" i="1" s="1"/>
  <c r="K137" i="1"/>
  <c r="C136" i="1"/>
  <c r="H136" i="1" s="1"/>
  <c r="J136" i="1" s="1"/>
  <c r="M136" i="1" s="1"/>
  <c r="C135" i="1"/>
  <c r="C130" i="1" s="1"/>
  <c r="M134" i="1"/>
  <c r="H134" i="1"/>
  <c r="J134" i="1" s="1"/>
  <c r="L134" i="1" s="1"/>
  <c r="C134" i="1"/>
  <c r="H133" i="1"/>
  <c r="J133" i="1" s="1"/>
  <c r="M133" i="1" s="1"/>
  <c r="C133" i="1"/>
  <c r="H132" i="1"/>
  <c r="J132" i="1" s="1"/>
  <c r="M132" i="1" s="1"/>
  <c r="C132" i="1"/>
  <c r="M131" i="1"/>
  <c r="L131" i="1"/>
  <c r="H131" i="1"/>
  <c r="J131" i="1" s="1"/>
  <c r="K130" i="1"/>
  <c r="H130" i="1"/>
  <c r="G127" i="1"/>
  <c r="H127" i="1" s="1"/>
  <c r="J127" i="1" s="1"/>
  <c r="M127" i="1" s="1"/>
  <c r="G126" i="1"/>
  <c r="H126" i="1" s="1"/>
  <c r="J126" i="1" s="1"/>
  <c r="M126" i="1" s="1"/>
  <c r="G125" i="1"/>
  <c r="K124" i="1"/>
  <c r="G123" i="1"/>
  <c r="H123" i="1" s="1"/>
  <c r="J123" i="1" s="1"/>
  <c r="G122" i="1"/>
  <c r="H122" i="1" s="1"/>
  <c r="H121" i="1" s="1"/>
  <c r="K121" i="1"/>
  <c r="G120" i="1"/>
  <c r="H120" i="1" s="1"/>
  <c r="J120" i="1" s="1"/>
  <c r="J119" i="1"/>
  <c r="G119" i="1"/>
  <c r="H119" i="1" s="1"/>
  <c r="G118" i="1"/>
  <c r="H118" i="1" s="1"/>
  <c r="J118" i="1" s="1"/>
  <c r="M118" i="1" s="1"/>
  <c r="H117" i="1"/>
  <c r="J117" i="1" s="1"/>
  <c r="G117" i="1"/>
  <c r="H116" i="1"/>
  <c r="J116" i="1" s="1"/>
  <c r="G116" i="1"/>
  <c r="J115" i="1"/>
  <c r="L115" i="1" s="1"/>
  <c r="H115" i="1"/>
  <c r="G115" i="1"/>
  <c r="K114" i="1"/>
  <c r="G114" i="1"/>
  <c r="H113" i="1"/>
  <c r="J113" i="1" s="1"/>
  <c r="L113" i="1" s="1"/>
  <c r="G113" i="1"/>
  <c r="H112" i="1"/>
  <c r="G112" i="1"/>
  <c r="K111" i="1"/>
  <c r="G111" i="1"/>
  <c r="H110" i="1"/>
  <c r="J110" i="1" s="1"/>
  <c r="G110" i="1"/>
  <c r="H109" i="1"/>
  <c r="J109" i="1" s="1"/>
  <c r="M109" i="1" s="1"/>
  <c r="G109" i="1"/>
  <c r="H108" i="1"/>
  <c r="J108" i="1" s="1"/>
  <c r="G108" i="1"/>
  <c r="G107" i="1"/>
  <c r="K106" i="1"/>
  <c r="H103" i="1"/>
  <c r="J103" i="1" s="1"/>
  <c r="F103" i="1"/>
  <c r="H102" i="1"/>
  <c r="H101" i="1" s="1"/>
  <c r="F102" i="1"/>
  <c r="K101" i="1"/>
  <c r="F101" i="1"/>
  <c r="H100" i="1"/>
  <c r="J100" i="1" s="1"/>
  <c r="L100" i="1" s="1"/>
  <c r="F100" i="1"/>
  <c r="H99" i="1"/>
  <c r="F99" i="1"/>
  <c r="K98" i="1"/>
  <c r="F98" i="1"/>
  <c r="H97" i="1"/>
  <c r="J97" i="1" s="1"/>
  <c r="J96" i="1"/>
  <c r="L96" i="1" s="1"/>
  <c r="F96" i="1"/>
  <c r="H96" i="1" s="1"/>
  <c r="F95" i="1"/>
  <c r="H95" i="1" s="1"/>
  <c r="J95" i="1" s="1"/>
  <c r="J94" i="1"/>
  <c r="M94" i="1" s="1"/>
  <c r="F94" i="1"/>
  <c r="H94" i="1" s="1"/>
  <c r="F93" i="1"/>
  <c r="H93" i="1" s="1"/>
  <c r="K92" i="1"/>
  <c r="F91" i="1"/>
  <c r="H91" i="1" s="1"/>
  <c r="J91" i="1" s="1"/>
  <c r="H90" i="1"/>
  <c r="J90" i="1" s="1"/>
  <c r="L90" i="1" s="1"/>
  <c r="F90" i="1"/>
  <c r="F89" i="1"/>
  <c r="H89" i="1" s="1"/>
  <c r="J89" i="1" s="1"/>
  <c r="H88" i="1"/>
  <c r="J88" i="1" s="1"/>
  <c r="L88" i="1" s="1"/>
  <c r="F87" i="1"/>
  <c r="H87" i="1" s="1"/>
  <c r="J87" i="1" s="1"/>
  <c r="M86" i="1"/>
  <c r="F86" i="1"/>
  <c r="H86" i="1" s="1"/>
  <c r="J86" i="1" s="1"/>
  <c r="L86" i="1" s="1"/>
  <c r="H85" i="1"/>
  <c r="J85" i="1" s="1"/>
  <c r="F85" i="1"/>
  <c r="F84" i="1"/>
  <c r="H84" i="1" s="1"/>
  <c r="J84" i="1" s="1"/>
  <c r="L84" i="1" s="1"/>
  <c r="H83" i="1"/>
  <c r="H82" i="1" s="1"/>
  <c r="F83" i="1"/>
  <c r="K82" i="1"/>
  <c r="M81" i="1"/>
  <c r="H81" i="1"/>
  <c r="J81" i="1" s="1"/>
  <c r="L81" i="1" s="1"/>
  <c r="F80" i="1"/>
  <c r="H79" i="1"/>
  <c r="J79" i="1" s="1"/>
  <c r="J78" i="1"/>
  <c r="M78" i="1" s="1"/>
  <c r="H78" i="1"/>
  <c r="F78" i="1"/>
  <c r="H77" i="1"/>
  <c r="K76" i="1"/>
  <c r="B73" i="1"/>
  <c r="H73" i="1" s="1"/>
  <c r="J73" i="1" s="1"/>
  <c r="B72" i="1"/>
  <c r="K71" i="1"/>
  <c r="H70" i="1"/>
  <c r="J70" i="1" s="1"/>
  <c r="M70" i="1" s="1"/>
  <c r="M69" i="1"/>
  <c r="J69" i="1"/>
  <c r="L69" i="1" s="1"/>
  <c r="B69" i="1"/>
  <c r="H69" i="1" s="1"/>
  <c r="B68" i="1"/>
  <c r="H68" i="1" s="1"/>
  <c r="J68" i="1" s="1"/>
  <c r="H67" i="1"/>
  <c r="B67" i="1"/>
  <c r="K66" i="1"/>
  <c r="H65" i="1"/>
  <c r="J65" i="1" s="1"/>
  <c r="M65" i="1" s="1"/>
  <c r="B64" i="1"/>
  <c r="H64" i="1" s="1"/>
  <c r="J64" i="1" s="1"/>
  <c r="B63" i="1"/>
  <c r="H63" i="1" s="1"/>
  <c r="J63" i="1" s="1"/>
  <c r="M63" i="1" s="1"/>
  <c r="K62" i="1"/>
  <c r="H61" i="1"/>
  <c r="J61" i="1" s="1"/>
  <c r="B61" i="1"/>
  <c r="H60" i="1"/>
  <c r="J60" i="1" s="1"/>
  <c r="B60" i="1"/>
  <c r="B59" i="1"/>
  <c r="K58" i="1"/>
  <c r="B57" i="1"/>
  <c r="H57" i="1" s="1"/>
  <c r="J57" i="1" s="1"/>
  <c r="L56" i="1"/>
  <c r="B56" i="1"/>
  <c r="H56" i="1" s="1"/>
  <c r="J56" i="1" s="1"/>
  <c r="M56" i="1" s="1"/>
  <c r="B55" i="1"/>
  <c r="M54" i="1"/>
  <c r="H54" i="1"/>
  <c r="J54" i="1" s="1"/>
  <c r="L54" i="1" s="1"/>
  <c r="B54" i="1"/>
  <c r="K53" i="1"/>
  <c r="B52" i="1"/>
  <c r="H52" i="1" s="1"/>
  <c r="J52" i="1" s="1"/>
  <c r="M52" i="1" s="1"/>
  <c r="J51" i="1"/>
  <c r="M51" i="1" s="1"/>
  <c r="B51" i="1"/>
  <c r="H51" i="1" s="1"/>
  <c r="K50" i="1"/>
  <c r="H48" i="1"/>
  <c r="B48" i="1"/>
  <c r="B46" i="1"/>
  <c r="H46" i="1" s="1"/>
  <c r="J46" i="1" s="1"/>
  <c r="M46" i="1" s="1"/>
  <c r="B45" i="1"/>
  <c r="H45" i="1" s="1"/>
  <c r="L44" i="1"/>
  <c r="B44" i="1"/>
  <c r="H44" i="1" s="1"/>
  <c r="J44" i="1" s="1"/>
  <c r="K43" i="1"/>
  <c r="B43" i="1"/>
  <c r="K37" i="1"/>
  <c r="D37" i="1"/>
  <c r="J36" i="1"/>
  <c r="I36" i="1"/>
  <c r="H36" i="1"/>
  <c r="J35" i="1"/>
  <c r="M35" i="1" s="1"/>
  <c r="I35" i="1"/>
  <c r="H35" i="1"/>
  <c r="I34" i="1"/>
  <c r="G34" i="1"/>
  <c r="H34" i="1" s="1"/>
  <c r="J34" i="1" s="1"/>
  <c r="F34" i="1"/>
  <c r="B34" i="1"/>
  <c r="I33" i="1"/>
  <c r="G33" i="1"/>
  <c r="F33" i="1"/>
  <c r="D33" i="1"/>
  <c r="C33" i="1"/>
  <c r="H33" i="1" s="1"/>
  <c r="J33" i="1" s="1"/>
  <c r="B33" i="1"/>
  <c r="I32" i="1"/>
  <c r="J32" i="1" s="1"/>
  <c r="H32" i="1"/>
  <c r="I31" i="1"/>
  <c r="G31" i="1"/>
  <c r="F31" i="1"/>
  <c r="D31" i="1"/>
  <c r="C31" i="1"/>
  <c r="B31" i="1"/>
  <c r="H31" i="1" s="1"/>
  <c r="J31" i="1" s="1"/>
  <c r="J30" i="1"/>
  <c r="M30" i="1" s="1"/>
  <c r="I30" i="1"/>
  <c r="H30" i="1"/>
  <c r="G30" i="1"/>
  <c r="I29" i="1"/>
  <c r="G29" i="1"/>
  <c r="G37" i="1" s="1"/>
  <c r="E29" i="1"/>
  <c r="D29" i="1"/>
  <c r="C29" i="1"/>
  <c r="B29" i="1"/>
  <c r="I28" i="1"/>
  <c r="H28" i="1"/>
  <c r="J28" i="1" s="1"/>
  <c r="G28" i="1"/>
  <c r="F28" i="1"/>
  <c r="E28" i="1"/>
  <c r="D28" i="1"/>
  <c r="C28" i="1"/>
  <c r="B28" i="1"/>
  <c r="M27" i="1"/>
  <c r="L27" i="1"/>
  <c r="I27" i="1"/>
  <c r="H27" i="1"/>
  <c r="J27" i="1" s="1"/>
  <c r="I26" i="1"/>
  <c r="G26" i="1"/>
  <c r="F26" i="1"/>
  <c r="E26" i="1"/>
  <c r="E37" i="1" s="1"/>
  <c r="E38" i="1" s="1"/>
  <c r="D26" i="1"/>
  <c r="C26" i="1"/>
  <c r="B26" i="1"/>
  <c r="H26" i="1" s="1"/>
  <c r="J26" i="1" s="1"/>
  <c r="I25" i="1"/>
  <c r="H25" i="1"/>
  <c r="J25" i="1" s="1"/>
  <c r="M25" i="1" s="1"/>
  <c r="G25" i="1"/>
  <c r="F25" i="1"/>
  <c r="E25" i="1"/>
  <c r="D25" i="1"/>
  <c r="C25" i="1"/>
  <c r="B25" i="1"/>
  <c r="I24" i="1"/>
  <c r="H24" i="1"/>
  <c r="J24" i="1" s="1"/>
  <c r="M24" i="1" s="1"/>
  <c r="G24" i="1"/>
  <c r="I23" i="1"/>
  <c r="G23" i="1"/>
  <c r="E23" i="1"/>
  <c r="D23" i="1"/>
  <c r="C23" i="1"/>
  <c r="B23" i="1"/>
  <c r="H23" i="1" s="1"/>
  <c r="J23" i="1" s="1"/>
  <c r="L23" i="1" s="1"/>
  <c r="I22" i="1"/>
  <c r="G22" i="1"/>
  <c r="F22" i="1"/>
  <c r="D22" i="1"/>
  <c r="C22" i="1"/>
  <c r="B22" i="1"/>
  <c r="B37" i="1" s="1"/>
  <c r="K20" i="1"/>
  <c r="I19" i="1"/>
  <c r="G19" i="1"/>
  <c r="F19" i="1"/>
  <c r="E19" i="1"/>
  <c r="D19" i="1"/>
  <c r="C19" i="1"/>
  <c r="B19" i="1"/>
  <c r="H19" i="1" s="1"/>
  <c r="J19" i="1" s="1"/>
  <c r="L19" i="1" s="1"/>
  <c r="I18" i="1"/>
  <c r="G18" i="1"/>
  <c r="F18" i="1"/>
  <c r="E18" i="1"/>
  <c r="D18" i="1"/>
  <c r="C18" i="1"/>
  <c r="B18" i="1"/>
  <c r="H18" i="1" s="1"/>
  <c r="J18" i="1" s="1"/>
  <c r="I17" i="1"/>
  <c r="G17" i="1"/>
  <c r="F17" i="1"/>
  <c r="E17" i="1"/>
  <c r="D17" i="1"/>
  <c r="C17" i="1"/>
  <c r="B17" i="1"/>
  <c r="I16" i="1"/>
  <c r="G16" i="1"/>
  <c r="H16" i="1" s="1"/>
  <c r="J16" i="1" s="1"/>
  <c r="F16" i="1"/>
  <c r="E16" i="1"/>
  <c r="D16" i="1"/>
  <c r="C16" i="1"/>
  <c r="B16" i="1"/>
  <c r="I15" i="1"/>
  <c r="G15" i="1"/>
  <c r="F15" i="1"/>
  <c r="E15" i="1"/>
  <c r="D15" i="1"/>
  <c r="C15" i="1"/>
  <c r="B15" i="1"/>
  <c r="H15" i="1" s="1"/>
  <c r="J15" i="1" s="1"/>
  <c r="I14" i="1"/>
  <c r="G14" i="1"/>
  <c r="F14" i="1"/>
  <c r="D14" i="1"/>
  <c r="C14" i="1"/>
  <c r="B14" i="1"/>
  <c r="B9" i="1" s="1"/>
  <c r="I13" i="1"/>
  <c r="H13" i="1"/>
  <c r="J13" i="1" s="1"/>
  <c r="B13" i="1"/>
  <c r="I12" i="1"/>
  <c r="H12" i="1"/>
  <c r="J12" i="1" s="1"/>
  <c r="M12" i="1" s="1"/>
  <c r="G12" i="1"/>
  <c r="F12" i="1"/>
  <c r="E12" i="1"/>
  <c r="D12" i="1"/>
  <c r="C12" i="1"/>
  <c r="B12" i="1"/>
  <c r="I11" i="1"/>
  <c r="G11" i="1"/>
  <c r="F11" i="1"/>
  <c r="E11" i="1"/>
  <c r="D11" i="1"/>
  <c r="C11" i="1"/>
  <c r="H11" i="1" s="1"/>
  <c r="J11" i="1" s="1"/>
  <c r="B11" i="1"/>
  <c r="I10" i="1"/>
  <c r="I20" i="1" s="1"/>
  <c r="G10" i="1"/>
  <c r="F10" i="1"/>
  <c r="F20" i="1" s="1"/>
  <c r="E10" i="1"/>
  <c r="E20" i="1" s="1"/>
  <c r="D10" i="1"/>
  <c r="D20" i="1" s="1"/>
  <c r="C10" i="1"/>
  <c r="C9" i="1" s="1"/>
  <c r="B10" i="1"/>
  <c r="K9" i="1"/>
  <c r="F9" i="1"/>
  <c r="E9" i="1"/>
  <c r="M11" i="1" l="1"/>
  <c r="L11" i="1"/>
  <c r="H92" i="1"/>
  <c r="J93" i="1"/>
  <c r="M16" i="1"/>
  <c r="L16" i="1"/>
  <c r="B38" i="1"/>
  <c r="M28" i="1"/>
  <c r="L28" i="1"/>
  <c r="M87" i="1"/>
  <c r="L87" i="1"/>
  <c r="L117" i="1"/>
  <c r="M117" i="1"/>
  <c r="E201" i="1"/>
  <c r="L18" i="1"/>
  <c r="M18" i="1"/>
  <c r="L57" i="1"/>
  <c r="M57" i="1"/>
  <c r="L33" i="1"/>
  <c r="M33" i="1"/>
  <c r="M60" i="1"/>
  <c r="L60" i="1"/>
  <c r="L85" i="1"/>
  <c r="M85" i="1"/>
  <c r="M91" i="1"/>
  <c r="L91" i="1"/>
  <c r="G38" i="1"/>
  <c r="M68" i="1"/>
  <c r="L68" i="1"/>
  <c r="M123" i="1"/>
  <c r="L123" i="1"/>
  <c r="H43" i="1"/>
  <c r="J45" i="1"/>
  <c r="L64" i="1"/>
  <c r="M64" i="1"/>
  <c r="J62" i="1"/>
  <c r="M62" i="1" s="1"/>
  <c r="L89" i="1"/>
  <c r="M89" i="1"/>
  <c r="M95" i="1"/>
  <c r="L95" i="1"/>
  <c r="M32" i="1"/>
  <c r="L32" i="1"/>
  <c r="L179" i="1"/>
  <c r="M179" i="1"/>
  <c r="M73" i="1"/>
  <c r="L73" i="1"/>
  <c r="M26" i="1"/>
  <c r="L26" i="1"/>
  <c r="M13" i="1"/>
  <c r="L13" i="1"/>
  <c r="M15" i="1"/>
  <c r="L15" i="1"/>
  <c r="M31" i="1"/>
  <c r="L31" i="1"/>
  <c r="L34" i="1"/>
  <c r="M34" i="1"/>
  <c r="M120" i="1"/>
  <c r="L120" i="1"/>
  <c r="C37" i="1"/>
  <c r="H66" i="1"/>
  <c r="J67" i="1"/>
  <c r="M79" i="1"/>
  <c r="L79" i="1"/>
  <c r="H98" i="1"/>
  <c r="J99" i="1"/>
  <c r="M108" i="1"/>
  <c r="L108" i="1"/>
  <c r="K129" i="1"/>
  <c r="D152" i="1"/>
  <c r="M168" i="1"/>
  <c r="L168" i="1"/>
  <c r="L30" i="1"/>
  <c r="L52" i="1"/>
  <c r="L65" i="1"/>
  <c r="J77" i="1"/>
  <c r="M88" i="1"/>
  <c r="H114" i="1"/>
  <c r="L138" i="1"/>
  <c r="L141" i="1"/>
  <c r="H152" i="1"/>
  <c r="L155" i="1"/>
  <c r="H159" i="1"/>
  <c r="J159" i="1" s="1"/>
  <c r="M162" i="1"/>
  <c r="H171" i="1"/>
  <c r="J172" i="1"/>
  <c r="G9" i="1"/>
  <c r="L12" i="1"/>
  <c r="L24" i="1"/>
  <c r="H29" i="1"/>
  <c r="J29" i="1" s="1"/>
  <c r="L35" i="1"/>
  <c r="M43" i="1"/>
  <c r="J48" i="1"/>
  <c r="L70" i="1"/>
  <c r="M96" i="1"/>
  <c r="J102" i="1"/>
  <c r="L133" i="1"/>
  <c r="L136" i="1"/>
  <c r="L148" i="1"/>
  <c r="M152" i="1"/>
  <c r="K151" i="1"/>
  <c r="D163" i="1"/>
  <c r="D156" i="1" s="1"/>
  <c r="L169" i="1"/>
  <c r="H176" i="1"/>
  <c r="D175" i="1"/>
  <c r="D170" i="1" s="1"/>
  <c r="H189" i="1"/>
  <c r="J189" i="1" s="1"/>
  <c r="L199" i="1"/>
  <c r="F37" i="1"/>
  <c r="F38" i="1" s="1"/>
  <c r="L25" i="1"/>
  <c r="L46" i="1"/>
  <c r="L63" i="1"/>
  <c r="B66" i="1"/>
  <c r="J83" i="1"/>
  <c r="F92" i="1"/>
  <c r="L94" i="1"/>
  <c r="L97" i="1"/>
  <c r="M97" i="1"/>
  <c r="K105" i="1"/>
  <c r="L109" i="1"/>
  <c r="H111" i="1"/>
  <c r="J112" i="1"/>
  <c r="L127" i="1"/>
  <c r="L139" i="1"/>
  <c r="M142" i="1"/>
  <c r="L142" i="1"/>
  <c r="M180" i="1"/>
  <c r="M195" i="1"/>
  <c r="G20" i="1"/>
  <c r="H17" i="1"/>
  <c r="J17" i="1" s="1"/>
  <c r="M44" i="1"/>
  <c r="J43" i="1"/>
  <c r="L43" i="1" s="1"/>
  <c r="L53" i="1"/>
  <c r="K49" i="1"/>
  <c r="M100" i="1"/>
  <c r="C137" i="1"/>
  <c r="H137" i="1" s="1"/>
  <c r="H129" i="1" s="1"/>
  <c r="J129" i="1" s="1"/>
  <c r="M153" i="1"/>
  <c r="J152" i="1"/>
  <c r="L152" i="1" s="1"/>
  <c r="L153" i="1"/>
  <c r="M173" i="1"/>
  <c r="L173" i="1"/>
  <c r="M177" i="1"/>
  <c r="L177" i="1"/>
  <c r="K185" i="1"/>
  <c r="C20" i="1"/>
  <c r="L116" i="1"/>
  <c r="M116" i="1"/>
  <c r="H14" i="1"/>
  <c r="J14" i="1" s="1"/>
  <c r="K38" i="1"/>
  <c r="M61" i="1"/>
  <c r="L61" i="1"/>
  <c r="M181" i="1"/>
  <c r="L181" i="1"/>
  <c r="I37" i="1"/>
  <c r="I38" i="1" s="1"/>
  <c r="I201" i="1" s="1"/>
  <c r="M23" i="1"/>
  <c r="M36" i="1"/>
  <c r="L36" i="1"/>
  <c r="L51" i="1"/>
  <c r="B62" i="1"/>
  <c r="B71" i="1"/>
  <c r="H72" i="1"/>
  <c r="K75" i="1"/>
  <c r="L78" i="1"/>
  <c r="M84" i="1"/>
  <c r="L103" i="1"/>
  <c r="M103" i="1"/>
  <c r="L110" i="1"/>
  <c r="M110" i="1"/>
  <c r="C129" i="1"/>
  <c r="C40" i="1" s="1"/>
  <c r="M140" i="1"/>
  <c r="L140" i="1"/>
  <c r="M149" i="1"/>
  <c r="L154" i="1"/>
  <c r="H163" i="1"/>
  <c r="L166" i="1"/>
  <c r="H174" i="1"/>
  <c r="J174" i="1" s="1"/>
  <c r="M182" i="1"/>
  <c r="L182" i="1"/>
  <c r="H186" i="1"/>
  <c r="H185" i="1" s="1"/>
  <c r="J185" i="1" s="1"/>
  <c r="M191" i="1"/>
  <c r="L191" i="1"/>
  <c r="M197" i="1"/>
  <c r="L197" i="1"/>
  <c r="B20" i="1"/>
  <c r="H20" i="1" s="1"/>
  <c r="M188" i="1"/>
  <c r="L188" i="1"/>
  <c r="D9" i="1"/>
  <c r="D38" i="1"/>
  <c r="H55" i="1"/>
  <c r="J55" i="1" s="1"/>
  <c r="B53" i="1"/>
  <c r="H53" i="1" s="1"/>
  <c r="J53" i="1" s="1"/>
  <c r="M53" i="1" s="1"/>
  <c r="F76" i="1"/>
  <c r="F75" i="1" s="1"/>
  <c r="F40" i="1" s="1"/>
  <c r="F201" i="1" s="1"/>
  <c r="H80" i="1"/>
  <c r="J80" i="1" s="1"/>
  <c r="M119" i="1"/>
  <c r="L119" i="1"/>
  <c r="J122" i="1"/>
  <c r="L126" i="1"/>
  <c r="M193" i="1"/>
  <c r="L193" i="1"/>
  <c r="I9" i="1"/>
  <c r="H22" i="1"/>
  <c r="H37" i="1" s="1"/>
  <c r="B58" i="1"/>
  <c r="H59" i="1"/>
  <c r="J114" i="1"/>
  <c r="L114" i="1" s="1"/>
  <c r="G121" i="1"/>
  <c r="J137" i="1"/>
  <c r="M137" i="1" s="1"/>
  <c r="M146" i="1"/>
  <c r="J145" i="1"/>
  <c r="M145" i="1" s="1"/>
  <c r="H10" i="1"/>
  <c r="M19" i="1"/>
  <c r="B50" i="1"/>
  <c r="H62" i="1"/>
  <c r="M90" i="1"/>
  <c r="M113" i="1"/>
  <c r="M115" i="1"/>
  <c r="L118" i="1"/>
  <c r="H125" i="1"/>
  <c r="G124" i="1"/>
  <c r="J130" i="1"/>
  <c r="M130" i="1" s="1"/>
  <c r="L132" i="1"/>
  <c r="H135" i="1"/>
  <c r="J135" i="1" s="1"/>
  <c r="L161" i="1"/>
  <c r="J164" i="1"/>
  <c r="L167" i="1"/>
  <c r="M167" i="1"/>
  <c r="J187" i="1"/>
  <c r="J192" i="1"/>
  <c r="F82" i="1"/>
  <c r="H157" i="1"/>
  <c r="H156" i="1" s="1"/>
  <c r="M165" i="1"/>
  <c r="L165" i="1"/>
  <c r="I208" i="1"/>
  <c r="G106" i="1"/>
  <c r="H107" i="1"/>
  <c r="J158" i="1"/>
  <c r="L198" i="1"/>
  <c r="J186" i="1" l="1"/>
  <c r="M187" i="1"/>
  <c r="L187" i="1"/>
  <c r="M80" i="1"/>
  <c r="L80" i="1"/>
  <c r="M189" i="1"/>
  <c r="L189" i="1"/>
  <c r="M48" i="1"/>
  <c r="L48" i="1"/>
  <c r="J107" i="1"/>
  <c r="H106" i="1"/>
  <c r="H105" i="1" s="1"/>
  <c r="J76" i="1"/>
  <c r="M77" i="1"/>
  <c r="L77" i="1"/>
  <c r="G105" i="1"/>
  <c r="G40" i="1" s="1"/>
  <c r="G201" i="1" s="1"/>
  <c r="H207" i="1" s="1"/>
  <c r="J207" i="1" s="1"/>
  <c r="H124" i="1"/>
  <c r="J125" i="1"/>
  <c r="L62" i="1"/>
  <c r="M75" i="1"/>
  <c r="L75" i="1"/>
  <c r="M159" i="1"/>
  <c r="L159" i="1"/>
  <c r="M129" i="1"/>
  <c r="L129" i="1"/>
  <c r="J72" i="1"/>
  <c r="H71" i="1"/>
  <c r="J22" i="1"/>
  <c r="L130" i="1"/>
  <c r="L45" i="1"/>
  <c r="M45" i="1"/>
  <c r="M164" i="1"/>
  <c r="L164" i="1"/>
  <c r="J163" i="1"/>
  <c r="M17" i="1"/>
  <c r="L17" i="1"/>
  <c r="M114" i="1"/>
  <c r="M122" i="1"/>
  <c r="J121" i="1"/>
  <c r="L122" i="1"/>
  <c r="C38" i="1"/>
  <c r="C201" i="1" s="1"/>
  <c r="M158" i="1"/>
  <c r="J157" i="1"/>
  <c r="L158" i="1"/>
  <c r="K47" i="1"/>
  <c r="D151" i="1"/>
  <c r="D40" i="1" s="1"/>
  <c r="D201" i="1" s="1"/>
  <c r="H38" i="1"/>
  <c r="L145" i="1"/>
  <c r="B49" i="1"/>
  <c r="H50" i="1"/>
  <c r="J50" i="1" s="1"/>
  <c r="H175" i="1"/>
  <c r="H170" i="1" s="1"/>
  <c r="H151" i="1" s="1"/>
  <c r="J151" i="1" s="1"/>
  <c r="J176" i="1"/>
  <c r="H76" i="1"/>
  <c r="H75" i="1" s="1"/>
  <c r="J75" i="1" s="1"/>
  <c r="M174" i="1"/>
  <c r="L174" i="1"/>
  <c r="M29" i="1"/>
  <c r="L29" i="1"/>
  <c r="L67" i="1"/>
  <c r="M67" i="1"/>
  <c r="J66" i="1"/>
  <c r="L137" i="1"/>
  <c r="M185" i="1"/>
  <c r="L185" i="1"/>
  <c r="J92" i="1"/>
  <c r="M93" i="1"/>
  <c r="L93" i="1"/>
  <c r="M55" i="1"/>
  <c r="L55" i="1"/>
  <c r="L14" i="1"/>
  <c r="M14" i="1"/>
  <c r="J111" i="1"/>
  <c r="M112" i="1"/>
  <c r="L112" i="1"/>
  <c r="J101" i="1"/>
  <c r="M102" i="1"/>
  <c r="L102" i="1"/>
  <c r="L135" i="1"/>
  <c r="M135" i="1"/>
  <c r="J10" i="1"/>
  <c r="H9" i="1"/>
  <c r="H58" i="1"/>
  <c r="J59" i="1"/>
  <c r="L192" i="1"/>
  <c r="M192" i="1"/>
  <c r="J82" i="1"/>
  <c r="L83" i="1"/>
  <c r="M83" i="1"/>
  <c r="M172" i="1"/>
  <c r="L172" i="1"/>
  <c r="J171" i="1"/>
  <c r="J98" i="1"/>
  <c r="M99" i="1"/>
  <c r="L99" i="1"/>
  <c r="M151" i="1" l="1"/>
  <c r="L151" i="1"/>
  <c r="L98" i="1"/>
  <c r="M98" i="1"/>
  <c r="M50" i="1"/>
  <c r="L50" i="1"/>
  <c r="M121" i="1"/>
  <c r="L121" i="1"/>
  <c r="K42" i="1"/>
  <c r="M59" i="1"/>
  <c r="J58" i="1"/>
  <c r="L59" i="1"/>
  <c r="J156" i="1"/>
  <c r="L157" i="1"/>
  <c r="M157" i="1"/>
  <c r="M22" i="1"/>
  <c r="L22" i="1"/>
  <c r="J37" i="1"/>
  <c r="M92" i="1"/>
  <c r="L92" i="1"/>
  <c r="M66" i="1"/>
  <c r="L66" i="1"/>
  <c r="J106" i="1"/>
  <c r="M107" i="1"/>
  <c r="L107" i="1"/>
  <c r="L10" i="1"/>
  <c r="J20" i="1"/>
  <c r="J9" i="1"/>
  <c r="M10" i="1"/>
  <c r="L111" i="1"/>
  <c r="M111" i="1"/>
  <c r="M176" i="1"/>
  <c r="J175" i="1"/>
  <c r="L176" i="1"/>
  <c r="L163" i="1"/>
  <c r="M163" i="1"/>
  <c r="J71" i="1"/>
  <c r="L72" i="1"/>
  <c r="M72" i="1"/>
  <c r="M125" i="1"/>
  <c r="J124" i="1"/>
  <c r="L125" i="1"/>
  <c r="L82" i="1"/>
  <c r="M82" i="1"/>
  <c r="J170" i="1"/>
  <c r="M171" i="1"/>
  <c r="L171" i="1"/>
  <c r="H49" i="1"/>
  <c r="B47" i="1"/>
  <c r="B42" i="1" s="1"/>
  <c r="B40" i="1" s="1"/>
  <c r="L101" i="1"/>
  <c r="M101" i="1"/>
  <c r="M76" i="1"/>
  <c r="L76" i="1"/>
  <c r="M186" i="1"/>
  <c r="L186" i="1"/>
  <c r="L156" i="1" l="1"/>
  <c r="M156" i="1"/>
  <c r="M9" i="1"/>
  <c r="L9" i="1"/>
  <c r="H40" i="1"/>
  <c r="J40" i="1" s="1"/>
  <c r="B201" i="1"/>
  <c r="M124" i="1"/>
  <c r="L124" i="1"/>
  <c r="M175" i="1"/>
  <c r="L175" i="1"/>
  <c r="K40" i="1"/>
  <c r="L170" i="1"/>
  <c r="M170" i="1"/>
  <c r="M71" i="1"/>
  <c r="L71" i="1"/>
  <c r="M20" i="1"/>
  <c r="L20" i="1"/>
  <c r="M58" i="1"/>
  <c r="L58" i="1"/>
  <c r="J38" i="1"/>
  <c r="L37" i="1"/>
  <c r="M37" i="1"/>
  <c r="J49" i="1"/>
  <c r="H47" i="1"/>
  <c r="H42" i="1" s="1"/>
  <c r="J42" i="1" s="1"/>
  <c r="M42" i="1" s="1"/>
  <c r="J105" i="1"/>
  <c r="L106" i="1"/>
  <c r="M106" i="1"/>
  <c r="L49" i="1" l="1"/>
  <c r="M49" i="1"/>
  <c r="J47" i="1"/>
  <c r="M38" i="1"/>
  <c r="L38" i="1"/>
  <c r="H206" i="1"/>
  <c r="H201" i="1"/>
  <c r="J201" i="1" s="1"/>
  <c r="K201" i="1"/>
  <c r="M40" i="1"/>
  <c r="L40" i="1"/>
  <c r="L42" i="1"/>
  <c r="M105" i="1"/>
  <c r="L105" i="1"/>
  <c r="M201" i="1" l="1"/>
  <c r="L201" i="1"/>
  <c r="H208" i="1"/>
  <c r="J206" i="1"/>
  <c r="J208" i="1" s="1"/>
  <c r="M47" i="1"/>
  <c r="L47" i="1"/>
</calcChain>
</file>

<file path=xl/comments1.xml><?xml version="1.0" encoding="utf-8"?>
<comments xmlns="http://schemas.openxmlformats.org/spreadsheetml/2006/main">
  <authors>
    <author>Oscar Rubio</author>
  </authors>
  <commentList>
    <comment ref="M23" authorId="0" shapeId="0">
      <text>
        <r>
          <rPr>
            <sz val="8"/>
            <color indexed="81"/>
            <rFont val="Tahoma"/>
            <family val="2"/>
          </rPr>
          <t>Se tenia contemplado impresion de papeleria de recaudo, pero esta se hara hasta el IV trimestre,</t>
        </r>
      </text>
    </comment>
    <comment ref="M31" authorId="0" shapeId="0">
      <text>
        <r>
          <rPr>
            <sz val="8"/>
            <color indexed="81"/>
            <rFont val="Tahoma"/>
            <family val="2"/>
          </rPr>
          <t>En los meses de agosto y septiembre no se hizo uso de los auxilios legalizables debido a que los coordinadores estan dedicados a efectuar muestreo sanitario nacional,</t>
        </r>
      </text>
    </comment>
    <comment ref="M76" authorId="0" shapeId="0">
      <text>
        <r>
          <rPr>
            <sz val="8"/>
            <color indexed="81"/>
            <rFont val="Tahoma"/>
            <family val="2"/>
          </rPr>
          <t>Por temas de estacionalidad y aprovechamiento de pauta de marca, se extiende la recolección de información del estudio Brand Equity Traking paral  IV trimestre</t>
        </r>
      </text>
    </comment>
    <comment ref="M114" authorId="0" shapeId="0">
      <text>
        <r>
          <rPr>
            <sz val="8"/>
            <color indexed="81"/>
            <rFont val="Tahoma"/>
            <family val="2"/>
          </rPr>
          <t>Se contemplo la compra de equipos importados para la dotación del laboratorio en Cucutá, sin embargo no alcanzan a llegar en el III trimestre,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M121" authorId="0" shapeId="0">
      <text>
        <r>
          <rPr>
            <sz val="8"/>
            <color indexed="81"/>
            <rFont val="Tahoma"/>
            <family val="2"/>
          </rPr>
          <t xml:space="preserve">Inicialmante se tenia contemplado recurso para el censo nacional, sin embargo este recurso se esta ejecutando por el Convenio marco con MADR </t>
        </r>
      </text>
    </comment>
    <comment ref="M152" authorId="0" shapeId="0">
      <text>
        <r>
          <rPr>
            <sz val="8"/>
            <color indexed="81"/>
            <rFont val="Tahoma"/>
            <family val="2"/>
          </rPr>
          <t>Teniendo en cuenta que hasta el mes de octubre se tendran los resultados del estudio de frituras con Colciencias se hara divulgación de los resultados hasta el IV trimestre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<sst xmlns="http://schemas.openxmlformats.org/spreadsheetml/2006/main" count="206" uniqueCount="204">
  <si>
    <t>MINISTERIO DE AGRICULTURA  Y DESARROLLO RURAL</t>
  </si>
  <si>
    <t>DIRECCIÓN DE PLANEACIÓN Y SEGUIMIENTO PRESUPUESTAL</t>
  </si>
  <si>
    <t>PRESUPUESTO DE GASTOS DE FUNCIONAMIENTO E INVERSIÓN 2.015</t>
  </si>
  <si>
    <t xml:space="preserve"> EJECUCIÓN TRIMESTRE JULIO-SEPTIEMBRE 2015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</si>
  <si>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</si>
  <si>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</si>
  <si>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</si>
  <si>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</si>
  <si>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</si>
  <si>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</si>
  <si>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</si>
  <si>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</si>
  <si>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</si>
  <si>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</si>
  <si>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</t>
  </si>
  <si>
    <t>TOTAL EJECUTADO</t>
  </si>
  <si>
    <t>ACUERDO 12/15</t>
  </si>
  <si>
    <t>% EJECUCIÓN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</si>
  <si>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</si>
  <si>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</si>
  <si>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</si>
  <si>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</si>
  <si>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</si>
  <si>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</si>
  <si>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</si>
  <si>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</si>
  <si>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</si>
  <si>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</si>
  <si>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</si>
  <si>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</si>
  <si>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</si>
  <si>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</si>
  <si>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</si>
  <si>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</si>
  <si>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</si>
  <si>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</si>
  <si>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</si>
  <si>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</si>
  <si>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</si>
  <si>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</si>
  <si>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</si>
  <si>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</si>
  <si>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</si>
  <si>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</si>
  <si>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</si>
  <si>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</si>
  <si>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</si>
  <si>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</si>
  <si>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</si>
  <si>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</si>
  <si>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TOTAL ÁREA ECONÓMICA</t>
  </si>
  <si>
    <t>Fortalecimiento institucional</t>
  </si>
  <si>
    <t>Comsac</t>
  </si>
  <si>
    <t>Acuerdos de Libre Comercio</t>
  </si>
  <si>
    <t xml:space="preserve">Cadena Carnica Porcína </t>
  </si>
  <si>
    <t>Centro de servicios técnicos y financieros</t>
  </si>
  <si>
    <t>Atención de Solicitudes (Asistencia a Productores)</t>
  </si>
  <si>
    <t>Convenios</t>
  </si>
  <si>
    <t xml:space="preserve">   Contrapartidas Gobernaciones y/o Alcaldias</t>
  </si>
  <si>
    <t xml:space="preserve">     Convenio Gobernacion de Cundinamarca</t>
  </si>
  <si>
    <t xml:space="preserve">     Convenio Pereira</t>
  </si>
  <si>
    <t xml:space="preserve">   Contrapartidas FNP</t>
  </si>
  <si>
    <t xml:space="preserve">     Convenio Gobernacion de Cundinamarca FNP</t>
  </si>
  <si>
    <t xml:space="preserve">     Convenio Pereira FNP</t>
  </si>
  <si>
    <t xml:space="preserve">  Seguimiento a convenios</t>
  </si>
  <si>
    <t>Divulgación Resolución 2640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</si>
  <si>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</si>
  <si>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</si>
  <si>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</si>
  <si>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</si>
  <si>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</si>
  <si>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</si>
  <si>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</si>
  <si>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</si>
  <si>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Promoción del sacrificio formal</t>
  </si>
  <si>
    <t>Movilización Jefe Coordinadores de recaudo</t>
  </si>
  <si>
    <t>Trabajo con autoridades</t>
  </si>
  <si>
    <t>Jornadas de trabajo con los coordinadores regionales(trabajo con autoridades)</t>
  </si>
  <si>
    <t>Fortalecimiento Infraestructura</t>
  </si>
  <si>
    <t>Aseguramiento de la calidad</t>
  </si>
  <si>
    <t>Asesorias BPM y HACCP</t>
  </si>
  <si>
    <t>Sello de producto en la cadena de transformación</t>
  </si>
  <si>
    <t>TOTAL ÁREA MERCADEO</t>
  </si>
  <si>
    <t>Investigación de mercados</t>
  </si>
  <si>
    <t>Home panel de Nilsen</t>
  </si>
  <si>
    <t>Brand equity tracking</t>
  </si>
  <si>
    <t>Eye Trancking</t>
  </si>
  <si>
    <t>Monitoreo de Medios</t>
  </si>
  <si>
    <t>Tracking publicitario ( Neuro nilsen)</t>
  </si>
  <si>
    <t>Sensibilización de las bondades gastronomicas y nutricionales de la carne de cerdo</t>
  </si>
  <si>
    <t>Seguimiento gestión al equipo incentivo y sensibilizacion de las bondades de la carne de cerdo</t>
  </si>
  <si>
    <t>Nutricionistas</t>
  </si>
  <si>
    <t>Asesores Gastronómicos</t>
  </si>
  <si>
    <t>Viajes regionales equipo incentivo y sensibilizacion de las bondades de la carne de cerdo</t>
  </si>
  <si>
    <t>Día de la Carne de Cerdo</t>
  </si>
  <si>
    <t>Capacitación anual contratistas</t>
  </si>
  <si>
    <t xml:space="preserve">Material Publicitario, Promoción y Divulgación para el Incentivo y sensibilizacion </t>
  </si>
  <si>
    <t>Eventos especializados (Sector, gastronomicos , varios)</t>
  </si>
  <si>
    <t xml:space="preserve">Conceptos y artes </t>
  </si>
  <si>
    <t>Campaña de fomento al consumo</t>
  </si>
  <si>
    <t>Campaña de publicidad</t>
  </si>
  <si>
    <t>Agencia Free Press</t>
  </si>
  <si>
    <t>Consultoría MESA</t>
  </si>
  <si>
    <t>Pauta institucional</t>
  </si>
  <si>
    <t>Kit Publicitario</t>
  </si>
  <si>
    <t>Estrategia digital</t>
  </si>
  <si>
    <t>Me encanta la carne de cerdo.com</t>
  </si>
  <si>
    <t>Concurso innovador carne de cerdo</t>
  </si>
  <si>
    <t>Eventos de incentivo al consumo</t>
  </si>
  <si>
    <t>Festival de la Carne de cerdo</t>
  </si>
  <si>
    <t xml:space="preserve">Agroexpo </t>
  </si>
  <si>
    <t>TOTAL ÁREA ERRADICACIÓN PPC</t>
  </si>
  <si>
    <t>Regionalización</t>
  </si>
  <si>
    <t>Compra de biológico, chapetas y tenazas</t>
  </si>
  <si>
    <t>Compra de materiales y dotaciones</t>
  </si>
  <si>
    <t>Pago de Axilios de frío, flete y movilización</t>
  </si>
  <si>
    <t>Gastos de brigada</t>
  </si>
  <si>
    <t>Capacitación y divulgación</t>
  </si>
  <si>
    <t>Capacitación</t>
  </si>
  <si>
    <t>Divulgación</t>
  </si>
  <si>
    <t>Vigilancia Epidemiológica</t>
  </si>
  <si>
    <t>Diagnóstico Rutinario</t>
  </si>
  <si>
    <t>Determinació de factores de riesgo</t>
  </si>
  <si>
    <t>Adminisbilidad y normatividad sanitaria</t>
  </si>
  <si>
    <t>Control al contrabando</t>
  </si>
  <si>
    <t>Equipos de comunicación puestos de control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</si>
  <si>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</si>
  <si>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</si>
  <si>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</si>
  <si>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</si>
  <si>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</si>
  <si>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>Auxilios comités</t>
  </si>
  <si>
    <t>Recolección de desechos biológicos</t>
  </si>
  <si>
    <t>TOTAL ÁREA TÉCNICA</t>
  </si>
  <si>
    <t>Programa nacional de bioseguridad, sanidad y productividad-PNBSP</t>
  </si>
  <si>
    <t>Capacitación y fortalecimiento de competencias</t>
  </si>
  <si>
    <t>Profesionales de acompañamiento    *(Sello de granja)</t>
  </si>
  <si>
    <t>Taller técnico de bioseguridad, sanidad y productividad</t>
  </si>
  <si>
    <t>Talleres de sensibilidad en bioseguridad, productividad  y economía de las enfermedades</t>
  </si>
  <si>
    <t>Benchmarking y análisis de productividad e impacto económico</t>
  </si>
  <si>
    <t>Reconocimiento a granjas categorizadas, medios</t>
  </si>
  <si>
    <t xml:space="preserve">Sostenibilidad y responsabilidad social empresarial en producción primaria </t>
  </si>
  <si>
    <t>Acompañamiento jurídico ambiental</t>
  </si>
  <si>
    <t xml:space="preserve">Profesionales de acompañamiento </t>
  </si>
  <si>
    <t xml:space="preserve">Granjas modelo y mesas de trabajo interinstitucionales </t>
  </si>
  <si>
    <t>Sensibilización y divulgación en P.I.G.A y R.S.E y Guía ambiental</t>
  </si>
  <si>
    <t>Estrategias de divulgación</t>
  </si>
  <si>
    <t>Determinación de la huella hídrica en el sector</t>
  </si>
  <si>
    <t>Inocuidad y bienestar animal en producción primaria y transporte</t>
  </si>
  <si>
    <t>Profesional de acompañamiento</t>
  </si>
  <si>
    <t>Fortalecimiento de competencias</t>
  </si>
  <si>
    <t xml:space="preserve">Implementación del programa de P.A.C.I.P - granja y transporte </t>
  </si>
  <si>
    <t>Bienestar Animal</t>
  </si>
  <si>
    <t>TOTAL ÁREA INVESTIGACIÓN Y TRANSFERENCIA</t>
  </si>
  <si>
    <t>Investigación y desarrollo</t>
  </si>
  <si>
    <t>Proyectos</t>
  </si>
  <si>
    <t>Capacitación anual</t>
  </si>
  <si>
    <t>Jornadas de divulgación resultados de investigación</t>
  </si>
  <si>
    <t>Transferencia de tecnología</t>
  </si>
  <si>
    <t xml:space="preserve">  Vinculación tecnologica</t>
  </si>
  <si>
    <t>Curso Virtual. Montaje de puntos de venta de carne de cerdo</t>
  </si>
  <si>
    <t>Gira técnica</t>
  </si>
  <si>
    <t>Capacitación en desposte de carne de cerdo</t>
  </si>
  <si>
    <t>Capacitación para expendedores</t>
  </si>
  <si>
    <t>Convenio SENA</t>
  </si>
  <si>
    <t xml:space="preserve">  Talleres y seminarios</t>
  </si>
  <si>
    <t>Seminario Internacional</t>
  </si>
  <si>
    <t>Capacitación para operarios de granja</t>
  </si>
  <si>
    <t>Taller en manejo administrativo y financiero de las industrias de la cadena cárnica porcina</t>
  </si>
  <si>
    <t>Capacitación en manufactura de alimentos balanceados para porcinos</t>
  </si>
  <si>
    <t>Capacitación en Buenas Prácticas en la elaboración de alimentos balanceados para porcinos</t>
  </si>
  <si>
    <t>Material de apoyo</t>
  </si>
  <si>
    <t>Diagnostico</t>
  </si>
  <si>
    <t>Diagnostico rutinario con laboratorios oficiales</t>
  </si>
  <si>
    <t xml:space="preserve">  Diagnostico rutinario</t>
  </si>
  <si>
    <t xml:space="preserve">  Diagnostico integrado</t>
  </si>
  <si>
    <t xml:space="preserve">  Diagnóstico PRRS (incluido IFA)</t>
  </si>
  <si>
    <t>Diagnostico rutinario con laboratorios privados</t>
  </si>
  <si>
    <t>Varias enfermedades</t>
  </si>
  <si>
    <t>PRRS</t>
  </si>
  <si>
    <t>Técnicas Moleculares (PCR - Secuenciación)</t>
  </si>
  <si>
    <t>Diagnosticos importados</t>
  </si>
  <si>
    <t>Promoción del diagnóstico</t>
  </si>
  <si>
    <t>Diagnóstico Inocuidad</t>
  </si>
  <si>
    <t>Diagnóstico Ambiental</t>
  </si>
  <si>
    <t>Convenio MADR</t>
  </si>
  <si>
    <t>TOTAL ÁREA SANIDAD</t>
  </si>
  <si>
    <t>Control y monitoreo para la enfermedad de PRRS  en granjas de Colombia</t>
  </si>
  <si>
    <t>Apoyo programa PRRS</t>
  </si>
  <si>
    <t>Epidemiología de la enfermedad (Nacional)</t>
  </si>
  <si>
    <t>Sensibilización y divulgación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</si>
  <si>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</si>
  <si>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</si>
  <si>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</si>
  <si>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</si>
  <si>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</si>
  <si>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</si>
  <si>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</si>
  <si>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</si>
  <si>
    <t>GASTOS</t>
  </si>
  <si>
    <t>INGRESOS</t>
  </si>
  <si>
    <t>RESERVA</t>
  </si>
  <si>
    <t>FNP</t>
  </si>
  <si>
    <t>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</si>
</sst>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-* #,##0\ _€_-;\-* #,##0\ _€_-;_-* &quot;-&quot;??\ _€_-;_-@_-"/>
  </numFmts>
  <fonts count="18" x14ac:knownFonts="1">
    <font>
      <sz val="10"/>
      <name val="Arial"/>
    </font>
    <font>
      <sz val="10"/>
      <name val="Arial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3" fontId="3" fillId="0" borderId="1" xfId="0" applyNumberFormat="1" applyFont="1" applyFill="1" applyBorder="1" applyAlignment="1">
      <alignment horizontal="centerContinuous"/>
    </xf>
    <xf numFmtId="3" fontId="2" fillId="0" borderId="1" xfId="0" applyNumberFormat="1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/>
    <xf numFmtId="0" fontId="5" fillId="0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3" fontId="6" fillId="0" borderId="6" xfId="0" applyNumberFormat="1" applyFont="1" applyFill="1" applyBorder="1" applyAlignment="1"/>
    <xf numFmtId="3" fontId="6" fillId="0" borderId="7" xfId="0" applyNumberFormat="1" applyFont="1" applyFill="1" applyBorder="1"/>
    <xf numFmtId="9" fontId="6" fillId="0" borderId="9" xfId="2" applyNumberFormat="1" applyFont="1" applyFill="1" applyBorder="1"/>
    <xf numFmtId="0" fontId="7" fillId="0" borderId="0" xfId="0" applyFont="1" applyFill="1"/>
    <xf numFmtId="3" fontId="5" fillId="0" borderId="6" xfId="0" applyNumberFormat="1" applyFont="1" applyFill="1" applyBorder="1" applyAlignment="1"/>
    <xf numFmtId="3" fontId="5" fillId="0" borderId="7" xfId="0" applyNumberFormat="1" applyFont="1" applyFill="1" applyBorder="1"/>
    <xf numFmtId="3" fontId="8" fillId="0" borderId="7" xfId="0" applyNumberFormat="1" applyFont="1" applyFill="1" applyBorder="1"/>
    <xf numFmtId="9" fontId="8" fillId="0" borderId="9" xfId="2" applyNumberFormat="1" applyFont="1" applyFill="1" applyBorder="1"/>
    <xf numFmtId="0" fontId="0" fillId="0" borderId="0" xfId="0" applyFill="1" applyAlignment="1">
      <alignment horizontal="center"/>
    </xf>
    <xf numFmtId="10" fontId="0" fillId="0" borderId="0" xfId="2" applyNumberFormat="1" applyFont="1" applyFill="1"/>
    <xf numFmtId="3" fontId="9" fillId="0" borderId="7" xfId="0" applyNumberFormat="1" applyFont="1" applyFill="1" applyBorder="1"/>
    <xf numFmtId="3" fontId="0" fillId="0" borderId="0" xfId="0" applyNumberFormat="1" applyFill="1"/>
    <xf numFmtId="0" fontId="2" fillId="0" borderId="6" xfId="0" applyFont="1" applyFill="1" applyBorder="1" applyAlignment="1"/>
    <xf numFmtId="3" fontId="2" fillId="0" borderId="7" xfId="0" applyNumberFormat="1" applyFont="1" applyFill="1" applyBorder="1"/>
    <xf numFmtId="2" fontId="0" fillId="0" borderId="0" xfId="2" applyNumberFormat="1" applyFont="1" applyFill="1"/>
    <xf numFmtId="0" fontId="5" fillId="0" borderId="6" xfId="0" applyFont="1" applyFill="1" applyBorder="1" applyAlignment="1"/>
    <xf numFmtId="3" fontId="5" fillId="0" borderId="7" xfId="1" applyNumberFormat="1" applyFont="1" applyFill="1" applyBorder="1"/>
    <xf numFmtId="3" fontId="6" fillId="0" borderId="7" xfId="1" applyNumberFormat="1" applyFont="1" applyFill="1" applyBorder="1"/>
    <xf numFmtId="0" fontId="2" fillId="0" borderId="10" xfId="0" applyFont="1" applyFill="1" applyBorder="1" applyAlignment="1"/>
    <xf numFmtId="3" fontId="2" fillId="0" borderId="11" xfId="0" applyNumberFormat="1" applyFont="1" applyFill="1" applyBorder="1"/>
    <xf numFmtId="3" fontId="6" fillId="0" borderId="11" xfId="1" applyNumberFormat="1" applyFont="1" applyFill="1" applyBorder="1"/>
    <xf numFmtId="9" fontId="6" fillId="0" borderId="12" xfId="2" applyNumberFormat="1" applyFont="1" applyFill="1" applyBorder="1"/>
    <xf numFmtId="43" fontId="0" fillId="0" borderId="0" xfId="0" applyNumberFormat="1" applyFill="1"/>
    <xf numFmtId="0" fontId="5" fillId="0" borderId="13" xfId="0" applyFont="1" applyFill="1" applyBorder="1" applyAlignment="1"/>
    <xf numFmtId="3" fontId="5" fillId="0" borderId="14" xfId="0" applyNumberFormat="1" applyFont="1" applyFill="1" applyBorder="1"/>
    <xf numFmtId="9" fontId="6" fillId="0" borderId="15" xfId="2" applyNumberFormat="1" applyFont="1" applyFill="1" applyBorder="1"/>
    <xf numFmtId="0" fontId="2" fillId="0" borderId="16" xfId="0" applyFont="1" applyFill="1" applyBorder="1" applyAlignment="1"/>
    <xf numFmtId="3" fontId="2" fillId="0" borderId="17" xfId="0" applyNumberFormat="1" applyFont="1" applyFill="1" applyBorder="1"/>
    <xf numFmtId="9" fontId="6" fillId="0" borderId="18" xfId="2" applyNumberFormat="1" applyFont="1" applyFill="1" applyBorder="1"/>
    <xf numFmtId="37" fontId="2" fillId="0" borderId="6" xfId="0" applyNumberFormat="1" applyFont="1" applyFill="1" applyBorder="1" applyAlignment="1"/>
    <xf numFmtId="0" fontId="10" fillId="0" borderId="0" xfId="0" applyFont="1" applyFill="1"/>
    <xf numFmtId="37" fontId="8" fillId="0" borderId="6" xfId="0" applyNumberFormat="1" applyFont="1" applyFill="1" applyBorder="1" applyAlignment="1">
      <alignment horizontal="left"/>
    </xf>
    <xf numFmtId="37" fontId="6" fillId="0" borderId="6" xfId="0" applyNumberFormat="1" applyFont="1" applyFill="1" applyBorder="1" applyAlignment="1">
      <alignment horizontal="left"/>
    </xf>
    <xf numFmtId="164" fontId="2" fillId="0" borderId="7" xfId="1" applyFont="1" applyFill="1" applyBorder="1"/>
    <xf numFmtId="164" fontId="8" fillId="0" borderId="7" xfId="1" applyFont="1" applyFill="1" applyBorder="1"/>
    <xf numFmtId="164" fontId="10" fillId="0" borderId="0" xfId="1" applyFont="1" applyFill="1"/>
    <xf numFmtId="37" fontId="6" fillId="0" borderId="6" xfId="0" applyNumberFormat="1" applyFont="1" applyFill="1" applyBorder="1" applyAlignment="1">
      <alignment horizontal="left" wrapText="1"/>
    </xf>
    <xf numFmtId="3" fontId="11" fillId="0" borderId="7" xfId="0" applyNumberFormat="1" applyFont="1" applyFill="1" applyBorder="1"/>
    <xf numFmtId="3" fontId="4" fillId="0" borderId="7" xfId="0" applyNumberFormat="1" applyFont="1" applyFill="1" applyBorder="1"/>
    <xf numFmtId="37" fontId="8" fillId="0" borderId="6" xfId="0" applyNumberFormat="1" applyFont="1" applyFill="1" applyBorder="1" applyAlignment="1"/>
    <xf numFmtId="37" fontId="6" fillId="0" borderId="6" xfId="0" applyNumberFormat="1" applyFont="1" applyFill="1" applyBorder="1" applyAlignment="1"/>
    <xf numFmtId="3" fontId="6" fillId="0" borderId="7" xfId="3" applyNumberFormat="1" applyFont="1" applyFill="1" applyBorder="1"/>
    <xf numFmtId="0" fontId="12" fillId="0" borderId="0" xfId="0" applyFont="1" applyFill="1"/>
    <xf numFmtId="0" fontId="5" fillId="0" borderId="19" xfId="0" applyFont="1" applyFill="1" applyBorder="1" applyAlignment="1"/>
    <xf numFmtId="3" fontId="2" fillId="0" borderId="20" xfId="0" applyNumberFormat="1" applyFont="1" applyFill="1" applyBorder="1"/>
    <xf numFmtId="0" fontId="5" fillId="0" borderId="20" xfId="0" applyFont="1" applyFill="1" applyBorder="1"/>
    <xf numFmtId="3" fontId="5" fillId="0" borderId="20" xfId="0" applyNumberFormat="1" applyFont="1" applyFill="1" applyBorder="1"/>
    <xf numFmtId="0" fontId="5" fillId="0" borderId="21" xfId="0" applyFont="1" applyFill="1" applyBorder="1"/>
    <xf numFmtId="0" fontId="13" fillId="0" borderId="0" xfId="0" applyFont="1" applyFill="1" applyAlignment="1"/>
    <xf numFmtId="3" fontId="13" fillId="0" borderId="0" xfId="0" applyNumberFormat="1" applyFont="1" applyFill="1"/>
    <xf numFmtId="37" fontId="13" fillId="0" borderId="0" xfId="0" applyNumberFormat="1" applyFont="1" applyFill="1"/>
    <xf numFmtId="0" fontId="13" fillId="0" borderId="0" xfId="0" applyFont="1" applyFill="1"/>
    <xf numFmtId="10" fontId="13" fillId="0" borderId="0" xfId="0" applyNumberFormat="1" applyFont="1" applyFill="1"/>
    <xf numFmtId="37" fontId="0" fillId="0" borderId="0" xfId="0" applyNumberFormat="1" applyFill="1"/>
    <xf numFmtId="164" fontId="13" fillId="0" borderId="0" xfId="1" applyFont="1" applyFill="1"/>
    <xf numFmtId="9" fontId="13" fillId="0" borderId="0" xfId="2" applyFont="1" applyFill="1"/>
    <xf numFmtId="0" fontId="14" fillId="0" borderId="0" xfId="0" applyFont="1" applyFill="1"/>
    <xf numFmtId="0" fontId="15" fillId="0" borderId="0" xfId="0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/>
    <xf numFmtId="3" fontId="14" fillId="0" borderId="0" xfId="0" applyNumberFormat="1" applyFont="1" applyFill="1"/>
    <xf numFmtId="165" fontId="14" fillId="0" borderId="0" xfId="1" applyNumberFormat="1" applyFont="1" applyFill="1"/>
    <xf numFmtId="10" fontId="13" fillId="0" borderId="0" xfId="2" applyNumberFormat="1" applyFont="1" applyFill="1"/>
    <xf numFmtId="3" fontId="14" fillId="0" borderId="1" xfId="0" applyNumberFormat="1" applyFont="1" applyFill="1" applyBorder="1"/>
    <xf numFmtId="165" fontId="14" fillId="0" borderId="1" xfId="1" applyNumberFormat="1" applyFont="1" applyFill="1" applyBorder="1"/>
    <xf numFmtId="165" fontId="14" fillId="0" borderId="0" xfId="1" applyNumberFormat="1" applyFont="1" applyFill="1" applyBorder="1"/>
    <xf numFmtId="3" fontId="15" fillId="0" borderId="0" xfId="0" applyNumberFormat="1" applyFont="1" applyFill="1" applyAlignment="1"/>
    <xf numFmtId="166" fontId="15" fillId="0" borderId="0" xfId="0" applyNumberFormat="1" applyFont="1" applyFill="1" applyAlignment="1"/>
    <xf numFmtId="164" fontId="14" fillId="0" borderId="0" xfId="1" applyFont="1" applyFill="1"/>
  </cellXfs>
  <cellStyles count="4">
    <cellStyle name="Millares" xfId="1" builtinId="3"/>
    <cellStyle name="Millares 2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5/CIERRE%20JUL-SEPT%20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torppc/AppData/Local/Microsoft/Windows/Temporary%20Internet%20Files/Content.IE5/68SX2PI0/Desagregado%20&#193;rea%20201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Ortiz/Desktop/PPC2013/PRESUPUESTO%202014/PRESUPUESTO%20DEFINITIVO%202014%20NOV/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SOLICITUD%20&#193;REAS/III%20TRIMESTRE/Solicitud%20III%20trimestre%20A%20Econ&#243;mi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SOLICITUD%20&#193;REAS/III%20TRIMESTRE/MatrizSolicitudIIITrimestreMercadeo2015.xl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SOLICITUD%20&#193;REAS/III%20TRIMESTRE/PRESUPUESTO%20PPC%20III%202015%20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SOLICITUD%20&#193;REAS/III%20TRIMESTRE/T&#233;cnica%202015,%20estimado%20ejecuci&#243;n%20II%20tri%20y%20solicitud%20III%20270515%20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SOLICITUD%20&#193;REAS/III%20TRIMESTRE/Presupuesto%20I%20y%20T%20Tercer%20Trimestre%202015%20Final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3"/>
      <sheetName val="Anexo 4"/>
      <sheetName val="Anexo 2 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14">
          <cell r="B14">
            <v>3738005793.75</v>
          </cell>
        </row>
        <row r="15">
          <cell r="B15">
            <v>2242803476.25</v>
          </cell>
        </row>
        <row r="18">
          <cell r="B18">
            <v>18867114.625</v>
          </cell>
        </row>
        <row r="19">
          <cell r="B19">
            <v>11320268.375</v>
          </cell>
        </row>
        <row r="32">
          <cell r="B32">
            <v>379310372</v>
          </cell>
        </row>
        <row r="39">
          <cell r="B39">
            <v>6545016319.375</v>
          </cell>
        </row>
        <row r="43">
          <cell r="B43">
            <v>4591174208.875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F8">
            <v>5000000</v>
          </cell>
        </row>
        <row r="10">
          <cell r="F10">
            <v>15378750</v>
          </cell>
          <cell r="G10">
            <v>3000000</v>
          </cell>
          <cell r="J10">
            <v>2000000</v>
          </cell>
        </row>
        <row r="12">
          <cell r="F12">
            <v>1511854.92585</v>
          </cell>
        </row>
        <row r="14">
          <cell r="F14">
            <v>4782026.0160999997</v>
          </cell>
          <cell r="G14">
            <v>3500000</v>
          </cell>
        </row>
        <row r="16">
          <cell r="F16">
            <v>11244402.005350001</v>
          </cell>
          <cell r="G16">
            <v>1900000</v>
          </cell>
          <cell r="H16">
            <v>1900000</v>
          </cell>
          <cell r="I16">
            <v>1900000</v>
          </cell>
          <cell r="J16">
            <v>1900000</v>
          </cell>
          <cell r="K16">
            <v>1900000</v>
          </cell>
          <cell r="L16">
            <v>1900000</v>
          </cell>
        </row>
        <row r="18">
          <cell r="F18">
            <v>6900897.8346500006</v>
          </cell>
          <cell r="G18">
            <v>2190000</v>
          </cell>
          <cell r="I18">
            <v>2435610.909</v>
          </cell>
          <cell r="J18">
            <v>947182.10655000003</v>
          </cell>
          <cell r="K18">
            <v>405935.15149999998</v>
          </cell>
          <cell r="L18">
            <v>2435610.909</v>
          </cell>
        </row>
        <row r="20">
          <cell r="F20">
            <v>12186796.711099999</v>
          </cell>
          <cell r="G20">
            <v>2320000</v>
          </cell>
          <cell r="I20">
            <v>750000</v>
          </cell>
          <cell r="L20">
            <v>4000000</v>
          </cell>
        </row>
        <row r="22">
          <cell r="F22">
            <v>10250000</v>
          </cell>
          <cell r="G22">
            <v>81000000</v>
          </cell>
          <cell r="I22">
            <v>4500000</v>
          </cell>
          <cell r="J22">
            <v>4087624.52085</v>
          </cell>
          <cell r="K22">
            <v>1929613</v>
          </cell>
          <cell r="L22">
            <v>4000000</v>
          </cell>
        </row>
        <row r="24">
          <cell r="F24">
            <v>2831880.2837999999</v>
          </cell>
          <cell r="G24">
            <v>3000000</v>
          </cell>
          <cell r="H24">
            <v>2400000</v>
          </cell>
          <cell r="I24">
            <v>3000000</v>
          </cell>
        </row>
        <row r="26">
          <cell r="F26">
            <v>11704437.75</v>
          </cell>
          <cell r="G26">
            <v>63000000</v>
          </cell>
          <cell r="H26">
            <v>3000000</v>
          </cell>
          <cell r="I26">
            <v>12000000</v>
          </cell>
          <cell r="J26">
            <v>2643237.5</v>
          </cell>
          <cell r="K26">
            <v>1586000</v>
          </cell>
          <cell r="L26">
            <v>2499655</v>
          </cell>
        </row>
        <row r="28">
          <cell r="F28">
            <v>1134086.5286999999</v>
          </cell>
          <cell r="G28">
            <v>750000</v>
          </cell>
          <cell r="H28">
            <v>300000</v>
          </cell>
          <cell r="I28">
            <v>700000</v>
          </cell>
          <cell r="J28">
            <v>638441.93999999994</v>
          </cell>
          <cell r="K28">
            <v>513250</v>
          </cell>
          <cell r="L28">
            <v>602658</v>
          </cell>
        </row>
        <row r="30">
          <cell r="F30">
            <v>5500000</v>
          </cell>
          <cell r="G30">
            <v>15000000</v>
          </cell>
          <cell r="H30">
            <v>375000</v>
          </cell>
          <cell r="I30">
            <v>540000</v>
          </cell>
          <cell r="J30">
            <v>500000</v>
          </cell>
          <cell r="K30">
            <v>1000000</v>
          </cell>
        </row>
        <row r="32">
          <cell r="F32">
            <v>5246820.611349999</v>
          </cell>
        </row>
        <row r="34">
          <cell r="F34">
            <v>21887665.75</v>
          </cell>
          <cell r="G34">
            <v>14400000</v>
          </cell>
        </row>
        <row r="36">
          <cell r="F36">
            <v>33153964</v>
          </cell>
        </row>
      </sheetData>
      <sheetData sheetId="11">
        <row r="12">
          <cell r="K12">
            <v>35720400</v>
          </cell>
          <cell r="L12">
            <v>2332350</v>
          </cell>
          <cell r="M12">
            <v>279882</v>
          </cell>
          <cell r="N12">
            <v>2332350</v>
          </cell>
          <cell r="O12">
            <v>1166175</v>
          </cell>
          <cell r="S12">
            <v>8783254.404000001</v>
          </cell>
          <cell r="U12">
            <v>1119528</v>
          </cell>
          <cell r="X12">
            <v>1399410</v>
          </cell>
        </row>
        <row r="21">
          <cell r="K21">
            <v>188522426.6124</v>
          </cell>
          <cell r="L21">
            <v>13527924.717699999</v>
          </cell>
          <cell r="M21">
            <v>1623350.9661239998</v>
          </cell>
          <cell r="N21">
            <v>13527924.717699999</v>
          </cell>
          <cell r="O21">
            <v>7855101.1088500004</v>
          </cell>
          <cell r="S21">
            <v>38259699.066709355</v>
          </cell>
          <cell r="U21">
            <v>7191129.1044960003</v>
          </cell>
          <cell r="X21">
            <v>8988911.3806200009</v>
          </cell>
        </row>
        <row r="39">
          <cell r="K39">
            <v>53670265.952399999</v>
          </cell>
          <cell r="L39">
            <v>2290244.6626999998</v>
          </cell>
          <cell r="M39">
            <v>274829.35952399997</v>
          </cell>
          <cell r="N39">
            <v>2290244.6626999998</v>
          </cell>
          <cell r="O39">
            <v>2236261.0813499996</v>
          </cell>
          <cell r="S39">
            <v>9584364.3147335276</v>
          </cell>
          <cell r="U39">
            <v>1823682.6780960001</v>
          </cell>
          <cell r="X39">
            <v>2279603.3476200001</v>
          </cell>
        </row>
        <row r="48">
          <cell r="K48">
            <v>60095541.904799998</v>
          </cell>
          <cell r="L48">
            <v>2825684.3253999995</v>
          </cell>
          <cell r="M48">
            <v>339082.11904799996</v>
          </cell>
          <cell r="N48">
            <v>2825684.3253999995</v>
          </cell>
          <cell r="O48">
            <v>2503980.9126999998</v>
          </cell>
          <cell r="S48">
            <v>10935085.825447055</v>
          </cell>
          <cell r="U48">
            <v>2080693.7161920001</v>
          </cell>
          <cell r="X48">
            <v>2600867.1452400004</v>
          </cell>
        </row>
        <row r="57">
          <cell r="K57">
            <v>52311298.9014</v>
          </cell>
          <cell r="L57">
            <v>2176997.40845</v>
          </cell>
          <cell r="M57">
            <v>261239.68901399997</v>
          </cell>
          <cell r="N57">
            <v>2176997.40845</v>
          </cell>
          <cell r="O57">
            <v>2179637.454225</v>
          </cell>
          <cell r="S57">
            <v>9298682.2612723075</v>
          </cell>
          <cell r="U57">
            <v>1769323.996056</v>
          </cell>
          <cell r="X57">
            <v>2211654.9950700002</v>
          </cell>
        </row>
        <row r="65">
          <cell r="K65">
            <v>6530580</v>
          </cell>
          <cell r="L65">
            <v>544215</v>
          </cell>
          <cell r="M65">
            <v>65305.799999999996</v>
          </cell>
          <cell r="N65">
            <v>544215</v>
          </cell>
          <cell r="O65">
            <v>272107.5</v>
          </cell>
          <cell r="S65">
            <v>1372858.5275999999</v>
          </cell>
          <cell r="U65">
            <v>261223.20000000004</v>
          </cell>
          <cell r="X65">
            <v>326529</v>
          </cell>
        </row>
        <row r="69">
          <cell r="K69">
            <v>199340168.7552</v>
          </cell>
          <cell r="L69">
            <v>14429403.229599999</v>
          </cell>
          <cell r="M69">
            <v>1731528.3875519999</v>
          </cell>
          <cell r="N69">
            <v>14429403.229599999</v>
          </cell>
          <cell r="O69">
            <v>8305840.3647999996</v>
          </cell>
          <cell r="S69">
            <v>40930872.72177498</v>
          </cell>
          <cell r="U69">
            <v>7632718.7902080007</v>
          </cell>
          <cell r="X69">
            <v>9540898.4877599999</v>
          </cell>
        </row>
        <row r="96">
          <cell r="I96">
            <v>0</v>
          </cell>
          <cell r="K96">
            <v>800000</v>
          </cell>
          <cell r="M96">
            <v>200000</v>
          </cell>
          <cell r="O96">
            <v>200000</v>
          </cell>
          <cell r="Q96">
            <v>200000</v>
          </cell>
          <cell r="S96">
            <v>600000</v>
          </cell>
        </row>
        <row r="107">
          <cell r="I107">
            <v>29363593.2874</v>
          </cell>
        </row>
      </sheetData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Económica"/>
    </sheetNames>
    <sheetDataSet>
      <sheetData sheetId="0">
        <row r="6">
          <cell r="E6">
            <v>32235000</v>
          </cell>
        </row>
        <row r="24">
          <cell r="E24">
            <v>9923250</v>
          </cell>
        </row>
        <row r="25">
          <cell r="E25">
            <v>9319156</v>
          </cell>
        </row>
        <row r="26">
          <cell r="E26">
            <v>19641818.946000002</v>
          </cell>
        </row>
        <row r="28">
          <cell r="E28">
            <v>62314000</v>
          </cell>
        </row>
        <row r="31">
          <cell r="E31">
            <v>51457150</v>
          </cell>
        </row>
        <row r="32">
          <cell r="E32">
            <v>101048113</v>
          </cell>
        </row>
        <row r="34">
          <cell r="E34">
            <v>37000000</v>
          </cell>
        </row>
        <row r="35">
          <cell r="E35">
            <v>59300000</v>
          </cell>
        </row>
        <row r="36">
          <cell r="E36">
            <v>10300000</v>
          </cell>
        </row>
        <row r="37">
          <cell r="E37">
            <v>105600000</v>
          </cell>
        </row>
        <row r="39">
          <cell r="E39">
            <v>23341246</v>
          </cell>
        </row>
        <row r="40">
          <cell r="E40">
            <v>4063117</v>
          </cell>
        </row>
        <row r="41">
          <cell r="E41">
            <v>35850000</v>
          </cell>
        </row>
        <row r="43">
          <cell r="E43">
            <v>41777253</v>
          </cell>
        </row>
        <row r="44">
          <cell r="E44">
            <v>42978978</v>
          </cell>
        </row>
        <row r="47">
          <cell r="E47">
            <v>6800000</v>
          </cell>
        </row>
        <row r="48">
          <cell r="E48">
            <v>29600000</v>
          </cell>
        </row>
        <row r="49">
          <cell r="E49">
            <v>12200000</v>
          </cell>
        </row>
        <row r="52">
          <cell r="E52">
            <v>57093000</v>
          </cell>
        </row>
        <row r="53">
          <cell r="E53">
            <v>13000000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"/>
    </sheetNames>
    <sheetDataSet>
      <sheetData sheetId="0">
        <row r="16">
          <cell r="H16">
            <v>2499655</v>
          </cell>
        </row>
        <row r="62">
          <cell r="H62">
            <v>78244469</v>
          </cell>
        </row>
        <row r="64">
          <cell r="H64">
            <v>6539247</v>
          </cell>
        </row>
        <row r="67">
          <cell r="H67">
            <v>15860000</v>
          </cell>
        </row>
        <row r="68">
          <cell r="H68">
            <v>57600000</v>
          </cell>
        </row>
        <row r="69">
          <cell r="H69">
            <v>46680000</v>
          </cell>
        </row>
        <row r="70">
          <cell r="H70">
            <v>13750000</v>
          </cell>
        </row>
        <row r="71">
          <cell r="H71">
            <v>24660000</v>
          </cell>
        </row>
        <row r="73">
          <cell r="H73">
            <v>30000000</v>
          </cell>
        </row>
        <row r="74">
          <cell r="H74">
            <v>70000000</v>
          </cell>
        </row>
        <row r="75">
          <cell r="H75">
            <v>25000000</v>
          </cell>
        </row>
        <row r="83">
          <cell r="H83">
            <v>60501000</v>
          </cell>
        </row>
        <row r="84">
          <cell r="H84">
            <v>60000000</v>
          </cell>
        </row>
        <row r="86">
          <cell r="H86">
            <v>313758330</v>
          </cell>
        </row>
        <row r="87">
          <cell r="H87">
            <v>90047200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 (2)"/>
      <sheetName val="Consolidado área PPC "/>
      <sheetName val="III TRE PPC"/>
      <sheetName val="Ingresos 2015"/>
      <sheetName val="Escenario PPC"/>
      <sheetName val="CONSOLIDADO SANIDAD"/>
      <sheetName val="III SANIDAD"/>
      <sheetName val="Anexo 2 "/>
    </sheetNames>
    <sheetDataSet>
      <sheetData sheetId="0"/>
      <sheetData sheetId="1"/>
      <sheetData sheetId="2">
        <row r="7">
          <cell r="B7">
            <v>3000000</v>
          </cell>
        </row>
        <row r="26">
          <cell r="B26">
            <v>397000000</v>
          </cell>
        </row>
        <row r="29">
          <cell r="B29">
            <v>20000000</v>
          </cell>
        </row>
        <row r="43">
          <cell r="B43">
            <v>14000000</v>
          </cell>
        </row>
        <row r="47">
          <cell r="B47">
            <v>75000000</v>
          </cell>
        </row>
        <row r="51">
          <cell r="B51">
            <v>100000000</v>
          </cell>
        </row>
        <row r="55">
          <cell r="B55">
            <v>40000000</v>
          </cell>
        </row>
        <row r="68">
          <cell r="B68">
            <v>40000000</v>
          </cell>
        </row>
        <row r="69">
          <cell r="B69">
            <v>611000000</v>
          </cell>
        </row>
        <row r="70">
          <cell r="B70">
            <v>30000000</v>
          </cell>
        </row>
        <row r="71">
          <cell r="B71">
            <v>30400000</v>
          </cell>
        </row>
        <row r="72">
          <cell r="B72">
            <v>18000000</v>
          </cell>
        </row>
        <row r="73">
          <cell r="B73">
            <v>1560000</v>
          </cell>
        </row>
        <row r="75">
          <cell r="B75">
            <v>44700000</v>
          </cell>
        </row>
        <row r="80">
          <cell r="B80">
            <v>168000000</v>
          </cell>
        </row>
        <row r="82">
          <cell r="B82">
            <v>1250000000</v>
          </cell>
        </row>
        <row r="85">
          <cell r="B85">
            <v>21651000</v>
          </cell>
        </row>
        <row r="88">
          <cell r="B88">
            <v>17000000</v>
          </cell>
        </row>
      </sheetData>
      <sheetData sheetId="3"/>
      <sheetData sheetId="4"/>
      <sheetData sheetId="5"/>
      <sheetData sheetId="6">
        <row r="5">
          <cell r="D5">
            <v>2400000</v>
          </cell>
        </row>
        <row r="13">
          <cell r="D13">
            <v>18000000</v>
          </cell>
        </row>
        <row r="16">
          <cell r="D16">
            <v>14000000</v>
          </cell>
        </row>
        <row r="25">
          <cell r="D25">
            <v>13000000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nica"/>
    </sheetNames>
    <sheetDataSet>
      <sheetData sheetId="0">
        <row r="5">
          <cell r="H5">
            <v>2000000</v>
          </cell>
        </row>
        <row r="17">
          <cell r="H17">
            <v>64600000</v>
          </cell>
        </row>
        <row r="32">
          <cell r="H32">
            <v>5000000</v>
          </cell>
        </row>
        <row r="35">
          <cell r="H35">
            <v>3000000</v>
          </cell>
        </row>
        <row r="37">
          <cell r="H37">
            <v>5000000</v>
          </cell>
        </row>
        <row r="43">
          <cell r="H43">
            <v>12000000</v>
          </cell>
        </row>
        <row r="45">
          <cell r="H45">
            <v>123415000</v>
          </cell>
        </row>
        <row r="63">
          <cell r="H63">
            <v>30300000</v>
          </cell>
        </row>
        <row r="66">
          <cell r="H66">
            <v>5000000</v>
          </cell>
        </row>
        <row r="69">
          <cell r="H69">
            <v>3000000</v>
          </cell>
        </row>
        <row r="72">
          <cell r="H72">
            <v>12360000</v>
          </cell>
        </row>
        <row r="74">
          <cell r="H74">
            <v>10000000</v>
          </cell>
        </row>
        <row r="77">
          <cell r="H77">
            <v>11000000</v>
          </cell>
        </row>
        <row r="81">
          <cell r="H81">
            <v>20161600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AÑO 1ER TRIMESTRE"/>
      <sheetName val="SOLICITUD III TRIMESTRE"/>
      <sheetName val="Proyectado ejecucion"/>
    </sheetNames>
    <sheetDataSet>
      <sheetData sheetId="0"/>
      <sheetData sheetId="1">
        <row r="24">
          <cell r="G24">
            <v>1929613</v>
          </cell>
        </row>
        <row r="38">
          <cell r="G38">
            <v>97461900</v>
          </cell>
        </row>
        <row r="39">
          <cell r="G39">
            <v>2002391</v>
          </cell>
        </row>
        <row r="40">
          <cell r="G40">
            <v>15000000</v>
          </cell>
        </row>
        <row r="43">
          <cell r="G43">
            <v>20000000</v>
          </cell>
        </row>
        <row r="44">
          <cell r="G44">
            <v>10000000</v>
          </cell>
        </row>
        <row r="49">
          <cell r="G49">
            <v>30000000</v>
          </cell>
        </row>
        <row r="51">
          <cell r="G51">
            <v>27000000</v>
          </cell>
        </row>
        <row r="54">
          <cell r="G54">
            <v>27500000</v>
          </cell>
        </row>
        <row r="57">
          <cell r="G57">
            <v>146400</v>
          </cell>
        </row>
        <row r="58">
          <cell r="G58">
            <v>2230000</v>
          </cell>
        </row>
        <row r="59">
          <cell r="G59">
            <v>5442000</v>
          </cell>
        </row>
        <row r="61">
          <cell r="G61">
            <v>7913400</v>
          </cell>
        </row>
        <row r="62">
          <cell r="G62">
            <v>35000000</v>
          </cell>
        </row>
        <row r="64">
          <cell r="G64">
            <v>2940000</v>
          </cell>
        </row>
        <row r="65">
          <cell r="G65">
            <v>5000000</v>
          </cell>
        </row>
        <row r="66">
          <cell r="G66">
            <v>57680000</v>
          </cell>
        </row>
        <row r="67">
          <cell r="G67">
            <v>5000000</v>
          </cell>
        </row>
        <row r="68">
          <cell r="G68">
            <v>1495628725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80"/>
  <sheetViews>
    <sheetView tabSelected="1" showWhiteSpace="0" zoomScale="90" zoomScaleNormal="90" zoomScaleSheetLayoutView="90" workbookViewId="0">
      <pane xSplit="1" ySplit="9" topLeftCell="E114" activePane="bottomRight" state="frozen"/>
      <selection pane="topRight" activeCell="B1" sqref="B1"/>
      <selection pane="bottomLeft" activeCell="A10" sqref="A10"/>
      <selection pane="bottomRight" activeCell="L7" sqref="L7"/>
    </sheetView>
  </sheetViews>
  <sheetFormatPr baseColWidth="10" defaultRowHeight="12.75" outlineLevelRow="2" x14ac:dyDescent="0.2"/>
  <cols>
    <col min="1" max="1" width="70.28515625" style="2" customWidth="1"/>
    <col min="2" max="2" width="14.5703125" style="2" customWidth="1"/>
    <col min="3" max="3" width="14.7109375" style="2" customWidth="1"/>
    <col min="4" max="4" width="18.42578125" style="2" customWidth="1"/>
    <col min="5" max="5" width="13.42578125" style="2" customWidth="1"/>
    <col min="6" max="7" width="15.42578125" style="2" customWidth="1"/>
    <col min="8" max="8" width="16.140625" style="2" customWidth="1"/>
    <col min="9" max="9" width="20" style="2" customWidth="1"/>
    <col min="10" max="11" width="18.140625" style="2" customWidth="1"/>
    <col min="12" max="12" width="16.28515625" style="2" customWidth="1"/>
    <col min="13" max="13" width="9.5703125" style="2" customWidth="1"/>
    <col min="14" max="14" width="17.85546875" style="2" bestFit="1" customWidth="1"/>
    <col min="15" max="17" width="14.5703125" style="2" customWidth="1"/>
    <col min="18" max="16384" width="11.42578125" style="2"/>
  </cols>
  <sheetData>
    <row r="1" spans="1:16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1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ht="15.75" thickBot="1" x14ac:dyDescent="0.3">
      <c r="A6" s="3"/>
      <c r="B6" s="4"/>
      <c r="C6" s="5"/>
      <c r="D6" s="5"/>
      <c r="E6" s="6"/>
      <c r="F6" s="6"/>
      <c r="G6" s="6"/>
      <c r="H6" s="7"/>
      <c r="I6" s="6"/>
    </row>
    <row r="7" spans="1:16" ht="75.75" customHeight="1" thickTop="1" x14ac:dyDescent="0.2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10" t="s">
        <v>15</v>
      </c>
      <c r="L7" s="10" t="s">
        <v>16</v>
      </c>
      <c r="M7" s="11" t="s">
        <v>17</v>
      </c>
    </row>
    <row r="8" spans="1:16" ht="15" x14ac:dyDescent="0.25">
      <c r="A8" s="12" t="s">
        <v>18</v>
      </c>
      <c r="B8" s="13"/>
      <c r="C8" s="13"/>
      <c r="D8" s="13"/>
      <c r="E8" s="13"/>
      <c r="F8" s="13"/>
      <c r="G8" s="13"/>
      <c r="H8" s="13"/>
      <c r="I8" s="13"/>
      <c r="J8" s="13"/>
      <c r="K8" s="14"/>
      <c r="L8" s="14"/>
      <c r="M8" s="15"/>
    </row>
    <row r="9" spans="1:16" ht="15" x14ac:dyDescent="0.25">
      <c r="A9" s="16" t="s">
        <v>19</v>
      </c>
      <c r="B9" s="17">
        <f t="shared" ref="B9:K9" si="0">SUM(B10:B19)</f>
        <v>312981467.67459935</v>
      </c>
      <c r="C9" s="17">
        <f t="shared" si="0"/>
        <v>84856620.274227053</v>
      </c>
      <c r="D9" s="17">
        <f t="shared" si="0"/>
        <v>73035832.113937318</v>
      </c>
      <c r="E9" s="17">
        <f t="shared" si="0"/>
        <v>9917034.0275999997</v>
      </c>
      <c r="F9" s="17">
        <f t="shared" si="0"/>
        <v>75099496.059123501</v>
      </c>
      <c r="G9" s="17">
        <f t="shared" si="0"/>
        <v>297390833.96649498</v>
      </c>
      <c r="H9" s="17">
        <f t="shared" si="0"/>
        <v>853281284.11598217</v>
      </c>
      <c r="I9" s="17">
        <f t="shared" si="0"/>
        <v>95779142.691400006</v>
      </c>
      <c r="J9" s="17">
        <f t="shared" si="0"/>
        <v>949060426.80738223</v>
      </c>
      <c r="K9" s="17">
        <f t="shared" si="0"/>
        <v>882647083.77802801</v>
      </c>
      <c r="L9" s="17">
        <f>+K9-J9</f>
        <v>-66413343.029354215</v>
      </c>
      <c r="M9" s="18">
        <f>IFERROR(K9/J9,0)</f>
        <v>0.93002200792127931</v>
      </c>
      <c r="N9" s="19"/>
    </row>
    <row r="10" spans="1:16" ht="14.25" x14ac:dyDescent="0.2">
      <c r="A10" s="20" t="s">
        <v>20</v>
      </c>
      <c r="B10" s="21">
        <f>+'[1]Nómina y honorarios 2015'!K21</f>
        <v>188522426.6124</v>
      </c>
      <c r="C10" s="21">
        <f>+'[1]Nómina y honorarios 2015'!K48</f>
        <v>60095541.904799998</v>
      </c>
      <c r="D10" s="21">
        <f>+'[1]Nómina y honorarios 2015'!K57</f>
        <v>52311298.9014</v>
      </c>
      <c r="E10" s="21">
        <f>+'[1]Nómina y honorarios 2015'!K65</f>
        <v>6530580</v>
      </c>
      <c r="F10" s="21">
        <f>+'[1]Nómina y honorarios 2015'!K39</f>
        <v>53670265.952399999</v>
      </c>
      <c r="G10" s="21">
        <f>+'[1]Nómina y honorarios 2015'!K69</f>
        <v>199340168.7552</v>
      </c>
      <c r="H10" s="22">
        <f t="shared" ref="H10:H19" si="1">+B10+C10+D10+G10+E10+F10</f>
        <v>560470282.12619996</v>
      </c>
      <c r="I10" s="21">
        <f>+'[1]Nómina y honorarios 2015'!K12+7732200</f>
        <v>43452600</v>
      </c>
      <c r="J10" s="21">
        <f t="shared" ref="J10:J19" si="2">+H10+I10</f>
        <v>603922882.12619996</v>
      </c>
      <c r="K10" s="21">
        <v>560916904</v>
      </c>
      <c r="L10" s="21">
        <f>+K10-J10</f>
        <v>-43005978.126199961</v>
      </c>
      <c r="M10" s="23">
        <f t="shared" ref="M10:M73" si="3">IFERROR(K10/J10,0)</f>
        <v>0.92878895733377242</v>
      </c>
      <c r="P10" s="24"/>
    </row>
    <row r="11" spans="1:16" ht="14.25" x14ac:dyDescent="0.2">
      <c r="A11" s="20" t="s">
        <v>21</v>
      </c>
      <c r="B11" s="21">
        <f>+'[1]Nómina y honorarios 2015'!O21+250000</f>
        <v>8105101.1088500004</v>
      </c>
      <c r="C11" s="21">
        <f>+'[1]Nómina y honorarios 2015'!O48+250000</f>
        <v>2753980.9126999998</v>
      </c>
      <c r="D11" s="21">
        <f>+'[1]Nómina y honorarios 2015'!O57+250000</f>
        <v>2429637.454225</v>
      </c>
      <c r="E11" s="21">
        <f>+'[1]Nómina y honorarios 2015'!O65</f>
        <v>272107.5</v>
      </c>
      <c r="F11" s="21">
        <f>+'[1]Nómina y honorarios 2015'!O39+250000</f>
        <v>2486261.0813499996</v>
      </c>
      <c r="G11" s="21">
        <f>+'[1]Nómina y honorarios 2015'!O69+250000</f>
        <v>8555840.3647999987</v>
      </c>
      <c r="H11" s="22">
        <f t="shared" si="1"/>
        <v>24602928.421924997</v>
      </c>
      <c r="I11" s="21">
        <f>+'[1]Nómina y honorarios 2015'!O12+250000</f>
        <v>1416175</v>
      </c>
      <c r="J11" s="21">
        <f t="shared" si="2"/>
        <v>26019103.421924997</v>
      </c>
      <c r="K11" s="21">
        <v>23024751</v>
      </c>
      <c r="L11" s="21">
        <f t="shared" ref="L11:L73" si="4">+K11-J11</f>
        <v>-2994352.4219249971</v>
      </c>
      <c r="M11" s="23">
        <f t="shared" si="3"/>
        <v>0.8849171559308302</v>
      </c>
      <c r="N11" s="25"/>
    </row>
    <row r="12" spans="1:16" ht="14.25" x14ac:dyDescent="0.2">
      <c r="A12" s="20" t="s">
        <v>22</v>
      </c>
      <c r="B12" s="21">
        <f>+'[1]Nómina y honorarios 2015'!N21</f>
        <v>13527924.717699999</v>
      </c>
      <c r="C12" s="21">
        <f>+'[1]Nómina y honorarios 2015'!N48</f>
        <v>2825684.3253999995</v>
      </c>
      <c r="D12" s="21">
        <f>+'[1]Nómina y honorarios 2015'!N57</f>
        <v>2176997.40845</v>
      </c>
      <c r="E12" s="21">
        <f>+'[1]Nómina y honorarios 2015'!N65</f>
        <v>544215</v>
      </c>
      <c r="F12" s="21">
        <f>+'[1]Nómina y honorarios 2015'!N39</f>
        <v>2290244.6626999998</v>
      </c>
      <c r="G12" s="21">
        <f>+'[1]Nómina y honorarios 2015'!N69</f>
        <v>14429403.229599999</v>
      </c>
      <c r="H12" s="22">
        <f t="shared" si="1"/>
        <v>35794469.343849994</v>
      </c>
      <c r="I12" s="21">
        <f>+'[1]Nómina y honorarios 2015'!N12</f>
        <v>2332350</v>
      </c>
      <c r="J12" s="21">
        <f t="shared" si="2"/>
        <v>38126819.343849994</v>
      </c>
      <c r="K12" s="21">
        <v>35304590</v>
      </c>
      <c r="L12" s="21">
        <f t="shared" si="4"/>
        <v>-2822229.3438499942</v>
      </c>
      <c r="M12" s="23">
        <f t="shared" si="3"/>
        <v>0.92597784466631017</v>
      </c>
      <c r="N12" s="25"/>
    </row>
    <row r="13" spans="1:16" ht="14.25" x14ac:dyDescent="0.2">
      <c r="A13" s="20" t="s">
        <v>23</v>
      </c>
      <c r="B13" s="26">
        <f>+'[2]A Económica'!$E$6</f>
        <v>32235000</v>
      </c>
      <c r="C13" s="26"/>
      <c r="D13" s="26"/>
      <c r="E13" s="22"/>
      <c r="F13" s="22"/>
      <c r="G13" s="22"/>
      <c r="H13" s="22">
        <f t="shared" si="1"/>
        <v>32235000</v>
      </c>
      <c r="I13" s="21">
        <f>+'[1]Nómina y honorarios 2015'!I107+5100000</f>
        <v>34463593.2874</v>
      </c>
      <c r="J13" s="21">
        <f t="shared" si="2"/>
        <v>66698593.2874</v>
      </c>
      <c r="K13" s="21">
        <v>65698593</v>
      </c>
      <c r="L13" s="21">
        <f t="shared" si="4"/>
        <v>-1000000.2873999998</v>
      </c>
      <c r="M13" s="23">
        <f t="shared" si="3"/>
        <v>0.98500717574220698</v>
      </c>
      <c r="N13" s="25"/>
    </row>
    <row r="14" spans="1:16" ht="14.25" x14ac:dyDescent="0.2">
      <c r="A14" s="20" t="s">
        <v>24</v>
      </c>
      <c r="B14" s="21">
        <f>+'[1]Nómina y honorarios 2015'!K96</f>
        <v>800000</v>
      </c>
      <c r="C14" s="21">
        <f>+'[1]Nómina y honorarios 2015'!O96</f>
        <v>200000</v>
      </c>
      <c r="D14" s="21">
        <f>+'[1]Nómina y honorarios 2015'!Q96</f>
        <v>200000</v>
      </c>
      <c r="E14" s="21"/>
      <c r="F14" s="21">
        <f>+'[1]Nómina y honorarios 2015'!M96</f>
        <v>200000</v>
      </c>
      <c r="G14" s="21">
        <f>+'[1]Nómina y honorarios 2015'!S96</f>
        <v>600000</v>
      </c>
      <c r="H14" s="22">
        <f t="shared" si="1"/>
        <v>2000000</v>
      </c>
      <c r="I14" s="21">
        <f>+'[1]Nómina y honorarios 2015'!I96</f>
        <v>0</v>
      </c>
      <c r="J14" s="21">
        <f t="shared" si="2"/>
        <v>2000000</v>
      </c>
      <c r="K14" s="21">
        <v>1800000</v>
      </c>
      <c r="L14" s="21">
        <f t="shared" si="4"/>
        <v>-200000</v>
      </c>
      <c r="M14" s="23">
        <f t="shared" si="3"/>
        <v>0.9</v>
      </c>
      <c r="N14" s="25"/>
    </row>
    <row r="15" spans="1:16" ht="14.25" x14ac:dyDescent="0.2">
      <c r="A15" s="20" t="s">
        <v>25</v>
      </c>
      <c r="B15" s="21">
        <f>+'[1]Nómina y honorarios 2015'!L21</f>
        <v>13527924.717699999</v>
      </c>
      <c r="C15" s="21">
        <f>+'[1]Nómina y honorarios 2015'!L48</f>
        <v>2825684.3253999995</v>
      </c>
      <c r="D15" s="21">
        <f>+'[1]Nómina y honorarios 2015'!L57</f>
        <v>2176997.40845</v>
      </c>
      <c r="E15" s="21">
        <f>+'[1]Nómina y honorarios 2015'!L65</f>
        <v>544215</v>
      </c>
      <c r="F15" s="21">
        <f>+'[1]Nómina y honorarios 2015'!L39</f>
        <v>2290244.6626999998</v>
      </c>
      <c r="G15" s="21">
        <f>+'[1]Nómina y honorarios 2015'!L69</f>
        <v>14429403.229599999</v>
      </c>
      <c r="H15" s="22">
        <f t="shared" si="1"/>
        <v>35794469.343849994</v>
      </c>
      <c r="I15" s="21">
        <f>+'[1]Nómina y honorarios 2015'!L12</f>
        <v>2332350</v>
      </c>
      <c r="J15" s="21">
        <f t="shared" si="2"/>
        <v>38126819.343849994</v>
      </c>
      <c r="K15" s="21">
        <v>35304590</v>
      </c>
      <c r="L15" s="21">
        <f t="shared" si="4"/>
        <v>-2822229.3438499942</v>
      </c>
      <c r="M15" s="23">
        <f t="shared" si="3"/>
        <v>0.92597784466631017</v>
      </c>
      <c r="N15" s="25"/>
      <c r="O15" s="27"/>
      <c r="P15" s="27"/>
    </row>
    <row r="16" spans="1:16" ht="14.25" x14ac:dyDescent="0.2">
      <c r="A16" s="20" t="s">
        <v>26</v>
      </c>
      <c r="B16" s="21">
        <f>+'[1]Nómina y honorarios 2015'!M21</f>
        <v>1623350.9661239998</v>
      </c>
      <c r="C16" s="21">
        <f>+'[1]Nómina y honorarios 2015'!M48</f>
        <v>339082.11904799996</v>
      </c>
      <c r="D16" s="21">
        <f>+'[1]Nómina y honorarios 2015'!M57</f>
        <v>261239.68901399997</v>
      </c>
      <c r="E16" s="21">
        <f>+'[1]Nómina y honorarios 2015'!M65</f>
        <v>65305.799999999996</v>
      </c>
      <c r="F16" s="21">
        <f>+'[1]Nómina y honorarios 2015'!M39</f>
        <v>274829.35952399997</v>
      </c>
      <c r="G16" s="21">
        <f>+'[1]Nómina y honorarios 2015'!M69</f>
        <v>1731528.3875519999</v>
      </c>
      <c r="H16" s="22">
        <f t="shared" si="1"/>
        <v>4295336.3212620001</v>
      </c>
      <c r="I16" s="21">
        <f>+'[1]Nómina y honorarios 2015'!M12</f>
        <v>279882</v>
      </c>
      <c r="J16" s="21">
        <f t="shared" si="2"/>
        <v>4575218.3212620001</v>
      </c>
      <c r="K16" s="21">
        <v>4236551.3780279998</v>
      </c>
      <c r="L16" s="21">
        <f t="shared" si="4"/>
        <v>-338666.94323400036</v>
      </c>
      <c r="M16" s="23">
        <f t="shared" si="3"/>
        <v>0.92597797100519907</v>
      </c>
      <c r="N16" s="25"/>
      <c r="O16" s="27"/>
      <c r="P16" s="27"/>
    </row>
    <row r="17" spans="1:14" ht="14.25" x14ac:dyDescent="0.2">
      <c r="A17" s="20" t="s">
        <v>27</v>
      </c>
      <c r="B17" s="21">
        <f>+'[1]Nómina y honorarios 2015'!S21</f>
        <v>38259699.066709355</v>
      </c>
      <c r="C17" s="21">
        <f>+'[1]Nómina y honorarios 2015'!S48</f>
        <v>10935085.825447055</v>
      </c>
      <c r="D17" s="21">
        <f>+'[1]Nómina y honorarios 2015'!S57</f>
        <v>9298682.2612723075</v>
      </c>
      <c r="E17" s="21">
        <f>+'[1]Nómina y honorarios 2015'!S65</f>
        <v>1372858.5275999999</v>
      </c>
      <c r="F17" s="21">
        <f>+'[1]Nómina y honorarios 2015'!S39</f>
        <v>9584364.3147335276</v>
      </c>
      <c r="G17" s="21">
        <f>+'[1]Nómina y honorarios 2015'!S69</f>
        <v>40930872.72177498</v>
      </c>
      <c r="H17" s="22">
        <f t="shared" si="1"/>
        <v>110381562.71753722</v>
      </c>
      <c r="I17" s="21">
        <f>+'[1]Nómina y honorarios 2015'!S12</f>
        <v>8783254.404000001</v>
      </c>
      <c r="J17" s="21">
        <f t="shared" si="2"/>
        <v>119164817.12153722</v>
      </c>
      <c r="K17" s="21">
        <v>110069924</v>
      </c>
      <c r="L17" s="21">
        <f t="shared" si="4"/>
        <v>-9094893.1215372235</v>
      </c>
      <c r="M17" s="23">
        <f t="shared" si="3"/>
        <v>0.92367803399336179</v>
      </c>
      <c r="N17" s="25"/>
    </row>
    <row r="18" spans="1:14" ht="14.25" x14ac:dyDescent="0.2">
      <c r="A18" s="20" t="s">
        <v>28</v>
      </c>
      <c r="B18" s="21">
        <f>+'[1]Nómina y honorarios 2015'!U21+100000</f>
        <v>7291129.1044960003</v>
      </c>
      <c r="C18" s="21">
        <f>+'[1]Nómina y honorarios 2015'!U48+100000</f>
        <v>2180693.7161920001</v>
      </c>
      <c r="D18" s="21">
        <f>+'[1]Nómina y honorarios 2015'!U57+100000</f>
        <v>1869323.996056</v>
      </c>
      <c r="E18" s="21">
        <f>+'[1]Nómina y honorarios 2015'!U65</f>
        <v>261223.20000000004</v>
      </c>
      <c r="F18" s="21">
        <f>+'[1]Nómina y honorarios 2015'!U39+100000</f>
        <v>1923682.6780960001</v>
      </c>
      <c r="G18" s="21">
        <f>+'[1]Nómina y honorarios 2015'!U69+100000</f>
        <v>7732718.7902080007</v>
      </c>
      <c r="H18" s="22">
        <f t="shared" si="1"/>
        <v>21258771.485048</v>
      </c>
      <c r="I18" s="21">
        <f>+'[1]Nómina y honorarios 2015'!U12+100000</f>
        <v>1219528</v>
      </c>
      <c r="J18" s="21">
        <f t="shared" si="2"/>
        <v>22478299.485048</v>
      </c>
      <c r="K18" s="21">
        <v>20577600.399999999</v>
      </c>
      <c r="L18" s="21">
        <f t="shared" si="4"/>
        <v>-1900699.0850480013</v>
      </c>
      <c r="M18" s="23">
        <f t="shared" si="3"/>
        <v>0.91544293257982889</v>
      </c>
      <c r="N18" s="25"/>
    </row>
    <row r="19" spans="1:14" ht="14.25" x14ac:dyDescent="0.2">
      <c r="A19" s="20" t="s">
        <v>29</v>
      </c>
      <c r="B19" s="21">
        <f>+'[1]Nómina y honorarios 2015'!X21+100000</f>
        <v>9088911.3806200009</v>
      </c>
      <c r="C19" s="21">
        <f>+'[1]Nómina y honorarios 2015'!X48+100000</f>
        <v>2700867.1452400004</v>
      </c>
      <c r="D19" s="21">
        <f>+'[1]Nómina y honorarios 2015'!X57+100000</f>
        <v>2311654.9950700002</v>
      </c>
      <c r="E19" s="21">
        <f>+'[1]Nómina y honorarios 2015'!X65</f>
        <v>326529</v>
      </c>
      <c r="F19" s="21">
        <f>+'[1]Nómina y honorarios 2015'!X39+100000</f>
        <v>2379603.3476200001</v>
      </c>
      <c r="G19" s="21">
        <f>+'[1]Nómina y honorarios 2015'!X69+100000</f>
        <v>9640898.4877599999</v>
      </c>
      <c r="H19" s="22">
        <f t="shared" si="1"/>
        <v>26448464.356309999</v>
      </c>
      <c r="I19" s="21">
        <f>+'[1]Nómina y honorarios 2015'!X12+100000</f>
        <v>1499410</v>
      </c>
      <c r="J19" s="21">
        <f t="shared" si="2"/>
        <v>27947874.356309999</v>
      </c>
      <c r="K19" s="21">
        <v>25713580</v>
      </c>
      <c r="L19" s="21">
        <f t="shared" si="4"/>
        <v>-2234294.3563099988</v>
      </c>
      <c r="M19" s="23">
        <f t="shared" si="3"/>
        <v>0.92005494486540274</v>
      </c>
      <c r="N19" s="25"/>
    </row>
    <row r="20" spans="1:14" ht="15" x14ac:dyDescent="0.25">
      <c r="A20" s="28" t="s">
        <v>30</v>
      </c>
      <c r="B20" s="29">
        <f t="shared" ref="B20:G20" si="5">SUM(B10:B19)</f>
        <v>312981467.67459935</v>
      </c>
      <c r="C20" s="29">
        <f t="shared" si="5"/>
        <v>84856620.274227053</v>
      </c>
      <c r="D20" s="29">
        <f t="shared" si="5"/>
        <v>73035832.113937318</v>
      </c>
      <c r="E20" s="29">
        <f t="shared" si="5"/>
        <v>9917034.0275999997</v>
      </c>
      <c r="F20" s="29">
        <f t="shared" si="5"/>
        <v>75099496.059123501</v>
      </c>
      <c r="G20" s="29">
        <f t="shared" si="5"/>
        <v>297390833.96649498</v>
      </c>
      <c r="H20" s="29">
        <f>+B20+C20+D20+G20+E20+F20</f>
        <v>853281284.11598229</v>
      </c>
      <c r="I20" s="29">
        <f>SUM(I10:I19)</f>
        <v>95779142.691400006</v>
      </c>
      <c r="J20" s="29">
        <f>SUM(J10:J19)</f>
        <v>949060426.80738223</v>
      </c>
      <c r="K20" s="29">
        <f>SUM(K10:K19)</f>
        <v>882647083.77802801</v>
      </c>
      <c r="L20" s="29">
        <f t="shared" si="4"/>
        <v>-66413343.029354215</v>
      </c>
      <c r="M20" s="18">
        <f t="shared" si="3"/>
        <v>0.93002200792127931</v>
      </c>
      <c r="N20" s="30"/>
    </row>
    <row r="21" spans="1:14" ht="15" x14ac:dyDescent="0.25">
      <c r="A21" s="12" t="s">
        <v>31</v>
      </c>
      <c r="B21" s="21"/>
      <c r="C21" s="21"/>
      <c r="D21" s="21"/>
      <c r="E21" s="21"/>
      <c r="F21" s="21"/>
      <c r="G21" s="21"/>
      <c r="H21" s="21"/>
      <c r="I21" s="29"/>
      <c r="J21" s="21"/>
      <c r="K21" s="21"/>
      <c r="L21" s="21"/>
      <c r="M21" s="18"/>
      <c r="N21" s="25"/>
    </row>
    <row r="22" spans="1:14" ht="14.25" x14ac:dyDescent="0.2">
      <c r="A22" s="31" t="s">
        <v>32</v>
      </c>
      <c r="B22" s="32">
        <f>+[1]Funcionamiento!I10</f>
        <v>0</v>
      </c>
      <c r="C22" s="32">
        <f>+[1]Funcionamiento!J10-2000000</f>
        <v>0</v>
      </c>
      <c r="D22" s="32">
        <f>+[1]Funcionamiento!K10</f>
        <v>0</v>
      </c>
      <c r="E22" s="32"/>
      <c r="F22" s="32">
        <f>+[1]Funcionamiento!L10</f>
        <v>0</v>
      </c>
      <c r="G22" s="32">
        <f>+[1]Funcionamiento!G10</f>
        <v>3000000</v>
      </c>
      <c r="H22" s="32">
        <f t="shared" ref="H22:H36" si="6">+B22+C22+D22+G22+E22+F22</f>
        <v>3000000</v>
      </c>
      <c r="I22" s="21">
        <f>+[1]Funcionamiento!F10</f>
        <v>15378750</v>
      </c>
      <c r="J22" s="21">
        <f>+I22+H22</f>
        <v>18378750</v>
      </c>
      <c r="K22" s="21">
        <v>10927694</v>
      </c>
      <c r="L22" s="21">
        <f t="shared" si="4"/>
        <v>-7451056</v>
      </c>
      <c r="M22" s="23">
        <f t="shared" si="3"/>
        <v>0.59458309188600966</v>
      </c>
      <c r="N22" s="25"/>
    </row>
    <row r="23" spans="1:14" ht="14.25" x14ac:dyDescent="0.2">
      <c r="A23" s="31" t="s">
        <v>33</v>
      </c>
      <c r="B23" s="21">
        <f>+[1]Funcionamiento!I24</f>
        <v>3000000</v>
      </c>
      <c r="C23" s="32">
        <f>+[1]Funcionamiento!J24</f>
        <v>0</v>
      </c>
      <c r="D23" s="32">
        <f>+[1]Funcionamiento!K24</f>
        <v>0</v>
      </c>
      <c r="E23" s="21">
        <f>+[1]Funcionamiento!H24</f>
        <v>2400000</v>
      </c>
      <c r="F23" s="32">
        <v>0</v>
      </c>
      <c r="G23" s="21">
        <f>+[1]Funcionamiento!G24</f>
        <v>3000000</v>
      </c>
      <c r="H23" s="32">
        <f t="shared" si="6"/>
        <v>8400000</v>
      </c>
      <c r="I23" s="21">
        <f>+[1]Funcionamiento!F24</f>
        <v>2831880.2837999999</v>
      </c>
      <c r="J23" s="21">
        <f t="shared" ref="J23:J36" si="7">+H23+I23</f>
        <v>11231880.2838</v>
      </c>
      <c r="K23" s="21">
        <v>7694468</v>
      </c>
      <c r="L23" s="21">
        <f t="shared" si="4"/>
        <v>-3537412.2838000003</v>
      </c>
      <c r="M23" s="23">
        <f t="shared" si="3"/>
        <v>0.68505609083974195</v>
      </c>
    </row>
    <row r="24" spans="1:14" ht="14.25" x14ac:dyDescent="0.2">
      <c r="A24" s="31" t="s">
        <v>34</v>
      </c>
      <c r="B24" s="32">
        <v>0</v>
      </c>
      <c r="C24" s="32">
        <v>0</v>
      </c>
      <c r="D24" s="32"/>
      <c r="E24" s="32"/>
      <c r="F24" s="32">
        <v>0</v>
      </c>
      <c r="G24" s="32">
        <f>+[1]Funcionamiento!G14</f>
        <v>3500000</v>
      </c>
      <c r="H24" s="32">
        <f t="shared" si="6"/>
        <v>3500000</v>
      </c>
      <c r="I24" s="21">
        <f>+[1]Funcionamiento!F14</f>
        <v>4782026.0160999997</v>
      </c>
      <c r="J24" s="21">
        <f t="shared" si="7"/>
        <v>8282026.0160999997</v>
      </c>
      <c r="K24" s="21">
        <v>6570565</v>
      </c>
      <c r="L24" s="21">
        <f t="shared" si="4"/>
        <v>-1711461.0160999997</v>
      </c>
      <c r="M24" s="23">
        <f t="shared" si="3"/>
        <v>0.79335237383063362</v>
      </c>
      <c r="N24" s="25"/>
    </row>
    <row r="25" spans="1:14" ht="14.25" x14ac:dyDescent="0.2">
      <c r="A25" s="31" t="s">
        <v>35</v>
      </c>
      <c r="B25" s="21">
        <f>+[1]Funcionamiento!I26</f>
        <v>12000000</v>
      </c>
      <c r="C25" s="32">
        <f>+[1]Funcionamiento!J26</f>
        <v>2643237.5</v>
      </c>
      <c r="D25" s="32">
        <f>+[1]Funcionamiento!K26</f>
        <v>1586000</v>
      </c>
      <c r="E25" s="32">
        <f>+[1]Funcionamiento!H26</f>
        <v>3000000</v>
      </c>
      <c r="F25" s="32">
        <f>+[1]Funcionamiento!L26</f>
        <v>2499655</v>
      </c>
      <c r="G25" s="32">
        <f>+[1]Funcionamiento!G26</f>
        <v>63000000</v>
      </c>
      <c r="H25" s="32">
        <f t="shared" si="6"/>
        <v>84728892.5</v>
      </c>
      <c r="I25" s="21">
        <f>+[1]Funcionamiento!F26-3697077</f>
        <v>8007360.75</v>
      </c>
      <c r="J25" s="21">
        <f t="shared" si="7"/>
        <v>92736253.25</v>
      </c>
      <c r="K25" s="21">
        <v>52461594.75</v>
      </c>
      <c r="L25" s="21">
        <f t="shared" si="4"/>
        <v>-40274658.5</v>
      </c>
      <c r="M25" s="23">
        <f t="shared" si="3"/>
        <v>0.5657075082446249</v>
      </c>
    </row>
    <row r="26" spans="1:14" ht="14.25" x14ac:dyDescent="0.2">
      <c r="A26" s="31" t="s">
        <v>36</v>
      </c>
      <c r="B26" s="32">
        <f>+[1]Funcionamiento!I28</f>
        <v>700000</v>
      </c>
      <c r="C26" s="32">
        <f>+[1]Funcionamiento!J28</f>
        <v>638441.93999999994</v>
      </c>
      <c r="D26" s="32">
        <f>+[1]Funcionamiento!K28</f>
        <v>513250</v>
      </c>
      <c r="E26" s="32">
        <f>+[1]Funcionamiento!H28</f>
        <v>300000</v>
      </c>
      <c r="F26" s="32">
        <f>+[1]Funcionamiento!L28</f>
        <v>602658</v>
      </c>
      <c r="G26" s="32">
        <f>+[1]Funcionamiento!G28</f>
        <v>750000</v>
      </c>
      <c r="H26" s="32">
        <f t="shared" si="6"/>
        <v>3504349.94</v>
      </c>
      <c r="I26" s="21">
        <f>+[1]Funcionamiento!F28</f>
        <v>1134086.5286999999</v>
      </c>
      <c r="J26" s="21">
        <f t="shared" si="7"/>
        <v>4638436.4687000001</v>
      </c>
      <c r="K26" s="21">
        <v>2693200</v>
      </c>
      <c r="L26" s="21">
        <f t="shared" si="4"/>
        <v>-1945236.4687000001</v>
      </c>
      <c r="M26" s="23">
        <f t="shared" si="3"/>
        <v>0.58062668706871712</v>
      </c>
    </row>
    <row r="27" spans="1:14" ht="14.25" x14ac:dyDescent="0.2">
      <c r="A27" s="20" t="s">
        <v>37</v>
      </c>
      <c r="B27" s="32">
        <v>0</v>
      </c>
      <c r="C27" s="32">
        <v>0</v>
      </c>
      <c r="D27" s="32">
        <v>0</v>
      </c>
      <c r="E27" s="32"/>
      <c r="F27" s="32">
        <v>0</v>
      </c>
      <c r="G27" s="32">
        <v>0</v>
      </c>
      <c r="H27" s="32">
        <f t="shared" si="6"/>
        <v>0</v>
      </c>
      <c r="I27" s="21">
        <f>+[1]Funcionamiento!F8</f>
        <v>5000000</v>
      </c>
      <c r="J27" s="21">
        <f t="shared" si="7"/>
        <v>5000000</v>
      </c>
      <c r="K27" s="21">
        <v>2413000</v>
      </c>
      <c r="L27" s="21">
        <f t="shared" si="4"/>
        <v>-2587000</v>
      </c>
      <c r="M27" s="23">
        <f t="shared" si="3"/>
        <v>0.48259999999999997</v>
      </c>
      <c r="N27" s="25"/>
    </row>
    <row r="28" spans="1:14" ht="14.25" x14ac:dyDescent="0.2">
      <c r="A28" s="31" t="s">
        <v>38</v>
      </c>
      <c r="B28" s="32">
        <f>+[1]Funcionamiento!I16</f>
        <v>1900000</v>
      </c>
      <c r="C28" s="32">
        <f>+[1]Funcionamiento!J16</f>
        <v>1900000</v>
      </c>
      <c r="D28" s="32">
        <f>+[1]Funcionamiento!K16</f>
        <v>1900000</v>
      </c>
      <c r="E28" s="32">
        <f>+[1]Funcionamiento!H16</f>
        <v>1900000</v>
      </c>
      <c r="F28" s="32">
        <f>+[1]Funcionamiento!L16</f>
        <v>1900000</v>
      </c>
      <c r="G28" s="32">
        <f>+[1]Funcionamiento!G16</f>
        <v>1900000</v>
      </c>
      <c r="H28" s="32">
        <f t="shared" si="6"/>
        <v>11400000</v>
      </c>
      <c r="I28" s="21">
        <f>+[1]Funcionamiento!F16-3983803</f>
        <v>7260599.0053500012</v>
      </c>
      <c r="J28" s="21">
        <f t="shared" si="7"/>
        <v>18660599.005350001</v>
      </c>
      <c r="K28" s="21">
        <v>15432149.005350001</v>
      </c>
      <c r="L28" s="21">
        <f t="shared" si="4"/>
        <v>-3228450</v>
      </c>
      <c r="M28" s="23">
        <f t="shared" si="3"/>
        <v>0.82699108431222368</v>
      </c>
    </row>
    <row r="29" spans="1:14" ht="14.25" x14ac:dyDescent="0.2">
      <c r="A29" s="31" t="s">
        <v>39</v>
      </c>
      <c r="B29" s="32">
        <f>+[1]Funcionamiento!I30</f>
        <v>540000</v>
      </c>
      <c r="C29" s="32">
        <f>[1]Funcionamiento!J30</f>
        <v>500000</v>
      </c>
      <c r="D29" s="32">
        <f>+[1]Funcionamiento!K30</f>
        <v>1000000</v>
      </c>
      <c r="E29" s="32">
        <f>+[1]Funcionamiento!H30</f>
        <v>375000</v>
      </c>
      <c r="F29" s="32">
        <v>0</v>
      </c>
      <c r="G29" s="32">
        <f>+[1]Funcionamiento!G30-506789</f>
        <v>14493211</v>
      </c>
      <c r="H29" s="32">
        <f t="shared" si="6"/>
        <v>16908211</v>
      </c>
      <c r="I29" s="21">
        <f>+[1]Funcionamiento!F30</f>
        <v>5500000</v>
      </c>
      <c r="J29" s="21">
        <f t="shared" si="7"/>
        <v>22408211</v>
      </c>
      <c r="K29" s="21">
        <v>18356232</v>
      </c>
      <c r="L29" s="21">
        <f t="shared" si="4"/>
        <v>-4051979</v>
      </c>
      <c r="M29" s="23">
        <f t="shared" si="3"/>
        <v>0.81917436425424595</v>
      </c>
    </row>
    <row r="30" spans="1:14" ht="14.25" x14ac:dyDescent="0.2">
      <c r="A30" s="31" t="s">
        <v>40</v>
      </c>
      <c r="B30" s="32">
        <v>0</v>
      </c>
      <c r="C30" s="32">
        <v>0</v>
      </c>
      <c r="D30" s="32"/>
      <c r="E30" s="32"/>
      <c r="F30" s="32">
        <v>0</v>
      </c>
      <c r="G30" s="32">
        <f>+[1]Funcionamiento!G34+506789</f>
        <v>14906789</v>
      </c>
      <c r="H30" s="32">
        <f t="shared" si="6"/>
        <v>14906789</v>
      </c>
      <c r="I30" s="21">
        <f>+[1]Funcionamiento!F34+3983803</f>
        <v>25871468.75</v>
      </c>
      <c r="J30" s="21">
        <f t="shared" si="7"/>
        <v>40778257.75</v>
      </c>
      <c r="K30" s="21">
        <v>40778257.75</v>
      </c>
      <c r="L30" s="21">
        <f t="shared" si="4"/>
        <v>0</v>
      </c>
      <c r="M30" s="23">
        <f t="shared" si="3"/>
        <v>1</v>
      </c>
    </row>
    <row r="31" spans="1:14" ht="14.25" x14ac:dyDescent="0.2">
      <c r="A31" s="31" t="s">
        <v>41</v>
      </c>
      <c r="B31" s="21">
        <f>[1]Funcionamiento!I22</f>
        <v>4500000</v>
      </c>
      <c r="C31" s="21">
        <f>[1]Funcionamiento!J22</f>
        <v>4087624.52085</v>
      </c>
      <c r="D31" s="21">
        <f>+[1]Funcionamiento!K22</f>
        <v>1929613</v>
      </c>
      <c r="E31" s="21"/>
      <c r="F31" s="32">
        <f>+[1]Funcionamiento!L22</f>
        <v>4000000</v>
      </c>
      <c r="G31" s="21">
        <f>+[1]Funcionamiento!G22</f>
        <v>81000000</v>
      </c>
      <c r="H31" s="32">
        <f t="shared" si="6"/>
        <v>95517237.520850003</v>
      </c>
      <c r="I31" s="21">
        <f>+[1]Funcionamiento!F22</f>
        <v>10250000</v>
      </c>
      <c r="J31" s="21">
        <f t="shared" si="7"/>
        <v>105767237.52085</v>
      </c>
      <c r="K31" s="21">
        <v>78969894</v>
      </c>
      <c r="L31" s="21">
        <f t="shared" si="4"/>
        <v>-26797343.520850003</v>
      </c>
      <c r="M31" s="23">
        <f t="shared" si="3"/>
        <v>0.74663852295879984</v>
      </c>
    </row>
    <row r="32" spans="1:14" ht="14.25" x14ac:dyDescent="0.2">
      <c r="A32" s="31" t="s">
        <v>42</v>
      </c>
      <c r="B32" s="32">
        <v>0</v>
      </c>
      <c r="C32" s="32">
        <v>0</v>
      </c>
      <c r="D32" s="32"/>
      <c r="E32" s="32"/>
      <c r="F32" s="32">
        <v>0</v>
      </c>
      <c r="G32" s="32">
        <v>0</v>
      </c>
      <c r="H32" s="32">
        <f t="shared" si="6"/>
        <v>0</v>
      </c>
      <c r="I32" s="21">
        <f>+[1]Funcionamiento!F12</f>
        <v>1511854.92585</v>
      </c>
      <c r="J32" s="21">
        <f t="shared" si="7"/>
        <v>1511854.92585</v>
      </c>
      <c r="K32" s="21">
        <v>1486950</v>
      </c>
      <c r="L32" s="21">
        <f t="shared" si="4"/>
        <v>-24904.92585</v>
      </c>
      <c r="M32" s="23">
        <f t="shared" si="3"/>
        <v>0.98352690762574468</v>
      </c>
      <c r="N32" s="25"/>
    </row>
    <row r="33" spans="1:14" ht="14.25" x14ac:dyDescent="0.2">
      <c r="A33" s="31" t="s">
        <v>43</v>
      </c>
      <c r="B33" s="21">
        <f>[1]Funcionamiento!I18</f>
        <v>2435610.909</v>
      </c>
      <c r="C33" s="21">
        <f>[1]Funcionamiento!J18</f>
        <v>947182.10655000003</v>
      </c>
      <c r="D33" s="21">
        <f>+[1]Funcionamiento!K18</f>
        <v>405935.15149999998</v>
      </c>
      <c r="E33" s="21"/>
      <c r="F33" s="21">
        <f>+[1]Funcionamiento!L18</f>
        <v>2435610.909</v>
      </c>
      <c r="G33" s="21">
        <f>+[1]Funcionamiento!G17+[1]Funcionamiento!G18</f>
        <v>2190000</v>
      </c>
      <c r="H33" s="32">
        <f t="shared" si="6"/>
        <v>8414339.0760500003</v>
      </c>
      <c r="I33" s="21">
        <f>+[1]Funcionamiento!F18</f>
        <v>6900897.8346500006</v>
      </c>
      <c r="J33" s="21">
        <f t="shared" si="7"/>
        <v>15315236.910700001</v>
      </c>
      <c r="K33" s="21">
        <v>12688438.516100001</v>
      </c>
      <c r="L33" s="21">
        <f t="shared" si="4"/>
        <v>-2626798.3946000002</v>
      </c>
      <c r="M33" s="23">
        <f t="shared" si="3"/>
        <v>0.82848463853897125</v>
      </c>
    </row>
    <row r="34" spans="1:14" ht="14.25" x14ac:dyDescent="0.2">
      <c r="A34" s="31" t="s">
        <v>44</v>
      </c>
      <c r="B34" s="32">
        <f>+[1]Funcionamiento!I20</f>
        <v>750000</v>
      </c>
      <c r="C34" s="32">
        <v>0</v>
      </c>
      <c r="D34" s="32"/>
      <c r="E34" s="32"/>
      <c r="F34" s="32">
        <f>+[1]Funcionamiento!L20</f>
        <v>4000000</v>
      </c>
      <c r="G34" s="32">
        <f>+[1]Funcionamiento!G20</f>
        <v>2320000</v>
      </c>
      <c r="H34" s="32">
        <f t="shared" si="6"/>
        <v>7070000</v>
      </c>
      <c r="I34" s="21">
        <f>+[1]Funcionamiento!F20</f>
        <v>12186796.711099999</v>
      </c>
      <c r="J34" s="21">
        <f>+H34+I34</f>
        <v>19256796.711099997</v>
      </c>
      <c r="K34" s="21">
        <v>18715205</v>
      </c>
      <c r="L34" s="21">
        <f t="shared" si="4"/>
        <v>-541591.71109999716</v>
      </c>
      <c r="M34" s="23">
        <f t="shared" si="3"/>
        <v>0.97187529581242282</v>
      </c>
    </row>
    <row r="35" spans="1:14" ht="14.25" x14ac:dyDescent="0.2">
      <c r="A35" s="31" t="s">
        <v>45</v>
      </c>
      <c r="B35" s="32">
        <v>0</v>
      </c>
      <c r="C35" s="32">
        <v>0</v>
      </c>
      <c r="D35" s="32"/>
      <c r="E35" s="32"/>
      <c r="F35" s="32">
        <v>0</v>
      </c>
      <c r="G35" s="32">
        <v>0</v>
      </c>
      <c r="H35" s="32">
        <f t="shared" si="6"/>
        <v>0</v>
      </c>
      <c r="I35" s="21">
        <f>+[1]Funcionamiento!F36</f>
        <v>33153964</v>
      </c>
      <c r="J35" s="21">
        <f t="shared" si="7"/>
        <v>33153964</v>
      </c>
      <c r="K35" s="21">
        <v>33153964</v>
      </c>
      <c r="L35" s="21">
        <f t="shared" si="4"/>
        <v>0</v>
      </c>
      <c r="M35" s="23">
        <f t="shared" si="3"/>
        <v>1</v>
      </c>
    </row>
    <row r="36" spans="1:14" ht="14.25" x14ac:dyDescent="0.2">
      <c r="A36" s="31" t="s">
        <v>46</v>
      </c>
      <c r="B36" s="32">
        <v>0</v>
      </c>
      <c r="C36" s="32">
        <v>0</v>
      </c>
      <c r="D36" s="32"/>
      <c r="E36" s="32"/>
      <c r="F36" s="32">
        <v>0</v>
      </c>
      <c r="G36" s="32">
        <v>0</v>
      </c>
      <c r="H36" s="32">
        <f t="shared" si="6"/>
        <v>0</v>
      </c>
      <c r="I36" s="21">
        <f>+[1]Funcionamiento!F32+3697077</f>
        <v>8943897.6113499999</v>
      </c>
      <c r="J36" s="21">
        <f t="shared" si="7"/>
        <v>8943897.6113499999</v>
      </c>
      <c r="K36" s="21">
        <v>8943897.6113499999</v>
      </c>
      <c r="L36" s="21">
        <f t="shared" si="4"/>
        <v>0</v>
      </c>
      <c r="M36" s="23">
        <f t="shared" si="3"/>
        <v>1</v>
      </c>
    </row>
    <row r="37" spans="1:14" ht="15" x14ac:dyDescent="0.25">
      <c r="A37" s="28" t="s">
        <v>47</v>
      </c>
      <c r="B37" s="29">
        <f t="shared" ref="B37:I37" si="8">SUM(B22:B36)</f>
        <v>25825610.909000002</v>
      </c>
      <c r="C37" s="29">
        <f>SUM(C22:C36)</f>
        <v>10716486.067400001</v>
      </c>
      <c r="D37" s="29">
        <f t="shared" si="8"/>
        <v>7334798.1514999997</v>
      </c>
      <c r="E37" s="29">
        <f t="shared" si="8"/>
        <v>7975000</v>
      </c>
      <c r="F37" s="29">
        <f t="shared" si="8"/>
        <v>15437923.909</v>
      </c>
      <c r="G37" s="29">
        <f t="shared" si="8"/>
        <v>190060000</v>
      </c>
      <c r="H37" s="33">
        <f t="shared" si="8"/>
        <v>257349819.03690001</v>
      </c>
      <c r="I37" s="29">
        <f t="shared" si="8"/>
        <v>148713582.41690001</v>
      </c>
      <c r="J37" s="29">
        <f>SUM(J22:J36)</f>
        <v>406063401.45379996</v>
      </c>
      <c r="K37" s="29">
        <f>SUM(K22:K36)</f>
        <v>311285509.63279998</v>
      </c>
      <c r="L37" s="29">
        <f t="shared" si="4"/>
        <v>-94777891.82099998</v>
      </c>
      <c r="M37" s="18">
        <f t="shared" si="3"/>
        <v>0.7665933657609294</v>
      </c>
    </row>
    <row r="38" spans="1:14" ht="15" x14ac:dyDescent="0.25">
      <c r="A38" s="34" t="s">
        <v>48</v>
      </c>
      <c r="B38" s="35">
        <f t="shared" ref="B38:G38" si="9">+B37+B20</f>
        <v>338807078.58359933</v>
      </c>
      <c r="C38" s="35">
        <f t="shared" si="9"/>
        <v>95573106.341627061</v>
      </c>
      <c r="D38" s="35">
        <f t="shared" si="9"/>
        <v>80370630.26543732</v>
      </c>
      <c r="E38" s="35">
        <f t="shared" si="9"/>
        <v>17892034.027599998</v>
      </c>
      <c r="F38" s="35">
        <f t="shared" si="9"/>
        <v>90537419.968123496</v>
      </c>
      <c r="G38" s="35">
        <f t="shared" si="9"/>
        <v>487450833.96649498</v>
      </c>
      <c r="H38" s="36">
        <f>+B38+C38+D38+G38+E38+F38</f>
        <v>1110631103.1528821</v>
      </c>
      <c r="I38" s="35">
        <f>+I37+I20</f>
        <v>244492725.10830003</v>
      </c>
      <c r="J38" s="35">
        <f>+J37+J20</f>
        <v>1355123828.2611823</v>
      </c>
      <c r="K38" s="35">
        <f>+K37+K20</f>
        <v>1193932593.4108281</v>
      </c>
      <c r="L38" s="35">
        <f t="shared" si="4"/>
        <v>-161191234.85035419</v>
      </c>
      <c r="M38" s="37">
        <f t="shared" si="3"/>
        <v>0.88105054941201533</v>
      </c>
      <c r="N38" s="38"/>
    </row>
    <row r="39" spans="1:14" ht="15" x14ac:dyDescent="0.25">
      <c r="A39" s="39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1"/>
    </row>
    <row r="40" spans="1:14" ht="15" x14ac:dyDescent="0.25">
      <c r="A40" s="42" t="s">
        <v>49</v>
      </c>
      <c r="B40" s="43">
        <f>+B42</f>
        <v>691695925.94599998</v>
      </c>
      <c r="C40" s="43">
        <f>+C129</f>
        <v>321775600</v>
      </c>
      <c r="D40" s="43">
        <f>+D151</f>
        <v>1800944816</v>
      </c>
      <c r="E40" s="43">
        <f>+E185</f>
        <v>45000000</v>
      </c>
      <c r="F40" s="43">
        <f>+F75</f>
        <v>2442239692</v>
      </c>
      <c r="G40" s="43">
        <f>+G105</f>
        <v>2878311000</v>
      </c>
      <c r="H40" s="43">
        <f>+B40+C40+D40+G40+E40+F40</f>
        <v>8179967033.9460001</v>
      </c>
      <c r="I40" s="43">
        <v>0</v>
      </c>
      <c r="J40" s="43">
        <f>+I40+H40</f>
        <v>8179967033.9460001</v>
      </c>
      <c r="K40" s="43">
        <f>+K42+K75+K105+K129+K151+K185</f>
        <v>7182369964.5</v>
      </c>
      <c r="L40" s="43">
        <f t="shared" si="4"/>
        <v>-997597069.4460001</v>
      </c>
      <c r="M40" s="44">
        <f t="shared" si="3"/>
        <v>0.87804387654545824</v>
      </c>
    </row>
    <row r="41" spans="1:14" ht="15" x14ac:dyDescent="0.25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4"/>
    </row>
    <row r="42" spans="1:14" ht="15" x14ac:dyDescent="0.25">
      <c r="A42" s="42" t="s">
        <v>50</v>
      </c>
      <c r="B42" s="43">
        <f>+B43+B47+B58+B62+B66+B71</f>
        <v>691695925.94599998</v>
      </c>
      <c r="C42" s="43"/>
      <c r="D42" s="43"/>
      <c r="E42" s="43"/>
      <c r="F42" s="43"/>
      <c r="G42" s="43"/>
      <c r="H42" s="43">
        <f>+H43+H47+H58+H62+H66+H71</f>
        <v>691695925.94599998</v>
      </c>
      <c r="I42" s="43"/>
      <c r="J42" s="43">
        <f>+H42+I42</f>
        <v>691695925.94599998</v>
      </c>
      <c r="K42" s="43">
        <f>+K43+K47+K58+K62+K66+K71</f>
        <v>634347107</v>
      </c>
      <c r="L42" s="43">
        <f t="shared" si="4"/>
        <v>-57348818.94599998</v>
      </c>
      <c r="M42" s="18">
        <f t="shared" si="3"/>
        <v>0.91708955222258004</v>
      </c>
    </row>
    <row r="43" spans="1:14" s="46" customFormat="1" ht="15" x14ac:dyDescent="0.25">
      <c r="A43" s="45" t="s">
        <v>51</v>
      </c>
      <c r="B43" s="29">
        <f>+SUM(B44:B46)</f>
        <v>29565068.946000002</v>
      </c>
      <c r="C43" s="29"/>
      <c r="D43" s="29"/>
      <c r="E43" s="29"/>
      <c r="F43" s="29"/>
      <c r="G43" s="29"/>
      <c r="H43" s="29">
        <f>+SUM(H44:H46)</f>
        <v>29565068.946000002</v>
      </c>
      <c r="I43" s="29"/>
      <c r="J43" s="29">
        <f>+SUM(J44:J46)</f>
        <v>29565068.946000002</v>
      </c>
      <c r="K43" s="29">
        <f>+SUM(K44:K46)</f>
        <v>28321178</v>
      </c>
      <c r="L43" s="29">
        <f t="shared" si="4"/>
        <v>-1243890.9460000023</v>
      </c>
      <c r="M43" s="18">
        <f t="shared" si="3"/>
        <v>0.95792700675679321</v>
      </c>
    </row>
    <row r="44" spans="1:14" s="46" customFormat="1" ht="15" hidden="1" outlineLevel="1" x14ac:dyDescent="0.25">
      <c r="A44" s="47" t="s">
        <v>52</v>
      </c>
      <c r="B44" s="21">
        <f>+'[2]A Económica'!$E$24</f>
        <v>9923250</v>
      </c>
      <c r="C44" s="29"/>
      <c r="D44" s="29"/>
      <c r="E44" s="29"/>
      <c r="F44" s="29"/>
      <c r="G44" s="29"/>
      <c r="H44" s="21">
        <f>+B44+C44+D44+G44+E44+F44</f>
        <v>9923250</v>
      </c>
      <c r="I44" s="29"/>
      <c r="J44" s="22">
        <f>+H44+I44</f>
        <v>9923250</v>
      </c>
      <c r="K44" s="22">
        <v>9923256</v>
      </c>
      <c r="L44" s="22">
        <f t="shared" si="4"/>
        <v>6</v>
      </c>
      <c r="M44" s="23">
        <f t="shared" si="3"/>
        <v>1.0000006046406167</v>
      </c>
    </row>
    <row r="45" spans="1:14" s="46" customFormat="1" ht="15" hidden="1" outlineLevel="1" x14ac:dyDescent="0.25">
      <c r="A45" s="47" t="s">
        <v>53</v>
      </c>
      <c r="B45" s="21">
        <f>+'[2]A Económica'!$E$25-9319156</f>
        <v>0</v>
      </c>
      <c r="C45" s="29"/>
      <c r="D45" s="29"/>
      <c r="E45" s="29"/>
      <c r="F45" s="29"/>
      <c r="G45" s="29"/>
      <c r="H45" s="21">
        <f>+B45+C45+D45+G45+E45+F45</f>
        <v>0</v>
      </c>
      <c r="I45" s="29"/>
      <c r="J45" s="22">
        <f>+H45+I45</f>
        <v>0</v>
      </c>
      <c r="K45" s="22"/>
      <c r="L45" s="22">
        <f t="shared" si="4"/>
        <v>0</v>
      </c>
      <c r="M45" s="23">
        <f t="shared" si="3"/>
        <v>0</v>
      </c>
    </row>
    <row r="46" spans="1:14" s="46" customFormat="1" ht="15" hidden="1" outlineLevel="1" x14ac:dyDescent="0.25">
      <c r="A46" s="47" t="s">
        <v>54</v>
      </c>
      <c r="B46" s="21">
        <f>+'[2]A Económica'!$E$26</f>
        <v>19641818.946000002</v>
      </c>
      <c r="C46" s="29"/>
      <c r="D46" s="29"/>
      <c r="E46" s="29"/>
      <c r="F46" s="29"/>
      <c r="G46" s="29"/>
      <c r="H46" s="21">
        <f>+B46+C46+D46+G46+E46+F46</f>
        <v>19641818.946000002</v>
      </c>
      <c r="I46" s="29"/>
      <c r="J46" s="22">
        <f>+H46+I46</f>
        <v>19641818.946000002</v>
      </c>
      <c r="K46" s="22">
        <v>18397922</v>
      </c>
      <c r="L46" s="22">
        <f t="shared" si="4"/>
        <v>-1243896.9460000023</v>
      </c>
      <c r="M46" s="23">
        <f t="shared" si="3"/>
        <v>0.93667099012470445</v>
      </c>
    </row>
    <row r="47" spans="1:14" s="46" customFormat="1" ht="15" collapsed="1" x14ac:dyDescent="0.25">
      <c r="A47" s="48" t="s">
        <v>55</v>
      </c>
      <c r="B47" s="17">
        <f>+B48+B49+B57</f>
        <v>427019263</v>
      </c>
      <c r="C47" s="29"/>
      <c r="D47" s="29"/>
      <c r="E47" s="29"/>
      <c r="F47" s="29"/>
      <c r="G47" s="29"/>
      <c r="H47" s="17">
        <f>+H48+H49+H57</f>
        <v>427019263</v>
      </c>
      <c r="I47" s="29"/>
      <c r="J47" s="17">
        <f>+J48+J49+J57</f>
        <v>427019263</v>
      </c>
      <c r="K47" s="17">
        <f>+K48+K49+K57</f>
        <v>381236335</v>
      </c>
      <c r="L47" s="17">
        <f t="shared" si="4"/>
        <v>-45782928</v>
      </c>
      <c r="M47" s="18">
        <f t="shared" si="3"/>
        <v>0.89278486483641373</v>
      </c>
    </row>
    <row r="48" spans="1:14" s="46" customFormat="1" ht="15" hidden="1" outlineLevel="1" x14ac:dyDescent="0.25">
      <c r="A48" s="47" t="s">
        <v>56</v>
      </c>
      <c r="B48" s="21">
        <f>+'[2]A Económica'!$E$28</f>
        <v>62314000</v>
      </c>
      <c r="C48" s="29"/>
      <c r="D48" s="29"/>
      <c r="E48" s="29"/>
      <c r="F48" s="29"/>
      <c r="G48" s="29"/>
      <c r="H48" s="21">
        <f>+B48+C48+D48+G48+E48+F48</f>
        <v>62314000</v>
      </c>
      <c r="I48" s="29"/>
      <c r="J48" s="22">
        <f>+H48+I48</f>
        <v>62314000</v>
      </c>
      <c r="K48" s="22">
        <v>60319339</v>
      </c>
      <c r="L48" s="22">
        <f t="shared" si="4"/>
        <v>-1994661</v>
      </c>
      <c r="M48" s="23">
        <f t="shared" si="3"/>
        <v>0.96799016272426741</v>
      </c>
    </row>
    <row r="49" spans="1:13" s="46" customFormat="1" ht="15" hidden="1" outlineLevel="1" x14ac:dyDescent="0.25">
      <c r="A49" s="47" t="s">
        <v>57</v>
      </c>
      <c r="B49" s="21">
        <f>+B50+B53+B56</f>
        <v>259105263</v>
      </c>
      <c r="C49" s="29"/>
      <c r="D49" s="29"/>
      <c r="E49" s="29"/>
      <c r="F49" s="29"/>
      <c r="G49" s="29"/>
      <c r="H49" s="21">
        <f>+B49+C49+D49+G49+E49+F49</f>
        <v>259105263</v>
      </c>
      <c r="I49" s="29"/>
      <c r="J49" s="22">
        <f t="shared" ref="J49:J57" si="10">+H49+I49</f>
        <v>259105263</v>
      </c>
      <c r="K49" s="22">
        <f>+K50+K53+K56</f>
        <v>215666996</v>
      </c>
      <c r="L49" s="22">
        <f t="shared" si="4"/>
        <v>-43438267</v>
      </c>
      <c r="M49" s="23">
        <f t="shared" si="3"/>
        <v>0.83235281870750732</v>
      </c>
    </row>
    <row r="50" spans="1:13" s="46" customFormat="1" ht="15" hidden="1" outlineLevel="2" x14ac:dyDescent="0.25">
      <c r="A50" s="47" t="s">
        <v>58</v>
      </c>
      <c r="B50" s="17">
        <f>+B51+B52</f>
        <v>152505263</v>
      </c>
      <c r="C50" s="29"/>
      <c r="D50" s="29"/>
      <c r="E50" s="29"/>
      <c r="F50" s="29"/>
      <c r="G50" s="29"/>
      <c r="H50" s="21">
        <f t="shared" ref="H50:H56" si="11">+B50+C50+D50+G50+E50+F50</f>
        <v>152505263</v>
      </c>
      <c r="I50" s="29"/>
      <c r="J50" s="22">
        <f t="shared" si="10"/>
        <v>152505263</v>
      </c>
      <c r="K50" s="22">
        <f>+K51+K52</f>
        <v>127712147</v>
      </c>
      <c r="L50" s="22">
        <f t="shared" si="4"/>
        <v>-24793116</v>
      </c>
      <c r="M50" s="23">
        <f t="shared" si="3"/>
        <v>0.83742780077039047</v>
      </c>
    </row>
    <row r="51" spans="1:13" s="46" customFormat="1" ht="15" hidden="1" outlineLevel="2" x14ac:dyDescent="0.25">
      <c r="A51" s="47" t="s">
        <v>59</v>
      </c>
      <c r="B51" s="21">
        <f>+'[2]A Económica'!$E$31</f>
        <v>51457150</v>
      </c>
      <c r="C51" s="29"/>
      <c r="D51" s="29"/>
      <c r="E51" s="29"/>
      <c r="F51" s="29"/>
      <c r="G51" s="29"/>
      <c r="H51" s="21">
        <f t="shared" si="11"/>
        <v>51457150</v>
      </c>
      <c r="I51" s="29"/>
      <c r="J51" s="22">
        <f t="shared" si="10"/>
        <v>51457150</v>
      </c>
      <c r="K51" s="22">
        <v>29125710</v>
      </c>
      <c r="L51" s="22">
        <f t="shared" si="4"/>
        <v>-22331440</v>
      </c>
      <c r="M51" s="23">
        <f t="shared" si="3"/>
        <v>0.56601871654376501</v>
      </c>
    </row>
    <row r="52" spans="1:13" s="46" customFormat="1" ht="15" hidden="1" outlineLevel="2" x14ac:dyDescent="0.25">
      <c r="A52" s="47" t="s">
        <v>60</v>
      </c>
      <c r="B52" s="21">
        <f>+'[2]A Económica'!$E$32</f>
        <v>101048113</v>
      </c>
      <c r="C52" s="29"/>
      <c r="D52" s="29"/>
      <c r="E52" s="29"/>
      <c r="F52" s="29"/>
      <c r="G52" s="29"/>
      <c r="H52" s="21">
        <f t="shared" si="11"/>
        <v>101048113</v>
      </c>
      <c r="I52" s="29"/>
      <c r="J52" s="22">
        <f t="shared" si="10"/>
        <v>101048113</v>
      </c>
      <c r="K52" s="22">
        <v>98586437</v>
      </c>
      <c r="L52" s="22">
        <f t="shared" si="4"/>
        <v>-2461676</v>
      </c>
      <c r="M52" s="23">
        <f t="shared" si="3"/>
        <v>0.97563857525968845</v>
      </c>
    </row>
    <row r="53" spans="1:13" s="46" customFormat="1" ht="15" hidden="1" outlineLevel="2" x14ac:dyDescent="0.25">
      <c r="A53" s="47" t="s">
        <v>61</v>
      </c>
      <c r="B53" s="17">
        <f>+B54+B55</f>
        <v>96300000</v>
      </c>
      <c r="C53" s="29"/>
      <c r="D53" s="29"/>
      <c r="E53" s="29"/>
      <c r="F53" s="29"/>
      <c r="G53" s="29"/>
      <c r="H53" s="21">
        <f t="shared" si="11"/>
        <v>96300000</v>
      </c>
      <c r="I53" s="29"/>
      <c r="J53" s="22">
        <f t="shared" si="10"/>
        <v>96300000</v>
      </c>
      <c r="K53" s="22">
        <f>+K54+K55</f>
        <v>79072501</v>
      </c>
      <c r="L53" s="22">
        <f t="shared" si="4"/>
        <v>-17227499</v>
      </c>
      <c r="M53" s="23">
        <f t="shared" si="3"/>
        <v>0.82110592938733129</v>
      </c>
    </row>
    <row r="54" spans="1:13" s="46" customFormat="1" ht="15" hidden="1" outlineLevel="2" x14ac:dyDescent="0.25">
      <c r="A54" s="47" t="s">
        <v>62</v>
      </c>
      <c r="B54" s="21">
        <f>+'[2]A Económica'!$E$34</f>
        <v>37000000</v>
      </c>
      <c r="C54" s="29"/>
      <c r="D54" s="29"/>
      <c r="E54" s="29"/>
      <c r="F54" s="29"/>
      <c r="G54" s="29"/>
      <c r="H54" s="21">
        <f t="shared" si="11"/>
        <v>37000000</v>
      </c>
      <c r="I54" s="29"/>
      <c r="J54" s="22">
        <f t="shared" si="10"/>
        <v>37000000</v>
      </c>
      <c r="K54" s="22">
        <v>30200800</v>
      </c>
      <c r="L54" s="22">
        <f t="shared" si="4"/>
        <v>-6799200</v>
      </c>
      <c r="M54" s="23">
        <f t="shared" si="3"/>
        <v>0.81623783783783788</v>
      </c>
    </row>
    <row r="55" spans="1:13" s="46" customFormat="1" ht="15" hidden="1" outlineLevel="2" x14ac:dyDescent="0.25">
      <c r="A55" s="47" t="s">
        <v>63</v>
      </c>
      <c r="B55" s="21">
        <f>+'[2]A Económica'!$E$35</f>
        <v>59300000</v>
      </c>
      <c r="C55" s="29"/>
      <c r="D55" s="29"/>
      <c r="E55" s="29"/>
      <c r="F55" s="29"/>
      <c r="G55" s="29"/>
      <c r="H55" s="21">
        <f t="shared" si="11"/>
        <v>59300000</v>
      </c>
      <c r="I55" s="29"/>
      <c r="J55" s="22">
        <f t="shared" si="10"/>
        <v>59300000</v>
      </c>
      <c r="K55" s="22">
        <v>48871701</v>
      </c>
      <c r="L55" s="22">
        <f t="shared" si="4"/>
        <v>-10428299</v>
      </c>
      <c r="M55" s="23">
        <f t="shared" si="3"/>
        <v>0.82414335581787523</v>
      </c>
    </row>
    <row r="56" spans="1:13" s="46" customFormat="1" ht="15" hidden="1" outlineLevel="2" x14ac:dyDescent="0.25">
      <c r="A56" s="47" t="s">
        <v>64</v>
      </c>
      <c r="B56" s="21">
        <f>+'[2]A Económica'!$E$36</f>
        <v>10300000</v>
      </c>
      <c r="C56" s="29"/>
      <c r="D56" s="29"/>
      <c r="E56" s="29"/>
      <c r="F56" s="29"/>
      <c r="G56" s="29"/>
      <c r="H56" s="21">
        <f t="shared" si="11"/>
        <v>10300000</v>
      </c>
      <c r="I56" s="29"/>
      <c r="J56" s="22">
        <f t="shared" si="10"/>
        <v>10300000</v>
      </c>
      <c r="K56" s="22">
        <v>8882348</v>
      </c>
      <c r="L56" s="22">
        <f t="shared" si="4"/>
        <v>-1417652</v>
      </c>
      <c r="M56" s="23">
        <f t="shared" si="3"/>
        <v>0.86236388349514559</v>
      </c>
    </row>
    <row r="57" spans="1:13" s="46" customFormat="1" ht="15" hidden="1" outlineLevel="1" x14ac:dyDescent="0.25">
      <c r="A57" s="47" t="s">
        <v>65</v>
      </c>
      <c r="B57" s="21">
        <f>+'[2]A Económica'!$E$37</f>
        <v>105600000</v>
      </c>
      <c r="C57" s="29"/>
      <c r="D57" s="29"/>
      <c r="E57" s="29"/>
      <c r="F57" s="29"/>
      <c r="G57" s="29"/>
      <c r="H57" s="21">
        <f>+B57+C57+D57+G57+E57+F57</f>
        <v>105600000</v>
      </c>
      <c r="I57" s="29"/>
      <c r="J57" s="22">
        <f t="shared" si="10"/>
        <v>105600000</v>
      </c>
      <c r="K57" s="22">
        <v>105250000</v>
      </c>
      <c r="L57" s="22">
        <f t="shared" si="4"/>
        <v>-350000</v>
      </c>
      <c r="M57" s="23">
        <f t="shared" si="3"/>
        <v>0.99668560606060608</v>
      </c>
    </row>
    <row r="58" spans="1:13" s="46" customFormat="1" ht="15" collapsed="1" x14ac:dyDescent="0.25">
      <c r="A58" s="48" t="s">
        <v>66</v>
      </c>
      <c r="B58" s="17">
        <f>SUM(B59:B61)</f>
        <v>37404363</v>
      </c>
      <c r="C58" s="29"/>
      <c r="D58" s="29"/>
      <c r="E58" s="29"/>
      <c r="F58" s="29"/>
      <c r="G58" s="29"/>
      <c r="H58" s="17">
        <f>SUM(H59:H61)</f>
        <v>37404363</v>
      </c>
      <c r="I58" s="29"/>
      <c r="J58" s="17">
        <f>SUM(J59:J61)</f>
        <v>37404363</v>
      </c>
      <c r="K58" s="17">
        <f>SUM(K59:K61)</f>
        <v>36203847</v>
      </c>
      <c r="L58" s="17">
        <f t="shared" si="4"/>
        <v>-1200516</v>
      </c>
      <c r="M58" s="18">
        <f t="shared" si="3"/>
        <v>0.96790438591348282</v>
      </c>
    </row>
    <row r="59" spans="1:13" s="46" customFormat="1" ht="15" hidden="1" outlineLevel="1" x14ac:dyDescent="0.25">
      <c r="A59" s="47" t="s">
        <v>67</v>
      </c>
      <c r="B59" s="21">
        <f>+'[2]A Económica'!$E$39</f>
        <v>23341246</v>
      </c>
      <c r="C59" s="29"/>
      <c r="D59" s="29"/>
      <c r="E59" s="29"/>
      <c r="F59" s="29"/>
      <c r="G59" s="29"/>
      <c r="H59" s="21">
        <f>+B59+C59+D59+G59+E59+F59</f>
        <v>23341246</v>
      </c>
      <c r="I59" s="29"/>
      <c r="J59" s="22">
        <f>+H59+I59</f>
        <v>23341246</v>
      </c>
      <c r="K59" s="22">
        <v>23147730</v>
      </c>
      <c r="L59" s="22">
        <f t="shared" si="4"/>
        <v>-193516</v>
      </c>
      <c r="M59" s="23">
        <f t="shared" si="3"/>
        <v>0.99170926864829756</v>
      </c>
    </row>
    <row r="60" spans="1:13" s="46" customFormat="1" ht="15" hidden="1" outlineLevel="1" x14ac:dyDescent="0.25">
      <c r="A60" s="47" t="s">
        <v>68</v>
      </c>
      <c r="B60" s="21">
        <f>+'[2]A Económica'!$E$40</f>
        <v>4063117</v>
      </c>
      <c r="C60" s="29"/>
      <c r="D60" s="29"/>
      <c r="E60" s="29"/>
      <c r="F60" s="29"/>
      <c r="G60" s="29"/>
      <c r="H60" s="21">
        <f>+B60+C60+D60+G60+E60+F60</f>
        <v>4063117</v>
      </c>
      <c r="I60" s="29"/>
      <c r="J60" s="22">
        <f>+H60+I60</f>
        <v>4063117</v>
      </c>
      <c r="K60" s="22">
        <v>3056117</v>
      </c>
      <c r="L60" s="22">
        <f t="shared" si="4"/>
        <v>-1007000</v>
      </c>
      <c r="M60" s="23">
        <f t="shared" si="3"/>
        <v>0.7521607179906461</v>
      </c>
    </row>
    <row r="61" spans="1:13" s="46" customFormat="1" ht="15" hidden="1" outlineLevel="1" x14ac:dyDescent="0.25">
      <c r="A61" s="47" t="s">
        <v>69</v>
      </c>
      <c r="B61" s="21">
        <f>+'[2]A Económica'!$E$41-25850000</f>
        <v>10000000</v>
      </c>
      <c r="C61" s="29"/>
      <c r="D61" s="29"/>
      <c r="E61" s="29"/>
      <c r="F61" s="29"/>
      <c r="G61" s="29"/>
      <c r="H61" s="21">
        <f>+B61+C61+D61+G61+E61+F61</f>
        <v>10000000</v>
      </c>
      <c r="I61" s="29"/>
      <c r="J61" s="22">
        <f>+H61+I61</f>
        <v>10000000</v>
      </c>
      <c r="K61" s="22">
        <v>10000000</v>
      </c>
      <c r="L61" s="22">
        <f t="shared" si="4"/>
        <v>0</v>
      </c>
      <c r="M61" s="23">
        <f t="shared" si="3"/>
        <v>1</v>
      </c>
    </row>
    <row r="62" spans="1:13" s="46" customFormat="1" ht="15" collapsed="1" x14ac:dyDescent="0.25">
      <c r="A62" s="48" t="s">
        <v>70</v>
      </c>
      <c r="B62" s="17">
        <f>SUM(B63:B65)</f>
        <v>70814231</v>
      </c>
      <c r="C62" s="29"/>
      <c r="D62" s="29"/>
      <c r="E62" s="29"/>
      <c r="F62" s="29"/>
      <c r="G62" s="29"/>
      <c r="H62" s="17">
        <f>SUM(H63:H65)</f>
        <v>70814231</v>
      </c>
      <c r="I62" s="29"/>
      <c r="J62" s="17">
        <f>SUM(J63:J65)</f>
        <v>70814231</v>
      </c>
      <c r="K62" s="17">
        <f>SUM(K63:K65)</f>
        <v>70670715</v>
      </c>
      <c r="L62" s="17">
        <f t="shared" si="4"/>
        <v>-143516</v>
      </c>
      <c r="M62" s="18">
        <f t="shared" si="3"/>
        <v>0.99797334521644387</v>
      </c>
    </row>
    <row r="63" spans="1:13" s="46" customFormat="1" ht="15" hidden="1" outlineLevel="1" x14ac:dyDescent="0.25">
      <c r="A63" s="47" t="s">
        <v>71</v>
      </c>
      <c r="B63" s="21">
        <f>+'[2]A Económica'!$E$43-9242000-276000</f>
        <v>32259253</v>
      </c>
      <c r="C63" s="29"/>
      <c r="D63" s="29"/>
      <c r="E63" s="29"/>
      <c r="F63" s="29"/>
      <c r="G63" s="29"/>
      <c r="H63" s="21">
        <f>+B63+C63+D63+G63+E63+F63</f>
        <v>32259253</v>
      </c>
      <c r="I63" s="29"/>
      <c r="J63" s="22">
        <f>+H63+I63</f>
        <v>32259253</v>
      </c>
      <c r="K63" s="22">
        <v>32122245</v>
      </c>
      <c r="L63" s="22">
        <f t="shared" si="4"/>
        <v>-137008</v>
      </c>
      <c r="M63" s="23">
        <f t="shared" si="3"/>
        <v>0.99575290847559306</v>
      </c>
    </row>
    <row r="64" spans="1:13" s="46" customFormat="1" ht="15" hidden="1" outlineLevel="1" x14ac:dyDescent="0.25">
      <c r="A64" s="47" t="s">
        <v>72</v>
      </c>
      <c r="B64" s="21">
        <f>+'[2]A Económica'!$E$44-4700000+276000</f>
        <v>38554978</v>
      </c>
      <c r="C64" s="29"/>
      <c r="D64" s="29"/>
      <c r="E64" s="29"/>
      <c r="F64" s="29"/>
      <c r="G64" s="29"/>
      <c r="H64" s="21">
        <f>+B64+C64+D64+G64+E64+F64</f>
        <v>38554978</v>
      </c>
      <c r="I64" s="29"/>
      <c r="J64" s="22">
        <f>+H64+I64</f>
        <v>38554978</v>
      </c>
      <c r="K64" s="22">
        <v>38548470</v>
      </c>
      <c r="L64" s="22">
        <f t="shared" si="4"/>
        <v>-6508</v>
      </c>
      <c r="M64" s="23">
        <f t="shared" si="3"/>
        <v>0.9998312020823874</v>
      </c>
    </row>
    <row r="65" spans="1:13" s="46" customFormat="1" ht="15" hidden="1" outlineLevel="1" x14ac:dyDescent="0.25">
      <c r="A65" s="47" t="s">
        <v>73</v>
      </c>
      <c r="B65" s="21"/>
      <c r="C65" s="29"/>
      <c r="D65" s="29"/>
      <c r="E65" s="29"/>
      <c r="F65" s="29"/>
      <c r="G65" s="29"/>
      <c r="H65" s="21">
        <f>+B65+C65+D65+G65+E65+F65</f>
        <v>0</v>
      </c>
      <c r="I65" s="29"/>
      <c r="J65" s="22">
        <f>+H65+I65</f>
        <v>0</v>
      </c>
      <c r="K65" s="22"/>
      <c r="L65" s="22">
        <f t="shared" si="4"/>
        <v>0</v>
      </c>
      <c r="M65" s="23">
        <f t="shared" si="3"/>
        <v>0</v>
      </c>
    </row>
    <row r="66" spans="1:13" s="46" customFormat="1" ht="15" collapsed="1" x14ac:dyDescent="0.25">
      <c r="A66" s="48" t="s">
        <v>74</v>
      </c>
      <c r="B66" s="17">
        <f>SUM(B67:B70)</f>
        <v>64800000</v>
      </c>
      <c r="C66" s="29"/>
      <c r="D66" s="29"/>
      <c r="E66" s="29"/>
      <c r="F66" s="29"/>
      <c r="G66" s="29"/>
      <c r="H66" s="17">
        <f>SUM(H67:H70)</f>
        <v>64800000</v>
      </c>
      <c r="I66" s="29"/>
      <c r="J66" s="17">
        <f>SUM(J67:J70)</f>
        <v>64800000</v>
      </c>
      <c r="K66" s="17">
        <f>SUM(K67:K70)</f>
        <v>64013929</v>
      </c>
      <c r="L66" s="17">
        <f t="shared" si="4"/>
        <v>-786071</v>
      </c>
      <c r="M66" s="18">
        <f t="shared" si="3"/>
        <v>0.98786927469135799</v>
      </c>
    </row>
    <row r="67" spans="1:13" s="46" customFormat="1" ht="15" hidden="1" outlineLevel="1" x14ac:dyDescent="0.25">
      <c r="A67" s="47" t="s">
        <v>75</v>
      </c>
      <c r="B67" s="21">
        <f>+'[2]A Económica'!$E$47</f>
        <v>6800000</v>
      </c>
      <c r="C67" s="29"/>
      <c r="D67" s="29"/>
      <c r="E67" s="29"/>
      <c r="F67" s="29"/>
      <c r="G67" s="29"/>
      <c r="H67" s="21">
        <f>+B67+C67+D67+G67+E67+F67</f>
        <v>6800000</v>
      </c>
      <c r="I67" s="29"/>
      <c r="J67" s="22">
        <f>+H67+I67</f>
        <v>6800000</v>
      </c>
      <c r="K67" s="22">
        <v>6658674</v>
      </c>
      <c r="L67" s="22">
        <f t="shared" si="4"/>
        <v>-141326</v>
      </c>
      <c r="M67" s="23">
        <f t="shared" si="3"/>
        <v>0.97921676470588237</v>
      </c>
    </row>
    <row r="68" spans="1:13" s="46" customFormat="1" ht="15" hidden="1" outlineLevel="1" x14ac:dyDescent="0.25">
      <c r="A68" s="47" t="s">
        <v>76</v>
      </c>
      <c r="B68" s="21">
        <f>+'[2]A Económica'!$E$48-4800000</f>
        <v>24800000</v>
      </c>
      <c r="C68" s="29"/>
      <c r="D68" s="29"/>
      <c r="E68" s="29"/>
      <c r="F68" s="29"/>
      <c r="G68" s="29"/>
      <c r="H68" s="21">
        <f>+B68+C68+D68+G68+E68+F68</f>
        <v>24800000</v>
      </c>
      <c r="I68" s="29"/>
      <c r="J68" s="22">
        <f>+H68+I68</f>
        <v>24800000</v>
      </c>
      <c r="K68" s="22">
        <v>24795360</v>
      </c>
      <c r="L68" s="22">
        <f t="shared" si="4"/>
        <v>-4640</v>
      </c>
      <c r="M68" s="23">
        <f t="shared" si="3"/>
        <v>0.9998129032258064</v>
      </c>
    </row>
    <row r="69" spans="1:13" s="46" customFormat="1" ht="15" hidden="1" outlineLevel="1" x14ac:dyDescent="0.25">
      <c r="A69" s="47" t="s">
        <v>77</v>
      </c>
      <c r="B69" s="21">
        <f>+'[2]A Económica'!$E$49</f>
        <v>12200000</v>
      </c>
      <c r="C69" s="29"/>
      <c r="D69" s="29"/>
      <c r="E69" s="29"/>
      <c r="F69" s="29"/>
      <c r="G69" s="29"/>
      <c r="H69" s="21">
        <f>+B69+C69+D69+G69+E69+F69</f>
        <v>12200000</v>
      </c>
      <c r="I69" s="29"/>
      <c r="J69" s="22">
        <f>+H69+I69</f>
        <v>12200000</v>
      </c>
      <c r="K69" s="22">
        <v>11741682</v>
      </c>
      <c r="L69" s="22">
        <f t="shared" si="4"/>
        <v>-458318</v>
      </c>
      <c r="M69" s="23">
        <f t="shared" si="3"/>
        <v>0.96243295081967217</v>
      </c>
    </row>
    <row r="70" spans="1:13" s="46" customFormat="1" ht="15" hidden="1" outlineLevel="1" x14ac:dyDescent="0.25">
      <c r="A70" s="47" t="s">
        <v>78</v>
      </c>
      <c r="B70" s="21">
        <v>21000000</v>
      </c>
      <c r="C70" s="29"/>
      <c r="D70" s="29"/>
      <c r="E70" s="29"/>
      <c r="F70" s="29"/>
      <c r="G70" s="29"/>
      <c r="H70" s="21">
        <f>+B70+C70+D70+G70+E70+F70</f>
        <v>21000000</v>
      </c>
      <c r="I70" s="29"/>
      <c r="J70" s="22">
        <f>+H70+I70</f>
        <v>21000000</v>
      </c>
      <c r="K70" s="22">
        <v>20818213</v>
      </c>
      <c r="L70" s="22">
        <f t="shared" si="4"/>
        <v>-181787</v>
      </c>
      <c r="M70" s="23">
        <f t="shared" si="3"/>
        <v>0.99134347619047614</v>
      </c>
    </row>
    <row r="71" spans="1:13" s="46" customFormat="1" ht="15" collapsed="1" x14ac:dyDescent="0.25">
      <c r="A71" s="48" t="s">
        <v>79</v>
      </c>
      <c r="B71" s="17">
        <f>SUM(B72:B73)</f>
        <v>62093000</v>
      </c>
      <c r="C71" s="29"/>
      <c r="D71" s="29"/>
      <c r="E71" s="29"/>
      <c r="F71" s="29"/>
      <c r="G71" s="29"/>
      <c r="H71" s="17">
        <f>SUM(H72:H73)</f>
        <v>62093000</v>
      </c>
      <c r="I71" s="29"/>
      <c r="J71" s="17">
        <f>SUM(J72:J73)</f>
        <v>62093000</v>
      </c>
      <c r="K71" s="17">
        <f>SUM(K72:K73)</f>
        <v>53901103</v>
      </c>
      <c r="L71" s="17">
        <f t="shared" si="4"/>
        <v>-8191897</v>
      </c>
      <c r="M71" s="18">
        <f t="shared" si="3"/>
        <v>0.86807052324738698</v>
      </c>
    </row>
    <row r="72" spans="1:13" s="46" customFormat="1" ht="15" hidden="1" outlineLevel="1" x14ac:dyDescent="0.25">
      <c r="A72" s="47" t="s">
        <v>80</v>
      </c>
      <c r="B72" s="21">
        <f>+'[2]A Económica'!$E$52</f>
        <v>57093000</v>
      </c>
      <c r="C72" s="29"/>
      <c r="D72" s="29"/>
      <c r="E72" s="29"/>
      <c r="F72" s="29"/>
      <c r="G72" s="29"/>
      <c r="H72" s="21">
        <f>+B72+C72+D72+G72+E72+F72</f>
        <v>57093000</v>
      </c>
      <c r="I72" s="29"/>
      <c r="J72" s="22">
        <f>+H72+I72</f>
        <v>57093000</v>
      </c>
      <c r="K72" s="22">
        <v>53901103</v>
      </c>
      <c r="L72" s="22">
        <f t="shared" si="4"/>
        <v>-3191897</v>
      </c>
      <c r="M72" s="23">
        <f t="shared" si="3"/>
        <v>0.94409302366314607</v>
      </c>
    </row>
    <row r="73" spans="1:13" s="46" customFormat="1" ht="15" hidden="1" outlineLevel="1" x14ac:dyDescent="0.25">
      <c r="A73" s="47" t="s">
        <v>81</v>
      </c>
      <c r="B73" s="21">
        <f>+'[2]A Económica'!$E$53-8000000</f>
        <v>5000000</v>
      </c>
      <c r="C73" s="29"/>
      <c r="D73" s="29"/>
      <c r="E73" s="29"/>
      <c r="F73" s="29"/>
      <c r="G73" s="29"/>
      <c r="H73" s="21">
        <f>+B73+C73+D73+G73+E73+F73</f>
        <v>5000000</v>
      </c>
      <c r="I73" s="29"/>
      <c r="J73" s="22">
        <f>+H73+I73</f>
        <v>5000000</v>
      </c>
      <c r="K73" s="22"/>
      <c r="L73" s="22">
        <f t="shared" si="4"/>
        <v>-5000000</v>
      </c>
      <c r="M73" s="23">
        <f t="shared" si="3"/>
        <v>0</v>
      </c>
    </row>
    <row r="74" spans="1:13" s="46" customFormat="1" ht="15" collapsed="1" x14ac:dyDescent="0.25">
      <c r="A74" s="47"/>
      <c r="B74" s="21"/>
      <c r="C74" s="29"/>
      <c r="D74" s="29"/>
      <c r="E74" s="29"/>
      <c r="F74" s="29"/>
      <c r="G74" s="29"/>
      <c r="H74" s="21"/>
      <c r="I74" s="29"/>
      <c r="J74" s="22"/>
      <c r="K74" s="22"/>
      <c r="L74" s="22"/>
      <c r="M74" s="23"/>
    </row>
    <row r="75" spans="1:13" s="46" customFormat="1" ht="15" x14ac:dyDescent="0.25">
      <c r="A75" s="48" t="s">
        <v>82</v>
      </c>
      <c r="B75" s="21"/>
      <c r="C75" s="29"/>
      <c r="D75" s="29"/>
      <c r="E75" s="29"/>
      <c r="F75" s="29">
        <f>+F76+F82+F92+F98+F101</f>
        <v>2442239692</v>
      </c>
      <c r="G75" s="29"/>
      <c r="H75" s="29">
        <f>+H76+H82+H92+H98+H101</f>
        <v>2442239692</v>
      </c>
      <c r="I75" s="29"/>
      <c r="J75" s="17">
        <f>+H75+I75</f>
        <v>2442239692</v>
      </c>
      <c r="K75" s="17">
        <f>+K76+K82+K92+K98+K101</f>
        <v>2401128226</v>
      </c>
      <c r="L75" s="17">
        <f t="shared" ref="L75:L138" si="12">+K75-J75</f>
        <v>-41111466</v>
      </c>
      <c r="M75" s="18">
        <f t="shared" ref="M75:M138" si="13">IFERROR(K75/J75,0)</f>
        <v>0.9831664901136985</v>
      </c>
    </row>
    <row r="76" spans="1:13" s="46" customFormat="1" ht="15" x14ac:dyDescent="0.25">
      <c r="A76" s="48" t="s">
        <v>83</v>
      </c>
      <c r="B76" s="21"/>
      <c r="C76" s="29"/>
      <c r="D76" s="29"/>
      <c r="E76" s="29"/>
      <c r="F76" s="29">
        <f>SUM(F77:F81)</f>
        <v>84783716</v>
      </c>
      <c r="G76" s="29"/>
      <c r="H76" s="29">
        <f>SUM(H77:H81)</f>
        <v>84783716</v>
      </c>
      <c r="I76" s="29"/>
      <c r="J76" s="29">
        <f>SUM(J77:J81)</f>
        <v>84783716</v>
      </c>
      <c r="K76" s="29">
        <f>SUM(K77:K81)</f>
        <v>45661247</v>
      </c>
      <c r="L76" s="29">
        <f t="shared" si="12"/>
        <v>-39122469</v>
      </c>
      <c r="M76" s="18">
        <f t="shared" si="13"/>
        <v>0.53856152046933159</v>
      </c>
    </row>
    <row r="77" spans="1:13" s="46" customFormat="1" ht="15" hidden="1" outlineLevel="1" x14ac:dyDescent="0.25">
      <c r="A77" s="47" t="s">
        <v>84</v>
      </c>
      <c r="B77" s="21"/>
      <c r="C77" s="29"/>
      <c r="D77" s="29"/>
      <c r="E77" s="29"/>
      <c r="F77" s="22"/>
      <c r="G77" s="29"/>
      <c r="H77" s="21">
        <f>+B77+C77+D77+G77+E77+F77</f>
        <v>0</v>
      </c>
      <c r="I77" s="29"/>
      <c r="J77" s="22">
        <f>+H77+I77</f>
        <v>0</v>
      </c>
      <c r="K77" s="22"/>
      <c r="L77" s="22">
        <f t="shared" si="12"/>
        <v>0</v>
      </c>
      <c r="M77" s="23">
        <f t="shared" si="13"/>
        <v>0</v>
      </c>
    </row>
    <row r="78" spans="1:13" s="46" customFormat="1" ht="15" hidden="1" outlineLevel="1" x14ac:dyDescent="0.25">
      <c r="A78" s="47" t="s">
        <v>85</v>
      </c>
      <c r="B78" s="21"/>
      <c r="C78" s="29"/>
      <c r="D78" s="29"/>
      <c r="E78" s="29"/>
      <c r="F78" s="22">
        <f>+'[3]Anexo 2 '!$H$62</f>
        <v>78244469</v>
      </c>
      <c r="G78" s="29"/>
      <c r="H78" s="21">
        <f>+B78+C78+D78+G78+E78+F78</f>
        <v>78244469</v>
      </c>
      <c r="I78" s="29"/>
      <c r="J78" s="22">
        <f>+H78+I78</f>
        <v>78244469</v>
      </c>
      <c r="K78" s="22">
        <v>39122000</v>
      </c>
      <c r="L78" s="22">
        <f t="shared" si="12"/>
        <v>-39122469</v>
      </c>
      <c r="M78" s="23">
        <f t="shared" si="13"/>
        <v>0.49999700298304789</v>
      </c>
    </row>
    <row r="79" spans="1:13" s="46" customFormat="1" ht="15" hidden="1" outlineLevel="1" x14ac:dyDescent="0.25">
      <c r="A79" s="47" t="s">
        <v>86</v>
      </c>
      <c r="B79" s="21"/>
      <c r="C79" s="29"/>
      <c r="D79" s="29"/>
      <c r="E79" s="29"/>
      <c r="F79" s="22"/>
      <c r="G79" s="29"/>
      <c r="H79" s="21">
        <f>+B79+C79+D79+G79+E79+F79</f>
        <v>0</v>
      </c>
      <c r="I79" s="29"/>
      <c r="J79" s="22">
        <f>+H79+I79</f>
        <v>0</v>
      </c>
      <c r="K79" s="22"/>
      <c r="L79" s="22">
        <f t="shared" si="12"/>
        <v>0</v>
      </c>
      <c r="M79" s="23">
        <f t="shared" si="13"/>
        <v>0</v>
      </c>
    </row>
    <row r="80" spans="1:13" s="46" customFormat="1" ht="15" hidden="1" outlineLevel="1" x14ac:dyDescent="0.25">
      <c r="A80" s="47" t="s">
        <v>87</v>
      </c>
      <c r="B80" s="21"/>
      <c r="C80" s="29"/>
      <c r="D80" s="29"/>
      <c r="E80" s="29"/>
      <c r="F80" s="22">
        <f>+'[3]Anexo 2 '!$H$64</f>
        <v>6539247</v>
      </c>
      <c r="G80" s="29"/>
      <c r="H80" s="21">
        <f>+B80+C80+D80+G80+E80+F80</f>
        <v>6539247</v>
      </c>
      <c r="I80" s="29"/>
      <c r="J80" s="22">
        <f>+H80+I80</f>
        <v>6539247</v>
      </c>
      <c r="K80" s="22">
        <v>6539247</v>
      </c>
      <c r="L80" s="22">
        <f t="shared" si="12"/>
        <v>0</v>
      </c>
      <c r="M80" s="23">
        <f t="shared" si="13"/>
        <v>1</v>
      </c>
    </row>
    <row r="81" spans="1:13" s="46" customFormat="1" ht="15" hidden="1" outlineLevel="1" x14ac:dyDescent="0.25">
      <c r="A81" s="47" t="s">
        <v>88</v>
      </c>
      <c r="B81" s="21"/>
      <c r="C81" s="29"/>
      <c r="D81" s="29"/>
      <c r="E81" s="29"/>
      <c r="F81" s="22"/>
      <c r="G81" s="29"/>
      <c r="H81" s="21">
        <f>+B81+C81+D81+G81+E81+F81</f>
        <v>0</v>
      </c>
      <c r="I81" s="29"/>
      <c r="J81" s="22">
        <f>+H81+I81</f>
        <v>0</v>
      </c>
      <c r="K81" s="22"/>
      <c r="L81" s="22">
        <f t="shared" si="12"/>
        <v>0</v>
      </c>
      <c r="M81" s="23">
        <f t="shared" si="13"/>
        <v>0</v>
      </c>
    </row>
    <row r="82" spans="1:13" s="46" customFormat="1" ht="15" collapsed="1" x14ac:dyDescent="0.25">
      <c r="A82" s="48" t="s">
        <v>89</v>
      </c>
      <c r="B82" s="21"/>
      <c r="C82" s="29"/>
      <c r="D82" s="29"/>
      <c r="E82" s="29"/>
      <c r="F82" s="29">
        <f>SUM(F83:F91)</f>
        <v>283550000</v>
      </c>
      <c r="G82" s="29"/>
      <c r="H82" s="29">
        <f>SUM(H83:H91)</f>
        <v>283550000</v>
      </c>
      <c r="I82" s="29"/>
      <c r="J82" s="29">
        <f>SUM(J83:J91)</f>
        <v>283550000</v>
      </c>
      <c r="K82" s="29">
        <f>SUM(K83:K91)</f>
        <v>283226441</v>
      </c>
      <c r="L82" s="29">
        <f t="shared" si="12"/>
        <v>-323559</v>
      </c>
      <c r="M82" s="18">
        <f t="shared" si="13"/>
        <v>0.99885889966496211</v>
      </c>
    </row>
    <row r="83" spans="1:13" s="46" customFormat="1" ht="15" hidden="1" outlineLevel="1" x14ac:dyDescent="0.25">
      <c r="A83" s="47" t="s">
        <v>90</v>
      </c>
      <c r="B83" s="21"/>
      <c r="C83" s="29"/>
      <c r="D83" s="29"/>
      <c r="E83" s="29"/>
      <c r="F83" s="22">
        <f>+'[3]Anexo 2 '!$H$67</f>
        <v>15860000</v>
      </c>
      <c r="G83" s="29"/>
      <c r="H83" s="21">
        <f t="shared" ref="H83:H91" si="14">+B83+C83+D83+G83+E83+F83</f>
        <v>15860000</v>
      </c>
      <c r="I83" s="29"/>
      <c r="J83" s="22">
        <f t="shared" ref="J83:J91" si="15">+H83+I83</f>
        <v>15860000</v>
      </c>
      <c r="K83" s="22">
        <v>15875119</v>
      </c>
      <c r="L83" s="22">
        <f t="shared" si="12"/>
        <v>15119</v>
      </c>
      <c r="M83" s="23">
        <f t="shared" si="13"/>
        <v>1.0009532786885247</v>
      </c>
    </row>
    <row r="84" spans="1:13" s="46" customFormat="1" ht="15" hidden="1" outlineLevel="1" x14ac:dyDescent="0.25">
      <c r="A84" s="47" t="s">
        <v>91</v>
      </c>
      <c r="B84" s="21"/>
      <c r="C84" s="29"/>
      <c r="D84" s="29"/>
      <c r="E84" s="29"/>
      <c r="F84" s="22">
        <f>+'[3]Anexo 2 '!$H$68</f>
        <v>57600000</v>
      </c>
      <c r="G84" s="29"/>
      <c r="H84" s="21">
        <f t="shared" si="14"/>
        <v>57600000</v>
      </c>
      <c r="I84" s="29"/>
      <c r="J84" s="22">
        <f t="shared" si="15"/>
        <v>57600000</v>
      </c>
      <c r="K84" s="22">
        <v>57600000</v>
      </c>
      <c r="L84" s="22">
        <f t="shared" si="12"/>
        <v>0</v>
      </c>
      <c r="M84" s="23">
        <f t="shared" si="13"/>
        <v>1</v>
      </c>
    </row>
    <row r="85" spans="1:13" s="46" customFormat="1" ht="15" hidden="1" outlineLevel="1" x14ac:dyDescent="0.25">
      <c r="A85" s="47" t="s">
        <v>92</v>
      </c>
      <c r="B85" s="21"/>
      <c r="C85" s="29"/>
      <c r="D85" s="29"/>
      <c r="E85" s="29"/>
      <c r="F85" s="22">
        <f>+'[3]Anexo 2 '!$H$69</f>
        <v>46680000</v>
      </c>
      <c r="G85" s="29"/>
      <c r="H85" s="21">
        <f t="shared" si="14"/>
        <v>46680000</v>
      </c>
      <c r="I85" s="29"/>
      <c r="J85" s="22">
        <f t="shared" si="15"/>
        <v>46680000</v>
      </c>
      <c r="K85" s="22">
        <v>46680000</v>
      </c>
      <c r="L85" s="22">
        <f t="shared" si="12"/>
        <v>0</v>
      </c>
      <c r="M85" s="23">
        <f t="shared" si="13"/>
        <v>1</v>
      </c>
    </row>
    <row r="86" spans="1:13" s="46" customFormat="1" ht="15" hidden="1" outlineLevel="1" x14ac:dyDescent="0.25">
      <c r="A86" s="47" t="s">
        <v>93</v>
      </c>
      <c r="B86" s="21"/>
      <c r="C86" s="29"/>
      <c r="D86" s="29"/>
      <c r="E86" s="29"/>
      <c r="F86" s="22">
        <f>+'[3]Anexo 2 '!$H$70</f>
        <v>13750000</v>
      </c>
      <c r="G86" s="29"/>
      <c r="H86" s="21">
        <f t="shared" si="14"/>
        <v>13750000</v>
      </c>
      <c r="I86" s="29"/>
      <c r="J86" s="22">
        <f t="shared" si="15"/>
        <v>13750000</v>
      </c>
      <c r="K86" s="22">
        <v>13517223</v>
      </c>
      <c r="L86" s="22">
        <f t="shared" si="12"/>
        <v>-232777</v>
      </c>
      <c r="M86" s="23">
        <f t="shared" si="13"/>
        <v>0.98307076363636359</v>
      </c>
    </row>
    <row r="87" spans="1:13" s="46" customFormat="1" ht="15" hidden="1" outlineLevel="1" x14ac:dyDescent="0.25">
      <c r="A87" s="47" t="s">
        <v>94</v>
      </c>
      <c r="B87" s="21"/>
      <c r="C87" s="29"/>
      <c r="D87" s="29"/>
      <c r="E87" s="29"/>
      <c r="F87" s="22">
        <f>+'[3]Anexo 2 '!$H$71</f>
        <v>24660000</v>
      </c>
      <c r="G87" s="29"/>
      <c r="H87" s="21">
        <f t="shared" si="14"/>
        <v>24660000</v>
      </c>
      <c r="I87" s="29"/>
      <c r="J87" s="22">
        <f t="shared" si="15"/>
        <v>24660000</v>
      </c>
      <c r="K87" s="22">
        <v>24557571</v>
      </c>
      <c r="L87" s="22">
        <f t="shared" si="12"/>
        <v>-102429</v>
      </c>
      <c r="M87" s="23">
        <f t="shared" si="13"/>
        <v>0.9958463503649635</v>
      </c>
    </row>
    <row r="88" spans="1:13" s="46" customFormat="1" ht="15" hidden="1" outlineLevel="1" x14ac:dyDescent="0.25">
      <c r="A88" s="47" t="s">
        <v>95</v>
      </c>
      <c r="B88" s="21"/>
      <c r="C88" s="29"/>
      <c r="D88" s="29"/>
      <c r="E88" s="29"/>
      <c r="F88" s="22"/>
      <c r="G88" s="29"/>
      <c r="H88" s="21">
        <f t="shared" si="14"/>
        <v>0</v>
      </c>
      <c r="I88" s="29"/>
      <c r="J88" s="22">
        <f t="shared" si="15"/>
        <v>0</v>
      </c>
      <c r="K88" s="22">
        <v>0</v>
      </c>
      <c r="L88" s="22">
        <f t="shared" si="12"/>
        <v>0</v>
      </c>
      <c r="M88" s="23">
        <f t="shared" si="13"/>
        <v>0</v>
      </c>
    </row>
    <row r="89" spans="1:13" s="46" customFormat="1" ht="15" hidden="1" outlineLevel="1" x14ac:dyDescent="0.25">
      <c r="A89" s="47" t="s">
        <v>96</v>
      </c>
      <c r="B89" s="21"/>
      <c r="C89" s="29"/>
      <c r="D89" s="29"/>
      <c r="E89" s="29"/>
      <c r="F89" s="22">
        <f>+'[3]Anexo 2 '!$H$73</f>
        <v>30000000</v>
      </c>
      <c r="G89" s="29"/>
      <c r="H89" s="21">
        <f t="shared" si="14"/>
        <v>30000000</v>
      </c>
      <c r="I89" s="29"/>
      <c r="J89" s="22">
        <f t="shared" si="15"/>
        <v>30000000</v>
      </c>
      <c r="K89" s="22">
        <v>29996528</v>
      </c>
      <c r="L89" s="22">
        <f t="shared" si="12"/>
        <v>-3472</v>
      </c>
      <c r="M89" s="23">
        <f t="shared" si="13"/>
        <v>0.99988426666666663</v>
      </c>
    </row>
    <row r="90" spans="1:13" s="46" customFormat="1" ht="15" hidden="1" outlineLevel="1" x14ac:dyDescent="0.25">
      <c r="A90" s="47" t="s">
        <v>97</v>
      </c>
      <c r="B90" s="21"/>
      <c r="C90" s="29"/>
      <c r="D90" s="29"/>
      <c r="E90" s="29"/>
      <c r="F90" s="22">
        <f>+'[3]Anexo 2 '!$H$74</f>
        <v>70000000</v>
      </c>
      <c r="G90" s="29"/>
      <c r="H90" s="21">
        <f t="shared" si="14"/>
        <v>70000000</v>
      </c>
      <c r="I90" s="29"/>
      <c r="J90" s="22">
        <f t="shared" si="15"/>
        <v>70000000</v>
      </c>
      <c r="K90" s="22">
        <v>70000000</v>
      </c>
      <c r="L90" s="22">
        <f t="shared" si="12"/>
        <v>0</v>
      </c>
      <c r="M90" s="23">
        <f t="shared" si="13"/>
        <v>1</v>
      </c>
    </row>
    <row r="91" spans="1:13" s="46" customFormat="1" ht="15" hidden="1" outlineLevel="1" x14ac:dyDescent="0.25">
      <c r="A91" s="47" t="s">
        <v>98</v>
      </c>
      <c r="B91" s="21"/>
      <c r="C91" s="29"/>
      <c r="D91" s="29"/>
      <c r="E91" s="29"/>
      <c r="F91" s="22">
        <f>+'[3]Anexo 2 '!$H$75</f>
        <v>25000000</v>
      </c>
      <c r="G91" s="29"/>
      <c r="H91" s="21">
        <f t="shared" si="14"/>
        <v>25000000</v>
      </c>
      <c r="I91" s="29"/>
      <c r="J91" s="22">
        <f t="shared" si="15"/>
        <v>25000000</v>
      </c>
      <c r="K91" s="22">
        <v>25000000</v>
      </c>
      <c r="L91" s="22">
        <f t="shared" si="12"/>
        <v>0</v>
      </c>
      <c r="M91" s="23">
        <f t="shared" si="13"/>
        <v>1</v>
      </c>
    </row>
    <row r="92" spans="1:13" s="46" customFormat="1" ht="15" collapsed="1" x14ac:dyDescent="0.25">
      <c r="A92" s="48" t="s">
        <v>99</v>
      </c>
      <c r="B92" s="21"/>
      <c r="C92" s="29"/>
      <c r="D92" s="29"/>
      <c r="E92" s="29"/>
      <c r="F92" s="29">
        <f>SUM(F93:F97)</f>
        <v>1599599446</v>
      </c>
      <c r="G92" s="29"/>
      <c r="H92" s="29">
        <f>SUM(H93:H97)</f>
        <v>1599599446</v>
      </c>
      <c r="I92" s="29"/>
      <c r="J92" s="29">
        <f>SUM(J93:J97)</f>
        <v>1599599446</v>
      </c>
      <c r="K92" s="29">
        <f>SUM(K93:K97)</f>
        <v>1598971381</v>
      </c>
      <c r="L92" s="29">
        <f t="shared" si="12"/>
        <v>-628065</v>
      </c>
      <c r="M92" s="18">
        <f t="shared" si="13"/>
        <v>0.99960736107931858</v>
      </c>
    </row>
    <row r="93" spans="1:13" s="46" customFormat="1" ht="15" hidden="1" outlineLevel="1" x14ac:dyDescent="0.25">
      <c r="A93" s="47" t="s">
        <v>100</v>
      </c>
      <c r="B93" s="21"/>
      <c r="C93" s="29"/>
      <c r="D93" s="29"/>
      <c r="E93" s="29"/>
      <c r="F93" s="22">
        <f>1562207190+3166738+1066316+2717140</f>
        <v>1569157384</v>
      </c>
      <c r="G93" s="29"/>
      <c r="H93" s="21">
        <f>+B93+C93+D93+G93+E93+F93</f>
        <v>1569157384</v>
      </c>
      <c r="I93" s="29"/>
      <c r="J93" s="22">
        <f>+H93+I93</f>
        <v>1569157384</v>
      </c>
      <c r="K93" s="22">
        <v>1568909319</v>
      </c>
      <c r="L93" s="22">
        <f t="shared" si="12"/>
        <v>-248065</v>
      </c>
      <c r="M93" s="23">
        <f t="shared" si="13"/>
        <v>0.99984191196974281</v>
      </c>
    </row>
    <row r="94" spans="1:13" s="46" customFormat="1" ht="15" hidden="1" outlineLevel="1" x14ac:dyDescent="0.25">
      <c r="A94" s="47" t="s">
        <v>101</v>
      </c>
      <c r="B94" s="21"/>
      <c r="C94" s="29"/>
      <c r="D94" s="29"/>
      <c r="E94" s="29"/>
      <c r="F94" s="22">
        <f>15450000-1066316</f>
        <v>14383684</v>
      </c>
      <c r="G94" s="29"/>
      <c r="H94" s="21">
        <f>+B94+C94+D94+G94+E94+F94</f>
        <v>14383684</v>
      </c>
      <c r="I94" s="29"/>
      <c r="J94" s="22">
        <f>+H94+I94</f>
        <v>14383684</v>
      </c>
      <c r="K94" s="22">
        <v>14383684</v>
      </c>
      <c r="L94" s="22">
        <f t="shared" si="12"/>
        <v>0</v>
      </c>
      <c r="M94" s="23">
        <f t="shared" si="13"/>
        <v>1</v>
      </c>
    </row>
    <row r="95" spans="1:13" s="46" customFormat="1" ht="15" hidden="1" outlineLevel="1" x14ac:dyDescent="0.25">
      <c r="A95" s="47" t="s">
        <v>102</v>
      </c>
      <c r="B95" s="21"/>
      <c r="C95" s="29"/>
      <c r="D95" s="29"/>
      <c r="E95" s="29"/>
      <c r="F95" s="22">
        <f>13790844-3166738</f>
        <v>10624106</v>
      </c>
      <c r="G95" s="29"/>
      <c r="H95" s="21">
        <f>+B95+C95+D95+G95+E95+F95</f>
        <v>10624106</v>
      </c>
      <c r="I95" s="29"/>
      <c r="J95" s="22">
        <f>+H95+I95</f>
        <v>10624106</v>
      </c>
      <c r="K95" s="22">
        <v>10244106</v>
      </c>
      <c r="L95" s="22">
        <f t="shared" si="12"/>
        <v>-380000</v>
      </c>
      <c r="M95" s="23">
        <f t="shared" si="13"/>
        <v>0.96423228457999199</v>
      </c>
    </row>
    <row r="96" spans="1:13" s="46" customFormat="1" ht="15" hidden="1" outlineLevel="1" x14ac:dyDescent="0.25">
      <c r="A96" s="47" t="s">
        <v>103</v>
      </c>
      <c r="B96" s="21"/>
      <c r="C96" s="29"/>
      <c r="D96" s="29"/>
      <c r="E96" s="29"/>
      <c r="F96" s="22">
        <f>8151412-2717140</f>
        <v>5434272</v>
      </c>
      <c r="G96" s="29"/>
      <c r="H96" s="21">
        <f>+B96+C96+D96+G96+E96+F96</f>
        <v>5434272</v>
      </c>
      <c r="I96" s="29"/>
      <c r="J96" s="22">
        <f>+H96+I96</f>
        <v>5434272</v>
      </c>
      <c r="K96" s="22">
        <v>5434272</v>
      </c>
      <c r="L96" s="22">
        <f t="shared" si="12"/>
        <v>0</v>
      </c>
      <c r="M96" s="23">
        <f t="shared" si="13"/>
        <v>1</v>
      </c>
    </row>
    <row r="97" spans="1:13" s="46" customFormat="1" ht="15" hidden="1" outlineLevel="1" x14ac:dyDescent="0.25">
      <c r="A97" s="47" t="s">
        <v>104</v>
      </c>
      <c r="B97" s="21"/>
      <c r="C97" s="29"/>
      <c r="D97" s="29"/>
      <c r="E97" s="29"/>
      <c r="F97" s="22"/>
      <c r="G97" s="29"/>
      <c r="H97" s="21">
        <f>+B97+C97+D97+G97+E97+F97</f>
        <v>0</v>
      </c>
      <c r="I97" s="29"/>
      <c r="J97" s="22">
        <f>+H97+I97</f>
        <v>0</v>
      </c>
      <c r="K97" s="22">
        <v>0</v>
      </c>
      <c r="L97" s="22">
        <f t="shared" si="12"/>
        <v>0</v>
      </c>
      <c r="M97" s="23">
        <f t="shared" si="13"/>
        <v>0</v>
      </c>
    </row>
    <row r="98" spans="1:13" s="46" customFormat="1" ht="15" collapsed="1" x14ac:dyDescent="0.25">
      <c r="A98" s="48" t="s">
        <v>105</v>
      </c>
      <c r="B98" s="21"/>
      <c r="C98" s="29"/>
      <c r="D98" s="29"/>
      <c r="E98" s="29"/>
      <c r="F98" s="29">
        <f>SUM(F99:F100)</f>
        <v>70501000</v>
      </c>
      <c r="G98" s="29"/>
      <c r="H98" s="29">
        <f>SUM(H99:H100)</f>
        <v>70501000</v>
      </c>
      <c r="I98" s="29"/>
      <c r="J98" s="29">
        <f>SUM(J99:J100)</f>
        <v>70501000</v>
      </c>
      <c r="K98" s="29">
        <f>SUM(K99:K100)</f>
        <v>70324105</v>
      </c>
      <c r="L98" s="29">
        <f t="shared" si="12"/>
        <v>-176895</v>
      </c>
      <c r="M98" s="18">
        <f t="shared" si="13"/>
        <v>0.99749088665409003</v>
      </c>
    </row>
    <row r="99" spans="1:13" s="46" customFormat="1" ht="15" hidden="1" outlineLevel="1" x14ac:dyDescent="0.25">
      <c r="A99" s="47" t="s">
        <v>106</v>
      </c>
      <c r="B99" s="21"/>
      <c r="C99" s="29"/>
      <c r="D99" s="29"/>
      <c r="E99" s="29"/>
      <c r="F99" s="22">
        <f>+'[3]Anexo 2 '!$H$83</f>
        <v>60501000</v>
      </c>
      <c r="G99" s="29"/>
      <c r="H99" s="21">
        <f>+B99+C99+D99+G99+E99+F99</f>
        <v>60501000</v>
      </c>
      <c r="I99" s="29"/>
      <c r="J99" s="22">
        <f>+H99+I99</f>
        <v>60501000</v>
      </c>
      <c r="K99" s="22">
        <v>60412258</v>
      </c>
      <c r="L99" s="22">
        <f t="shared" si="12"/>
        <v>-88742</v>
      </c>
      <c r="M99" s="23">
        <f t="shared" si="13"/>
        <v>0.9985332143270359</v>
      </c>
    </row>
    <row r="100" spans="1:13" s="46" customFormat="1" ht="15" hidden="1" outlineLevel="1" x14ac:dyDescent="0.25">
      <c r="A100" s="47" t="s">
        <v>107</v>
      </c>
      <c r="B100" s="21"/>
      <c r="C100" s="29"/>
      <c r="D100" s="29"/>
      <c r="E100" s="29"/>
      <c r="F100" s="22">
        <f>+'[3]Anexo 2 '!$H$84-50000000</f>
        <v>10000000</v>
      </c>
      <c r="G100" s="29"/>
      <c r="H100" s="21">
        <f>+B100+C100+D100+G100+E100+F100</f>
        <v>10000000</v>
      </c>
      <c r="I100" s="29"/>
      <c r="J100" s="22">
        <f>+H100+I100</f>
        <v>10000000</v>
      </c>
      <c r="K100" s="22">
        <v>9911847</v>
      </c>
      <c r="L100" s="22">
        <f t="shared" si="12"/>
        <v>-88153</v>
      </c>
      <c r="M100" s="23">
        <f t="shared" si="13"/>
        <v>0.99118470000000003</v>
      </c>
    </row>
    <row r="101" spans="1:13" s="46" customFormat="1" ht="15" collapsed="1" x14ac:dyDescent="0.25">
      <c r="A101" s="48" t="s">
        <v>108</v>
      </c>
      <c r="B101" s="21"/>
      <c r="C101" s="29"/>
      <c r="D101" s="29"/>
      <c r="E101" s="29"/>
      <c r="F101" s="29">
        <f>SUM(F102:F103)</f>
        <v>403805530</v>
      </c>
      <c r="G101" s="29"/>
      <c r="H101" s="29">
        <f>SUM(H102:H103)</f>
        <v>403805530</v>
      </c>
      <c r="I101" s="29"/>
      <c r="J101" s="29">
        <f>SUM(J102:J103)</f>
        <v>403805530</v>
      </c>
      <c r="K101" s="29">
        <f>SUM(K102:K103)</f>
        <v>402945052</v>
      </c>
      <c r="L101" s="29">
        <f t="shared" si="12"/>
        <v>-860478</v>
      </c>
      <c r="M101" s="18">
        <f t="shared" si="13"/>
        <v>0.99786907821693283</v>
      </c>
    </row>
    <row r="102" spans="1:13" s="46" customFormat="1" ht="15" hidden="1" outlineLevel="1" x14ac:dyDescent="0.25">
      <c r="A102" s="47" t="s">
        <v>109</v>
      </c>
      <c r="B102" s="21"/>
      <c r="C102" s="29"/>
      <c r="D102" s="29"/>
      <c r="E102" s="29"/>
      <c r="F102" s="22">
        <f>+'[3]Anexo 2 '!$H$86</f>
        <v>313758330</v>
      </c>
      <c r="G102" s="29"/>
      <c r="H102" s="21">
        <f>+B102+C102+D102+G102+E102+F102</f>
        <v>313758330</v>
      </c>
      <c r="I102" s="29"/>
      <c r="J102" s="22">
        <f>+H102+I102</f>
        <v>313758330</v>
      </c>
      <c r="K102" s="22">
        <v>313094690</v>
      </c>
      <c r="L102" s="22">
        <f t="shared" si="12"/>
        <v>-663640</v>
      </c>
      <c r="M102" s="23">
        <f t="shared" si="13"/>
        <v>0.99788486890531325</v>
      </c>
    </row>
    <row r="103" spans="1:13" s="46" customFormat="1" ht="15" hidden="1" outlineLevel="1" x14ac:dyDescent="0.25">
      <c r="A103" s="47" t="s">
        <v>110</v>
      </c>
      <c r="B103" s="21"/>
      <c r="C103" s="29"/>
      <c r="D103" s="29"/>
      <c r="E103" s="29"/>
      <c r="F103" s="22">
        <f>+'[3]Anexo 2 '!$H$87</f>
        <v>90047200</v>
      </c>
      <c r="G103" s="29"/>
      <c r="H103" s="21">
        <f>+B103+C103+D103+G103+E103+F103</f>
        <v>90047200</v>
      </c>
      <c r="I103" s="29"/>
      <c r="J103" s="22">
        <f>+H103+I103</f>
        <v>90047200</v>
      </c>
      <c r="K103" s="22">
        <v>89850362</v>
      </c>
      <c r="L103" s="22">
        <f t="shared" si="12"/>
        <v>-196838</v>
      </c>
      <c r="M103" s="23">
        <f t="shared" si="13"/>
        <v>0.99781405751650243</v>
      </c>
    </row>
    <row r="104" spans="1:13" s="46" customFormat="1" ht="15" collapsed="1" x14ac:dyDescent="0.25">
      <c r="A104" s="47"/>
      <c r="B104" s="21"/>
      <c r="C104" s="29"/>
      <c r="D104" s="29"/>
      <c r="E104" s="29"/>
      <c r="F104" s="29"/>
      <c r="G104" s="29"/>
      <c r="H104" s="21"/>
      <c r="I104" s="29"/>
      <c r="J104" s="22"/>
      <c r="K104" s="22"/>
      <c r="L104" s="22"/>
      <c r="M104" s="23"/>
    </row>
    <row r="105" spans="1:13" s="46" customFormat="1" ht="15" x14ac:dyDescent="0.25">
      <c r="A105" s="48" t="s">
        <v>111</v>
      </c>
      <c r="B105" s="29"/>
      <c r="C105" s="29"/>
      <c r="D105" s="29"/>
      <c r="E105" s="29"/>
      <c r="F105" s="29"/>
      <c r="G105" s="29">
        <f>+G106+G111+G114+G121+G124</f>
        <v>2878311000</v>
      </c>
      <c r="H105" s="29">
        <f>+H106+H111+H114+H121+H124</f>
        <v>2878311000</v>
      </c>
      <c r="I105" s="29"/>
      <c r="J105" s="29">
        <f>+J106+J111+J114+J121+J124</f>
        <v>2878311000</v>
      </c>
      <c r="K105" s="29">
        <f>+K106+K111+K114+K121+K124</f>
        <v>2174296763</v>
      </c>
      <c r="L105" s="29">
        <f t="shared" si="12"/>
        <v>-704014237</v>
      </c>
      <c r="M105" s="18">
        <f t="shared" si="13"/>
        <v>0.75540716864855817</v>
      </c>
    </row>
    <row r="106" spans="1:13" s="46" customFormat="1" ht="15" x14ac:dyDescent="0.25">
      <c r="A106" s="48" t="s">
        <v>112</v>
      </c>
      <c r="B106" s="29"/>
      <c r="C106" s="29"/>
      <c r="D106" s="29"/>
      <c r="E106" s="17"/>
      <c r="F106" s="29"/>
      <c r="G106" s="17">
        <f>SUM(G107:G110)</f>
        <v>506000000</v>
      </c>
      <c r="H106" s="17">
        <f>SUM(H107:H110)</f>
        <v>506000000</v>
      </c>
      <c r="I106" s="29"/>
      <c r="J106" s="17">
        <f>SUM(J107:J110)</f>
        <v>506000000</v>
      </c>
      <c r="K106" s="17">
        <f>SUM(K107:K110)</f>
        <v>469093317</v>
      </c>
      <c r="L106" s="17">
        <f t="shared" si="12"/>
        <v>-36906683</v>
      </c>
      <c r="M106" s="18">
        <f t="shared" si="13"/>
        <v>0.9270618913043478</v>
      </c>
    </row>
    <row r="107" spans="1:13" s="46" customFormat="1" ht="15" hidden="1" outlineLevel="1" x14ac:dyDescent="0.25">
      <c r="A107" s="47" t="s">
        <v>113</v>
      </c>
      <c r="B107" s="29"/>
      <c r="C107" s="29"/>
      <c r="D107" s="29"/>
      <c r="E107" s="21"/>
      <c r="F107" s="29"/>
      <c r="G107" s="21">
        <f>+'[4]III TRE PPC'!$B$26-42000000</f>
        <v>355000000</v>
      </c>
      <c r="H107" s="21">
        <f>+B107+C107+D107+G107+E107+F107</f>
        <v>355000000</v>
      </c>
      <c r="I107" s="29"/>
      <c r="J107" s="22">
        <f>+H107+I107</f>
        <v>355000000</v>
      </c>
      <c r="K107" s="22">
        <v>327025230</v>
      </c>
      <c r="L107" s="22">
        <f t="shared" si="12"/>
        <v>-27974770</v>
      </c>
      <c r="M107" s="23">
        <f t="shared" si="13"/>
        <v>0.92119783098591546</v>
      </c>
    </row>
    <row r="108" spans="1:13" s="46" customFormat="1" ht="15" hidden="1" outlineLevel="1" x14ac:dyDescent="0.25">
      <c r="A108" s="47" t="s">
        <v>114</v>
      </c>
      <c r="B108" s="29"/>
      <c r="C108" s="29"/>
      <c r="D108" s="29"/>
      <c r="E108" s="21"/>
      <c r="F108" s="29"/>
      <c r="G108" s="21">
        <f>+'[4]III TRE PPC'!$B$29</f>
        <v>20000000</v>
      </c>
      <c r="H108" s="21">
        <f>+B108+C108+D108+G108+E108+F108</f>
        <v>20000000</v>
      </c>
      <c r="I108" s="29"/>
      <c r="J108" s="22">
        <f>+H108+I108</f>
        <v>20000000</v>
      </c>
      <c r="K108" s="22">
        <v>19876340</v>
      </c>
      <c r="L108" s="22">
        <f t="shared" si="12"/>
        <v>-123660</v>
      </c>
      <c r="M108" s="23">
        <f t="shared" si="13"/>
        <v>0.99381699999999995</v>
      </c>
    </row>
    <row r="109" spans="1:13" s="46" customFormat="1" ht="15" hidden="1" outlineLevel="1" x14ac:dyDescent="0.25">
      <c r="A109" s="47" t="s">
        <v>115</v>
      </c>
      <c r="B109" s="29"/>
      <c r="C109" s="29"/>
      <c r="D109" s="29"/>
      <c r="E109" s="21"/>
      <c r="F109" s="29"/>
      <c r="G109" s="21">
        <f>+'[4]III TRE PPC'!$B$43</f>
        <v>14000000</v>
      </c>
      <c r="H109" s="21">
        <f>+B109+C109+D109+G109+E109+F109</f>
        <v>14000000</v>
      </c>
      <c r="I109" s="29"/>
      <c r="J109" s="22">
        <f>+H109+I109</f>
        <v>14000000</v>
      </c>
      <c r="K109" s="22">
        <v>13912488</v>
      </c>
      <c r="L109" s="22">
        <f t="shared" si="12"/>
        <v>-87512</v>
      </c>
      <c r="M109" s="23">
        <f t="shared" si="13"/>
        <v>0.99374914285714289</v>
      </c>
    </row>
    <row r="110" spans="1:13" s="46" customFormat="1" ht="15" hidden="1" outlineLevel="1" x14ac:dyDescent="0.25">
      <c r="A110" s="47" t="s">
        <v>116</v>
      </c>
      <c r="B110" s="29"/>
      <c r="C110" s="29"/>
      <c r="D110" s="29"/>
      <c r="E110" s="21"/>
      <c r="F110" s="29"/>
      <c r="G110" s="21">
        <f>+'[4]III TRE PPC'!$B$47+42000000</f>
        <v>117000000</v>
      </c>
      <c r="H110" s="21">
        <f>+B110+C110+D110+G110+E110+F110</f>
        <v>117000000</v>
      </c>
      <c r="I110" s="29"/>
      <c r="J110" s="22">
        <f>+H110+I110</f>
        <v>117000000</v>
      </c>
      <c r="K110" s="22">
        <v>108279259</v>
      </c>
      <c r="L110" s="22">
        <f t="shared" si="12"/>
        <v>-8720741</v>
      </c>
      <c r="M110" s="23">
        <f t="shared" si="13"/>
        <v>0.92546375213675214</v>
      </c>
    </row>
    <row r="111" spans="1:13" s="46" customFormat="1" ht="15" collapsed="1" x14ac:dyDescent="0.25">
      <c r="A111" s="48" t="s">
        <v>117</v>
      </c>
      <c r="B111" s="29"/>
      <c r="C111" s="29"/>
      <c r="D111" s="29"/>
      <c r="E111" s="17"/>
      <c r="F111" s="29"/>
      <c r="G111" s="17">
        <f>SUM(G112:G113)</f>
        <v>140000000</v>
      </c>
      <c r="H111" s="17">
        <f>SUM(H112:H113)</f>
        <v>140000000</v>
      </c>
      <c r="I111" s="29"/>
      <c r="J111" s="17">
        <f>SUM(J112:J113)</f>
        <v>140000000</v>
      </c>
      <c r="K111" s="17">
        <f>SUM(K112:K113)</f>
        <v>85110737</v>
      </c>
      <c r="L111" s="17">
        <f t="shared" si="12"/>
        <v>-54889263</v>
      </c>
      <c r="M111" s="18">
        <f t="shared" si="13"/>
        <v>0.60793383571428572</v>
      </c>
    </row>
    <row r="112" spans="1:13" s="46" customFormat="1" ht="15" hidden="1" outlineLevel="1" x14ac:dyDescent="0.25">
      <c r="A112" s="47" t="s">
        <v>118</v>
      </c>
      <c r="B112" s="29"/>
      <c r="C112" s="29"/>
      <c r="D112" s="29"/>
      <c r="E112" s="21"/>
      <c r="F112" s="29"/>
      <c r="G112" s="21">
        <f>+'[4]III TRE PPC'!$B$51</f>
        <v>100000000</v>
      </c>
      <c r="H112" s="21">
        <f>+B112+C112+D112+G112+E112+F112</f>
        <v>100000000</v>
      </c>
      <c r="I112" s="29"/>
      <c r="J112" s="22">
        <f>+H112+I112</f>
        <v>100000000</v>
      </c>
      <c r="K112" s="22">
        <v>58947797</v>
      </c>
      <c r="L112" s="22">
        <f t="shared" si="12"/>
        <v>-41052203</v>
      </c>
      <c r="M112" s="23">
        <f t="shared" si="13"/>
        <v>0.58947797000000002</v>
      </c>
    </row>
    <row r="113" spans="1:13" s="46" customFormat="1" ht="15" hidden="1" outlineLevel="1" x14ac:dyDescent="0.25">
      <c r="A113" s="47" t="s">
        <v>119</v>
      </c>
      <c r="B113" s="29"/>
      <c r="C113" s="29"/>
      <c r="D113" s="29"/>
      <c r="E113" s="21"/>
      <c r="F113" s="29"/>
      <c r="G113" s="21">
        <f>+'[4]III TRE PPC'!$B$55</f>
        <v>40000000</v>
      </c>
      <c r="H113" s="21">
        <f>+B113+C113+D113+G113+E113+F113</f>
        <v>40000000</v>
      </c>
      <c r="I113" s="29"/>
      <c r="J113" s="22">
        <f>+H113+I113</f>
        <v>40000000</v>
      </c>
      <c r="K113" s="22">
        <v>26162940</v>
      </c>
      <c r="L113" s="22">
        <f t="shared" si="12"/>
        <v>-13837060</v>
      </c>
      <c r="M113" s="23">
        <f t="shared" si="13"/>
        <v>0.65407349999999997</v>
      </c>
    </row>
    <row r="114" spans="1:13" s="46" customFormat="1" ht="15" collapsed="1" x14ac:dyDescent="0.25">
      <c r="A114" s="48" t="s">
        <v>120</v>
      </c>
      <c r="B114" s="29"/>
      <c r="C114" s="29"/>
      <c r="D114" s="29"/>
      <c r="E114" s="17"/>
      <c r="F114" s="29"/>
      <c r="G114" s="17">
        <f>SUM(G115:G120)</f>
        <v>730960000</v>
      </c>
      <c r="H114" s="17">
        <f>SUM(H115:H120)</f>
        <v>730960000</v>
      </c>
      <c r="I114" s="29"/>
      <c r="J114" s="17">
        <f>SUM(J115:J120)</f>
        <v>730960000</v>
      </c>
      <c r="K114" s="17">
        <f>SUM(K115:K120)</f>
        <v>230608795</v>
      </c>
      <c r="L114" s="17">
        <f t="shared" si="12"/>
        <v>-500351205</v>
      </c>
      <c r="M114" s="18">
        <f t="shared" si="13"/>
        <v>0.31548757113932363</v>
      </c>
    </row>
    <row r="115" spans="1:13" s="46" customFormat="1" ht="15" hidden="1" outlineLevel="1" x14ac:dyDescent="0.25">
      <c r="A115" s="47" t="s">
        <v>121</v>
      </c>
      <c r="B115" s="29"/>
      <c r="C115" s="29"/>
      <c r="D115" s="29"/>
      <c r="E115" s="21"/>
      <c r="F115" s="29"/>
      <c r="G115" s="21">
        <f>+'[4]III TRE PPC'!$B$68</f>
        <v>40000000</v>
      </c>
      <c r="H115" s="21">
        <f t="shared" ref="H115:H120" si="16">+B115+C115+D115+G115+E115+F115</f>
        <v>40000000</v>
      </c>
      <c r="I115" s="29"/>
      <c r="J115" s="22">
        <f t="shared" ref="J115:J120" si="17">+H115+I115</f>
        <v>40000000</v>
      </c>
      <c r="K115" s="22">
        <v>40000000</v>
      </c>
      <c r="L115" s="22">
        <f t="shared" si="12"/>
        <v>0</v>
      </c>
      <c r="M115" s="23">
        <f t="shared" si="13"/>
        <v>1</v>
      </c>
    </row>
    <row r="116" spans="1:13" s="46" customFormat="1" ht="15" hidden="1" outlineLevel="1" x14ac:dyDescent="0.25">
      <c r="A116" s="47" t="s">
        <v>120</v>
      </c>
      <c r="B116" s="29"/>
      <c r="C116" s="29"/>
      <c r="D116" s="29"/>
      <c r="E116" s="21"/>
      <c r="F116" s="29"/>
      <c r="G116" s="21">
        <f>+'[4]III TRE PPC'!$B$69</f>
        <v>611000000</v>
      </c>
      <c r="H116" s="21">
        <f t="shared" si="16"/>
        <v>611000000</v>
      </c>
      <c r="I116" s="29"/>
      <c r="J116" s="22">
        <f t="shared" si="17"/>
        <v>611000000</v>
      </c>
      <c r="K116" s="22">
        <v>121584329</v>
      </c>
      <c r="L116" s="22">
        <f t="shared" si="12"/>
        <v>-489415671</v>
      </c>
      <c r="M116" s="23">
        <f t="shared" si="13"/>
        <v>0.1989923551554828</v>
      </c>
    </row>
    <row r="117" spans="1:13" s="46" customFormat="1" ht="15" hidden="1" outlineLevel="1" x14ac:dyDescent="0.25">
      <c r="A117" s="47" t="s">
        <v>122</v>
      </c>
      <c r="B117" s="29"/>
      <c r="C117" s="29"/>
      <c r="D117" s="29"/>
      <c r="E117" s="21"/>
      <c r="F117" s="29"/>
      <c r="G117" s="21">
        <f>+'[4]III TRE PPC'!$B$70</f>
        <v>30000000</v>
      </c>
      <c r="H117" s="21">
        <f t="shared" si="16"/>
        <v>30000000</v>
      </c>
      <c r="I117" s="29"/>
      <c r="J117" s="22">
        <f t="shared" si="17"/>
        <v>30000000</v>
      </c>
      <c r="K117" s="22">
        <v>25089682</v>
      </c>
      <c r="L117" s="22">
        <f t="shared" si="12"/>
        <v>-4910318</v>
      </c>
      <c r="M117" s="23">
        <f t="shared" si="13"/>
        <v>0.83632273333333329</v>
      </c>
    </row>
    <row r="118" spans="1:13" s="46" customFormat="1" ht="15" hidden="1" outlineLevel="1" x14ac:dyDescent="0.25">
      <c r="A118" s="47" t="s">
        <v>123</v>
      </c>
      <c r="B118" s="29"/>
      <c r="C118" s="29"/>
      <c r="D118" s="29"/>
      <c r="E118" s="21"/>
      <c r="F118" s="29"/>
      <c r="G118" s="21">
        <f>+'[4]III TRE PPC'!$B$71</f>
        <v>30400000</v>
      </c>
      <c r="H118" s="21">
        <f t="shared" si="16"/>
        <v>30400000</v>
      </c>
      <c r="I118" s="29"/>
      <c r="J118" s="22">
        <f t="shared" si="17"/>
        <v>30400000</v>
      </c>
      <c r="K118" s="22">
        <v>30333635</v>
      </c>
      <c r="L118" s="22">
        <f t="shared" si="12"/>
        <v>-66365</v>
      </c>
      <c r="M118" s="23">
        <f t="shared" si="13"/>
        <v>0.99781694078947369</v>
      </c>
    </row>
    <row r="119" spans="1:13" s="46" customFormat="1" ht="15" hidden="1" outlineLevel="1" x14ac:dyDescent="0.25">
      <c r="A119" s="47" t="s">
        <v>124</v>
      </c>
      <c r="B119" s="29"/>
      <c r="C119" s="29"/>
      <c r="D119" s="29"/>
      <c r="E119" s="21"/>
      <c r="F119" s="29"/>
      <c r="G119" s="21">
        <f>+'[4]III TRE PPC'!$B$72</f>
        <v>18000000</v>
      </c>
      <c r="H119" s="21">
        <f t="shared" si="16"/>
        <v>18000000</v>
      </c>
      <c r="I119" s="29"/>
      <c r="J119" s="22">
        <f t="shared" si="17"/>
        <v>18000000</v>
      </c>
      <c r="K119" s="22">
        <v>12250272</v>
      </c>
      <c r="L119" s="22">
        <f t="shared" si="12"/>
        <v>-5749728</v>
      </c>
      <c r="M119" s="23">
        <f t="shared" si="13"/>
        <v>0.68057066666666666</v>
      </c>
    </row>
    <row r="120" spans="1:13" s="46" customFormat="1" ht="15" hidden="1" outlineLevel="1" x14ac:dyDescent="0.25">
      <c r="A120" s="47" t="s">
        <v>125</v>
      </c>
      <c r="B120" s="29"/>
      <c r="C120" s="29"/>
      <c r="D120" s="29"/>
      <c r="E120" s="21"/>
      <c r="F120" s="29"/>
      <c r="G120" s="21">
        <f>+'[4]III TRE PPC'!$B$73</f>
        <v>1560000</v>
      </c>
      <c r="H120" s="21">
        <f t="shared" si="16"/>
        <v>1560000</v>
      </c>
      <c r="I120" s="29"/>
      <c r="J120" s="22">
        <f t="shared" si="17"/>
        <v>1560000</v>
      </c>
      <c r="K120" s="22">
        <v>1350877</v>
      </c>
      <c r="L120" s="22">
        <f t="shared" si="12"/>
        <v>-209123</v>
      </c>
      <c r="M120" s="23">
        <f t="shared" si="13"/>
        <v>0.86594679487179482</v>
      </c>
    </row>
    <row r="121" spans="1:13" s="46" customFormat="1" ht="15" collapsed="1" x14ac:dyDescent="0.25">
      <c r="A121" s="48" t="s">
        <v>126</v>
      </c>
      <c r="B121" s="29"/>
      <c r="C121" s="29"/>
      <c r="D121" s="29"/>
      <c r="E121" s="17"/>
      <c r="F121" s="29"/>
      <c r="G121" s="17">
        <f>SUM(G122:G123)</f>
        <v>212700000</v>
      </c>
      <c r="H121" s="17">
        <f>SUM(H122:H123)</f>
        <v>212700000</v>
      </c>
      <c r="I121" s="29"/>
      <c r="J121" s="17">
        <f>SUM(J122:J123)</f>
        <v>212700000</v>
      </c>
      <c r="K121" s="17">
        <f>SUM(K122:K123)</f>
        <v>120275934</v>
      </c>
      <c r="L121" s="17">
        <f t="shared" si="12"/>
        <v>-92424066</v>
      </c>
      <c r="M121" s="18">
        <f t="shared" si="13"/>
        <v>0.56547218617771511</v>
      </c>
    </row>
    <row r="122" spans="1:13" s="46" customFormat="1" ht="15" hidden="1" outlineLevel="1" x14ac:dyDescent="0.25">
      <c r="A122" s="47" t="s">
        <v>127</v>
      </c>
      <c r="B122" s="29"/>
      <c r="C122" s="29"/>
      <c r="D122" s="29"/>
      <c r="E122" s="21"/>
      <c r="F122" s="29"/>
      <c r="G122" s="21">
        <f>+'[4]III TRE PPC'!$B$75</f>
        <v>44700000</v>
      </c>
      <c r="H122" s="21">
        <f>+B122+C122+D122+G122+E122+F122</f>
        <v>44700000</v>
      </c>
      <c r="I122" s="29"/>
      <c r="J122" s="22">
        <f>+H122+I122</f>
        <v>44700000</v>
      </c>
      <c r="K122" s="22">
        <v>39639580</v>
      </c>
      <c r="L122" s="22">
        <f t="shared" si="12"/>
        <v>-5060420</v>
      </c>
      <c r="M122" s="23">
        <f t="shared" si="13"/>
        <v>0.88679149888143172</v>
      </c>
    </row>
    <row r="123" spans="1:13" s="46" customFormat="1" ht="15" hidden="1" outlineLevel="1" x14ac:dyDescent="0.25">
      <c r="A123" s="47" t="s">
        <v>128</v>
      </c>
      <c r="B123" s="29"/>
      <c r="C123" s="29"/>
      <c r="D123" s="29"/>
      <c r="E123" s="21"/>
      <c r="F123" s="29"/>
      <c r="G123" s="21">
        <f>+'[4]III TRE PPC'!$B$80</f>
        <v>168000000</v>
      </c>
      <c r="H123" s="21">
        <f>+B123+C123+D123+G123+E123+F123</f>
        <v>168000000</v>
      </c>
      <c r="I123" s="29"/>
      <c r="J123" s="22">
        <f>+H123+I123</f>
        <v>168000000</v>
      </c>
      <c r="K123" s="22">
        <v>80636354</v>
      </c>
      <c r="L123" s="22">
        <f t="shared" si="12"/>
        <v>-87363646</v>
      </c>
      <c r="M123" s="23">
        <f t="shared" si="13"/>
        <v>0.47997829761904764</v>
      </c>
    </row>
    <row r="124" spans="1:13" s="46" customFormat="1" ht="15" collapsed="1" x14ac:dyDescent="0.25">
      <c r="A124" s="48" t="s">
        <v>129</v>
      </c>
      <c r="B124" s="29"/>
      <c r="C124" s="29"/>
      <c r="D124" s="29"/>
      <c r="E124" s="29"/>
      <c r="F124" s="29"/>
      <c r="G124" s="29">
        <f>SUM(G125:G127)</f>
        <v>1288651000</v>
      </c>
      <c r="H124" s="29">
        <f>SUM(H125:H127)</f>
        <v>1288651000</v>
      </c>
      <c r="I124" s="29"/>
      <c r="J124" s="29">
        <f>SUM(J125:J127)</f>
        <v>1288651000</v>
      </c>
      <c r="K124" s="29">
        <f>SUM(K125:K127)</f>
        <v>1269207980</v>
      </c>
      <c r="L124" s="29">
        <f t="shared" si="12"/>
        <v>-19443020</v>
      </c>
      <c r="M124" s="18">
        <f t="shared" si="13"/>
        <v>0.98491211352026264</v>
      </c>
    </row>
    <row r="125" spans="1:13" s="46" customFormat="1" ht="15" hidden="1" outlineLevel="1" x14ac:dyDescent="0.25">
      <c r="A125" s="47" t="s">
        <v>130</v>
      </c>
      <c r="B125" s="29"/>
      <c r="C125" s="29"/>
      <c r="D125" s="29"/>
      <c r="E125" s="22"/>
      <c r="F125" s="29"/>
      <c r="G125" s="22">
        <f>+'[4]III TRE PPC'!$B$82</f>
        <v>1250000000</v>
      </c>
      <c r="H125" s="21">
        <f>+B125+C125+D125+G125+E125+F125</f>
        <v>1250000000</v>
      </c>
      <c r="I125" s="29"/>
      <c r="J125" s="22">
        <f>+H125+I125</f>
        <v>1250000000</v>
      </c>
      <c r="K125" s="22">
        <v>1243715340</v>
      </c>
      <c r="L125" s="22">
        <f t="shared" si="12"/>
        <v>-6284660</v>
      </c>
      <c r="M125" s="23">
        <f t="shared" si="13"/>
        <v>0.99497227200000005</v>
      </c>
    </row>
    <row r="126" spans="1:13" s="46" customFormat="1" ht="15" hidden="1" outlineLevel="1" x14ac:dyDescent="0.25">
      <c r="A126" s="47" t="s">
        <v>131</v>
      </c>
      <c r="B126" s="29"/>
      <c r="C126" s="29"/>
      <c r="D126" s="29"/>
      <c r="E126" s="22"/>
      <c r="F126" s="29"/>
      <c r="G126" s="22">
        <f>+'[4]III TRE PPC'!$B$85</f>
        <v>21651000</v>
      </c>
      <c r="H126" s="21">
        <f>+B126+C126+D126+G126+E126+F126</f>
        <v>21651000</v>
      </c>
      <c r="I126" s="29"/>
      <c r="J126" s="22">
        <f>+H126+I126</f>
        <v>21651000</v>
      </c>
      <c r="K126" s="22">
        <v>13317960</v>
      </c>
      <c r="L126" s="22">
        <f t="shared" si="12"/>
        <v>-8333040</v>
      </c>
      <c r="M126" s="23">
        <f t="shared" si="13"/>
        <v>0.61511985589580154</v>
      </c>
    </row>
    <row r="127" spans="1:13" s="46" customFormat="1" ht="15" hidden="1" outlineLevel="1" x14ac:dyDescent="0.25">
      <c r="A127" s="47" t="s">
        <v>132</v>
      </c>
      <c r="B127" s="29"/>
      <c r="C127" s="29"/>
      <c r="D127" s="29"/>
      <c r="E127" s="22"/>
      <c r="F127" s="29"/>
      <c r="G127" s="22">
        <f>+'[4]III TRE PPC'!$B$88</f>
        <v>17000000</v>
      </c>
      <c r="H127" s="21">
        <f>+B127+C127+D127+G127+E127+F127</f>
        <v>17000000</v>
      </c>
      <c r="I127" s="29"/>
      <c r="J127" s="22">
        <f>+H127+I127</f>
        <v>17000000</v>
      </c>
      <c r="K127" s="22">
        <v>12174680</v>
      </c>
      <c r="L127" s="22">
        <f t="shared" si="12"/>
        <v>-4825320</v>
      </c>
      <c r="M127" s="23">
        <f t="shared" si="13"/>
        <v>0.71615764705882357</v>
      </c>
    </row>
    <row r="128" spans="1:13" s="46" customFormat="1" ht="15" collapsed="1" x14ac:dyDescent="0.25">
      <c r="A128" s="47"/>
      <c r="B128" s="29"/>
      <c r="C128" s="29"/>
      <c r="D128" s="29"/>
      <c r="E128" s="22"/>
      <c r="F128" s="29"/>
      <c r="G128" s="22"/>
      <c r="H128" s="21"/>
      <c r="I128" s="29"/>
      <c r="J128" s="22"/>
      <c r="K128" s="22"/>
      <c r="L128" s="22"/>
      <c r="M128" s="23"/>
    </row>
    <row r="129" spans="1:13" s="51" customFormat="1" ht="15" x14ac:dyDescent="0.25">
      <c r="A129" s="48" t="s">
        <v>133</v>
      </c>
      <c r="B129" s="49"/>
      <c r="C129" s="17">
        <f>+C130+C137+C145</f>
        <v>321775600</v>
      </c>
      <c r="D129" s="49"/>
      <c r="E129" s="50"/>
      <c r="F129" s="49"/>
      <c r="G129" s="50"/>
      <c r="H129" s="17">
        <f>+H130+H137+H145</f>
        <v>321775600</v>
      </c>
      <c r="I129" s="49"/>
      <c r="J129" s="17">
        <f>+H129+I129</f>
        <v>321775600</v>
      </c>
      <c r="K129" s="17">
        <f>+K130+K137+K145</f>
        <v>277507047</v>
      </c>
      <c r="L129" s="17">
        <f t="shared" si="12"/>
        <v>-44268553</v>
      </c>
      <c r="M129" s="18">
        <f t="shared" si="13"/>
        <v>0.86242414589546257</v>
      </c>
    </row>
    <row r="130" spans="1:13" s="46" customFormat="1" ht="30" x14ac:dyDescent="0.25">
      <c r="A130" s="52" t="s">
        <v>134</v>
      </c>
      <c r="B130" s="49"/>
      <c r="C130" s="29">
        <f>SUM(C131:C136)</f>
        <v>72600000</v>
      </c>
      <c r="D130" s="29"/>
      <c r="E130" s="29"/>
      <c r="F130" s="29"/>
      <c r="G130" s="29"/>
      <c r="H130" s="17">
        <f>+B130+C130+D130+G130+E130+F130</f>
        <v>72600000</v>
      </c>
      <c r="I130" s="17"/>
      <c r="J130" s="29">
        <f>SUM(J131:J136)</f>
        <v>72600000</v>
      </c>
      <c r="K130" s="29">
        <f>SUM(K131:K136)</f>
        <v>72278247</v>
      </c>
      <c r="L130" s="29">
        <f t="shared" si="12"/>
        <v>-321753</v>
      </c>
      <c r="M130" s="18">
        <f t="shared" si="13"/>
        <v>0.99556814049586773</v>
      </c>
    </row>
    <row r="131" spans="1:13" s="46" customFormat="1" ht="15" hidden="1" outlineLevel="1" x14ac:dyDescent="0.25">
      <c r="A131" s="47" t="s">
        <v>135</v>
      </c>
      <c r="B131" s="49"/>
      <c r="C131" s="22"/>
      <c r="D131" s="29"/>
      <c r="E131" s="29"/>
      <c r="F131" s="29"/>
      <c r="G131" s="29"/>
      <c r="H131" s="22">
        <f>+B131+C131+D131+G131+E131+F131</f>
        <v>0</v>
      </c>
      <c r="I131" s="17"/>
      <c r="J131" s="22">
        <f t="shared" ref="J131:J149" si="18">+H131+I131</f>
        <v>0</v>
      </c>
      <c r="K131" s="22"/>
      <c r="L131" s="22">
        <f t="shared" si="12"/>
        <v>0</v>
      </c>
      <c r="M131" s="23">
        <f t="shared" si="13"/>
        <v>0</v>
      </c>
    </row>
    <row r="132" spans="1:13" s="46" customFormat="1" ht="15" hidden="1" outlineLevel="1" x14ac:dyDescent="0.25">
      <c r="A132" s="47" t="s">
        <v>136</v>
      </c>
      <c r="B132" s="49"/>
      <c r="C132" s="22">
        <f>+[5]Técnica!$H$17</f>
        <v>64600000</v>
      </c>
      <c r="D132" s="29"/>
      <c r="E132" s="29"/>
      <c r="F132" s="29"/>
      <c r="G132" s="29"/>
      <c r="H132" s="22">
        <f t="shared" ref="H132:H149" si="19">+B132+C132+D132+G132+E132+F132</f>
        <v>64600000</v>
      </c>
      <c r="I132" s="17"/>
      <c r="J132" s="22">
        <f t="shared" si="18"/>
        <v>64600000</v>
      </c>
      <c r="K132" s="22">
        <v>64539161</v>
      </c>
      <c r="L132" s="22">
        <f t="shared" si="12"/>
        <v>-60839</v>
      </c>
      <c r="M132" s="23">
        <f t="shared" si="13"/>
        <v>0.99905821981424148</v>
      </c>
    </row>
    <row r="133" spans="1:13" s="46" customFormat="1" ht="15" hidden="1" outlineLevel="1" x14ac:dyDescent="0.25">
      <c r="A133" s="47" t="s">
        <v>137</v>
      </c>
      <c r="B133" s="49"/>
      <c r="C133" s="22">
        <f>10000000-10000000</f>
        <v>0</v>
      </c>
      <c r="D133" s="29"/>
      <c r="E133" s="29"/>
      <c r="F133" s="29"/>
      <c r="G133" s="29"/>
      <c r="H133" s="22">
        <f t="shared" si="19"/>
        <v>0</v>
      </c>
      <c r="I133" s="17"/>
      <c r="J133" s="22">
        <f t="shared" si="18"/>
        <v>0</v>
      </c>
      <c r="K133" s="22"/>
      <c r="L133" s="22">
        <f t="shared" si="12"/>
        <v>0</v>
      </c>
      <c r="M133" s="23">
        <f t="shared" si="13"/>
        <v>0</v>
      </c>
    </row>
    <row r="134" spans="1:13" s="46" customFormat="1" ht="15" hidden="1" outlineLevel="1" x14ac:dyDescent="0.25">
      <c r="A134" s="47" t="s">
        <v>138</v>
      </c>
      <c r="B134" s="49"/>
      <c r="C134" s="22">
        <f>+[5]Técnica!$H$32</f>
        <v>5000000</v>
      </c>
      <c r="D134" s="29"/>
      <c r="E134" s="29"/>
      <c r="F134" s="29"/>
      <c r="G134" s="29"/>
      <c r="H134" s="22">
        <f t="shared" si="19"/>
        <v>5000000</v>
      </c>
      <c r="I134" s="17"/>
      <c r="J134" s="22">
        <f t="shared" si="18"/>
        <v>5000000</v>
      </c>
      <c r="K134" s="22">
        <v>4840500</v>
      </c>
      <c r="L134" s="22">
        <f t="shared" si="12"/>
        <v>-159500</v>
      </c>
      <c r="M134" s="23">
        <f t="shared" si="13"/>
        <v>0.96809999999999996</v>
      </c>
    </row>
    <row r="135" spans="1:13" s="46" customFormat="1" ht="15" hidden="1" outlineLevel="1" x14ac:dyDescent="0.25">
      <c r="A135" s="47" t="s">
        <v>139</v>
      </c>
      <c r="B135" s="49"/>
      <c r="C135" s="22">
        <f>+[5]Técnica!$H$35</f>
        <v>3000000</v>
      </c>
      <c r="D135" s="29"/>
      <c r="E135" s="29"/>
      <c r="F135" s="29"/>
      <c r="G135" s="29"/>
      <c r="H135" s="22">
        <f t="shared" si="19"/>
        <v>3000000</v>
      </c>
      <c r="I135" s="17"/>
      <c r="J135" s="22">
        <f t="shared" si="18"/>
        <v>3000000</v>
      </c>
      <c r="K135" s="22">
        <v>2898586</v>
      </c>
      <c r="L135" s="22">
        <f t="shared" si="12"/>
        <v>-101414</v>
      </c>
      <c r="M135" s="23">
        <f t="shared" si="13"/>
        <v>0.96619533333333329</v>
      </c>
    </row>
    <row r="136" spans="1:13" s="46" customFormat="1" ht="15" hidden="1" outlineLevel="1" x14ac:dyDescent="0.25">
      <c r="A136" s="47" t="s">
        <v>140</v>
      </c>
      <c r="B136" s="49"/>
      <c r="C136" s="22">
        <f>+[5]Técnica!$H$37-5000000</f>
        <v>0</v>
      </c>
      <c r="D136" s="29"/>
      <c r="E136" s="29"/>
      <c r="F136" s="29"/>
      <c r="G136" s="29"/>
      <c r="H136" s="22">
        <f t="shared" si="19"/>
        <v>0</v>
      </c>
      <c r="I136" s="17"/>
      <c r="J136" s="22">
        <f t="shared" si="18"/>
        <v>0</v>
      </c>
      <c r="K136" s="22"/>
      <c r="L136" s="22">
        <f t="shared" si="12"/>
        <v>0</v>
      </c>
      <c r="M136" s="23">
        <f t="shared" si="13"/>
        <v>0</v>
      </c>
    </row>
    <row r="137" spans="1:13" s="46" customFormat="1" ht="30" collapsed="1" x14ac:dyDescent="0.25">
      <c r="A137" s="52" t="s">
        <v>141</v>
      </c>
      <c r="B137" s="49"/>
      <c r="C137" s="29">
        <f>SUM(C138:C144)</f>
        <v>195654000</v>
      </c>
      <c r="D137" s="29"/>
      <c r="E137" s="29"/>
      <c r="F137" s="29"/>
      <c r="G137" s="29"/>
      <c r="H137" s="17">
        <f>+B137+C137+D137+G137+E137+F137</f>
        <v>195654000</v>
      </c>
      <c r="I137" s="17"/>
      <c r="J137" s="29">
        <f>SUM(J138:J144)</f>
        <v>195654000</v>
      </c>
      <c r="K137" s="29">
        <f>SUM(K138:K144)</f>
        <v>152081431</v>
      </c>
      <c r="L137" s="29">
        <f t="shared" si="12"/>
        <v>-43572569</v>
      </c>
      <c r="M137" s="18">
        <f t="shared" si="13"/>
        <v>0.77729783699796584</v>
      </c>
    </row>
    <row r="138" spans="1:13" s="46" customFormat="1" ht="15" hidden="1" outlineLevel="1" x14ac:dyDescent="0.25">
      <c r="A138" s="47" t="s">
        <v>135</v>
      </c>
      <c r="B138" s="49"/>
      <c r="C138" s="22"/>
      <c r="D138" s="29"/>
      <c r="E138" s="29"/>
      <c r="F138" s="29"/>
      <c r="G138" s="29"/>
      <c r="H138" s="22">
        <f t="shared" si="19"/>
        <v>0</v>
      </c>
      <c r="I138" s="17"/>
      <c r="J138" s="22">
        <f t="shared" si="18"/>
        <v>0</v>
      </c>
      <c r="K138" s="22"/>
      <c r="L138" s="22">
        <f t="shared" si="12"/>
        <v>0</v>
      </c>
      <c r="M138" s="23">
        <f t="shared" si="13"/>
        <v>0</v>
      </c>
    </row>
    <row r="139" spans="1:13" s="46" customFormat="1" ht="15" hidden="1" outlineLevel="1" x14ac:dyDescent="0.25">
      <c r="A139" s="47" t="s">
        <v>142</v>
      </c>
      <c r="B139" s="49"/>
      <c r="C139" s="22">
        <f>+[5]Técnica!$H$43</f>
        <v>12000000</v>
      </c>
      <c r="D139" s="29"/>
      <c r="E139" s="29"/>
      <c r="F139" s="29"/>
      <c r="G139" s="29"/>
      <c r="H139" s="22">
        <f t="shared" si="19"/>
        <v>12000000</v>
      </c>
      <c r="I139" s="17"/>
      <c r="J139" s="22">
        <f t="shared" si="18"/>
        <v>12000000</v>
      </c>
      <c r="K139" s="22">
        <v>12000000</v>
      </c>
      <c r="L139" s="22">
        <f t="shared" ref="L139:L201" si="20">+K139-J139</f>
        <v>0</v>
      </c>
      <c r="M139" s="23">
        <f t="shared" ref="M139:M202" si="21">IFERROR(K139/J139,0)</f>
        <v>1</v>
      </c>
    </row>
    <row r="140" spans="1:13" s="46" customFormat="1" ht="15" hidden="1" outlineLevel="1" x14ac:dyDescent="0.25">
      <c r="A140" s="47" t="s">
        <v>143</v>
      </c>
      <c r="B140" s="49"/>
      <c r="C140" s="22">
        <f>+[5]Técnica!$H$45</f>
        <v>123415000</v>
      </c>
      <c r="D140" s="29"/>
      <c r="E140" s="29"/>
      <c r="F140" s="29"/>
      <c r="G140" s="29"/>
      <c r="H140" s="22">
        <f t="shared" si="19"/>
        <v>123415000</v>
      </c>
      <c r="I140" s="17"/>
      <c r="J140" s="22">
        <f t="shared" si="18"/>
        <v>123415000</v>
      </c>
      <c r="K140" s="22">
        <v>113908109</v>
      </c>
      <c r="L140" s="22">
        <f t="shared" si="20"/>
        <v>-9506891</v>
      </c>
      <c r="M140" s="23">
        <f t="shared" si="21"/>
        <v>0.92296810760442405</v>
      </c>
    </row>
    <row r="141" spans="1:13" s="46" customFormat="1" ht="15" hidden="1" outlineLevel="1" x14ac:dyDescent="0.25">
      <c r="A141" s="47" t="s">
        <v>144</v>
      </c>
      <c r="B141" s="49"/>
      <c r="C141" s="22">
        <v>36939000</v>
      </c>
      <c r="D141" s="29"/>
      <c r="E141" s="29"/>
      <c r="F141" s="29"/>
      <c r="G141" s="29"/>
      <c r="H141" s="22">
        <f t="shared" si="19"/>
        <v>36939000</v>
      </c>
      <c r="I141" s="17"/>
      <c r="J141" s="22">
        <f t="shared" si="18"/>
        <v>36939000</v>
      </c>
      <c r="K141" s="22">
        <v>7306333</v>
      </c>
      <c r="L141" s="22">
        <f t="shared" si="20"/>
        <v>-29632667</v>
      </c>
      <c r="M141" s="23">
        <f t="shared" si="21"/>
        <v>0.19779455318227349</v>
      </c>
    </row>
    <row r="142" spans="1:13" s="46" customFormat="1" ht="15" hidden="1" outlineLevel="1" x14ac:dyDescent="0.25">
      <c r="A142" s="47" t="s">
        <v>145</v>
      </c>
      <c r="B142" s="49"/>
      <c r="C142" s="22">
        <f>+[5]Técnica!$H$63-10000000</f>
        <v>20300000</v>
      </c>
      <c r="D142" s="29"/>
      <c r="E142" s="29"/>
      <c r="F142" s="29"/>
      <c r="G142" s="29"/>
      <c r="H142" s="22">
        <f t="shared" si="19"/>
        <v>20300000</v>
      </c>
      <c r="I142" s="17"/>
      <c r="J142" s="22">
        <f t="shared" si="18"/>
        <v>20300000</v>
      </c>
      <c r="K142" s="22">
        <v>18866989</v>
      </c>
      <c r="L142" s="22">
        <f t="shared" si="20"/>
        <v>-1433011</v>
      </c>
      <c r="M142" s="23">
        <f t="shared" si="21"/>
        <v>0.92940832512315275</v>
      </c>
    </row>
    <row r="143" spans="1:13" s="46" customFormat="1" ht="15" hidden="1" outlineLevel="1" x14ac:dyDescent="0.25">
      <c r="A143" s="47" t="s">
        <v>146</v>
      </c>
      <c r="B143" s="49"/>
      <c r="C143" s="22">
        <f>+[5]Técnica!$H$66-5000000</f>
        <v>0</v>
      </c>
      <c r="D143" s="29"/>
      <c r="E143" s="29"/>
      <c r="F143" s="29"/>
      <c r="G143" s="29"/>
      <c r="H143" s="22">
        <f t="shared" si="19"/>
        <v>0</v>
      </c>
      <c r="I143" s="17"/>
      <c r="J143" s="22">
        <f t="shared" si="18"/>
        <v>0</v>
      </c>
      <c r="K143" s="22"/>
      <c r="L143" s="22">
        <f t="shared" si="20"/>
        <v>0</v>
      </c>
      <c r="M143" s="23">
        <f t="shared" si="21"/>
        <v>0</v>
      </c>
    </row>
    <row r="144" spans="1:13" s="46" customFormat="1" ht="15" hidden="1" outlineLevel="1" x14ac:dyDescent="0.25">
      <c r="A144" s="47" t="s">
        <v>147</v>
      </c>
      <c r="B144" s="49"/>
      <c r="C144" s="22">
        <f>+[5]Técnica!$H$69</f>
        <v>3000000</v>
      </c>
      <c r="D144" s="29"/>
      <c r="E144" s="29"/>
      <c r="F144" s="29"/>
      <c r="G144" s="29"/>
      <c r="H144" s="22">
        <f t="shared" si="19"/>
        <v>3000000</v>
      </c>
      <c r="I144" s="17"/>
      <c r="J144" s="22">
        <f t="shared" si="18"/>
        <v>3000000</v>
      </c>
      <c r="K144" s="22"/>
      <c r="L144" s="22">
        <f t="shared" si="20"/>
        <v>-3000000</v>
      </c>
      <c r="M144" s="23">
        <f t="shared" si="21"/>
        <v>0</v>
      </c>
    </row>
    <row r="145" spans="1:13" s="46" customFormat="1" ht="15" collapsed="1" x14ac:dyDescent="0.25">
      <c r="A145" s="48" t="s">
        <v>148</v>
      </c>
      <c r="B145" s="49"/>
      <c r="C145" s="29">
        <f>SUM(C146:C149)</f>
        <v>53521600</v>
      </c>
      <c r="D145" s="29"/>
      <c r="E145" s="29"/>
      <c r="F145" s="29"/>
      <c r="G145" s="29"/>
      <c r="H145" s="17">
        <f>+B145+C145+D145+G145+E145+F145</f>
        <v>53521600</v>
      </c>
      <c r="I145" s="17"/>
      <c r="J145" s="29">
        <f>SUM(J146:J149)</f>
        <v>53521600</v>
      </c>
      <c r="K145" s="29">
        <f>SUM(K146:K149)</f>
        <v>53147369</v>
      </c>
      <c r="L145" s="29">
        <f t="shared" si="20"/>
        <v>-374231</v>
      </c>
      <c r="M145" s="18">
        <f t="shared" si="21"/>
        <v>0.99300785103584344</v>
      </c>
    </row>
    <row r="146" spans="1:13" s="46" customFormat="1" ht="15" hidden="1" outlineLevel="1" x14ac:dyDescent="0.25">
      <c r="A146" s="47" t="s">
        <v>149</v>
      </c>
      <c r="B146" s="49"/>
      <c r="C146" s="22">
        <f>+[5]Técnica!$H$72</f>
        <v>12360000</v>
      </c>
      <c r="D146" s="29"/>
      <c r="E146" s="29"/>
      <c r="F146" s="29"/>
      <c r="G146" s="29"/>
      <c r="H146" s="22">
        <f t="shared" si="19"/>
        <v>12360000</v>
      </c>
      <c r="I146" s="17"/>
      <c r="J146" s="22">
        <f t="shared" si="18"/>
        <v>12360000</v>
      </c>
      <c r="K146" s="22">
        <v>12360000</v>
      </c>
      <c r="L146" s="22">
        <f t="shared" si="20"/>
        <v>0</v>
      </c>
      <c r="M146" s="23">
        <f t="shared" si="21"/>
        <v>1</v>
      </c>
    </row>
    <row r="147" spans="1:13" s="46" customFormat="1" ht="15" hidden="1" outlineLevel="1" x14ac:dyDescent="0.25">
      <c r="A147" s="47" t="s">
        <v>150</v>
      </c>
      <c r="B147" s="49"/>
      <c r="C147" s="22">
        <f>+[5]Técnica!$H$74</f>
        <v>10000000</v>
      </c>
      <c r="D147" s="29"/>
      <c r="E147" s="29"/>
      <c r="F147" s="29"/>
      <c r="G147" s="29"/>
      <c r="H147" s="22">
        <f t="shared" si="19"/>
        <v>10000000</v>
      </c>
      <c r="I147" s="17"/>
      <c r="J147" s="22">
        <f t="shared" si="18"/>
        <v>10000000</v>
      </c>
      <c r="K147" s="22">
        <v>9781951</v>
      </c>
      <c r="L147" s="22">
        <f t="shared" si="20"/>
        <v>-218049</v>
      </c>
      <c r="M147" s="23">
        <f t="shared" si="21"/>
        <v>0.97819509999999998</v>
      </c>
    </row>
    <row r="148" spans="1:13" s="46" customFormat="1" ht="15" hidden="1" outlineLevel="1" x14ac:dyDescent="0.25">
      <c r="A148" s="47" t="s">
        <v>151</v>
      </c>
      <c r="B148" s="49"/>
      <c r="C148" s="22">
        <f>+[5]Técnica!$H$77+100000</f>
        <v>11100000</v>
      </c>
      <c r="D148" s="29"/>
      <c r="E148" s="29"/>
      <c r="F148" s="29"/>
      <c r="G148" s="29"/>
      <c r="H148" s="22">
        <f t="shared" si="19"/>
        <v>11100000</v>
      </c>
      <c r="I148" s="17"/>
      <c r="J148" s="22">
        <f t="shared" si="18"/>
        <v>11100000</v>
      </c>
      <c r="K148" s="22">
        <v>11049992</v>
      </c>
      <c r="L148" s="22">
        <f t="shared" si="20"/>
        <v>-50008</v>
      </c>
      <c r="M148" s="23">
        <f t="shared" si="21"/>
        <v>0.99549477477477477</v>
      </c>
    </row>
    <row r="149" spans="1:13" s="46" customFormat="1" ht="15" hidden="1" outlineLevel="1" x14ac:dyDescent="0.25">
      <c r="A149" s="47" t="s">
        <v>152</v>
      </c>
      <c r="B149" s="49"/>
      <c r="C149" s="22">
        <f>+[5]Técnica!$H$81-100000</f>
        <v>20061600</v>
      </c>
      <c r="D149" s="29"/>
      <c r="E149" s="29"/>
      <c r="F149" s="29"/>
      <c r="G149" s="29"/>
      <c r="H149" s="22">
        <f t="shared" si="19"/>
        <v>20061600</v>
      </c>
      <c r="I149" s="17"/>
      <c r="J149" s="22">
        <f t="shared" si="18"/>
        <v>20061600</v>
      </c>
      <c r="K149" s="22">
        <v>19955426</v>
      </c>
      <c r="L149" s="22">
        <f t="shared" si="20"/>
        <v>-106174</v>
      </c>
      <c r="M149" s="23">
        <f t="shared" si="21"/>
        <v>0.99470760059018226</v>
      </c>
    </row>
    <row r="150" spans="1:13" s="46" customFormat="1" ht="15" collapsed="1" x14ac:dyDescent="0.25">
      <c r="A150" s="47"/>
      <c r="B150" s="49"/>
      <c r="C150" s="29"/>
      <c r="D150" s="29"/>
      <c r="E150" s="29"/>
      <c r="F150" s="29"/>
      <c r="G150" s="29"/>
      <c r="H150" s="22"/>
      <c r="I150" s="29"/>
      <c r="J150" s="22"/>
      <c r="K150" s="22"/>
      <c r="L150" s="22"/>
      <c r="M150" s="23"/>
    </row>
    <row r="151" spans="1:13" s="46" customFormat="1" ht="15" x14ac:dyDescent="0.25">
      <c r="A151" s="48" t="s">
        <v>153</v>
      </c>
      <c r="B151" s="49"/>
      <c r="C151" s="29"/>
      <c r="D151" s="29">
        <f>+D152+D156+D170</f>
        <v>1800944816</v>
      </c>
      <c r="E151" s="29"/>
      <c r="F151" s="29"/>
      <c r="G151" s="29"/>
      <c r="H151" s="29">
        <f>+H152+H156+H170</f>
        <v>1800944816</v>
      </c>
      <c r="I151" s="29"/>
      <c r="J151" s="17">
        <f>+H151+I151</f>
        <v>1800944816</v>
      </c>
      <c r="K151" s="17">
        <f>+K152+K156+K170</f>
        <v>1665825268</v>
      </c>
      <c r="L151" s="17">
        <f t="shared" si="20"/>
        <v>-135119548</v>
      </c>
      <c r="M151" s="18">
        <f t="shared" si="21"/>
        <v>0.92497296596788114</v>
      </c>
    </row>
    <row r="152" spans="1:13" s="46" customFormat="1" ht="15" x14ac:dyDescent="0.25">
      <c r="A152" s="48" t="s">
        <v>154</v>
      </c>
      <c r="B152" s="29"/>
      <c r="C152" s="29"/>
      <c r="D152" s="29">
        <f>SUM(D153:D155)</f>
        <v>89464291</v>
      </c>
      <c r="E152" s="29"/>
      <c r="F152" s="29"/>
      <c r="G152" s="29"/>
      <c r="H152" s="29">
        <f>SUM(H153:H155)</f>
        <v>89464291</v>
      </c>
      <c r="I152" s="29"/>
      <c r="J152" s="29">
        <f>SUM(J153:J155)</f>
        <v>89464291</v>
      </c>
      <c r="K152" s="29">
        <f>SUM(K153:K155)</f>
        <v>60905066</v>
      </c>
      <c r="L152" s="29">
        <f t="shared" si="20"/>
        <v>-28559225</v>
      </c>
      <c r="M152" s="18">
        <f t="shared" si="21"/>
        <v>0.68077514860090937</v>
      </c>
    </row>
    <row r="153" spans="1:13" s="46" customFormat="1" ht="15" hidden="1" outlineLevel="1" x14ac:dyDescent="0.25">
      <c r="A153" s="47" t="s">
        <v>155</v>
      </c>
      <c r="B153" s="29"/>
      <c r="C153" s="29"/>
      <c r="D153" s="22">
        <f>+'[6]SOLICITUD III TRIMESTRE'!$G$38-25000000</f>
        <v>72461900</v>
      </c>
      <c r="E153" s="29"/>
      <c r="F153" s="29"/>
      <c r="G153" s="29"/>
      <c r="H153" s="21">
        <f>+B153+C153+D153+G153+E153+F153</f>
        <v>72461900</v>
      </c>
      <c r="I153" s="29"/>
      <c r="J153" s="22">
        <f>+H153+I153</f>
        <v>72461900</v>
      </c>
      <c r="K153" s="22">
        <v>46333866</v>
      </c>
      <c r="L153" s="22">
        <f t="shared" si="20"/>
        <v>-26128034</v>
      </c>
      <c r="M153" s="23">
        <f t="shared" si="21"/>
        <v>0.63942383514647005</v>
      </c>
    </row>
    <row r="154" spans="1:13" s="46" customFormat="1" ht="15" hidden="1" outlineLevel="1" x14ac:dyDescent="0.25">
      <c r="A154" s="47" t="s">
        <v>156</v>
      </c>
      <c r="B154" s="29"/>
      <c r="C154" s="29"/>
      <c r="D154" s="22">
        <f>+'[6]SOLICITUD III TRIMESTRE'!$G$39</f>
        <v>2002391</v>
      </c>
      <c r="E154" s="29"/>
      <c r="F154" s="29"/>
      <c r="G154" s="29"/>
      <c r="H154" s="21">
        <f>+B154+C154+D154+G154+E154+F154</f>
        <v>2002391</v>
      </c>
      <c r="I154" s="29"/>
      <c r="J154" s="22">
        <f>+H154+I154</f>
        <v>2002391</v>
      </c>
      <c r="K154" s="22">
        <v>1050000</v>
      </c>
      <c r="L154" s="22">
        <f t="shared" si="20"/>
        <v>-952391</v>
      </c>
      <c r="M154" s="23">
        <f t="shared" si="21"/>
        <v>0.52437311194467018</v>
      </c>
    </row>
    <row r="155" spans="1:13" s="46" customFormat="1" ht="15" hidden="1" outlineLevel="1" x14ac:dyDescent="0.25">
      <c r="A155" s="47" t="s">
        <v>157</v>
      </c>
      <c r="B155" s="29"/>
      <c r="C155" s="29"/>
      <c r="D155" s="22">
        <f>+'[6]SOLICITUD III TRIMESTRE'!$G$40</f>
        <v>15000000</v>
      </c>
      <c r="E155" s="29"/>
      <c r="F155" s="29"/>
      <c r="G155" s="29"/>
      <c r="H155" s="21">
        <f>+B155+C155+D155+G155+E155+F155</f>
        <v>15000000</v>
      </c>
      <c r="I155" s="29"/>
      <c r="J155" s="22">
        <f>+H155+I155</f>
        <v>15000000</v>
      </c>
      <c r="K155" s="22">
        <v>13521200</v>
      </c>
      <c r="L155" s="22">
        <f t="shared" si="20"/>
        <v>-1478800</v>
      </c>
      <c r="M155" s="23">
        <f t="shared" si="21"/>
        <v>0.90141333333333329</v>
      </c>
    </row>
    <row r="156" spans="1:13" s="46" customFormat="1" ht="15" collapsed="1" x14ac:dyDescent="0.25">
      <c r="A156" s="48" t="s">
        <v>158</v>
      </c>
      <c r="B156" s="29"/>
      <c r="C156" s="29"/>
      <c r="D156" s="29">
        <f>+D157+D163</f>
        <v>94500000</v>
      </c>
      <c r="E156" s="29"/>
      <c r="F156" s="29"/>
      <c r="G156" s="29"/>
      <c r="H156" s="29">
        <f>+H157+H163</f>
        <v>94500000</v>
      </c>
      <c r="I156" s="29"/>
      <c r="J156" s="29">
        <f>+J157+J163</f>
        <v>94500000</v>
      </c>
      <c r="K156" s="29">
        <f>+K157+K163</f>
        <v>85387743</v>
      </c>
      <c r="L156" s="29">
        <f t="shared" si="20"/>
        <v>-9112257</v>
      </c>
      <c r="M156" s="18">
        <f t="shared" si="21"/>
        <v>0.90357399999999999</v>
      </c>
    </row>
    <row r="157" spans="1:13" s="46" customFormat="1" ht="15" hidden="1" outlineLevel="1" x14ac:dyDescent="0.25">
      <c r="A157" s="48" t="s">
        <v>159</v>
      </c>
      <c r="B157" s="29"/>
      <c r="C157" s="29"/>
      <c r="D157" s="29">
        <f>SUM(D158:D162)</f>
        <v>10000000</v>
      </c>
      <c r="E157" s="29"/>
      <c r="F157" s="29"/>
      <c r="G157" s="29"/>
      <c r="H157" s="29">
        <f>SUM(H158:H162)</f>
        <v>10000000</v>
      </c>
      <c r="I157" s="29"/>
      <c r="J157" s="29">
        <f>SUM(J158:J162)</f>
        <v>10000000</v>
      </c>
      <c r="K157" s="29">
        <f>SUM(K158:K162)</f>
        <v>9284966</v>
      </c>
      <c r="L157" s="29">
        <f t="shared" si="20"/>
        <v>-715034</v>
      </c>
      <c r="M157" s="18">
        <f t="shared" si="21"/>
        <v>0.92849660000000001</v>
      </c>
    </row>
    <row r="158" spans="1:13" s="46" customFormat="1" ht="15" hidden="1" outlineLevel="2" x14ac:dyDescent="0.25">
      <c r="A158" s="47" t="s">
        <v>160</v>
      </c>
      <c r="B158" s="29"/>
      <c r="C158" s="29"/>
      <c r="D158" s="22">
        <f>+'[6]SOLICITUD III TRIMESTRE'!$G$43-20000000</f>
        <v>0</v>
      </c>
      <c r="E158" s="29"/>
      <c r="F158" s="29"/>
      <c r="G158" s="29"/>
      <c r="H158" s="21">
        <f>+B158+C158+D158+G158+E158+F158</f>
        <v>0</v>
      </c>
      <c r="I158" s="29"/>
      <c r="J158" s="22">
        <f>+H158+I158</f>
        <v>0</v>
      </c>
      <c r="K158" s="22"/>
      <c r="L158" s="22">
        <f t="shared" si="20"/>
        <v>0</v>
      </c>
      <c r="M158" s="23">
        <f t="shared" si="21"/>
        <v>0</v>
      </c>
    </row>
    <row r="159" spans="1:13" s="46" customFormat="1" ht="15" hidden="1" outlineLevel="2" x14ac:dyDescent="0.25">
      <c r="A159" s="47" t="s">
        <v>161</v>
      </c>
      <c r="B159" s="29"/>
      <c r="C159" s="29"/>
      <c r="D159" s="22">
        <f>+'[6]SOLICITUD III TRIMESTRE'!$G$44</f>
        <v>10000000</v>
      </c>
      <c r="E159" s="29"/>
      <c r="F159" s="29"/>
      <c r="G159" s="29"/>
      <c r="H159" s="21">
        <f>+B159+C159+D159+G159+E159+F159</f>
        <v>10000000</v>
      </c>
      <c r="I159" s="29"/>
      <c r="J159" s="22">
        <f>+H159+I159</f>
        <v>10000000</v>
      </c>
      <c r="K159" s="22">
        <v>9284966</v>
      </c>
      <c r="L159" s="22">
        <f t="shared" si="20"/>
        <v>-715034</v>
      </c>
      <c r="M159" s="23">
        <f t="shared" si="21"/>
        <v>0.92849660000000001</v>
      </c>
    </row>
    <row r="160" spans="1:13" s="46" customFormat="1" ht="15" hidden="1" outlineLevel="2" x14ac:dyDescent="0.25">
      <c r="A160" s="47" t="s">
        <v>162</v>
      </c>
      <c r="B160" s="29"/>
      <c r="C160" s="29"/>
      <c r="D160" s="22"/>
      <c r="E160" s="29"/>
      <c r="F160" s="29"/>
      <c r="G160" s="29"/>
      <c r="H160" s="21">
        <f>+B160+C160+D160+G160+E160+F160</f>
        <v>0</v>
      </c>
      <c r="I160" s="29"/>
      <c r="J160" s="22">
        <f>+H160+I160</f>
        <v>0</v>
      </c>
      <c r="K160" s="22"/>
      <c r="L160" s="22">
        <f t="shared" si="20"/>
        <v>0</v>
      </c>
      <c r="M160" s="23">
        <f t="shared" si="21"/>
        <v>0</v>
      </c>
    </row>
    <row r="161" spans="1:13" s="46" customFormat="1" ht="15" hidden="1" outlineLevel="2" x14ac:dyDescent="0.25">
      <c r="A161" s="47" t="s">
        <v>163</v>
      </c>
      <c r="B161" s="29"/>
      <c r="C161" s="29"/>
      <c r="D161" s="22"/>
      <c r="E161" s="53"/>
      <c r="F161" s="29"/>
      <c r="G161" s="29"/>
      <c r="H161" s="21">
        <f>+B161+C161+D161+G161+E161+F161</f>
        <v>0</v>
      </c>
      <c r="I161" s="29"/>
      <c r="J161" s="22">
        <f>+H161+I161</f>
        <v>0</v>
      </c>
      <c r="K161" s="22"/>
      <c r="L161" s="22">
        <f t="shared" si="20"/>
        <v>0</v>
      </c>
      <c r="M161" s="23">
        <f t="shared" si="21"/>
        <v>0</v>
      </c>
    </row>
    <row r="162" spans="1:13" s="46" customFormat="1" ht="15" hidden="1" outlineLevel="2" x14ac:dyDescent="0.25">
      <c r="A162" s="47" t="s">
        <v>164</v>
      </c>
      <c r="B162" s="29"/>
      <c r="C162" s="29"/>
      <c r="D162" s="22"/>
      <c r="E162" s="53"/>
      <c r="F162" s="29"/>
      <c r="G162" s="29"/>
      <c r="H162" s="21">
        <f>+B162+C162+D162+G162+E162+F162</f>
        <v>0</v>
      </c>
      <c r="I162" s="29"/>
      <c r="J162" s="22">
        <f>+H162+I162</f>
        <v>0</v>
      </c>
      <c r="K162" s="22"/>
      <c r="L162" s="22">
        <f t="shared" si="20"/>
        <v>0</v>
      </c>
      <c r="M162" s="23">
        <f t="shared" si="21"/>
        <v>0</v>
      </c>
    </row>
    <row r="163" spans="1:13" s="46" customFormat="1" ht="15" hidden="1" outlineLevel="1" x14ac:dyDescent="0.25">
      <c r="A163" s="48" t="s">
        <v>165</v>
      </c>
      <c r="B163" s="29"/>
      <c r="C163" s="29"/>
      <c r="D163" s="29">
        <f>SUM(D164:D169)</f>
        <v>84500000</v>
      </c>
      <c r="E163" s="29"/>
      <c r="F163" s="29"/>
      <c r="G163" s="29"/>
      <c r="H163" s="29">
        <f>SUM(H164:H169)</f>
        <v>84500000</v>
      </c>
      <c r="I163" s="29"/>
      <c r="J163" s="29">
        <f>SUM(J164:J169)</f>
        <v>84500000</v>
      </c>
      <c r="K163" s="29">
        <f>SUM(K164:K169)</f>
        <v>76102777</v>
      </c>
      <c r="L163" s="29">
        <f t="shared" si="20"/>
        <v>-8397223</v>
      </c>
      <c r="M163" s="18">
        <f t="shared" si="21"/>
        <v>0.90062457988165678</v>
      </c>
    </row>
    <row r="164" spans="1:13" s="46" customFormat="1" ht="15" hidden="1" outlineLevel="2" x14ac:dyDescent="0.25">
      <c r="A164" s="47" t="s">
        <v>166</v>
      </c>
      <c r="B164" s="29"/>
      <c r="C164" s="29"/>
      <c r="D164" s="22">
        <f>+'[6]SOLICITUD III TRIMESTRE'!$G$49</f>
        <v>30000000</v>
      </c>
      <c r="E164" s="29"/>
      <c r="F164" s="29"/>
      <c r="G164" s="29"/>
      <c r="H164" s="21">
        <f t="shared" ref="H164:H169" si="22">+B164+C164+D164+G164+E164+F164</f>
        <v>30000000</v>
      </c>
      <c r="I164" s="29"/>
      <c r="J164" s="22">
        <f t="shared" ref="J164:J169" si="23">+H164+I164</f>
        <v>30000000</v>
      </c>
      <c r="K164" s="22">
        <v>29308743</v>
      </c>
      <c r="L164" s="22">
        <f t="shared" si="20"/>
        <v>-691257</v>
      </c>
      <c r="M164" s="23">
        <f t="shared" si="21"/>
        <v>0.97695810000000005</v>
      </c>
    </row>
    <row r="165" spans="1:13" s="46" customFormat="1" ht="15" hidden="1" outlineLevel="2" x14ac:dyDescent="0.25">
      <c r="A165" s="47" t="s">
        <v>167</v>
      </c>
      <c r="B165" s="29"/>
      <c r="C165" s="29"/>
      <c r="D165" s="22"/>
      <c r="E165" s="29"/>
      <c r="F165" s="29"/>
      <c r="G165" s="29"/>
      <c r="H165" s="21">
        <f t="shared" si="22"/>
        <v>0</v>
      </c>
      <c r="I165" s="29"/>
      <c r="J165" s="22">
        <f t="shared" si="23"/>
        <v>0</v>
      </c>
      <c r="K165" s="22"/>
      <c r="L165" s="22">
        <f t="shared" si="20"/>
        <v>0</v>
      </c>
      <c r="M165" s="23">
        <f t="shared" si="21"/>
        <v>0</v>
      </c>
    </row>
    <row r="166" spans="1:13" s="46" customFormat="1" ht="15" hidden="1" outlineLevel="2" x14ac:dyDescent="0.25">
      <c r="A166" s="47" t="s">
        <v>168</v>
      </c>
      <c r="B166" s="29"/>
      <c r="C166" s="29"/>
      <c r="D166" s="22">
        <f>+'[6]SOLICITUD III TRIMESTRE'!$G$51</f>
        <v>27000000</v>
      </c>
      <c r="E166" s="29"/>
      <c r="F166" s="29"/>
      <c r="G166" s="29"/>
      <c r="H166" s="21">
        <f t="shared" si="22"/>
        <v>27000000</v>
      </c>
      <c r="I166" s="29"/>
      <c r="J166" s="22">
        <f t="shared" si="23"/>
        <v>27000000</v>
      </c>
      <c r="K166" s="22">
        <v>22388108</v>
      </c>
      <c r="L166" s="22">
        <f t="shared" si="20"/>
        <v>-4611892</v>
      </c>
      <c r="M166" s="23">
        <f t="shared" si="21"/>
        <v>0.82918918518518514</v>
      </c>
    </row>
    <row r="167" spans="1:13" s="46" customFormat="1" ht="15" hidden="1" outlineLevel="2" x14ac:dyDescent="0.25">
      <c r="A167" s="47" t="s">
        <v>169</v>
      </c>
      <c r="B167" s="29"/>
      <c r="C167" s="29"/>
      <c r="D167" s="22"/>
      <c r="E167" s="29"/>
      <c r="F167" s="29"/>
      <c r="G167" s="29"/>
      <c r="H167" s="21">
        <f t="shared" si="22"/>
        <v>0</v>
      </c>
      <c r="I167" s="29"/>
      <c r="J167" s="22">
        <f t="shared" si="23"/>
        <v>0</v>
      </c>
      <c r="K167" s="22"/>
      <c r="L167" s="22">
        <f t="shared" si="20"/>
        <v>0</v>
      </c>
      <c r="M167" s="23">
        <f t="shared" si="21"/>
        <v>0</v>
      </c>
    </row>
    <row r="168" spans="1:13" s="46" customFormat="1" ht="15" hidden="1" outlineLevel="2" x14ac:dyDescent="0.25">
      <c r="A168" s="47" t="s">
        <v>170</v>
      </c>
      <c r="B168" s="29"/>
      <c r="C168" s="29"/>
      <c r="D168" s="22"/>
      <c r="E168" s="29"/>
      <c r="F168" s="29"/>
      <c r="G168" s="29"/>
      <c r="H168" s="21">
        <f t="shared" si="22"/>
        <v>0</v>
      </c>
      <c r="I168" s="29"/>
      <c r="J168" s="22">
        <f t="shared" si="23"/>
        <v>0</v>
      </c>
      <c r="K168" s="22"/>
      <c r="L168" s="22">
        <f t="shared" si="20"/>
        <v>0</v>
      </c>
      <c r="M168" s="23">
        <f t="shared" si="21"/>
        <v>0</v>
      </c>
    </row>
    <row r="169" spans="1:13" s="46" customFormat="1" ht="15" hidden="1" outlineLevel="2" x14ac:dyDescent="0.25">
      <c r="A169" s="47" t="s">
        <v>171</v>
      </c>
      <c r="B169" s="29"/>
      <c r="C169" s="29"/>
      <c r="D169" s="22">
        <f>+'[6]SOLICITUD III TRIMESTRE'!$G$54</f>
        <v>27500000</v>
      </c>
      <c r="E169" s="29"/>
      <c r="F169" s="29"/>
      <c r="G169" s="29"/>
      <c r="H169" s="21">
        <f t="shared" si="22"/>
        <v>27500000</v>
      </c>
      <c r="I169" s="29"/>
      <c r="J169" s="22">
        <f t="shared" si="23"/>
        <v>27500000</v>
      </c>
      <c r="K169" s="22">
        <v>24405926</v>
      </c>
      <c r="L169" s="22">
        <f t="shared" si="20"/>
        <v>-3094074</v>
      </c>
      <c r="M169" s="23">
        <f t="shared" si="21"/>
        <v>0.88748821818181822</v>
      </c>
    </row>
    <row r="170" spans="1:13" s="46" customFormat="1" ht="15" collapsed="1" x14ac:dyDescent="0.25">
      <c r="A170" s="48" t="s">
        <v>172</v>
      </c>
      <c r="B170" s="29"/>
      <c r="C170" s="29"/>
      <c r="D170" s="29">
        <f>+D171+D175+D179+D180+D181+D182+D183</f>
        <v>1616980525</v>
      </c>
      <c r="E170" s="29"/>
      <c r="F170" s="29"/>
      <c r="G170" s="29"/>
      <c r="H170" s="29">
        <f>+H171+H175+H179+H180+H181+H182+H183</f>
        <v>1616980525</v>
      </c>
      <c r="I170" s="29"/>
      <c r="J170" s="29">
        <f>+J171+J175+J179+J180+J181+J182+J183</f>
        <v>1616980525</v>
      </c>
      <c r="K170" s="29">
        <f>+K171+K175+K179+K180+K181+K182+K183</f>
        <v>1519532459</v>
      </c>
      <c r="L170" s="29">
        <f t="shared" si="20"/>
        <v>-97448066</v>
      </c>
      <c r="M170" s="18">
        <f t="shared" si="21"/>
        <v>0.93973454565879821</v>
      </c>
    </row>
    <row r="171" spans="1:13" s="46" customFormat="1" ht="15" hidden="1" outlineLevel="1" x14ac:dyDescent="0.25">
      <c r="A171" s="48" t="s">
        <v>173</v>
      </c>
      <c r="B171" s="29"/>
      <c r="C171" s="29"/>
      <c r="D171" s="29">
        <f>SUM(D172:D174)</f>
        <v>7818400</v>
      </c>
      <c r="E171" s="29"/>
      <c r="F171" s="29"/>
      <c r="G171" s="29"/>
      <c r="H171" s="29">
        <f>SUM(H172:H174)</f>
        <v>7818400</v>
      </c>
      <c r="I171" s="29"/>
      <c r="J171" s="29">
        <f>SUM(J172:J174)</f>
        <v>7818400</v>
      </c>
      <c r="K171" s="29">
        <f>SUM(K172:K174)</f>
        <v>1700000</v>
      </c>
      <c r="L171" s="29">
        <f t="shared" si="20"/>
        <v>-6118400</v>
      </c>
      <c r="M171" s="18">
        <f t="shared" si="21"/>
        <v>0.21743579248951192</v>
      </c>
    </row>
    <row r="172" spans="1:13" s="46" customFormat="1" ht="15" hidden="1" outlineLevel="2" x14ac:dyDescent="0.25">
      <c r="A172" s="47" t="s">
        <v>174</v>
      </c>
      <c r="B172" s="29"/>
      <c r="C172" s="29"/>
      <c r="D172" s="21">
        <f>+'[6]SOLICITUD III TRIMESTRE'!$G$57</f>
        <v>146400</v>
      </c>
      <c r="E172" s="29"/>
      <c r="F172" s="29"/>
      <c r="G172" s="29"/>
      <c r="H172" s="21">
        <f>+B172+C172+D172+G172+E172+F172</f>
        <v>146400</v>
      </c>
      <c r="I172" s="29"/>
      <c r="J172" s="22">
        <f>+H172+I172</f>
        <v>146400</v>
      </c>
      <c r="K172" s="22"/>
      <c r="L172" s="22">
        <f t="shared" si="20"/>
        <v>-146400</v>
      </c>
      <c r="M172" s="23">
        <f t="shared" si="21"/>
        <v>0</v>
      </c>
    </row>
    <row r="173" spans="1:13" s="46" customFormat="1" ht="15" hidden="1" outlineLevel="2" x14ac:dyDescent="0.25">
      <c r="A173" s="47" t="s">
        <v>175</v>
      </c>
      <c r="B173" s="29"/>
      <c r="C173" s="29"/>
      <c r="D173" s="21">
        <f>+'[6]SOLICITUD III TRIMESTRE'!$G$58</f>
        <v>2230000</v>
      </c>
      <c r="E173" s="29"/>
      <c r="F173" s="29"/>
      <c r="G173" s="29"/>
      <c r="H173" s="21">
        <f>+B173+C173+D173+G173+E173+F173</f>
        <v>2230000</v>
      </c>
      <c r="I173" s="29"/>
      <c r="J173" s="22">
        <f>+H173+I173</f>
        <v>2230000</v>
      </c>
      <c r="K173" s="22">
        <v>1700000</v>
      </c>
      <c r="L173" s="22">
        <f t="shared" si="20"/>
        <v>-530000</v>
      </c>
      <c r="M173" s="23">
        <f t="shared" si="21"/>
        <v>0.7623318385650224</v>
      </c>
    </row>
    <row r="174" spans="1:13" s="46" customFormat="1" ht="15" hidden="1" outlineLevel="2" x14ac:dyDescent="0.25">
      <c r="A174" s="47" t="s">
        <v>176</v>
      </c>
      <c r="B174" s="29"/>
      <c r="C174" s="29"/>
      <c r="D174" s="21">
        <f>+'[6]SOLICITUD III TRIMESTRE'!$G$59</f>
        <v>5442000</v>
      </c>
      <c r="E174" s="29"/>
      <c r="F174" s="29"/>
      <c r="G174" s="29"/>
      <c r="H174" s="21">
        <f>+B174+C174+D174+G174+E174+F174</f>
        <v>5442000</v>
      </c>
      <c r="I174" s="29"/>
      <c r="J174" s="22">
        <f>+H174+I174</f>
        <v>5442000</v>
      </c>
      <c r="K174" s="22"/>
      <c r="L174" s="22">
        <f t="shared" si="20"/>
        <v>-5442000</v>
      </c>
      <c r="M174" s="23">
        <f t="shared" si="21"/>
        <v>0</v>
      </c>
    </row>
    <row r="175" spans="1:13" s="46" customFormat="1" ht="15" hidden="1" outlineLevel="1" x14ac:dyDescent="0.25">
      <c r="A175" s="48" t="s">
        <v>177</v>
      </c>
      <c r="B175" s="29"/>
      <c r="C175" s="29"/>
      <c r="D175" s="29">
        <f>SUM(D176:D178)</f>
        <v>42913400</v>
      </c>
      <c r="E175" s="29"/>
      <c r="F175" s="29"/>
      <c r="G175" s="29"/>
      <c r="H175" s="29">
        <f>SUM(H176:H178)</f>
        <v>42913400</v>
      </c>
      <c r="I175" s="29"/>
      <c r="J175" s="29">
        <f>SUM(J176:J178)</f>
        <v>42913400</v>
      </c>
      <c r="K175" s="29">
        <f>SUM(K176:K178)</f>
        <v>0</v>
      </c>
      <c r="L175" s="29">
        <f t="shared" si="20"/>
        <v>-42913400</v>
      </c>
      <c r="M175" s="18">
        <f t="shared" si="21"/>
        <v>0</v>
      </c>
    </row>
    <row r="176" spans="1:13" s="46" customFormat="1" ht="15" hidden="1" outlineLevel="2" x14ac:dyDescent="0.25">
      <c r="A176" s="47" t="s">
        <v>178</v>
      </c>
      <c r="B176" s="29"/>
      <c r="C176" s="29"/>
      <c r="D176" s="21">
        <f>+'[6]SOLICITUD III TRIMESTRE'!$G$61</f>
        <v>7913400</v>
      </c>
      <c r="E176" s="29"/>
      <c r="F176" s="29"/>
      <c r="G176" s="29"/>
      <c r="H176" s="21">
        <f t="shared" ref="H176:H183" si="24">+B176+C176+D176+G176+E176+F176</f>
        <v>7913400</v>
      </c>
      <c r="I176" s="29"/>
      <c r="J176" s="22">
        <f t="shared" ref="J176:J183" si="25">+H176+I176</f>
        <v>7913400</v>
      </c>
      <c r="K176" s="22"/>
      <c r="L176" s="22">
        <f t="shared" si="20"/>
        <v>-7913400</v>
      </c>
      <c r="M176" s="23">
        <f t="shared" si="21"/>
        <v>0</v>
      </c>
    </row>
    <row r="177" spans="1:13" s="46" customFormat="1" ht="15" hidden="1" outlineLevel="2" x14ac:dyDescent="0.25">
      <c r="A177" s="47" t="s">
        <v>179</v>
      </c>
      <c r="B177" s="29"/>
      <c r="C177" s="29"/>
      <c r="D177" s="21">
        <f>+'[6]SOLICITUD III TRIMESTRE'!$G$62</f>
        <v>35000000</v>
      </c>
      <c r="E177" s="29"/>
      <c r="F177" s="29"/>
      <c r="G177" s="29"/>
      <c r="H177" s="21">
        <f t="shared" si="24"/>
        <v>35000000</v>
      </c>
      <c r="I177" s="29"/>
      <c r="J177" s="22">
        <f t="shared" si="25"/>
        <v>35000000</v>
      </c>
      <c r="K177" s="22"/>
      <c r="L177" s="22">
        <f t="shared" si="20"/>
        <v>-35000000</v>
      </c>
      <c r="M177" s="23">
        <f t="shared" si="21"/>
        <v>0</v>
      </c>
    </row>
    <row r="178" spans="1:13" s="46" customFormat="1" ht="15" hidden="1" outlineLevel="2" x14ac:dyDescent="0.25">
      <c r="A178" s="47" t="s">
        <v>180</v>
      </c>
      <c r="B178" s="29"/>
      <c r="C178" s="29"/>
      <c r="D178" s="21"/>
      <c r="E178" s="29"/>
      <c r="F178" s="29"/>
      <c r="G178" s="29"/>
      <c r="H178" s="21">
        <f t="shared" si="24"/>
        <v>0</v>
      </c>
      <c r="I178" s="29"/>
      <c r="J178" s="22">
        <f t="shared" si="25"/>
        <v>0</v>
      </c>
      <c r="K178" s="22"/>
      <c r="L178" s="22">
        <f t="shared" si="20"/>
        <v>0</v>
      </c>
      <c r="M178" s="23">
        <f t="shared" si="21"/>
        <v>0</v>
      </c>
    </row>
    <row r="179" spans="1:13" s="46" customFormat="1" ht="15" hidden="1" outlineLevel="1" x14ac:dyDescent="0.25">
      <c r="A179" s="48" t="s">
        <v>181</v>
      </c>
      <c r="B179" s="29"/>
      <c r="C179" s="29"/>
      <c r="D179" s="29">
        <f>+'[6]SOLICITUD III TRIMESTRE'!$G$64</f>
        <v>2940000</v>
      </c>
      <c r="E179" s="29"/>
      <c r="F179" s="29"/>
      <c r="G179" s="29"/>
      <c r="H179" s="17">
        <f t="shared" si="24"/>
        <v>2940000</v>
      </c>
      <c r="I179" s="17"/>
      <c r="J179" s="17">
        <f t="shared" si="25"/>
        <v>2940000</v>
      </c>
      <c r="K179" s="17"/>
      <c r="L179" s="17">
        <f t="shared" si="20"/>
        <v>-2940000</v>
      </c>
      <c r="M179" s="18">
        <f t="shared" si="21"/>
        <v>0</v>
      </c>
    </row>
    <row r="180" spans="1:13" s="46" customFormat="1" ht="15" hidden="1" outlineLevel="1" x14ac:dyDescent="0.25">
      <c r="A180" s="48" t="s">
        <v>182</v>
      </c>
      <c r="B180" s="29"/>
      <c r="C180" s="29"/>
      <c r="D180" s="29">
        <f>+'[6]SOLICITUD III TRIMESTRE'!$G$65</f>
        <v>5000000</v>
      </c>
      <c r="E180" s="29"/>
      <c r="F180" s="29"/>
      <c r="G180" s="29"/>
      <c r="H180" s="17">
        <f t="shared" si="24"/>
        <v>5000000</v>
      </c>
      <c r="I180" s="17"/>
      <c r="J180" s="17">
        <f t="shared" si="25"/>
        <v>5000000</v>
      </c>
      <c r="K180" s="17">
        <v>4860032</v>
      </c>
      <c r="L180" s="17">
        <f t="shared" si="20"/>
        <v>-139968</v>
      </c>
      <c r="M180" s="18">
        <f t="shared" si="21"/>
        <v>0.97200640000000005</v>
      </c>
    </row>
    <row r="181" spans="1:13" s="46" customFormat="1" ht="15" hidden="1" outlineLevel="1" x14ac:dyDescent="0.25">
      <c r="A181" s="48" t="s">
        <v>183</v>
      </c>
      <c r="B181" s="29"/>
      <c r="C181" s="29"/>
      <c r="D181" s="29">
        <f>+'[6]SOLICITUD III TRIMESTRE'!$G$66-30000000-17680000</f>
        <v>10000000</v>
      </c>
      <c r="E181" s="29"/>
      <c r="F181" s="29"/>
      <c r="G181" s="29"/>
      <c r="H181" s="17">
        <f t="shared" si="24"/>
        <v>10000000</v>
      </c>
      <c r="I181" s="17"/>
      <c r="J181" s="17">
        <f t="shared" si="25"/>
        <v>10000000</v>
      </c>
      <c r="K181" s="17">
        <v>9687856</v>
      </c>
      <c r="L181" s="17">
        <f t="shared" si="20"/>
        <v>-312144</v>
      </c>
      <c r="M181" s="18">
        <f t="shared" si="21"/>
        <v>0.96878560000000002</v>
      </c>
    </row>
    <row r="182" spans="1:13" s="46" customFormat="1" ht="14.25" hidden="1" customHeight="1" outlineLevel="1" x14ac:dyDescent="0.25">
      <c r="A182" s="48" t="s">
        <v>184</v>
      </c>
      <c r="B182" s="29"/>
      <c r="C182" s="29"/>
      <c r="D182" s="29">
        <f>+'[6]SOLICITUD III TRIMESTRE'!$G$67+30000000+17680000</f>
        <v>52680000</v>
      </c>
      <c r="E182" s="54"/>
      <c r="F182" s="29"/>
      <c r="G182" s="29"/>
      <c r="H182" s="17">
        <f t="shared" si="24"/>
        <v>52680000</v>
      </c>
      <c r="I182" s="17"/>
      <c r="J182" s="17">
        <f t="shared" si="25"/>
        <v>52680000</v>
      </c>
      <c r="K182" s="17">
        <v>42054505</v>
      </c>
      <c r="L182" s="17">
        <f t="shared" si="20"/>
        <v>-10625495</v>
      </c>
      <c r="M182" s="18">
        <f t="shared" si="21"/>
        <v>0.79830115793470002</v>
      </c>
    </row>
    <row r="183" spans="1:13" s="46" customFormat="1" ht="14.25" hidden="1" customHeight="1" outlineLevel="1" x14ac:dyDescent="0.25">
      <c r="A183" s="48" t="s">
        <v>185</v>
      </c>
      <c r="B183" s="29"/>
      <c r="C183" s="29"/>
      <c r="D183" s="29">
        <f>+'[6]SOLICITUD III TRIMESTRE'!$G$68</f>
        <v>1495628725</v>
      </c>
      <c r="E183" s="54"/>
      <c r="F183" s="29"/>
      <c r="G183" s="29"/>
      <c r="H183" s="17">
        <f t="shared" si="24"/>
        <v>1495628725</v>
      </c>
      <c r="I183" s="17"/>
      <c r="J183" s="17">
        <f t="shared" si="25"/>
        <v>1495628725</v>
      </c>
      <c r="K183" s="17">
        <v>1461230066</v>
      </c>
      <c r="L183" s="17">
        <f t="shared" si="20"/>
        <v>-34398659</v>
      </c>
      <c r="M183" s="18">
        <f t="shared" si="21"/>
        <v>0.97700053601203729</v>
      </c>
    </row>
    <row r="184" spans="1:13" s="46" customFormat="1" ht="15" collapsed="1" x14ac:dyDescent="0.25">
      <c r="A184" s="47"/>
      <c r="B184" s="29"/>
      <c r="C184" s="29"/>
      <c r="D184" s="29"/>
      <c r="E184" s="29"/>
      <c r="F184" s="29"/>
      <c r="G184" s="29"/>
      <c r="H184" s="21"/>
      <c r="I184" s="29"/>
      <c r="J184" s="22"/>
      <c r="K184" s="22"/>
      <c r="L184" s="22"/>
      <c r="M184" s="23"/>
    </row>
    <row r="185" spans="1:13" s="46" customFormat="1" ht="15" x14ac:dyDescent="0.25">
      <c r="A185" s="48" t="s">
        <v>186</v>
      </c>
      <c r="B185" s="29"/>
      <c r="C185" s="29"/>
      <c r="D185" s="29"/>
      <c r="E185" s="17">
        <f>+E186</f>
        <v>45000000</v>
      </c>
      <c r="F185" s="17"/>
      <c r="G185" s="17"/>
      <c r="H185" s="17">
        <f>+H186</f>
        <v>45000000</v>
      </c>
      <c r="I185" s="17"/>
      <c r="J185" s="17">
        <f>+H185+I185</f>
        <v>45000000</v>
      </c>
      <c r="K185" s="17">
        <f>+K186</f>
        <v>29265553.5</v>
      </c>
      <c r="L185" s="17">
        <f t="shared" si="20"/>
        <v>-15734446.5</v>
      </c>
      <c r="M185" s="18">
        <f t="shared" si="21"/>
        <v>0.65034563333333328</v>
      </c>
    </row>
    <row r="186" spans="1:13" s="46" customFormat="1" ht="30" x14ac:dyDescent="0.25">
      <c r="A186" s="52" t="s">
        <v>187</v>
      </c>
      <c r="B186" s="29"/>
      <c r="C186" s="29"/>
      <c r="D186" s="29"/>
      <c r="E186" s="29">
        <f>SUM(E187:E189)</f>
        <v>45000000</v>
      </c>
      <c r="F186" s="29"/>
      <c r="G186" s="29"/>
      <c r="H186" s="29">
        <f>SUM(H187:H189)</f>
        <v>45000000</v>
      </c>
      <c r="I186" s="29"/>
      <c r="J186" s="29">
        <f>SUM(J187:J189)</f>
        <v>45000000</v>
      </c>
      <c r="K186" s="29">
        <f>SUM(K187:K189)</f>
        <v>29265553.5</v>
      </c>
      <c r="L186" s="29">
        <f t="shared" si="20"/>
        <v>-15734446.5</v>
      </c>
      <c r="M186" s="18">
        <f t="shared" si="21"/>
        <v>0.65034563333333328</v>
      </c>
    </row>
    <row r="187" spans="1:13" s="46" customFormat="1" ht="15" hidden="1" outlineLevel="1" x14ac:dyDescent="0.25">
      <c r="A187" s="47" t="s">
        <v>188</v>
      </c>
      <c r="B187" s="29"/>
      <c r="C187" s="29"/>
      <c r="D187" s="29"/>
      <c r="E187" s="22">
        <f>+'[4]III SANIDAD'!$D$13</f>
        <v>18000000</v>
      </c>
      <c r="F187" s="29"/>
      <c r="G187" s="29"/>
      <c r="H187" s="21">
        <f>+B187+C187+D187+G187+E187+F187</f>
        <v>18000000</v>
      </c>
      <c r="I187" s="29"/>
      <c r="J187" s="22">
        <f>+H187+I187</f>
        <v>18000000</v>
      </c>
      <c r="K187" s="22">
        <v>11684050</v>
      </c>
      <c r="L187" s="22">
        <f t="shared" si="20"/>
        <v>-6315950</v>
      </c>
      <c r="M187" s="23">
        <f t="shared" si="21"/>
        <v>0.64911388888888888</v>
      </c>
    </row>
    <row r="188" spans="1:13" s="46" customFormat="1" ht="15" hidden="1" outlineLevel="1" x14ac:dyDescent="0.25">
      <c r="A188" s="47" t="s">
        <v>189</v>
      </c>
      <c r="B188" s="29"/>
      <c r="C188" s="29"/>
      <c r="D188" s="29"/>
      <c r="E188" s="22">
        <f>+'[4]III SANIDAD'!$D$16</f>
        <v>14000000</v>
      </c>
      <c r="F188" s="29"/>
      <c r="G188" s="29"/>
      <c r="H188" s="21">
        <f>+B188+C188+D188+G188+E188+F188</f>
        <v>14000000</v>
      </c>
      <c r="I188" s="29"/>
      <c r="J188" s="22">
        <f>+H188+I188</f>
        <v>14000000</v>
      </c>
      <c r="K188" s="22">
        <v>11874595.5</v>
      </c>
      <c r="L188" s="22">
        <f t="shared" si="20"/>
        <v>-2125404.5</v>
      </c>
      <c r="M188" s="23">
        <f t="shared" si="21"/>
        <v>0.84818539285714289</v>
      </c>
    </row>
    <row r="189" spans="1:13" s="46" customFormat="1" ht="15" hidden="1" outlineLevel="1" x14ac:dyDescent="0.25">
      <c r="A189" s="47" t="s">
        <v>190</v>
      </c>
      <c r="B189" s="29"/>
      <c r="C189" s="29"/>
      <c r="D189" s="29"/>
      <c r="E189" s="22">
        <f>+'[4]III SANIDAD'!$D$25</f>
        <v>13000000</v>
      </c>
      <c r="F189" s="29"/>
      <c r="G189" s="29"/>
      <c r="H189" s="21">
        <f>+B189+C189+D189+G189+E189+F189</f>
        <v>13000000</v>
      </c>
      <c r="I189" s="29"/>
      <c r="J189" s="22">
        <f>+H189+I189</f>
        <v>13000000</v>
      </c>
      <c r="K189" s="22">
        <v>5706908</v>
      </c>
      <c r="L189" s="22">
        <f t="shared" si="20"/>
        <v>-7293092</v>
      </c>
      <c r="M189" s="23">
        <f t="shared" si="21"/>
        <v>0.43899292307692306</v>
      </c>
    </row>
    <row r="190" spans="1:13" s="46" customFormat="1" ht="15" collapsed="1" x14ac:dyDescent="0.25">
      <c r="A190" s="47"/>
      <c r="B190" s="21"/>
      <c r="C190" s="29"/>
      <c r="D190" s="29"/>
      <c r="E190" s="29"/>
      <c r="F190" s="29"/>
      <c r="G190" s="29"/>
      <c r="H190" s="21"/>
      <c r="I190" s="29"/>
      <c r="J190" s="22"/>
      <c r="K190" s="22"/>
      <c r="L190" s="22"/>
      <c r="M190" s="23"/>
    </row>
    <row r="191" spans="1:13" ht="15" x14ac:dyDescent="0.25">
      <c r="A191" s="45" t="s">
        <v>191</v>
      </c>
      <c r="B191" s="21"/>
      <c r="C191" s="21"/>
      <c r="D191" s="21"/>
      <c r="E191" s="21"/>
      <c r="F191" s="21"/>
      <c r="G191" s="21"/>
      <c r="H191" s="21"/>
      <c r="I191" s="29">
        <f>+I192+I193</f>
        <v>601099665.30000007</v>
      </c>
      <c r="J191" s="29">
        <f>+I191+H191</f>
        <v>601099665.30000007</v>
      </c>
      <c r="K191" s="29">
        <f>+K192+K193</f>
        <v>659617591</v>
      </c>
      <c r="L191" s="29">
        <f t="shared" si="20"/>
        <v>58517925.699999928</v>
      </c>
      <c r="M191" s="18">
        <f t="shared" si="21"/>
        <v>1.0973514528090687</v>
      </c>
    </row>
    <row r="192" spans="1:13" ht="14.25" hidden="1" outlineLevel="1" x14ac:dyDescent="0.2">
      <c r="A192" s="55" t="s">
        <v>192</v>
      </c>
      <c r="B192" s="21"/>
      <c r="C192" s="21"/>
      <c r="D192" s="21"/>
      <c r="E192" s="21"/>
      <c r="F192" s="21"/>
      <c r="G192" s="21"/>
      <c r="H192" s="21"/>
      <c r="I192" s="22">
        <f>+('[1]Anexo 1 Minagricultura'!B14+'[1]Anexo 1 Minagricultura'!B18)*0.1</f>
        <v>375687290.83750004</v>
      </c>
      <c r="J192" s="22">
        <f>+I192+H192</f>
        <v>375687290.83750004</v>
      </c>
      <c r="K192" s="22">
        <v>412260992</v>
      </c>
      <c r="L192" s="22">
        <f t="shared" si="20"/>
        <v>36573701.162499964</v>
      </c>
      <c r="M192" s="23">
        <f t="shared" si="21"/>
        <v>1.0973514464142988</v>
      </c>
    </row>
    <row r="193" spans="1:19" ht="14.25" hidden="1" outlineLevel="1" x14ac:dyDescent="0.2">
      <c r="A193" s="55" t="s">
        <v>193</v>
      </c>
      <c r="B193" s="21"/>
      <c r="C193" s="21"/>
      <c r="D193" s="21"/>
      <c r="E193" s="21"/>
      <c r="F193" s="21"/>
      <c r="G193" s="21"/>
      <c r="H193" s="21"/>
      <c r="I193" s="22">
        <f>+('[1]Anexo 1 Minagricultura'!B15+'[1]Anexo 1 Minagricultura'!B19)*0.1</f>
        <v>225412374.46250001</v>
      </c>
      <c r="J193" s="22">
        <f>+I193+H193</f>
        <v>225412374.46250001</v>
      </c>
      <c r="K193" s="22">
        <v>247356599</v>
      </c>
      <c r="L193" s="22">
        <f t="shared" si="20"/>
        <v>21944224.537499994</v>
      </c>
      <c r="M193" s="23">
        <f t="shared" si="21"/>
        <v>1.0973514634670187</v>
      </c>
    </row>
    <row r="194" spans="1:19" ht="15" collapsed="1" x14ac:dyDescent="0.25">
      <c r="A194" s="28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18"/>
    </row>
    <row r="195" spans="1:19" ht="15" x14ac:dyDescent="0.25">
      <c r="A195" s="56" t="s">
        <v>194</v>
      </c>
      <c r="B195" s="17"/>
      <c r="C195" s="17"/>
      <c r="D195" s="17"/>
      <c r="E195" s="17"/>
      <c r="F195" s="17"/>
      <c r="G195" s="17">
        <v>1000000000</v>
      </c>
      <c r="H195" s="17">
        <f>+B195+C195+D195+G195+F195</f>
        <v>1000000000</v>
      </c>
      <c r="I195" s="17"/>
      <c r="J195" s="57">
        <f>+I195+H195</f>
        <v>1000000000</v>
      </c>
      <c r="K195" s="57">
        <v>701488480</v>
      </c>
      <c r="L195" s="57">
        <f t="shared" si="20"/>
        <v>-298511520</v>
      </c>
      <c r="M195" s="18">
        <f t="shared" si="21"/>
        <v>0.70148847999999997</v>
      </c>
    </row>
    <row r="196" spans="1:19" ht="15" x14ac:dyDescent="0.25">
      <c r="A196" s="28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18"/>
    </row>
    <row r="197" spans="1:19" ht="15" x14ac:dyDescent="0.25">
      <c r="A197" s="45" t="s">
        <v>195</v>
      </c>
      <c r="B197" s="21"/>
      <c r="C197" s="21"/>
      <c r="D197" s="21"/>
      <c r="E197" s="21"/>
      <c r="F197" s="21"/>
      <c r="G197" s="21"/>
      <c r="H197" s="29">
        <f>+B197+C197+G197+F197</f>
        <v>0</v>
      </c>
      <c r="I197" s="29">
        <f>+I198+I199</f>
        <v>0</v>
      </c>
      <c r="J197" s="29">
        <f>+I197+H197</f>
        <v>0</v>
      </c>
      <c r="K197" s="29"/>
      <c r="L197" s="29">
        <f t="shared" si="20"/>
        <v>0</v>
      </c>
      <c r="M197" s="18">
        <f t="shared" si="21"/>
        <v>0</v>
      </c>
    </row>
    <row r="198" spans="1:19" s="58" customFormat="1" ht="14.25" hidden="1" outlineLevel="1" x14ac:dyDescent="0.2">
      <c r="A198" s="31" t="s">
        <v>196</v>
      </c>
      <c r="B198" s="21"/>
      <c r="C198" s="21"/>
      <c r="D198" s="21"/>
      <c r="E198" s="21"/>
      <c r="F198" s="21"/>
      <c r="G198" s="21"/>
      <c r="H198" s="21">
        <f>+B198+C198+G198+F198</f>
        <v>0</v>
      </c>
      <c r="I198" s="21"/>
      <c r="J198" s="21">
        <f>+I198+H198</f>
        <v>0</v>
      </c>
      <c r="K198" s="21"/>
      <c r="L198" s="21">
        <f t="shared" si="20"/>
        <v>0</v>
      </c>
      <c r="M198" s="23">
        <f t="shared" si="21"/>
        <v>0</v>
      </c>
    </row>
    <row r="199" spans="1:19" s="58" customFormat="1" ht="14.25" hidden="1" outlineLevel="1" x14ac:dyDescent="0.2">
      <c r="A199" s="31" t="s">
        <v>197</v>
      </c>
      <c r="B199" s="21"/>
      <c r="C199" s="21"/>
      <c r="D199" s="21"/>
      <c r="E199" s="21"/>
      <c r="F199" s="21"/>
      <c r="G199" s="21"/>
      <c r="H199" s="21">
        <f>+B199+C199+G199+F199</f>
        <v>0</v>
      </c>
      <c r="I199" s="21"/>
      <c r="J199" s="21">
        <f>+I199+H199</f>
        <v>0</v>
      </c>
      <c r="K199" s="21"/>
      <c r="L199" s="21">
        <f t="shared" si="20"/>
        <v>0</v>
      </c>
      <c r="M199" s="23">
        <f t="shared" si="21"/>
        <v>0</v>
      </c>
    </row>
    <row r="200" spans="1:19" ht="15" collapsed="1" x14ac:dyDescent="0.25">
      <c r="A200" s="28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18"/>
    </row>
    <row r="201" spans="1:19" ht="15" x14ac:dyDescent="0.25">
      <c r="A201" s="28" t="s">
        <v>198</v>
      </c>
      <c r="B201" s="29">
        <f>+B40+B38</f>
        <v>1030503004.5295993</v>
      </c>
      <c r="C201" s="29">
        <f>+C38+C40</f>
        <v>417348706.34162706</v>
      </c>
      <c r="D201" s="29">
        <f>+D40+D38</f>
        <v>1881315446.2654374</v>
      </c>
      <c r="E201" s="29">
        <f>+E40+E38</f>
        <v>62892034.027599998</v>
      </c>
      <c r="F201" s="29">
        <f>+F40+F38</f>
        <v>2532777111.9681234</v>
      </c>
      <c r="G201" s="29">
        <f>+G38+G40+G195</f>
        <v>4365761833.9664955</v>
      </c>
      <c r="H201" s="29">
        <f>+B201+C201+D201+G201+E201+F201</f>
        <v>10290598137.098883</v>
      </c>
      <c r="I201" s="29">
        <f>+I197+I191+I40+I38</f>
        <v>845592390.40830016</v>
      </c>
      <c r="J201" s="29">
        <f>+I201+H201</f>
        <v>11136190527.507183</v>
      </c>
      <c r="K201" s="29">
        <f>+K197+K195+K191+K40+K38</f>
        <v>9737408628.9108276</v>
      </c>
      <c r="L201" s="29">
        <f t="shared" si="20"/>
        <v>-1398781898.5963554</v>
      </c>
      <c r="M201" s="18">
        <f t="shared" si="21"/>
        <v>0.8743931423280461</v>
      </c>
    </row>
    <row r="202" spans="1:19" ht="15.75" thickBot="1" x14ac:dyDescent="0.3">
      <c r="A202" s="59"/>
      <c r="B202" s="60"/>
      <c r="C202" s="61"/>
      <c r="D202" s="61"/>
      <c r="E202" s="62"/>
      <c r="F202" s="61"/>
      <c r="G202" s="62"/>
      <c r="H202" s="61"/>
      <c r="I202" s="61"/>
      <c r="J202" s="61"/>
      <c r="K202" s="61"/>
      <c r="L202" s="61"/>
      <c r="M202" s="63"/>
      <c r="N202" s="25"/>
      <c r="O202" s="25"/>
      <c r="P202" s="25"/>
      <c r="Q202" s="25"/>
      <c r="R202" s="25"/>
      <c r="S202" s="25"/>
    </row>
    <row r="203" spans="1:19" ht="13.5" thickTop="1" x14ac:dyDescent="0.2">
      <c r="A203" s="64"/>
      <c r="B203" s="65"/>
      <c r="C203" s="65"/>
      <c r="D203" s="65"/>
      <c r="E203" s="65"/>
      <c r="F203" s="65"/>
      <c r="G203" s="66"/>
      <c r="H203" s="67"/>
      <c r="I203" s="65"/>
      <c r="J203" s="65"/>
      <c r="K203" s="65"/>
      <c r="L203" s="65"/>
      <c r="M203" s="68"/>
    </row>
    <row r="204" spans="1:19" x14ac:dyDescent="0.2">
      <c r="A204" s="64"/>
      <c r="B204" s="65"/>
      <c r="C204" s="65"/>
      <c r="D204" s="65"/>
      <c r="E204" s="65"/>
      <c r="F204" s="65"/>
      <c r="G204" s="69"/>
      <c r="H204" s="65"/>
      <c r="I204" s="65"/>
      <c r="J204" s="70"/>
      <c r="K204" s="70"/>
      <c r="L204" s="70"/>
      <c r="M204" s="71"/>
    </row>
    <row r="205" spans="1:19" ht="15.75" hidden="1" outlineLevel="1" x14ac:dyDescent="0.25">
      <c r="A205" s="64"/>
      <c r="C205" s="67"/>
      <c r="D205" s="67"/>
      <c r="E205" s="67"/>
      <c r="F205" s="67"/>
      <c r="G205" s="72"/>
      <c r="H205" s="73" t="s">
        <v>199</v>
      </c>
      <c r="I205" s="73" t="s">
        <v>200</v>
      </c>
      <c r="J205" s="74" t="s">
        <v>201</v>
      </c>
      <c r="K205" s="74"/>
      <c r="L205" s="74"/>
      <c r="M205" s="67"/>
    </row>
    <row r="206" spans="1:19" ht="15.75" hidden="1" outlineLevel="1" x14ac:dyDescent="0.25">
      <c r="A206" s="75"/>
      <c r="B206" s="67"/>
      <c r="C206" s="67"/>
      <c r="D206" s="67"/>
      <c r="E206" s="67"/>
      <c r="F206" s="67"/>
      <c r="G206" s="72" t="s">
        <v>202</v>
      </c>
      <c r="H206" s="76">
        <f>+B201+C201+D201+F201+I38+I192+E201</f>
        <v>6545016319.078187</v>
      </c>
      <c r="I206" s="77">
        <f>+'[1]Anexo 1 Minagricultura'!B39</f>
        <v>6545016319.375</v>
      </c>
      <c r="J206" s="77">
        <f>+I206-H206</f>
        <v>0.29681301116943359</v>
      </c>
      <c r="K206" s="77"/>
      <c r="L206" s="77"/>
      <c r="M206" s="67"/>
    </row>
    <row r="207" spans="1:19" ht="16.5" hidden="1" outlineLevel="1" thickBot="1" x14ac:dyDescent="0.3">
      <c r="A207" s="64"/>
      <c r="B207" s="67"/>
      <c r="C207" s="65"/>
      <c r="D207" s="78"/>
      <c r="E207" s="67"/>
      <c r="F207" s="67"/>
      <c r="G207" s="72" t="s">
        <v>203</v>
      </c>
      <c r="H207" s="79">
        <f>+G201+I193</f>
        <v>4591174208.4289951</v>
      </c>
      <c r="I207" s="80">
        <f>+'[1]Anexo 1 Minagricultura'!B43</f>
        <v>4591174208.875</v>
      </c>
      <c r="J207" s="80">
        <f>+I207-H207</f>
        <v>0.44600486755371094</v>
      </c>
      <c r="K207" s="81"/>
      <c r="L207" s="81"/>
      <c r="M207" s="67"/>
    </row>
    <row r="208" spans="1:19" ht="15.75" hidden="1" outlineLevel="1" x14ac:dyDescent="0.25">
      <c r="A208" s="64"/>
      <c r="B208" s="65"/>
      <c r="C208" s="65"/>
      <c r="D208" s="78"/>
      <c r="E208" s="67"/>
      <c r="F208" s="67"/>
      <c r="G208" s="72"/>
      <c r="H208" s="82">
        <f>+H206+H207</f>
        <v>11136190527.507183</v>
      </c>
      <c r="I208" s="83">
        <f>+I207+I206</f>
        <v>11136190528.25</v>
      </c>
      <c r="J208" s="83">
        <f>+J207+J206</f>
        <v>0.74281787872314453</v>
      </c>
      <c r="K208" s="83"/>
      <c r="L208" s="83"/>
      <c r="M208" s="67"/>
    </row>
    <row r="209" spans="1:13" ht="15.75" collapsed="1" x14ac:dyDescent="0.25">
      <c r="A209" s="64"/>
      <c r="B209" s="67"/>
      <c r="C209" s="67"/>
      <c r="D209" s="67"/>
      <c r="E209" s="67"/>
      <c r="F209" s="67"/>
      <c r="G209" s="72"/>
      <c r="H209" s="76"/>
      <c r="I209" s="72"/>
      <c r="J209" s="84"/>
      <c r="K209" s="84"/>
      <c r="L209" s="84"/>
      <c r="M209" s="67"/>
    </row>
    <row r="210" spans="1:13" x14ac:dyDescent="0.2">
      <c r="A210" s="67"/>
      <c r="B210" s="67"/>
      <c r="C210" s="67"/>
      <c r="D210" s="67"/>
      <c r="E210" s="67"/>
      <c r="F210" s="67"/>
      <c r="G210" s="67"/>
      <c r="H210" s="67"/>
      <c r="I210" s="67"/>
      <c r="J210" s="70"/>
      <c r="K210" s="70"/>
      <c r="L210" s="70"/>
      <c r="M210" s="67"/>
    </row>
    <row r="211" spans="1:13" x14ac:dyDescent="0.2">
      <c r="A211" s="67"/>
      <c r="B211" s="67"/>
      <c r="C211" s="67"/>
      <c r="D211" s="67"/>
      <c r="E211" s="67"/>
      <c r="F211" s="67"/>
      <c r="G211" s="67"/>
      <c r="H211" s="65"/>
      <c r="I211" s="65"/>
      <c r="J211" s="67"/>
      <c r="K211" s="67"/>
      <c r="L211" s="67"/>
      <c r="M211" s="67"/>
    </row>
    <row r="212" spans="1:13" x14ac:dyDescent="0.2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</row>
    <row r="213" spans="1:13" x14ac:dyDescent="0.2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</row>
    <row r="214" spans="1:13" x14ac:dyDescent="0.2">
      <c r="A214" s="67"/>
      <c r="B214" s="67"/>
      <c r="C214" s="67"/>
      <c r="D214" s="67"/>
      <c r="E214" s="67"/>
      <c r="F214" s="67"/>
      <c r="G214" s="67"/>
      <c r="H214" s="67"/>
      <c r="I214" s="78"/>
      <c r="J214" s="67"/>
      <c r="K214" s="67"/>
      <c r="L214" s="67"/>
      <c r="M214" s="67"/>
    </row>
    <row r="215" spans="1:13" x14ac:dyDescent="0.2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</row>
    <row r="216" spans="1:13" x14ac:dyDescent="0.2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</row>
    <row r="217" spans="1:13" x14ac:dyDescent="0.2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</row>
    <row r="218" spans="1:13" x14ac:dyDescent="0.2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</row>
    <row r="219" spans="1:13" x14ac:dyDescent="0.2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</row>
    <row r="220" spans="1:13" x14ac:dyDescent="0.2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</row>
    <row r="221" spans="1:13" x14ac:dyDescent="0.2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</row>
    <row r="222" spans="1:13" x14ac:dyDescent="0.2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</row>
    <row r="223" spans="1:13" x14ac:dyDescent="0.2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</row>
    <row r="224" spans="1:13" x14ac:dyDescent="0.2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</row>
    <row r="225" spans="1:13" x14ac:dyDescent="0.2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</row>
    <row r="226" spans="1:13" x14ac:dyDescent="0.2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</row>
    <row r="227" spans="1:13" x14ac:dyDescent="0.2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</row>
    <row r="228" spans="1:13" x14ac:dyDescent="0.2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</row>
    <row r="229" spans="1:13" x14ac:dyDescent="0.2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</row>
    <row r="230" spans="1:13" x14ac:dyDescent="0.2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</row>
    <row r="231" spans="1:13" x14ac:dyDescent="0.2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</row>
    <row r="232" spans="1:13" x14ac:dyDescent="0.2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</row>
    <row r="233" spans="1:13" x14ac:dyDescent="0.2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</row>
    <row r="234" spans="1:13" x14ac:dyDescent="0.2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</row>
    <row r="235" spans="1:13" x14ac:dyDescent="0.2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</row>
    <row r="236" spans="1:13" x14ac:dyDescent="0.2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</row>
    <row r="237" spans="1:13" x14ac:dyDescent="0.2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</row>
    <row r="238" spans="1:13" x14ac:dyDescent="0.2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</row>
    <row r="239" spans="1:13" x14ac:dyDescent="0.2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</row>
    <row r="240" spans="1:13" x14ac:dyDescent="0.2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</row>
    <row r="241" spans="1:13" x14ac:dyDescent="0.2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</row>
    <row r="242" spans="1:13" x14ac:dyDescent="0.2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</row>
    <row r="243" spans="1:13" x14ac:dyDescent="0.2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</row>
    <row r="244" spans="1:13" x14ac:dyDescent="0.2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</row>
    <row r="245" spans="1:13" x14ac:dyDescent="0.2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</row>
    <row r="246" spans="1:13" x14ac:dyDescent="0.2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</row>
    <row r="247" spans="1:13" x14ac:dyDescent="0.2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</row>
    <row r="248" spans="1:13" x14ac:dyDescent="0.2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</row>
    <row r="249" spans="1:13" x14ac:dyDescent="0.2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</row>
    <row r="250" spans="1:13" x14ac:dyDescent="0.2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</row>
    <row r="251" spans="1:13" x14ac:dyDescent="0.2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</row>
    <row r="252" spans="1:13" x14ac:dyDescent="0.2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</row>
    <row r="253" spans="1:13" x14ac:dyDescent="0.2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</row>
    <row r="254" spans="1:13" x14ac:dyDescent="0.2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</row>
    <row r="255" spans="1:13" x14ac:dyDescent="0.2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</row>
    <row r="256" spans="1:13" x14ac:dyDescent="0.2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</row>
    <row r="257" spans="1:13" x14ac:dyDescent="0.2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</row>
    <row r="258" spans="1:13" x14ac:dyDescent="0.2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</row>
    <row r="259" spans="1:13" x14ac:dyDescent="0.2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</row>
    <row r="260" spans="1:13" x14ac:dyDescent="0.2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</row>
    <row r="261" spans="1:13" x14ac:dyDescent="0.2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</row>
    <row r="262" spans="1:13" x14ac:dyDescent="0.2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</row>
    <row r="263" spans="1:13" x14ac:dyDescent="0.2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</row>
    <row r="264" spans="1:13" x14ac:dyDescent="0.2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</row>
    <row r="265" spans="1:13" x14ac:dyDescent="0.2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</row>
    <row r="266" spans="1:13" x14ac:dyDescent="0.2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</row>
    <row r="267" spans="1:13" x14ac:dyDescent="0.2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</row>
    <row r="268" spans="1:13" x14ac:dyDescent="0.2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</row>
    <row r="269" spans="1:13" x14ac:dyDescent="0.2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</row>
    <row r="270" spans="1:13" x14ac:dyDescent="0.2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</row>
    <row r="271" spans="1:13" x14ac:dyDescent="0.2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</row>
    <row r="272" spans="1:13" x14ac:dyDescent="0.2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</row>
    <row r="273" spans="1:13" x14ac:dyDescent="0.2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</row>
    <row r="274" spans="1:13" x14ac:dyDescent="0.2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</row>
    <row r="275" spans="1:13" x14ac:dyDescent="0.2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</row>
    <row r="276" spans="1:13" x14ac:dyDescent="0.2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</row>
    <row r="277" spans="1:13" x14ac:dyDescent="0.2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</row>
    <row r="278" spans="1:13" x14ac:dyDescent="0.2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</row>
    <row r="279" spans="1:13" x14ac:dyDescent="0.2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</row>
    <row r="280" spans="1:13" x14ac:dyDescent="0.2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</row>
  </sheetData>
  <mergeCells count="5">
    <mergeCell ref="A1:M1"/>
    <mergeCell ref="A2:M2"/>
    <mergeCell ref="A3:M3"/>
    <mergeCell ref="A4:M4"/>
    <mergeCell ref="A5:M5"/>
  </mergeCells>
  <printOptions horizontalCentered="1"/>
  <pageMargins left="0.39370078740157483" right="0.39370078740157483" top="0.39370078740157483" bottom="0.39370078740157483" header="0" footer="0"/>
  <pageSetup scale="3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2019-10-16T19:06:38Z</dcterms:created>
  <dcterms:modified xsi:type="dcterms:W3CDTF">2019-10-16T19:06:59Z</dcterms:modified>
</cp:coreProperties>
</file>